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Ilife045\5shared\P001488\Admin\SFTP\SFTP Issues Found Folder Nov 20\"/>
    </mc:Choice>
  </mc:AlternateContent>
  <bookViews>
    <workbookView xWindow="0" yWindow="0" windowWidth="20490" windowHeight="7320" tabRatio="873" firstSheet="16" activeTab="20"/>
  </bookViews>
  <sheets>
    <sheet name="~January 2020" sheetId="1" r:id="rId1"/>
    <sheet name="January 2020" sheetId="17" r:id="rId2"/>
    <sheet name="~February 2020" sheetId="2" r:id="rId3"/>
    <sheet name="February 2020" sheetId="18" r:id="rId4"/>
    <sheet name="March Arrears for 4 members" sheetId="4" state="hidden" r:id="rId5"/>
    <sheet name="~March 2020" sheetId="3" r:id="rId6"/>
    <sheet name="March 2020" sheetId="19" r:id="rId7"/>
    <sheet name="~April 2020" sheetId="5" r:id="rId8"/>
    <sheet name="April 2020" sheetId="20" r:id="rId9"/>
    <sheet name="~May 2020" sheetId="7" r:id="rId10"/>
    <sheet name="May 2020" sheetId="21" r:id="rId11"/>
    <sheet name="~June 2020" sheetId="8" r:id="rId12"/>
    <sheet name="June 2020" sheetId="22" r:id="rId13"/>
    <sheet name="~July 2020 " sheetId="9" r:id="rId14"/>
    <sheet name="July 2020 " sheetId="23" r:id="rId15"/>
    <sheet name="~August 2020" sheetId="10" r:id="rId16"/>
    <sheet name="August 2020" sheetId="24" r:id="rId17"/>
    <sheet name="~September 2020" sheetId="11" r:id="rId18"/>
    <sheet name="September 2020" sheetId="25" r:id="rId19"/>
    <sheet name="~October 2020" sheetId="16" r:id="rId20"/>
    <sheet name="October 2020" sheetId="26" r:id="rId21"/>
    <sheet name="November 2020" sheetId="15" state="hidden" r:id="rId22"/>
  </sheets>
  <definedNames>
    <definedName name="_xlnm.Print_Area" localSheetId="7">'~April 2020'!$A$1:$U$22</definedName>
    <definedName name="_xlnm.Print_Area" localSheetId="15">'~August 2020'!$A$1:$AF$29</definedName>
    <definedName name="_xlnm.Print_Area" localSheetId="2">'~February 2020'!$A$1:$Q$19</definedName>
    <definedName name="_xlnm.Print_Area" localSheetId="13">'~July 2020 '!$A$1:$AF$29</definedName>
    <definedName name="_xlnm.Print_Area" localSheetId="11">'~June 2020'!$A$1:$AF$29</definedName>
    <definedName name="_xlnm.Print_Area" localSheetId="5">'~March 2020'!$A$1:$U$25</definedName>
    <definedName name="_xlnm.Print_Area" localSheetId="9">'~May 2020'!$A$1:$AF$29</definedName>
    <definedName name="_xlnm.Print_Area" localSheetId="19">'~October 2020'!$A$1:$AF$29</definedName>
    <definedName name="_xlnm.Print_Area" localSheetId="17">'~September 2020'!$A$1:$AF$29</definedName>
    <definedName name="_xlnm.Print_Area" localSheetId="21">'November 2020'!$A$1:$AF$29</definedName>
  </definedNames>
  <calcPr calcId="152511"/>
  <extLst>
    <ext uri="{140A7094-0E35-4892-8432-C4D2E57EDEB5}">
      <x15:workbookPr chartTrackingRefBase="1"/>
    </ext>
  </extLst>
</workbook>
</file>

<file path=xl/calcChain.xml><?xml version="1.0" encoding="utf-8"?>
<calcChain xmlns="http://schemas.openxmlformats.org/spreadsheetml/2006/main">
  <c r="L15" i="1" l="1"/>
  <c r="N22" i="15"/>
  <c r="M22" i="15"/>
  <c r="I22" i="15"/>
  <c r="H22" i="15"/>
  <c r="F22" i="15"/>
  <c r="N20" i="15"/>
  <c r="M20" i="15"/>
  <c r="I20" i="15"/>
  <c r="H20" i="15"/>
  <c r="F20" i="15"/>
  <c r="N19" i="15"/>
  <c r="M19" i="15"/>
  <c r="I19" i="15"/>
  <c r="H19" i="15"/>
  <c r="F19" i="15"/>
  <c r="N18" i="15"/>
  <c r="M18" i="15"/>
  <c r="I18" i="15"/>
  <c r="H18" i="15"/>
  <c r="F18" i="15"/>
  <c r="N17" i="15"/>
  <c r="M17" i="15"/>
  <c r="I17" i="15"/>
  <c r="H17" i="15"/>
  <c r="F17" i="15"/>
  <c r="N16" i="15"/>
  <c r="M16" i="15"/>
  <c r="I16" i="15"/>
  <c r="H16" i="15"/>
  <c r="N15" i="15"/>
  <c r="M15" i="15"/>
  <c r="I15" i="15"/>
  <c r="M14" i="15"/>
  <c r="I14" i="15"/>
  <c r="F14" i="15"/>
  <c r="M13" i="15"/>
  <c r="I13" i="15"/>
  <c r="F13" i="15"/>
  <c r="N12" i="15"/>
  <c r="M12" i="15"/>
  <c r="I12" i="15"/>
  <c r="H12" i="15"/>
  <c r="N11" i="15"/>
  <c r="M11" i="15"/>
  <c r="I11" i="15"/>
  <c r="F11" i="15"/>
  <c r="N10" i="15"/>
  <c r="M10" i="15"/>
  <c r="I10" i="15"/>
  <c r="H10" i="15"/>
  <c r="F10" i="15"/>
  <c r="N9" i="15"/>
  <c r="M9" i="15"/>
  <c r="I9" i="15"/>
  <c r="H9" i="15"/>
  <c r="F9" i="15"/>
  <c r="N8" i="15"/>
  <c r="M8" i="15"/>
  <c r="I8" i="15"/>
  <c r="F8" i="15"/>
  <c r="N7" i="15"/>
  <c r="M7" i="15"/>
  <c r="I7" i="15"/>
  <c r="H7" i="15"/>
  <c r="F7" i="15"/>
  <c r="N6" i="15"/>
  <c r="M6" i="15"/>
  <c r="I6" i="15"/>
  <c r="H6" i="15"/>
  <c r="F6" i="15"/>
  <c r="I5" i="15"/>
  <c r="H5" i="15"/>
  <c r="F5" i="15"/>
  <c r="N22" i="16"/>
  <c r="M22" i="16"/>
  <c r="I22" i="16"/>
  <c r="H22" i="16"/>
  <c r="F22" i="16"/>
  <c r="N20" i="16"/>
  <c r="M20" i="16"/>
  <c r="I20" i="16"/>
  <c r="H20" i="16"/>
  <c r="F20" i="16"/>
  <c r="N19" i="16"/>
  <c r="M19" i="16"/>
  <c r="I19" i="16"/>
  <c r="H19" i="16"/>
  <c r="F19" i="16"/>
  <c r="N18" i="16"/>
  <c r="M18" i="16"/>
  <c r="I18" i="16"/>
  <c r="H18" i="16"/>
  <c r="F18" i="16"/>
  <c r="N17" i="16"/>
  <c r="M17" i="16"/>
  <c r="I17" i="16"/>
  <c r="H17" i="16"/>
  <c r="F17" i="16"/>
  <c r="N16" i="16"/>
  <c r="M16" i="16"/>
  <c r="I16" i="16"/>
  <c r="H16" i="16"/>
  <c r="N15" i="16"/>
  <c r="M15" i="16"/>
  <c r="I15" i="16"/>
  <c r="H15" i="16"/>
  <c r="M14" i="16"/>
  <c r="I14" i="16"/>
  <c r="F14" i="16"/>
  <c r="N13" i="16"/>
  <c r="M13" i="16"/>
  <c r="I13" i="16"/>
  <c r="F13" i="16"/>
  <c r="N12" i="16"/>
  <c r="M12" i="16"/>
  <c r="I12" i="16"/>
  <c r="H12" i="16"/>
  <c r="N11" i="16"/>
  <c r="M11" i="16"/>
  <c r="I11" i="16"/>
  <c r="F11" i="16"/>
  <c r="N10" i="16"/>
  <c r="M10" i="16"/>
  <c r="I10" i="16"/>
  <c r="H10" i="16"/>
  <c r="F10" i="16"/>
  <c r="N9" i="16"/>
  <c r="M9" i="16"/>
  <c r="I9" i="16"/>
  <c r="H9" i="16"/>
  <c r="F9" i="16"/>
  <c r="N8" i="16"/>
  <c r="M8" i="16"/>
  <c r="I8" i="16"/>
  <c r="F8" i="16"/>
  <c r="N7" i="16"/>
  <c r="M7" i="16"/>
  <c r="I7" i="16"/>
  <c r="H7" i="16"/>
  <c r="F7" i="16"/>
  <c r="N6" i="16"/>
  <c r="M6" i="16"/>
  <c r="I6" i="16"/>
  <c r="H6" i="16"/>
  <c r="F6" i="16"/>
  <c r="I5" i="16"/>
  <c r="H5" i="16"/>
  <c r="F5" i="16"/>
  <c r="N19" i="11"/>
  <c r="M19" i="11"/>
  <c r="I19" i="11"/>
  <c r="H19" i="11"/>
  <c r="F19" i="11"/>
  <c r="N17" i="11"/>
  <c r="M17" i="11"/>
  <c r="I17" i="11"/>
  <c r="H17" i="11"/>
  <c r="F17" i="11"/>
  <c r="N16" i="11"/>
  <c r="M16" i="11"/>
  <c r="I16" i="11"/>
  <c r="H16" i="11"/>
  <c r="N15" i="11"/>
  <c r="M15" i="11"/>
  <c r="I15" i="11"/>
  <c r="H15" i="11"/>
  <c r="M14" i="11"/>
  <c r="I14" i="11"/>
  <c r="F14" i="11"/>
  <c r="N13" i="11"/>
  <c r="M13" i="11"/>
  <c r="I13" i="11"/>
  <c r="H13" i="11"/>
  <c r="F13" i="11"/>
  <c r="N12" i="11"/>
  <c r="M12" i="11"/>
  <c r="I12" i="11"/>
  <c r="H12" i="11"/>
  <c r="N11" i="11"/>
  <c r="M11" i="11"/>
  <c r="I11" i="11"/>
  <c r="F11" i="11"/>
  <c r="N10" i="11"/>
  <c r="M10" i="11"/>
  <c r="I10" i="11"/>
  <c r="H10" i="11"/>
  <c r="F10" i="11"/>
  <c r="N9" i="11"/>
  <c r="M9" i="11"/>
  <c r="I9" i="11"/>
  <c r="H9" i="11"/>
  <c r="F9" i="11"/>
  <c r="N8" i="11"/>
  <c r="M8" i="11"/>
  <c r="I8" i="11"/>
  <c r="F8" i="11"/>
  <c r="N7" i="11"/>
  <c r="M7" i="11"/>
  <c r="I7" i="11"/>
  <c r="H7" i="11"/>
  <c r="F7" i="11"/>
  <c r="N6" i="11"/>
  <c r="M6" i="11"/>
  <c r="I6" i="11"/>
  <c r="H6" i="11"/>
  <c r="F6" i="11"/>
  <c r="I5" i="11"/>
  <c r="H5" i="11"/>
  <c r="F5" i="11"/>
  <c r="N19" i="10"/>
  <c r="M19" i="10"/>
  <c r="I19" i="10"/>
  <c r="H19" i="10"/>
  <c r="F19" i="10"/>
  <c r="N17" i="10"/>
  <c r="M17" i="10"/>
  <c r="I17" i="10"/>
  <c r="H17" i="10"/>
  <c r="F17" i="10"/>
  <c r="N16" i="10"/>
  <c r="M16" i="10"/>
  <c r="I16" i="10"/>
  <c r="H16" i="10"/>
  <c r="N15" i="10"/>
  <c r="M15" i="10"/>
  <c r="I15" i="10"/>
  <c r="H15" i="10"/>
  <c r="N14" i="10"/>
  <c r="M14" i="10"/>
  <c r="I14" i="10"/>
  <c r="H14" i="10"/>
  <c r="F14" i="10"/>
  <c r="N13" i="10"/>
  <c r="M13" i="10"/>
  <c r="I13" i="10"/>
  <c r="H13" i="10"/>
  <c r="F13" i="10"/>
  <c r="N12" i="10"/>
  <c r="M12" i="10"/>
  <c r="I12" i="10"/>
  <c r="H12" i="10"/>
  <c r="N11" i="10"/>
  <c r="M11" i="10"/>
  <c r="I11" i="10"/>
  <c r="H11" i="10"/>
  <c r="F11" i="10"/>
  <c r="N10" i="10"/>
  <c r="M10" i="10"/>
  <c r="I10" i="10"/>
  <c r="H10" i="10"/>
  <c r="F10" i="10"/>
  <c r="N9" i="10"/>
  <c r="M9" i="10"/>
  <c r="I9" i="10"/>
  <c r="H9" i="10"/>
  <c r="F9" i="10"/>
  <c r="N8" i="10"/>
  <c r="M8" i="10"/>
  <c r="I8" i="10"/>
  <c r="F8" i="10"/>
  <c r="N7" i="10"/>
  <c r="M7" i="10"/>
  <c r="I7" i="10"/>
  <c r="H7" i="10"/>
  <c r="F7" i="10"/>
  <c r="N6" i="10"/>
  <c r="M6" i="10"/>
  <c r="I6" i="10"/>
  <c r="H6" i="10"/>
  <c r="F6" i="10"/>
  <c r="N5" i="10"/>
  <c r="M5" i="10"/>
  <c r="I5" i="10"/>
  <c r="H5" i="10"/>
  <c r="F5" i="10"/>
  <c r="N19" i="9"/>
  <c r="M19" i="9"/>
  <c r="I19" i="9"/>
  <c r="H19" i="9"/>
  <c r="F19" i="9"/>
  <c r="D19" i="9"/>
  <c r="N17" i="9"/>
  <c r="M17" i="9"/>
  <c r="I17" i="9"/>
  <c r="H17" i="9"/>
  <c r="F17" i="9"/>
  <c r="N16" i="9"/>
  <c r="M16" i="9"/>
  <c r="I16" i="9"/>
  <c r="H16" i="9"/>
  <c r="N15" i="9"/>
  <c r="M15" i="9"/>
  <c r="I15" i="9"/>
  <c r="H15" i="9"/>
  <c r="N14" i="9"/>
  <c r="M14" i="9"/>
  <c r="I14" i="9"/>
  <c r="H14" i="9"/>
  <c r="F14" i="9"/>
  <c r="N13" i="9"/>
  <c r="M13" i="9"/>
  <c r="I13" i="9"/>
  <c r="H13" i="9"/>
  <c r="F13" i="9"/>
  <c r="N12" i="9"/>
  <c r="M12" i="9"/>
  <c r="I12" i="9"/>
  <c r="H12" i="9"/>
  <c r="N11" i="9"/>
  <c r="M11" i="9"/>
  <c r="I11" i="9"/>
  <c r="H11" i="9"/>
  <c r="F11" i="9"/>
  <c r="N10" i="9"/>
  <c r="M10" i="9"/>
  <c r="I10" i="9"/>
  <c r="H10" i="9"/>
  <c r="F10" i="9"/>
  <c r="N9" i="9"/>
  <c r="M9" i="9"/>
  <c r="I9" i="9"/>
  <c r="H9" i="9"/>
  <c r="F9" i="9"/>
  <c r="N8" i="9"/>
  <c r="M8" i="9"/>
  <c r="I8" i="9"/>
  <c r="F8" i="9"/>
  <c r="N7" i="9"/>
  <c r="M7" i="9"/>
  <c r="I7" i="9"/>
  <c r="H7" i="9"/>
  <c r="F7" i="9"/>
  <c r="N6" i="9"/>
  <c r="M6" i="9"/>
  <c r="I6" i="9"/>
  <c r="H6" i="9"/>
  <c r="F6" i="9"/>
  <c r="N5" i="9"/>
  <c r="M5" i="9"/>
  <c r="I5" i="9"/>
  <c r="H5" i="9"/>
  <c r="F5" i="9"/>
  <c r="N19" i="8"/>
  <c r="M19" i="8"/>
  <c r="I19" i="8"/>
  <c r="H19" i="8"/>
  <c r="F19" i="8"/>
  <c r="D19" i="8"/>
  <c r="N17" i="8"/>
  <c r="M17" i="8"/>
  <c r="I17" i="8"/>
  <c r="H17" i="8"/>
  <c r="F17" i="8"/>
  <c r="N16" i="8"/>
  <c r="M16" i="8"/>
  <c r="I16" i="8"/>
  <c r="H16" i="8"/>
  <c r="N15" i="8"/>
  <c r="M15" i="8"/>
  <c r="I15" i="8"/>
  <c r="H15" i="8"/>
  <c r="N14" i="8"/>
  <c r="M14" i="8"/>
  <c r="I14" i="8"/>
  <c r="H14" i="8"/>
  <c r="F14" i="8"/>
  <c r="N13" i="8"/>
  <c r="M13" i="8"/>
  <c r="I13" i="8"/>
  <c r="H13" i="8"/>
  <c r="F13" i="8"/>
  <c r="N12" i="8"/>
  <c r="M12" i="8"/>
  <c r="I12" i="8"/>
  <c r="H12" i="8"/>
  <c r="N11" i="8"/>
  <c r="M11" i="8"/>
  <c r="I11" i="8"/>
  <c r="H11" i="8"/>
  <c r="F11" i="8"/>
  <c r="N10" i="8"/>
  <c r="M10" i="8"/>
  <c r="I10" i="8"/>
  <c r="H10" i="8"/>
  <c r="F10" i="8"/>
  <c r="N9" i="8"/>
  <c r="M9" i="8"/>
  <c r="I9" i="8"/>
  <c r="H9" i="8"/>
  <c r="F9" i="8"/>
  <c r="N8" i="8"/>
  <c r="M8" i="8"/>
  <c r="I8" i="8"/>
  <c r="F8" i="8"/>
  <c r="N7" i="8"/>
  <c r="M7" i="8"/>
  <c r="I7" i="8"/>
  <c r="H7" i="8"/>
  <c r="F7" i="8"/>
  <c r="N6" i="8"/>
  <c r="M6" i="8"/>
  <c r="I6" i="8"/>
  <c r="H6" i="8"/>
  <c r="F6" i="8"/>
  <c r="N5" i="8"/>
  <c r="M5" i="8"/>
  <c r="I5" i="8"/>
  <c r="H5" i="8"/>
  <c r="F5" i="8"/>
  <c r="N19" i="7"/>
  <c r="M19" i="7"/>
  <c r="I19" i="7"/>
  <c r="H19" i="7"/>
  <c r="F19" i="7"/>
  <c r="D19" i="7"/>
  <c r="N17" i="7"/>
  <c r="M17" i="7"/>
  <c r="I17" i="7"/>
  <c r="H17" i="7"/>
  <c r="F17" i="7"/>
  <c r="N16" i="7"/>
  <c r="M16" i="7"/>
  <c r="I16" i="7"/>
  <c r="H16" i="7"/>
  <c r="N15" i="7"/>
  <c r="M15" i="7"/>
  <c r="I15" i="7"/>
  <c r="H15" i="7"/>
  <c r="N14" i="7"/>
  <c r="M14" i="7"/>
  <c r="I14" i="7"/>
  <c r="H14" i="7"/>
  <c r="F14" i="7"/>
  <c r="N13" i="7"/>
  <c r="M13" i="7"/>
  <c r="I13" i="7"/>
  <c r="H13" i="7"/>
  <c r="F13" i="7"/>
  <c r="N12" i="7"/>
  <c r="M12" i="7"/>
  <c r="I12" i="7"/>
  <c r="H12" i="7"/>
  <c r="N11" i="7"/>
  <c r="M11" i="7"/>
  <c r="I11" i="7"/>
  <c r="H11" i="7"/>
  <c r="F11" i="7"/>
  <c r="N10" i="7"/>
  <c r="M10" i="7"/>
  <c r="I10" i="7"/>
  <c r="H10" i="7"/>
  <c r="F10" i="7"/>
  <c r="N9" i="7"/>
  <c r="M9" i="7"/>
  <c r="I9" i="7"/>
  <c r="H9" i="7"/>
  <c r="F9" i="7"/>
  <c r="N8" i="7"/>
  <c r="M8" i="7"/>
  <c r="I8" i="7"/>
  <c r="H8" i="7"/>
  <c r="F8" i="7"/>
  <c r="N7" i="7"/>
  <c r="M7" i="7"/>
  <c r="I7" i="7"/>
  <c r="H7" i="7"/>
  <c r="F7" i="7"/>
  <c r="N6" i="7"/>
  <c r="M6" i="7"/>
  <c r="I6" i="7"/>
  <c r="H6" i="7"/>
  <c r="F6" i="7"/>
  <c r="N5" i="7"/>
  <c r="M5" i="7"/>
  <c r="I5" i="7"/>
  <c r="H5" i="7"/>
  <c r="F5" i="7"/>
  <c r="E37" i="5"/>
  <c r="N18" i="5"/>
  <c r="M18" i="5"/>
  <c r="I18" i="5"/>
  <c r="H18" i="5"/>
  <c r="F18" i="5"/>
  <c r="D18" i="5"/>
  <c r="N16" i="5"/>
  <c r="M16" i="5"/>
  <c r="I16" i="5"/>
  <c r="H16" i="5"/>
  <c r="N15" i="5"/>
  <c r="M15" i="5"/>
  <c r="I15" i="5"/>
  <c r="H15" i="5"/>
  <c r="N14" i="5"/>
  <c r="M14" i="5"/>
  <c r="I14" i="5"/>
  <c r="H14" i="5"/>
  <c r="F14" i="5"/>
  <c r="N13" i="5"/>
  <c r="M13" i="5"/>
  <c r="I13" i="5"/>
  <c r="H13" i="5"/>
  <c r="F13" i="5"/>
  <c r="N12" i="5"/>
  <c r="M12" i="5"/>
  <c r="I12" i="5"/>
  <c r="H12" i="5"/>
  <c r="N11" i="5"/>
  <c r="M11" i="5"/>
  <c r="I11" i="5"/>
  <c r="H11" i="5"/>
  <c r="F11" i="5"/>
  <c r="N10" i="5"/>
  <c r="M10" i="5"/>
  <c r="I10" i="5"/>
  <c r="H10" i="5"/>
  <c r="F10" i="5"/>
  <c r="N9" i="5"/>
  <c r="M9" i="5"/>
  <c r="I9" i="5"/>
  <c r="H9" i="5"/>
  <c r="F9" i="5"/>
  <c r="N8" i="5"/>
  <c r="M8" i="5"/>
  <c r="I8" i="5"/>
  <c r="H8" i="5"/>
  <c r="F8" i="5"/>
  <c r="N7" i="5"/>
  <c r="M7" i="5"/>
  <c r="I7" i="5"/>
  <c r="H7" i="5"/>
  <c r="F7" i="5"/>
  <c r="N6" i="5"/>
  <c r="M6" i="5"/>
  <c r="I6" i="5"/>
  <c r="H6" i="5"/>
  <c r="F6" i="5"/>
  <c r="N5" i="5"/>
  <c r="M5" i="5"/>
  <c r="I5" i="5"/>
  <c r="H5" i="5"/>
  <c r="F5" i="5"/>
  <c r="N18" i="3"/>
  <c r="M18" i="3"/>
  <c r="L18" i="3"/>
  <c r="K18" i="3"/>
  <c r="I18" i="3"/>
  <c r="H18" i="3"/>
  <c r="F18" i="3"/>
  <c r="D18" i="3"/>
  <c r="N16" i="3"/>
  <c r="M16" i="3"/>
  <c r="I16" i="3"/>
  <c r="H16" i="3"/>
  <c r="N15" i="3"/>
  <c r="M15" i="3"/>
  <c r="I15" i="3"/>
  <c r="H15" i="3"/>
  <c r="N14" i="3"/>
  <c r="M14" i="3"/>
  <c r="I14" i="3"/>
  <c r="H14" i="3"/>
  <c r="N13" i="3"/>
  <c r="M13" i="3"/>
  <c r="I13" i="3"/>
  <c r="H13" i="3"/>
  <c r="F13" i="3"/>
  <c r="N12" i="3"/>
  <c r="M12" i="3"/>
  <c r="I12" i="3"/>
  <c r="H12" i="3"/>
  <c r="N11" i="3"/>
  <c r="M11" i="3"/>
  <c r="I11" i="3"/>
  <c r="H11" i="3"/>
  <c r="F11" i="3"/>
  <c r="N10" i="3"/>
  <c r="M10" i="3"/>
  <c r="I10" i="3"/>
  <c r="H10" i="3"/>
  <c r="F10" i="3"/>
  <c r="N9" i="3"/>
  <c r="M9" i="3"/>
  <c r="I9" i="3"/>
  <c r="H9" i="3"/>
  <c r="F9" i="3"/>
  <c r="N8" i="3"/>
  <c r="M8" i="3"/>
  <c r="I8" i="3"/>
  <c r="H8" i="3"/>
  <c r="F8" i="3"/>
  <c r="N7" i="3"/>
  <c r="M7" i="3"/>
  <c r="I7" i="3"/>
  <c r="H7" i="3"/>
  <c r="F7" i="3"/>
  <c r="N6" i="3"/>
  <c r="M6" i="3"/>
  <c r="I6" i="3"/>
  <c r="H6" i="3"/>
  <c r="F6" i="3"/>
  <c r="N5" i="3"/>
  <c r="M5" i="3"/>
  <c r="I5" i="3"/>
  <c r="H5" i="3"/>
  <c r="F5" i="3"/>
  <c r="N6" i="4"/>
  <c r="L6" i="4"/>
  <c r="N5" i="4"/>
  <c r="N4" i="4"/>
  <c r="N3" i="4"/>
  <c r="N15" i="2"/>
  <c r="M15" i="2"/>
  <c r="L15" i="2"/>
  <c r="K15" i="2"/>
  <c r="I15" i="2"/>
  <c r="H15" i="2"/>
  <c r="F15" i="2"/>
  <c r="N13" i="2"/>
  <c r="M13" i="2"/>
  <c r="I13" i="2"/>
  <c r="H13" i="2"/>
  <c r="F13" i="2"/>
  <c r="N12" i="2"/>
  <c r="M12" i="2"/>
  <c r="I12" i="2"/>
  <c r="H12" i="2"/>
  <c r="N11" i="2"/>
  <c r="M11" i="2"/>
  <c r="I11" i="2"/>
  <c r="H11" i="2"/>
  <c r="F11" i="2"/>
  <c r="N10" i="2"/>
  <c r="M10" i="2"/>
  <c r="I10" i="2"/>
  <c r="H10" i="2"/>
  <c r="F10" i="2"/>
  <c r="N9" i="2"/>
  <c r="M9" i="2"/>
  <c r="I9" i="2"/>
  <c r="H9" i="2"/>
  <c r="F9" i="2"/>
  <c r="N8" i="2"/>
  <c r="M8" i="2"/>
  <c r="I8" i="2"/>
  <c r="H8" i="2"/>
  <c r="F8" i="2"/>
  <c r="N7" i="2"/>
  <c r="M7" i="2"/>
  <c r="I7" i="2"/>
  <c r="H7" i="2"/>
  <c r="F7" i="2"/>
  <c r="N6" i="2"/>
  <c r="M6" i="2"/>
  <c r="I6" i="2"/>
  <c r="H6" i="2"/>
  <c r="F6" i="2"/>
  <c r="N5" i="2"/>
  <c r="M5" i="2"/>
  <c r="I5" i="2"/>
  <c r="H5" i="2"/>
  <c r="F5" i="2"/>
  <c r="K15" i="1"/>
  <c r="I15" i="1"/>
  <c r="H15" i="1"/>
  <c r="F15" i="1"/>
  <c r="L13" i="1"/>
  <c r="K13" i="1"/>
  <c r="I13" i="1"/>
  <c r="H13" i="1"/>
  <c r="F13" i="1"/>
  <c r="L12" i="1"/>
  <c r="K12" i="1"/>
  <c r="I12" i="1"/>
  <c r="H12" i="1"/>
  <c r="L11" i="1"/>
  <c r="K11" i="1"/>
  <c r="I11" i="1"/>
  <c r="H11" i="1"/>
  <c r="F11" i="1"/>
  <c r="L10" i="1"/>
  <c r="K10" i="1"/>
  <c r="I10" i="1"/>
  <c r="H10" i="1"/>
  <c r="F10" i="1"/>
  <c r="L9" i="1"/>
  <c r="K9" i="1"/>
  <c r="I9" i="1"/>
  <c r="H9" i="1"/>
  <c r="F9" i="1"/>
  <c r="L8" i="1"/>
  <c r="K8" i="1"/>
  <c r="I8" i="1"/>
  <c r="H8" i="1"/>
  <c r="F8" i="1"/>
  <c r="L7" i="1"/>
  <c r="K7" i="1"/>
  <c r="I7" i="1"/>
  <c r="H7" i="1"/>
  <c r="F7" i="1"/>
  <c r="L6" i="1"/>
  <c r="K6" i="1"/>
  <c r="I6" i="1"/>
  <c r="H6" i="1"/>
  <c r="F6" i="1"/>
  <c r="L5" i="1"/>
  <c r="K5" i="1"/>
  <c r="I5" i="1"/>
  <c r="H5" i="1"/>
  <c r="F5" i="1"/>
</calcChain>
</file>

<file path=xl/comments1.xml><?xml version="1.0" encoding="utf-8"?>
<comments xmlns="http://schemas.openxmlformats.org/spreadsheetml/2006/main">
  <authors>
    <author>Julie Anne O'Brien</author>
  </authors>
  <commentList>
    <comment ref="H14" authorId="0" shapeId="0">
      <text>
        <r>
          <rPr>
            <b/>
            <sz val="9"/>
            <rFont val="Tahoma"/>
            <family val="2"/>
          </rPr>
          <t>Julie Anne O'Brien:</t>
        </r>
        <r>
          <rPr>
            <sz val="9"/>
            <rFont val="Tahoma"/>
            <family val="2"/>
          </rPr>
          <t xml:space="preserve">
Square Audit advised 108.35 should be the Sept ER cont to bring up to max</t>
        </r>
      </text>
    </comment>
    <comment ref="N14" authorId="0" shapeId="0">
      <text>
        <r>
          <rPr>
            <b/>
            <sz val="9"/>
            <rFont val="Tahoma"/>
            <family val="2"/>
          </rPr>
          <t>Julie Anne O'Brien:</t>
        </r>
        <r>
          <rPr>
            <sz val="9"/>
            <rFont val="Tahoma"/>
            <family val="2"/>
          </rPr>
          <t xml:space="preserve">
Square Audit advised 108.35 should be the Sept ER cont to bring up to max</t>
        </r>
      </text>
    </comment>
  </commentList>
</comments>
</file>

<file path=xl/comments2.xml><?xml version="1.0" encoding="utf-8"?>
<comments xmlns="http://schemas.openxmlformats.org/spreadsheetml/2006/main">
  <authors>
    <author>Julie Anne O'Brien</author>
  </authors>
  <commentList>
    <comment ref="N14" authorId="0" shapeId="0">
      <text>
        <r>
          <rPr>
            <b/>
            <sz val="9"/>
            <rFont val="Tahoma"/>
            <family val="2"/>
          </rPr>
          <t>Julie Anne O'Brien:</t>
        </r>
        <r>
          <rPr>
            <sz val="9"/>
            <rFont val="Tahoma"/>
            <family val="2"/>
          </rPr>
          <t xml:space="preserve">
Square Audit advised 108.35 should be the Sept ER cont to bring up to max</t>
        </r>
      </text>
    </comment>
  </commentList>
</comments>
</file>

<file path=xl/comments3.xml><?xml version="1.0" encoding="utf-8"?>
<comments xmlns="http://schemas.openxmlformats.org/spreadsheetml/2006/main">
  <authors>
    <author>Julie Anne O'Brien</author>
  </authors>
  <commentList>
    <comment ref="N14" authorId="0" shapeId="0">
      <text>
        <r>
          <rPr>
            <b/>
            <sz val="9"/>
            <rFont val="Tahoma"/>
            <family val="2"/>
          </rPr>
          <t>Julie Anne O'Brien:</t>
        </r>
        <r>
          <rPr>
            <sz val="9"/>
            <rFont val="Tahoma"/>
            <family val="2"/>
          </rPr>
          <t xml:space="preserve">
Square Audit advised 108.35 should be the Sept ER cont to bring up to max</t>
        </r>
      </text>
    </comment>
    <comment ref="H15" authorId="0" shapeId="0">
      <text>
        <r>
          <rPr>
            <b/>
            <sz val="9"/>
            <rFont val="Tahoma"/>
            <family val="2"/>
          </rPr>
          <t>Julie Anne O'Brien:</t>
        </r>
        <r>
          <rPr>
            <sz val="9"/>
            <rFont val="Tahoma"/>
            <family val="2"/>
          </rPr>
          <t xml:space="preserve">
reduced to €400 to keep in line with max ER </t>
        </r>
      </text>
    </comment>
  </commentList>
</comments>
</file>

<file path=xl/sharedStrings.xml><?xml version="1.0" encoding="utf-8"?>
<sst xmlns="http://schemas.openxmlformats.org/spreadsheetml/2006/main" count="1688" uniqueCount="167">
  <si>
    <t>Notes</t>
  </si>
  <si>
    <t>Conditions:</t>
  </si>
  <si>
    <t>O'Donnell</t>
  </si>
  <si>
    <t>Brid</t>
  </si>
  <si>
    <t>SET</t>
  </si>
  <si>
    <t>Cunningham</t>
  </si>
  <si>
    <t>Ruth</t>
  </si>
  <si>
    <t>0928091</t>
  </si>
  <si>
    <t>Moloney</t>
  </si>
  <si>
    <t>Steven</t>
  </si>
  <si>
    <t>Warkotz</t>
  </si>
  <si>
    <t>Johanna</t>
  </si>
  <si>
    <t>McGivern</t>
  </si>
  <si>
    <t>Luke</t>
  </si>
  <si>
    <t>Cadeau</t>
  </si>
  <si>
    <t>Francois</t>
  </si>
  <si>
    <t>Vasilieva</t>
  </si>
  <si>
    <t>Maria</t>
  </si>
  <si>
    <t>Coyne</t>
  </si>
  <si>
    <t>Jennifer</t>
  </si>
  <si>
    <t>Woll Eide</t>
  </si>
  <si>
    <t>Maiken</t>
  </si>
  <si>
    <t>Total</t>
  </si>
  <si>
    <t>Employer Monthly Contribution</t>
  </si>
  <si>
    <t>ER % of EE cont</t>
  </si>
  <si>
    <t>Employee Monthly Contribution</t>
  </si>
  <si>
    <t xml:space="preserve">EE % of salary </t>
  </si>
  <si>
    <t>Base salary</t>
  </si>
  <si>
    <t>Surname</t>
  </si>
  <si>
    <t>First Name</t>
  </si>
  <si>
    <t>Member Refno</t>
  </si>
  <si>
    <t>Square Inc PRSA - 604425</t>
  </si>
  <si>
    <t xml:space="preserve">EE Paid YTD </t>
  </si>
  <si>
    <r>
      <t xml:space="preserve">ER Paid YTD </t>
    </r>
    <r>
      <rPr>
        <b/>
        <sz val="11"/>
        <color rgb="FFFF0000"/>
        <rFont val="Calibri"/>
        <family val="2"/>
        <scheme val="minor"/>
      </rPr>
      <t>(€4,400 max)</t>
    </r>
  </si>
  <si>
    <t>ER Paid YTD (€4,400 max)</t>
  </si>
  <si>
    <t>Employer contribution = 50% of Employee contribution to annual maximum of €4,400 from February 2020</t>
  </si>
  <si>
    <t xml:space="preserve">Old Salaries from Jan </t>
  </si>
  <si>
    <t>New salaries</t>
  </si>
  <si>
    <r>
      <t xml:space="preserve">ER Paid YTD </t>
    </r>
    <r>
      <rPr>
        <b/>
        <sz val="11"/>
        <color rgb="FFFF0000"/>
        <rFont val="Calibri"/>
        <family val="2"/>
        <scheme val="minor"/>
      </rPr>
      <t>(€3,500 max)</t>
    </r>
  </si>
  <si>
    <t>Jason</t>
  </si>
  <si>
    <t>Lalor</t>
  </si>
  <si>
    <t>David</t>
  </si>
  <si>
    <t>Collins</t>
  </si>
  <si>
    <t>new member wef 1st March 2020</t>
  </si>
  <si>
    <t>Padraig</t>
  </si>
  <si>
    <t>Kelly</t>
  </si>
  <si>
    <t>0935932</t>
  </si>
  <si>
    <t>Are there any changes to salaries for March 2020?</t>
  </si>
  <si>
    <t>Employee Contributions</t>
  </si>
  <si>
    <t>Employer Contributions</t>
  </si>
  <si>
    <t>Oct</t>
  </si>
  <si>
    <t>Nov</t>
  </si>
  <si>
    <t>Dec</t>
  </si>
  <si>
    <t>Jan</t>
  </si>
  <si>
    <t>EE &amp; ER Combined Total</t>
  </si>
  <si>
    <t>See attached Arrears tab for those with salary increases from Oct 2019</t>
  </si>
  <si>
    <t xml:space="preserve">new member wef 1st January 2020  </t>
  </si>
  <si>
    <t>Padraig Kelly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Padraig an allowance of €850 to be offset against his 2019 allocation.  The remaining €1,275 will be offset against his 2020 ER allowance.   Normal 10% of salary will resume for EE contributions in April</t>
  </si>
  <si>
    <t>Ceasing  Contribution wef May 2020</t>
  </si>
  <si>
    <t>Employee ID</t>
  </si>
  <si>
    <t>Annual Base Pay</t>
  </si>
  <si>
    <t>001929</t>
  </si>
  <si>
    <t>010661</t>
  </si>
  <si>
    <t>005850</t>
  </si>
  <si>
    <t>010526</t>
  </si>
  <si>
    <t>Pádraig</t>
  </si>
  <si>
    <t>010565</t>
  </si>
  <si>
    <t>010902</t>
  </si>
  <si>
    <t>008425</t>
  </si>
  <si>
    <t>005575</t>
  </si>
  <si>
    <t>010141</t>
  </si>
  <si>
    <t>Masha</t>
  </si>
  <si>
    <t>007968</t>
  </si>
  <si>
    <t>Franziska</t>
  </si>
  <si>
    <t>006525</t>
  </si>
  <si>
    <t>003874</t>
  </si>
  <si>
    <t>PRSA</t>
  </si>
  <si>
    <t>Member</t>
  </si>
  <si>
    <t>Salary update  @ April 2020</t>
  </si>
  <si>
    <t>UPLOADED 15.04.2020</t>
  </si>
  <si>
    <t>942078K @ 9.24</t>
  </si>
  <si>
    <t>old salaries from March</t>
  </si>
  <si>
    <t>I have reduced the EE percentage on Francois contributions from 14.234% to 12.69% to take account of the recent increase to his salary and to ensure he stays within the Revenue Maximum limits</t>
  </si>
  <si>
    <t xml:space="preserve">near max of €4,400 </t>
  </si>
  <si>
    <t>TBC</t>
  </si>
  <si>
    <t>Miranda</t>
  </si>
  <si>
    <t>Tijms</t>
  </si>
  <si>
    <t>new entrant from May 2020</t>
  </si>
  <si>
    <t>Premium Holiday from May 2020</t>
  </si>
  <si>
    <t>MAX REACHED</t>
  </si>
  <si>
    <t>Francois has now reached his maximum ER contributions - no more ER contributions from July onwards</t>
  </si>
  <si>
    <t>Johanna Warkotz remains on premium holiday</t>
  </si>
  <si>
    <t>Joelle</t>
  </si>
  <si>
    <t>Talidec</t>
  </si>
  <si>
    <t xml:space="preserve">new joiner for October </t>
  </si>
  <si>
    <t>Chanelle</t>
  </si>
  <si>
    <t>Coffey</t>
  </si>
  <si>
    <t>On Unpaid Leave</t>
  </si>
  <si>
    <t>Crehan</t>
  </si>
  <si>
    <t>new joiner for October *</t>
  </si>
  <si>
    <t>*David Crehan is maxing out the contributions he can make in the year, his monthly EE percentage for Nov &amp; Dec will reduce to 6.25%</t>
  </si>
  <si>
    <t>near maximum</t>
  </si>
  <si>
    <t>0976269</t>
  </si>
  <si>
    <t>0976058</t>
  </si>
  <si>
    <t>0976880</t>
  </si>
  <si>
    <t>REFNO</t>
  </si>
  <si>
    <t>FORENAME</t>
  </si>
  <si>
    <t>SURNAME</t>
  </si>
  <si>
    <t>AVC</t>
  </si>
  <si>
    <t>EE</t>
  </si>
  <si>
    <t>ER</t>
  </si>
  <si>
    <t>839415</t>
  </si>
  <si>
    <t>862567</t>
  </si>
  <si>
    <t>881957</t>
  </si>
  <si>
    <t>886344</t>
  </si>
  <si>
    <t>896998</t>
  </si>
  <si>
    <t>896997</t>
  </si>
  <si>
    <t>900332</t>
  </si>
  <si>
    <t>931165</t>
  </si>
  <si>
    <t>943285</t>
  </si>
  <si>
    <t>946506</t>
  </si>
  <si>
    <t>ISSUES FOUND</t>
  </si>
  <si>
    <t xml:space="preserve"> </t>
  </si>
  <si>
    <t xml:space="preserve"> Invalid refno</t>
  </si>
  <si>
    <t>962325</t>
  </si>
  <si>
    <t xml:space="preserve"> Duplicate refno</t>
  </si>
  <si>
    <t>Salary on original file transformed as AVC</t>
  </si>
  <si>
    <t>ER contributions totally wrong - pulled from minimised column L</t>
  </si>
  <si>
    <t>Caherconlish</t>
  </si>
  <si>
    <t>Banteer Doneraile</t>
  </si>
  <si>
    <t>Killorglin</t>
  </si>
  <si>
    <t>Kildavin</t>
  </si>
  <si>
    <t>Goulane</t>
  </si>
  <si>
    <t>Tragumna</t>
  </si>
  <si>
    <t>Kilmeena</t>
  </si>
  <si>
    <t>Craughwell</t>
  </si>
  <si>
    <t>Mahon</t>
  </si>
  <si>
    <t>McBallybofey</t>
  </si>
  <si>
    <t>Ballylanders</t>
  </si>
  <si>
    <t>Montenotte</t>
  </si>
  <si>
    <t>Lackagh</t>
  </si>
  <si>
    <t>Ballyliffin</t>
  </si>
  <si>
    <t>Fermoy</t>
  </si>
  <si>
    <t>North</t>
  </si>
  <si>
    <t>Tubber</t>
  </si>
  <si>
    <t>O'Jenkinstown</t>
  </si>
  <si>
    <t>Rosscarbery</t>
  </si>
  <si>
    <t>Tullahought</t>
  </si>
  <si>
    <t>Newcastle</t>
  </si>
  <si>
    <t>Oxmantown</t>
  </si>
  <si>
    <t>Moyvoughly</t>
  </si>
  <si>
    <t>Bree</t>
  </si>
  <si>
    <t>Uástonetown</t>
  </si>
  <si>
    <t>Windy</t>
  </si>
  <si>
    <t>Wellingtonbridge</t>
  </si>
  <si>
    <t>Cobh</t>
  </si>
  <si>
    <t>Kilglass</t>
  </si>
  <si>
    <t>Carran</t>
  </si>
  <si>
    <t>Drinagh</t>
  </si>
  <si>
    <t>Effin</t>
  </si>
  <si>
    <t>Kilmeedy</t>
  </si>
  <si>
    <t>Slane</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</si>
  <si>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</si>
  <si>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I have reduced the EE percentage on Kilmeena contributions from 14.234% to 12.69% to take account of the recent increase to his salary and to ensure he stays within the Revenue Maximum limits</t>
  </si>
  <si>
    <t>Kilmeena has now reached his maximum ER contributions - no more ER contributions from July onwards</t>
  </si>
  <si>
    <t>Ballylanders Montenotte remains on premium holiday</t>
  </si>
  <si>
    <t>*Moyvoughly Slane is maxing out the contributions he can make in the year, his monthly EE percentage for Nov &amp; Dec will reduce to 6.25%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</si>
</sst>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2]\ * #,##0.00_-;\-[$€-2]\ * #,##0.00_-;_-[$€-2]\ * &quot;-&quot;??_-;_-@_-"/>
    <numFmt numFmtId="165" formatCode="0.000%"/>
    <numFmt numFmtId="166" formatCode="_-[$€-1809]* #,##0.00_-;\-[$€-1809]* #,##0.00_-;_-[$€-1809]* &quot;-&quot;??_-;_-@_-"/>
    <numFmt numFmtId="167" formatCode="0.00000%"/>
  </numFmts>
  <fonts count="21" x14ac:knownFonts="1">
    <font>
      <sz val="11"/>
      <color theme="1"/>
      <name val="Calibri"/>
      <family val="2"/>
      <scheme val="minor"/>
    </font>
    <font>
      <sz val="11"/>
      <color rgb="FFFF0000"/>
      <name val="Calibri"/>
      <family val="2"/>
      <scheme val="minor"/>
    </font>
    <font>
      <b/>
      <sz val="11"/>
      <color rgb="FFFF0000"/>
      <name val="Calibri"/>
      <family val="2"/>
      <scheme val="minor"/>
    </font>
    <font>
      <b/>
      <u/>
      <sz val="11"/>
      <color theme="1"/>
      <name val="Calibri"/>
      <family val="2"/>
      <scheme val="minor"/>
    </font>
    <font>
      <sz val="11"/>
      <name val="Calibri"/>
      <family val="2"/>
      <scheme val="minor"/>
    </font>
    <font>
      <b/>
      <u/>
      <sz val="12"/>
      <name val="Calibri"/>
      <family val="2"/>
      <scheme val="minor"/>
    </font>
    <font>
      <sz val="11"/>
      <color rgb="FF000000"/>
      <name val="Calibri"/>
      <family val="2"/>
      <scheme val="minor"/>
    </font>
    <font>
      <b/>
      <sz val="11"/>
      <color rgb="FF000000"/>
      <name val="Calibri"/>
      <family val="2"/>
      <scheme val="minor"/>
    </font>
    <font>
      <b/>
      <sz val="11"/>
      <name val="Calibri"/>
      <family val="2"/>
      <scheme val="minor"/>
    </font>
    <font>
      <b/>
      <sz val="11"/>
      <color theme="1"/>
      <name val="Calibri"/>
      <family val="2"/>
      <scheme val="minor"/>
    </font>
    <font>
      <b/>
      <sz val="22"/>
      <color rgb="FFFF0000"/>
      <name val="Calibri"/>
      <family val="2"/>
      <scheme val="minor"/>
    </font>
    <font>
      <b/>
      <sz val="24"/>
      <color theme="1"/>
      <name val="Calibri"/>
      <family val="2"/>
      <scheme val="minor"/>
    </font>
    <font>
      <b/>
      <sz val="14"/>
      <color rgb="FFFF0000"/>
      <name val="Calibri"/>
      <family val="2"/>
      <scheme val="minor"/>
    </font>
    <font>
      <sz val="16"/>
      <color rgb="FFFF0000"/>
      <name val="Calibri"/>
      <family val="2"/>
      <scheme val="minor"/>
    </font>
    <font>
      <b/>
      <sz val="16"/>
      <color rgb="FFFF0000"/>
      <name val="Calibri"/>
      <family val="2"/>
      <scheme val="minor"/>
    </font>
    <font>
      <b/>
      <sz val="14"/>
      <color theme="2" tint="-0.749961851863155"/>
      <name val="Calibri"/>
      <family val="2"/>
      <scheme val="minor"/>
    </font>
    <font>
      <sz val="9"/>
      <name val="Tahoma"/>
      <family val="2"/>
    </font>
    <font>
      <b/>
      <sz val="9"/>
      <name val="Tahoma"/>
      <family val="2"/>
    </font>
    <font>
      <b/>
      <sz val="11"/>
      <name val="Calibri"/>
      <family val="2"/>
    </font>
    <font>
      <sz val="11"/>
      <color theme="1"/>
      <name val="Calibri"/>
      <family val="2"/>
      <scheme val="minor"/>
    </font>
    <font>
      <b/>
      <sz val="11"/>
      <color rgb="FFFF0000"/>
      <name val="Calibri"/>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59996337778862885"/>
        <bgColor indexed="64"/>
      </patternFill>
    </fill>
    <fill>
      <patternFill patternType="solid">
        <fgColor theme="0" tint="-0.149967955565050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9" fillId="0" borderId="0" applyFont="0" applyFill="0" applyBorder="0" applyAlignment="0" applyProtection="0"/>
  </cellStyleXfs>
  <cellXfs count="143">
    <xf numFmtId="0" fontId="0" fillId="0" borderId="0" xfId="0"/>
    <xf numFmtId="0" fontId="0" fillId="0" borderId="0" xfId="0" applyAlignment="1">
      <alignment horizontal="center"/>
    </xf>
    <xf numFmtId="0" fontId="0" fillId="2" borderId="0" xfId="0" applyFill="1"/>
    <xf numFmtId="0" fontId="0" fillId="3" borderId="0" xfId="0" applyFill="1"/>
    <xf numFmtId="0" fontId="2" fillId="3" borderId="0" xfId="0" applyFont="1" applyFill="1"/>
    <xf numFmtId="0" fontId="3" fillId="0" borderId="0" xfId="0" applyFont="1"/>
    <xf numFmtId="0" fontId="2" fillId="0" borderId="0" xfId="0" applyFont="1"/>
    <xf numFmtId="164" fontId="2" fillId="0" borderId="0" xfId="0" applyNumberFormat="1" applyFont="1"/>
    <xf numFmtId="0" fontId="2" fillId="0" borderId="0" xfId="0" applyFont="1" applyAlignment="1">
      <alignment horizontal="center"/>
    </xf>
    <xf numFmtId="0" fontId="4" fillId="0" borderId="0" xfId="0" applyFont="1"/>
    <xf numFmtId="0" fontId="5" fillId="0" borderId="0" xfId="0" applyFont="1"/>
    <xf numFmtId="0" fontId="1" fillId="0" borderId="0" xfId="0" applyFont="1"/>
    <xf numFmtId="164" fontId="2" fillId="3" borderId="0" xfId="0" applyNumberFormat="1" applyFont="1" applyFill="1" applyBorder="1"/>
    <xf numFmtId="164" fontId="2" fillId="3" borderId="0" xfId="0" applyNumberFormat="1" applyFont="1" applyFill="1" applyBorder="1" applyAlignment="1">
      <alignment horizontal="center"/>
    </xf>
    <xf numFmtId="164" fontId="2" fillId="3" borderId="0" xfId="1" applyNumberFormat="1" applyFont="1" applyFill="1" applyBorder="1"/>
    <xf numFmtId="9" fontId="2" fillId="3" borderId="0" xfId="1" applyFont="1" applyFill="1" applyBorder="1" applyAlignment="1">
      <alignment horizontal="center"/>
    </xf>
    <xf numFmtId="0" fontId="2" fillId="3" borderId="0" xfId="0" applyFont="1" applyFill="1" applyBorder="1"/>
    <xf numFmtId="0" fontId="2" fillId="3" borderId="0" xfId="0" applyFont="1" applyFill="1" applyBorder="1" applyAlignment="1">
      <alignment horizontal="left"/>
    </xf>
    <xf numFmtId="0" fontId="4" fillId="3" borderId="0" xfId="0" applyFont="1" applyFill="1"/>
    <xf numFmtId="164" fontId="4" fillId="3" borderId="1" xfId="0" applyNumberFormat="1" applyFont="1" applyFill="1" applyBorder="1"/>
    <xf numFmtId="164" fontId="4" fillId="3" borderId="1" xfId="0" applyNumberFormat="1" applyFont="1" applyFill="1" applyBorder="1" applyAlignment="1">
      <alignment horizontal="center"/>
    </xf>
    <xf numFmtId="9" fontId="4" fillId="3" borderId="1" xfId="1" applyFont="1" applyFill="1" applyBorder="1" applyAlignment="1">
      <alignment horizontal="center"/>
    </xf>
    <xf numFmtId="0" fontId="4" fillId="3" borderId="1" xfId="0" applyFont="1" applyFill="1" applyBorder="1"/>
    <xf numFmtId="0" fontId="4" fillId="3" borderId="1" xfId="0" applyFont="1" applyFill="1" applyBorder="1" applyAlignment="1">
      <alignment horizontal="left"/>
    </xf>
    <xf numFmtId="164" fontId="6" fillId="3" borderId="1" xfId="0" applyNumberFormat="1" applyFont="1" applyFill="1" applyBorder="1"/>
    <xf numFmtId="0" fontId="0" fillId="3" borderId="0" xfId="0" applyFont="1" applyFill="1"/>
    <xf numFmtId="164" fontId="0" fillId="3" borderId="1" xfId="0" applyNumberFormat="1" applyFill="1" applyBorder="1" applyAlignment="1">
      <alignment horizontal="center"/>
    </xf>
    <xf numFmtId="9" fontId="6" fillId="3" borderId="1" xfId="1" applyFont="1" applyFill="1" applyBorder="1" applyAlignment="1">
      <alignment horizontal="center"/>
    </xf>
    <xf numFmtId="164" fontId="1" fillId="3" borderId="1" xfId="0" applyNumberFormat="1" applyFont="1" applyFill="1" applyBorder="1" applyAlignment="1">
      <alignment horizontal="center"/>
    </xf>
    <xf numFmtId="0" fontId="0" fillId="3" borderId="1" xfId="0" applyFill="1" applyBorder="1"/>
    <xf numFmtId="0" fontId="0" fillId="3" borderId="1" xfId="0" quotePrefix="1" applyFill="1" applyBorder="1" applyAlignment="1">
      <alignment horizontal="left"/>
    </xf>
    <xf numFmtId="164" fontId="6" fillId="3" borderId="1" xfId="1" applyNumberFormat="1" applyFont="1" applyFill="1" applyBorder="1"/>
    <xf numFmtId="0" fontId="0" fillId="3" borderId="1" xfId="0" applyFill="1" applyBorder="1" applyAlignment="1">
      <alignment horizontal="left"/>
    </xf>
    <xf numFmtId="165" fontId="7" fillId="3" borderId="1" xfId="1" applyNumberFormat="1" applyFont="1" applyFill="1" applyBorder="1" applyAlignment="1">
      <alignment horizontal="center"/>
    </xf>
    <xf numFmtId="0" fontId="8" fillId="4" borderId="1" xfId="0" applyFont="1" applyFill="1" applyBorder="1" applyAlignment="1">
      <alignment horizontal="center" vertical="center" wrapText="1"/>
    </xf>
    <xf numFmtId="0" fontId="0" fillId="0" borderId="0" xfId="0" applyFont="1"/>
    <xf numFmtId="0" fontId="8" fillId="4" borderId="2" xfId="0" applyFont="1" applyFill="1" applyBorder="1" applyAlignment="1">
      <alignment horizontal="center" vertical="center" wrapText="1"/>
    </xf>
    <xf numFmtId="0" fontId="8" fillId="4" borderId="1" xfId="0" applyFont="1" applyFill="1" applyBorder="1" applyAlignment="1">
      <alignment horizontal="center" vertical="center"/>
    </xf>
    <xf numFmtId="0" fontId="8" fillId="4" borderId="1" xfId="0" applyFont="1" applyFill="1" applyBorder="1" applyAlignment="1">
      <alignment vertical="center"/>
    </xf>
    <xf numFmtId="17" fontId="0" fillId="0" borderId="0" xfId="0" applyNumberFormat="1"/>
    <xf numFmtId="164" fontId="8" fillId="3" borderId="1" xfId="0" applyNumberFormat="1" applyFont="1" applyFill="1" applyBorder="1" applyAlignment="1">
      <alignment horizontal="center"/>
    </xf>
    <xf numFmtId="0" fontId="4" fillId="2" borderId="0" xfId="0" applyFont="1" applyFill="1"/>
    <xf numFmtId="0" fontId="2" fillId="2" borderId="0" xfId="0" applyFont="1" applyFill="1"/>
    <xf numFmtId="0" fontId="2" fillId="2" borderId="0" xfId="0" applyFont="1" applyFill="1" applyAlignment="1">
      <alignment horizontal="center"/>
    </xf>
    <xf numFmtId="164" fontId="2" fillId="2" borderId="0" xfId="0" applyNumberFormat="1" applyFont="1" applyFill="1"/>
    <xf numFmtId="164" fontId="6" fillId="2" borderId="1" xfId="0" applyNumberFormat="1" applyFont="1" applyFill="1" applyBorder="1"/>
    <xf numFmtId="164" fontId="6" fillId="3" borderId="0" xfId="0" applyNumberFormat="1" applyFont="1" applyFill="1" applyBorder="1"/>
    <xf numFmtId="0" fontId="4" fillId="3" borderId="1" xfId="0" quotePrefix="1" applyFont="1" applyFill="1" applyBorder="1" applyAlignment="1">
      <alignment horizontal="left"/>
    </xf>
    <xf numFmtId="0" fontId="10" fillId="0" borderId="0" xfId="0" applyFont="1"/>
    <xf numFmtId="0" fontId="10" fillId="0" borderId="0" xfId="0" applyFont="1" applyAlignment="1">
      <alignment horizontal="center"/>
    </xf>
    <xf numFmtId="0" fontId="8" fillId="4" borderId="1" xfId="0" applyFont="1" applyFill="1" applyBorder="1" applyAlignment="1">
      <alignment vertical="center" wrapText="1"/>
    </xf>
    <xf numFmtId="164" fontId="0" fillId="3" borderId="1" xfId="0" applyNumberFormat="1" applyFill="1" applyBorder="1"/>
    <xf numFmtId="164" fontId="9" fillId="3" borderId="1" xfId="0" applyNumberFormat="1" applyFont="1" applyFill="1" applyBorder="1"/>
    <xf numFmtId="0" fontId="0" fillId="0" borderId="0" xfId="0" applyAlignment="1">
      <alignment wrapText="1"/>
    </xf>
    <xf numFmtId="164" fontId="0" fillId="0" borderId="1" xfId="0" applyNumberFormat="1" applyBorder="1"/>
    <xf numFmtId="164" fontId="4" fillId="0" borderId="1" xfId="0" applyNumberFormat="1" applyFont="1" applyBorder="1"/>
    <xf numFmtId="0" fontId="11" fillId="0" borderId="0" xfId="0" applyFont="1"/>
    <xf numFmtId="0" fontId="11" fillId="0" borderId="0" xfId="0" applyFont="1" applyAlignment="1">
      <alignment horizontal="center"/>
    </xf>
    <xf numFmtId="0" fontId="9" fillId="0" borderId="3" xfId="0" applyFont="1" applyBorder="1" applyAlignment="1">
      <alignment horizontal="center" wrapText="1"/>
    </xf>
    <xf numFmtId="0" fontId="0" fillId="0" borderId="0" xfId="0" applyBorder="1"/>
    <xf numFmtId="0" fontId="1" fillId="0" borderId="0" xfId="0" applyFont="1" applyBorder="1"/>
    <xf numFmtId="0" fontId="1" fillId="0" borderId="0" xfId="0" applyFont="1" applyAlignment="1"/>
    <xf numFmtId="0" fontId="1" fillId="3" borderId="1" xfId="0" applyFont="1" applyFill="1" applyBorder="1" applyAlignment="1">
      <alignment horizontal="left"/>
    </xf>
    <xf numFmtId="0" fontId="1" fillId="3" borderId="1" xfId="0" applyFont="1" applyFill="1" applyBorder="1"/>
    <xf numFmtId="164" fontId="1" fillId="3" borderId="1" xfId="0" applyNumberFormat="1" applyFont="1" applyFill="1" applyBorder="1"/>
    <xf numFmtId="9" fontId="1" fillId="3" borderId="1" xfId="1" applyFont="1" applyFill="1" applyBorder="1" applyAlignment="1">
      <alignment horizontal="center"/>
    </xf>
    <xf numFmtId="164" fontId="1" fillId="3" borderId="1" xfId="1" applyNumberFormat="1" applyFont="1" applyFill="1" applyBorder="1"/>
    <xf numFmtId="0" fontId="1" fillId="3" borderId="0" xfId="0" applyFont="1" applyFill="1"/>
    <xf numFmtId="164" fontId="0" fillId="0" borderId="0" xfId="0" applyNumberFormat="1"/>
    <xf numFmtId="166" fontId="9" fillId="0" borderId="0" xfId="0" applyNumberFormat="1" applyFont="1" applyAlignment="1">
      <alignment horizontal="center"/>
    </xf>
    <xf numFmtId="166" fontId="0" fillId="0" borderId="0" xfId="0" applyNumberFormat="1"/>
    <xf numFmtId="164" fontId="2" fillId="3" borderId="0" xfId="0" applyNumberFormat="1" applyFont="1" applyFill="1"/>
    <xf numFmtId="0" fontId="10" fillId="3" borderId="0" xfId="0" applyFont="1" applyFill="1"/>
    <xf numFmtId="0" fontId="11" fillId="3" borderId="0" xfId="0" applyFont="1" applyFill="1"/>
    <xf numFmtId="0" fontId="13" fillId="0" borderId="0" xfId="0" applyFont="1"/>
    <xf numFmtId="0" fontId="13" fillId="0" borderId="0" xfId="0" applyFont="1" applyAlignment="1">
      <alignment horizontal="center"/>
    </xf>
    <xf numFmtId="0" fontId="13" fillId="3" borderId="0" xfId="0" applyFont="1" applyFill="1"/>
    <xf numFmtId="0" fontId="14" fillId="0" borderId="0" xfId="0" applyFont="1"/>
    <xf numFmtId="0" fontId="1" fillId="3" borderId="1" xfId="0" quotePrefix="1" applyFont="1" applyFill="1" applyBorder="1" applyAlignment="1">
      <alignment horizontal="left"/>
    </xf>
    <xf numFmtId="164" fontId="4" fillId="3" borderId="1" xfId="1" applyNumberFormat="1" applyFont="1" applyFill="1" applyBorder="1"/>
    <xf numFmtId="0" fontId="8" fillId="3" borderId="0" xfId="0" applyFont="1" applyFill="1"/>
    <xf numFmtId="0" fontId="0" fillId="2" borderId="1" xfId="0" applyFill="1" applyBorder="1" applyAlignment="1">
      <alignment horizontal="left"/>
    </xf>
    <xf numFmtId="0" fontId="0" fillId="2" borderId="1" xfId="0" applyFill="1" applyBorder="1"/>
    <xf numFmtId="165" fontId="7" fillId="2" borderId="1" xfId="1" applyNumberFormat="1" applyFont="1" applyFill="1" applyBorder="1" applyAlignment="1">
      <alignment horizontal="center"/>
    </xf>
    <xf numFmtId="164" fontId="6" fillId="2" borderId="1" xfId="1" applyNumberFormat="1" applyFont="1" applyFill="1" applyBorder="1"/>
    <xf numFmtId="9" fontId="6" fillId="2" borderId="1" xfId="1" applyFont="1" applyFill="1" applyBorder="1" applyAlignment="1">
      <alignment horizontal="center"/>
    </xf>
    <xf numFmtId="164" fontId="0" fillId="2" borderId="1" xfId="0" applyNumberFormat="1" applyFill="1" applyBorder="1" applyAlignment="1">
      <alignment horizontal="center"/>
    </xf>
    <xf numFmtId="0" fontId="1" fillId="2" borderId="0" xfId="0" applyFont="1" applyFill="1"/>
    <xf numFmtId="0" fontId="15" fillId="3" borderId="0" xfId="0" applyFont="1" applyFill="1"/>
    <xf numFmtId="0" fontId="15" fillId="3" borderId="0" xfId="0" applyFont="1" applyFill="1" applyAlignment="1">
      <alignment horizontal="center"/>
    </xf>
    <xf numFmtId="164" fontId="15" fillId="3" borderId="0" xfId="0" applyNumberFormat="1" applyFont="1" applyFill="1"/>
    <xf numFmtId="0" fontId="0" fillId="2" borderId="1" xfId="0" quotePrefix="1" applyFill="1" applyBorder="1" applyAlignment="1">
      <alignment horizontal="left"/>
    </xf>
    <xf numFmtId="0" fontId="2" fillId="3" borderId="1" xfId="0" applyFont="1" applyFill="1" applyBorder="1" applyAlignment="1">
      <alignment horizontal="left"/>
    </xf>
    <xf numFmtId="0" fontId="2" fillId="3" borderId="1" xfId="0" applyFont="1" applyFill="1" applyBorder="1"/>
    <xf numFmtId="164" fontId="2" fillId="3" borderId="1" xfId="0" applyNumberFormat="1" applyFont="1" applyFill="1" applyBorder="1"/>
    <xf numFmtId="9" fontId="2" fillId="3" borderId="1" xfId="1" applyFont="1" applyFill="1" applyBorder="1" applyAlignment="1">
      <alignment horizontal="center"/>
    </xf>
    <xf numFmtId="164" fontId="2" fillId="3" borderId="1" xfId="1" applyNumberFormat="1" applyFont="1" applyFill="1" applyBorder="1"/>
    <xf numFmtId="164" fontId="2" fillId="3" borderId="1" xfId="0" applyNumberFormat="1" applyFont="1" applyFill="1" applyBorder="1" applyAlignment="1">
      <alignment horizontal="center"/>
    </xf>
    <xf numFmtId="0" fontId="4" fillId="2" borderId="1" xfId="0" quotePrefix="1" applyFont="1" applyFill="1" applyBorder="1" applyAlignment="1">
      <alignment horizontal="left"/>
    </xf>
    <xf numFmtId="0" fontId="4" fillId="2" borderId="1" xfId="0" applyFont="1" applyFill="1" applyBorder="1"/>
    <xf numFmtId="164" fontId="4" fillId="2" borderId="1" xfId="0" applyNumberFormat="1" applyFont="1" applyFill="1" applyBorder="1"/>
    <xf numFmtId="9" fontId="4" fillId="2" borderId="1" xfId="1" applyFont="1" applyFill="1" applyBorder="1" applyAlignment="1">
      <alignment horizontal="center"/>
    </xf>
    <xf numFmtId="164" fontId="4" fillId="2" borderId="1" xfId="0" applyNumberFormat="1" applyFont="1" applyFill="1" applyBorder="1" applyAlignment="1">
      <alignment horizontal="center"/>
    </xf>
    <xf numFmtId="164" fontId="7" fillId="3" borderId="1" xfId="0" applyNumberFormat="1" applyFont="1" applyFill="1" applyBorder="1"/>
    <xf numFmtId="0" fontId="8" fillId="5" borderId="2" xfId="0" quotePrefix="1" applyFont="1" applyFill="1" applyBorder="1" applyAlignment="1">
      <alignment horizontal="left"/>
    </xf>
    <xf numFmtId="0" fontId="8" fillId="5" borderId="2" xfId="0" applyFont="1" applyFill="1" applyBorder="1"/>
    <xf numFmtId="164" fontId="8" fillId="5" borderId="2" xfId="0" applyNumberFormat="1" applyFont="1" applyFill="1" applyBorder="1"/>
    <xf numFmtId="9" fontId="8" fillId="5" borderId="2" xfId="1" applyFont="1" applyFill="1" applyBorder="1" applyAlignment="1">
      <alignment horizontal="center"/>
    </xf>
    <xf numFmtId="164" fontId="8" fillId="5" borderId="2" xfId="1" applyNumberFormat="1" applyFont="1" applyFill="1" applyBorder="1"/>
    <xf numFmtId="164" fontId="8" fillId="5" borderId="2" xfId="0" applyNumberFormat="1" applyFont="1" applyFill="1" applyBorder="1" applyAlignment="1">
      <alignment horizontal="center"/>
    </xf>
    <xf numFmtId="0" fontId="8" fillId="5" borderId="0" xfId="0" applyFont="1" applyFill="1"/>
    <xf numFmtId="0" fontId="8" fillId="5" borderId="1" xfId="0" quotePrefix="1" applyFont="1" applyFill="1" applyBorder="1" applyAlignment="1">
      <alignment horizontal="left"/>
    </xf>
    <xf numFmtId="0" fontId="8" fillId="5" borderId="1" xfId="0" applyFont="1" applyFill="1" applyBorder="1"/>
    <xf numFmtId="164" fontId="8" fillId="5" borderId="1" xfId="0" applyNumberFormat="1" applyFont="1" applyFill="1" applyBorder="1"/>
    <xf numFmtId="9" fontId="8" fillId="5" borderId="1" xfId="1" applyFont="1" applyFill="1" applyBorder="1" applyAlignment="1">
      <alignment horizontal="center"/>
    </xf>
    <xf numFmtId="164" fontId="8" fillId="5" borderId="1" xfId="1" applyNumberFormat="1" applyFont="1" applyFill="1" applyBorder="1"/>
    <xf numFmtId="164" fontId="8" fillId="5" borderId="1" xfId="0" applyNumberFormat="1" applyFont="1" applyFill="1" applyBorder="1" applyAlignment="1">
      <alignment horizontal="center"/>
    </xf>
    <xf numFmtId="167" fontId="8" fillId="5" borderId="1" xfId="1" applyNumberFormat="1" applyFont="1" applyFill="1" applyBorder="1" applyAlignment="1">
      <alignment horizontal="center"/>
    </xf>
    <xf numFmtId="0" fontId="4" fillId="3" borderId="2" xfId="0" quotePrefix="1" applyFont="1" applyFill="1" applyBorder="1" applyAlignment="1">
      <alignment horizontal="left"/>
    </xf>
    <xf numFmtId="0" fontId="4" fillId="3" borderId="2" xfId="0" applyFont="1" applyFill="1" applyBorder="1"/>
    <xf numFmtId="164" fontId="4" fillId="3" borderId="2" xfId="0" applyNumberFormat="1" applyFont="1" applyFill="1" applyBorder="1"/>
    <xf numFmtId="9" fontId="4" fillId="3" borderId="2" xfId="1" applyFont="1" applyFill="1" applyBorder="1" applyAlignment="1">
      <alignment horizontal="center"/>
    </xf>
    <xf numFmtId="164" fontId="4" fillId="3" borderId="2" xfId="1" applyNumberFormat="1" applyFont="1" applyFill="1" applyBorder="1"/>
    <xf numFmtId="164" fontId="4" fillId="3" borderId="2" xfId="0" applyNumberFormat="1" applyFont="1" applyFill="1" applyBorder="1" applyAlignment="1">
      <alignment horizontal="center"/>
    </xf>
    <xf numFmtId="10" fontId="4" fillId="3" borderId="1" xfId="1" applyNumberFormat="1" applyFont="1" applyFill="1" applyBorder="1" applyAlignment="1">
      <alignment horizontal="center"/>
    </xf>
    <xf numFmtId="0" fontId="18" fillId="0" borderId="1" xfId="0" applyFont="1" applyBorder="1" applyAlignment="1">
      <alignment horizontal="center" vertical="top"/>
    </xf>
    <xf numFmtId="0" fontId="1" fillId="0" borderId="4" xfId="0" applyFont="1" applyBorder="1"/>
    <xf numFmtId="0" fontId="18" fillId="2" borderId="1" xfId="0" applyFont="1" applyFill="1" applyBorder="1" applyAlignment="1">
      <alignment horizontal="center" vertical="top"/>
    </xf>
    <xf numFmtId="0" fontId="20" fillId="2" borderId="1" xfId="0" applyFont="1" applyFill="1" applyBorder="1" applyAlignment="1">
      <alignment horizontal="center" vertical="top"/>
    </xf>
    <xf numFmtId="0" fontId="0" fillId="2" borderId="5" xfId="0" applyFill="1" applyBorder="1"/>
    <xf numFmtId="0" fontId="0" fillId="2" borderId="6" xfId="0" applyFill="1" applyBorder="1"/>
    <xf numFmtId="0" fontId="1" fillId="2" borderId="7" xfId="0" applyFont="1" applyFill="1" applyBorder="1"/>
    <xf numFmtId="0" fontId="0" fillId="2" borderId="8" xfId="0" applyFill="1" applyBorder="1"/>
    <xf numFmtId="0" fontId="0" fillId="2" borderId="0" xfId="0" applyFill="1" applyBorder="1"/>
    <xf numFmtId="0" fontId="1" fillId="2" borderId="9" xfId="0" applyFont="1" applyFill="1" applyBorder="1"/>
    <xf numFmtId="0" fontId="0" fillId="2" borderId="10" xfId="0" applyFill="1" applyBorder="1"/>
    <xf numFmtId="0" fontId="0" fillId="2" borderId="11" xfId="0" applyFill="1" applyBorder="1"/>
    <xf numFmtId="0" fontId="1" fillId="2" borderId="12" xfId="0" applyFont="1" applyFill="1" applyBorder="1"/>
    <xf numFmtId="0" fontId="1" fillId="0" borderId="0" xfId="0" applyFont="1" applyAlignment="1">
      <alignment horizontal="center" wrapText="1"/>
    </xf>
    <xf numFmtId="0" fontId="1" fillId="0" borderId="3" xfId="0" applyFont="1" applyBorder="1" applyAlignment="1">
      <alignment horizontal="center"/>
    </xf>
    <xf numFmtId="0" fontId="1" fillId="0" borderId="0" xfId="0" applyFont="1" applyBorder="1" applyAlignment="1">
      <alignment horizontal="left" wrapText="1"/>
    </xf>
    <xf numFmtId="0" fontId="9" fillId="0" borderId="3" xfId="0" applyFont="1" applyBorder="1" applyAlignment="1">
      <alignment horizontal="center"/>
    </xf>
    <xf numFmtId="0" fontId="12" fillId="0" borderId="0" xfId="0" applyFont="1" applyAlignment="1">
      <alignment horizontal="lef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theme/theme1.xml" Type="http://schemas.openxmlformats.org/officeDocument/2006/relationships/theme"/><Relationship Id="rId24" Target="styles.xml" Type="http://schemas.openxmlformats.org/officeDocument/2006/relationships/styles"/><Relationship Id="rId25" Target="sharedStrings.xml" Type="http://schemas.openxmlformats.org/officeDocument/2006/relationships/sharedStrings"/><Relationship Id="rId26"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https://www.pensionplanetinteractive.ie/ppi/content/loadSchemeMemberSearch.action" TargetMode="External" Type="http://schemas.openxmlformats.org/officeDocument/2006/relationships/hyperlink"/><Relationship Id="rId2" Target="https://www.pensionplanetinteractive.ie/ppi/content/loadSchemeMemberSearch.action" TargetMode="External" Type="http://schemas.openxmlformats.org/officeDocument/2006/relationships/hyperlink"/><Relationship Id="rId3"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https://www.pensionplanetinteractive.ie/ppi/content/loadSchemeMemberSearch.action" TargetMode="External" Type="http://schemas.openxmlformats.org/officeDocument/2006/relationships/hyperlink"/><Relationship Id="rId2" Target="https://www.pensionplanetinteractive.ie/ppi/content/loadSchemeMemberSearch.action" TargetMode="External" Type="http://schemas.openxmlformats.org/officeDocument/2006/relationships/hyperlink"/><Relationship Id="rId3" Target="../printerSettings/printerSettings6.bin" Type="http://schemas.openxmlformats.org/officeDocument/2006/relationships/printerSettings"/></Relationships>
</file>

<file path=xl/worksheets/_rels/sheet12.xml.rels><?xml version="1.0" encoding="UTF-8" standalone="no"?><Relationships xmlns="http://schemas.openxmlformats.org/package/2006/relationships"><Relationship Id="rId1" Target="https://www.pensionplanetinteractive.ie/ppi/content/loadSchemeMemberSearch.action" TargetMode="External" Type="http://schemas.openxmlformats.org/officeDocument/2006/relationships/hyperlink"/><Relationship Id="rId2" Target="https://www.pensionplanetinteractive.ie/ppi/content/loadSchemeMemberSearch.action" TargetMode="External" Type="http://schemas.openxmlformats.org/officeDocument/2006/relationships/hyperlink"/><Relationship Id="rId3" Target="../printerSettings/printerSettings7.bin" Type="http://schemas.openxmlformats.org/officeDocument/2006/relationships/printerSettings"/></Relationships>
</file>

<file path=xl/worksheets/_rels/sheet14.xml.rels><?xml version="1.0" encoding="UTF-8" standalone="no"?><Relationships xmlns="http://schemas.openxmlformats.org/package/2006/relationships"><Relationship Id="rId1" Target="https://www.pensionplanetinteractive.ie/ppi/content/loadSchemeMemberSearch.action" TargetMode="External" Type="http://schemas.openxmlformats.org/officeDocument/2006/relationships/hyperlink"/><Relationship Id="rId2" Target="https://www.pensionplanetinteractive.ie/ppi/content/loadSchemeMemberSearch.action" TargetMode="External" Type="http://schemas.openxmlformats.org/officeDocument/2006/relationships/hyperlink"/><Relationship Id="rId3" Target="../printerSettings/printerSettings8.bin" Type="http://schemas.openxmlformats.org/officeDocument/2006/relationships/printerSettings"/></Relationships>
</file>

<file path=xl/worksheets/_rels/sheet16.xml.rels><?xml version="1.0" encoding="UTF-8" standalone="no"?><Relationships xmlns="http://schemas.openxmlformats.org/package/2006/relationships"><Relationship Id="rId1" Target="https://www.pensionplanetinteractive.ie/ppi/content/loadSchemeMemberSearch.action" TargetMode="External" Type="http://schemas.openxmlformats.org/officeDocument/2006/relationships/hyperlink"/><Relationship Id="rId2" Target="https://www.pensionplanetinteractive.ie/ppi/content/loadSchemeMemberSearch.action" TargetMode="External" Type="http://schemas.openxmlformats.org/officeDocument/2006/relationships/hyperlink"/><Relationship Id="rId3" Target="../printerSettings/printerSettings9.bin" Type="http://schemas.openxmlformats.org/officeDocument/2006/relationships/printerSettings"/></Relationships>
</file>

<file path=xl/worksheets/_rels/sheet18.xml.rels><?xml version="1.0" encoding="UTF-8" standalone="no"?><Relationships xmlns="http://schemas.openxmlformats.org/package/2006/relationships"><Relationship Id="rId1" Target="https://www.pensionplanetinteractive.ie/ppi/content/loadSchemeMemberSearch.action" TargetMode="External" Type="http://schemas.openxmlformats.org/officeDocument/2006/relationships/hyperlink"/><Relationship Id="rId2" Target="https://www.pensionplanetinteractive.ie/ppi/content/loadSchemeMemberSearch.action" TargetMode="External" Type="http://schemas.openxmlformats.org/officeDocument/2006/relationships/hyperlink"/><Relationship Id="rId3" Target="../printerSettings/printerSettings10.bin" Type="http://schemas.openxmlformats.org/officeDocument/2006/relationships/printerSettings"/><Relationship Id="rId4" Target="../drawings/vmlDrawing1.vml" Type="http://schemas.openxmlformats.org/officeDocument/2006/relationships/vmlDrawing"/><Relationship Id="rId5" Target="../comments1.xml" Type="http://schemas.openxmlformats.org/officeDocument/2006/relationships/comments"/></Relationships>
</file>

<file path=xl/worksheets/_rels/sheet20.xml.rels><?xml version="1.0" encoding="UTF-8" standalone="no"?><Relationships xmlns="http://schemas.openxmlformats.org/package/2006/relationships"><Relationship Id="rId1" Target="https://www.pensionplanetinteractive.ie/ppi/content/loadSchemeMemberSearch.action" TargetMode="External" Type="http://schemas.openxmlformats.org/officeDocument/2006/relationships/hyperlink"/><Relationship Id="rId2" Target="https://www.pensionplanetinteractive.ie/ppi/content/loadSchemeMemberSearch.action" TargetMode="External" Type="http://schemas.openxmlformats.org/officeDocument/2006/relationships/hyperlink"/><Relationship Id="rId3" Target="../printerSettings/printerSettings11.bin" Type="http://schemas.openxmlformats.org/officeDocument/2006/relationships/printerSettings"/><Relationship Id="rId4" Target="../drawings/vmlDrawing2.vml" Type="http://schemas.openxmlformats.org/officeDocument/2006/relationships/vmlDrawing"/><Relationship Id="rId5" Target="../comments2.xml" Type="http://schemas.openxmlformats.org/officeDocument/2006/relationships/comments"/></Relationships>
</file>

<file path=xl/worksheets/_rels/sheet21.xml.rels><?xml version="1.0" encoding="UTF-8" standalone="no"?><Relationships xmlns="http://schemas.openxmlformats.org/package/2006/relationships"><Relationship Id="rId1" Target="../printerSettings/printerSettings12.bin" Type="http://schemas.openxmlformats.org/officeDocument/2006/relationships/printerSettings"/></Relationships>
</file>

<file path=xl/worksheets/_rels/sheet22.xml.rels><?xml version="1.0" encoding="UTF-8" standalone="no"?><Relationships xmlns="http://schemas.openxmlformats.org/package/2006/relationships"><Relationship Id="rId1" Target="https://www.pensionplanetinteractive.ie/ppi/content/loadSchemeMemberSearch.action" TargetMode="External" Type="http://schemas.openxmlformats.org/officeDocument/2006/relationships/hyperlink"/><Relationship Id="rId2" Target="https://www.pensionplanetinteractive.ie/ppi/content/loadSchemeMemberSearch.action" TargetMode="External" Type="http://schemas.openxmlformats.org/officeDocument/2006/relationships/hyperlink"/><Relationship Id="rId3" Target="../printerSettings/printerSettings13.bin" Type="http://schemas.openxmlformats.org/officeDocument/2006/relationships/printerSettings"/><Relationship Id="rId4" Target="../drawings/vmlDrawing3.vml" Type="http://schemas.openxmlformats.org/officeDocument/2006/relationships/vmlDrawing"/><Relationship Id="rId5" Target="../comments3.xml" Type="http://schemas.openxmlformats.org/officeDocument/2006/relationships/comments"/></Relationships>
</file>

<file path=xl/worksheets/_rels/sheet3.xml.rels><?xml version="1.0" encoding="UTF-8" standalone="no"?><Relationships xmlns="http://schemas.openxmlformats.org/package/2006/relationships"><Relationship Id="rId1" Target="https://www.pensionplanetinteractive.ie/ppi/content/loadSchemeMemberSearch.action" TargetMode="External" Type="http://schemas.openxmlformats.org/officeDocument/2006/relationships/hyperlink"/><Relationship Id="rId2" Target="https://www.pensionplanetinteractive.ie/ppi/content/loadSchemeMemberSearch.action" TargetMode="External" Type="http://schemas.openxmlformats.org/officeDocument/2006/relationships/hyperlink"/><Relationship Id="rId3" Target="../printerSettings/printerSettings2.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https://www.pensionplanetinteractive.ie/ppi/content/loadSchemeMemberSearch.action" TargetMode="External" Type="http://schemas.openxmlformats.org/officeDocument/2006/relationships/hyperlink"/><Relationship Id="rId2" Target="https://www.pensionplanetinteractive.ie/ppi/content/loadSchemeMemberSearch.action" TargetMode="External" Type="http://schemas.openxmlformats.org/officeDocument/2006/relationships/hyperlink"/><Relationship Id="rId3" Target="../printerSettings/printerSettings4.bin" Type="http://schemas.openxmlformats.org/officeDocument/2006/relationships/printerSettings"/></Relationships>
</file>

<file path=xl/worksheets/_rels/sheet8.xml.rels><?xml version="1.0" encoding="UTF-8" standalone="no"?><Relationships xmlns="http://schemas.openxmlformats.org/package/2006/relationships"><Relationship Id="rId1" Target="https://www.pensionplanetinteractive.ie/ppi/content/loadSchemeMemberSearch.action" TargetMode="External" Type="http://schemas.openxmlformats.org/officeDocument/2006/relationships/hyperlink"/><Relationship Id="rId2" Target="https://www.pensionplanetinteractive.ie/ppi/content/loadSchemeMemberSearch.action" TargetMode="External" Type="http://schemas.openxmlformats.org/officeDocument/2006/relationships/hyperlink"/><Relationship Id="rId3" Target="../printerSettings/printerSettings5.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R19"/>
  <sheetViews>
    <sheetView zoomScale="85" zoomScaleNormal="85" workbookViewId="0">
      <selection activeCell="H13" sqref="H13"/>
    </sheetView>
  </sheetViews>
  <sheetFormatPr defaultRowHeight="15" x14ac:dyDescent="0.25"/>
  <cols>
    <col min="1" max="1" customWidth="true" width="14.5703125" collapsed="false"/>
    <col min="2" max="2" customWidth="true" width="13.140625" collapsed="false"/>
    <col min="3" max="3" customWidth="true" width="14.28515625" collapsed="false"/>
    <col min="4" max="4" customWidth="true" width="17.0" collapsed="false"/>
    <col min="5" max="5" customWidth="true" style="1" width="11.85546875" collapsed="false"/>
    <col min="6" max="6" customWidth="true" width="17.0" collapsed="false"/>
    <col min="7" max="7" customWidth="true" width="9.85546875" collapsed="false"/>
    <col min="8" max="8" customWidth="true" width="16.140625" collapsed="false"/>
    <col min="9" max="9" customWidth="true" width="15.7109375" collapsed="false"/>
    <col min="10" max="10" customWidth="true" width="11.140625" collapsed="false"/>
    <col min="11" max="12" bestFit="true" customWidth="true" width="12.140625" collapsed="false"/>
  </cols>
  <sheetData>
    <row r="1" spans="1:18" x14ac:dyDescent="0.25">
      <c r="A1" s="11" t="s">
        <v>31</v>
      </c>
    </row>
    <row r="2" spans="1:18" ht="39" customHeight="1" x14ac:dyDescent="0.25">
      <c r="A2" s="39">
        <v>43831</v>
      </c>
      <c r="K2" s="138"/>
      <c r="L2" s="138"/>
    </row>
    <row r="4" spans="1:18" ht="45" x14ac:dyDescent="0.25">
      <c r="A4" s="38" t="s">
        <v>30</v>
      </c>
      <c r="B4" s="38" t="s">
        <v>29</v>
      </c>
      <c r="C4" s="38" t="s">
        <v>28</v>
      </c>
      <c r="D4" s="37" t="s">
        <v>27</v>
      </c>
      <c r="E4" s="34" t="s">
        <v>26</v>
      </c>
      <c r="F4" s="34" t="s">
        <v>25</v>
      </c>
      <c r="G4" s="34" t="s">
        <v>24</v>
      </c>
      <c r="H4" s="36" t="s">
        <v>23</v>
      </c>
      <c r="I4" s="36" t="s">
        <v>22</v>
      </c>
      <c r="J4" s="35"/>
      <c r="K4" s="34" t="s">
        <v>32</v>
      </c>
      <c r="L4" s="34" t="s">
        <v>38</v>
      </c>
    </row>
    <row r="5" spans="1:18" s="3" customFormat="1" x14ac:dyDescent="0.25">
      <c r="A5" s="32">
        <v>839415</v>
      </c>
      <c r="B5" s="29" t="s">
        <v>128</v>
      </c>
      <c r="C5" s="29" t="s">
        <v>129</v>
      </c>
      <c r="D5" s="24">
        <v>48300</v>
      </c>
      <c r="E5" s="27">
        <v>7.0000000000000007E-2</v>
      </c>
      <c r="F5" s="20" t="n">
        <f>D5*7%/12</f>
        <v>281.75000000000006</v>
      </c>
      <c r="G5" s="27">
        <v>0.5</v>
      </c>
      <c r="H5" s="31" t="n">
        <f>F5*50%</f>
        <v>140.87500000000003</v>
      </c>
      <c r="I5" s="26" t="n">
        <f t="shared" ref="I5" si="0">F5+H5</f>
        <v>422.6250000000001</v>
      </c>
      <c r="J5" s="25"/>
      <c r="K5" s="24" t="n">
        <f>F5</f>
        <v>281.75000000000006</v>
      </c>
      <c r="L5" s="24" t="n">
        <f>H5</f>
        <v>140.87500000000003</v>
      </c>
      <c r="M5"/>
      <c r="N5"/>
      <c r="O5"/>
      <c r="P5"/>
      <c r="Q5"/>
      <c r="R5"/>
    </row>
    <row r="6" spans="1:18" s="3" customFormat="1" x14ac:dyDescent="0.25">
      <c r="A6" s="32">
        <v>862567</v>
      </c>
      <c r="B6" s="29" t="s">
        <v>130</v>
      </c>
      <c r="C6" s="29" t="s">
        <v>131</v>
      </c>
      <c r="D6" s="24">
        <v>160000</v>
      </c>
      <c r="E6" s="27">
        <v>0.05</v>
      </c>
      <c r="F6" s="26" t="n">
        <f>D6*5%/12</f>
        <v>666.6666666666666</v>
      </c>
      <c r="G6" s="27">
        <v>0.5</v>
      </c>
      <c r="H6" s="31" t="n">
        <f t="shared" ref="H6" si="1">F6*50%</f>
        <v>333.3333333333333</v>
      </c>
      <c r="I6" s="26" t="n">
        <f t="shared" ref="I6:I13" si="2">F6+H6</f>
        <v>1000.0</v>
      </c>
      <c r="J6" s="25"/>
      <c r="K6" s="24" t="n">
        <f t="shared" ref="K6" si="3">F6</f>
        <v>666.6666666666666</v>
      </c>
      <c r="L6" s="24" t="n">
        <f t="shared" ref="L6" si="4">H6</f>
        <v>333.3333333333333</v>
      </c>
      <c r="M6" s="11"/>
      <c r="N6" s="11"/>
      <c r="O6" s="11"/>
      <c r="P6" s="11"/>
      <c r="Q6"/>
      <c r="R6"/>
    </row>
    <row r="7" spans="1:18" s="3" customFormat="1" x14ac:dyDescent="0.25">
      <c r="A7" s="32">
        <v>881957</v>
      </c>
      <c r="B7" s="29" t="s">
        <v>132</v>
      </c>
      <c r="C7" s="29" t="s">
        <v>133</v>
      </c>
      <c r="D7" s="24">
        <v>42600</v>
      </c>
      <c r="E7" s="27">
        <v>0.05</v>
      </c>
      <c r="F7" s="26" t="n">
        <f>D7*5%/12</f>
        <v>177.5</v>
      </c>
      <c r="G7" s="27">
        <v>0.5</v>
      </c>
      <c r="H7" s="31" t="n">
        <f t="shared" ref="H7:H13" si="5">F7*50%</f>
        <v>88.75</v>
      </c>
      <c r="I7" s="26" t="n">
        <f t="shared" si="2"/>
        <v>266.25</v>
      </c>
      <c r="J7" s="25"/>
      <c r="K7" s="24" t="n">
        <f t="shared" ref="K7:K13" si="6">F7</f>
        <v>177.5</v>
      </c>
      <c r="L7" s="24" t="n">
        <f t="shared" ref="L7:L13" si="7">H7</f>
        <v>88.75</v>
      </c>
      <c r="M7" s="11"/>
      <c r="N7" s="11"/>
      <c r="O7" s="11"/>
      <c r="P7" s="11"/>
      <c r="Q7"/>
      <c r="R7"/>
    </row>
    <row r="8" spans="1:18" s="3" customFormat="1" x14ac:dyDescent="0.25">
      <c r="A8" s="32">
        <v>886344</v>
      </c>
      <c r="B8" s="29" t="s">
        <v>134</v>
      </c>
      <c r="C8" s="29" t="s">
        <v>135</v>
      </c>
      <c r="D8" s="24">
        <v>137000</v>
      </c>
      <c r="E8" s="33">
        <v>0.14233599999999999</v>
      </c>
      <c r="F8" s="28" t="n">
        <f>D8*14.2336%/12</f>
        <v>1625.0026666666665</v>
      </c>
      <c r="G8" s="27">
        <v>0.5</v>
      </c>
      <c r="H8" s="31" t="n">
        <f t="shared" si="5"/>
        <v>812.5013333333333</v>
      </c>
      <c r="I8" s="26" t="n">
        <f t="shared" si="2"/>
        <v>2437.504</v>
      </c>
      <c r="J8" s="25"/>
      <c r="K8" s="24" t="n">
        <f t="shared" si="6"/>
        <v>1625.0026666666665</v>
      </c>
      <c r="L8" s="24" t="n">
        <f t="shared" si="7"/>
        <v>812.5013333333333</v>
      </c>
      <c r="M8" s="11"/>
      <c r="N8" s="11"/>
      <c r="O8" s="11"/>
      <c r="P8" s="11"/>
      <c r="Q8"/>
      <c r="R8"/>
    </row>
    <row r="9" spans="1:18" s="3" customFormat="1" x14ac:dyDescent="0.25">
      <c r="A9" s="32">
        <v>896998</v>
      </c>
      <c r="B9" s="29" t="s">
        <v>136</v>
      </c>
      <c r="C9" s="29" t="s">
        <v>137</v>
      </c>
      <c r="D9" s="24">
        <v>39200</v>
      </c>
      <c r="E9" s="27">
        <v>0.1</v>
      </c>
      <c r="F9" s="20" t="n">
        <f>D9*10%/12</f>
        <v>326.6666666666667</v>
      </c>
      <c r="G9" s="27">
        <v>0.5</v>
      </c>
      <c r="H9" s="31" t="n">
        <f t="shared" si="5"/>
        <v>163.33333333333334</v>
      </c>
      <c r="I9" s="26" t="n">
        <f t="shared" si="2"/>
        <v>490.0</v>
      </c>
      <c r="J9" s="25"/>
      <c r="K9" s="24" t="n">
        <f t="shared" si="6"/>
        <v>326.6666666666667</v>
      </c>
      <c r="L9" s="24" t="n">
        <f t="shared" si="7"/>
        <v>163.33333333333334</v>
      </c>
      <c r="M9" s="11"/>
      <c r="N9" s="11"/>
      <c r="O9" s="11"/>
      <c r="P9" s="11"/>
      <c r="Q9"/>
      <c r="R9"/>
    </row>
    <row r="10" spans="1:18" s="3" customFormat="1" x14ac:dyDescent="0.25">
      <c r="A10" s="32">
        <v>896997</v>
      </c>
      <c r="B10" s="29" t="s">
        <v>138</v>
      </c>
      <c r="C10" s="29" t="s">
        <v>139</v>
      </c>
      <c r="D10" s="24">
        <v>49300</v>
      </c>
      <c r="E10" s="27">
        <v>0.05</v>
      </c>
      <c r="F10" s="20" t="n">
        <f>D10*5%/12</f>
        <v>205.41666666666666</v>
      </c>
      <c r="G10" s="27">
        <v>0.5</v>
      </c>
      <c r="H10" s="31" t="n">
        <f t="shared" si="5"/>
        <v>102.70833333333333</v>
      </c>
      <c r="I10" s="26" t="n">
        <f t="shared" si="2"/>
        <v>308.125</v>
      </c>
      <c r="J10" s="25"/>
      <c r="K10" s="24" t="n">
        <f t="shared" si="6"/>
        <v>205.41666666666666</v>
      </c>
      <c r="L10" s="24" t="n">
        <f t="shared" si="7"/>
        <v>102.70833333333333</v>
      </c>
      <c r="M10" s="11"/>
      <c r="N10" s="11"/>
      <c r="O10" s="11"/>
      <c r="P10" s="11"/>
      <c r="Q10"/>
      <c r="R10"/>
    </row>
    <row r="11" spans="1:18" s="3" customFormat="1" x14ac:dyDescent="0.25">
      <c r="A11" s="30">
        <v>900332</v>
      </c>
      <c r="B11" s="29" t="s">
        <v>140</v>
      </c>
      <c r="C11" s="29" t="s">
        <v>141</v>
      </c>
      <c r="D11" s="24">
        <v>110500</v>
      </c>
      <c r="E11" s="27">
        <v>0.1</v>
      </c>
      <c r="F11" s="28" t="n">
        <f>D11*10%/12</f>
        <v>920.8333333333334</v>
      </c>
      <c r="G11" s="27">
        <v>0.5</v>
      </c>
      <c r="H11" s="31" t="n">
        <f t="shared" si="5"/>
        <v>460.4166666666667</v>
      </c>
      <c r="I11" s="26" t="n">
        <f t="shared" si="2"/>
        <v>1381.25</v>
      </c>
      <c r="J11" s="25"/>
      <c r="K11" s="24" t="n">
        <f t="shared" si="6"/>
        <v>920.8333333333334</v>
      </c>
      <c r="L11" s="24" t="n">
        <f t="shared" si="7"/>
        <v>460.4166666666667</v>
      </c>
      <c r="M11" s="11"/>
      <c r="N11" s="11"/>
      <c r="O11" s="11"/>
      <c r="P11" s="11"/>
      <c r="Q11"/>
      <c r="R11"/>
    </row>
    <row r="12" spans="1:18" s="18" customFormat="1" x14ac:dyDescent="0.25">
      <c r="A12" s="23" t="s">
        <v>7</v>
      </c>
      <c r="B12" s="22" t="s">
        <v>142</v>
      </c>
      <c r="C12" s="22" t="s">
        <v>143</v>
      </c>
      <c r="D12" s="19">
        <v>52000</v>
      </c>
      <c r="E12" s="21" t="s">
        <v>4</v>
      </c>
      <c r="F12" s="20">
        <v>100</v>
      </c>
      <c r="G12" s="27">
        <v>0.5</v>
      </c>
      <c r="H12" s="31" t="n">
        <f t="shared" si="5"/>
        <v>50.0</v>
      </c>
      <c r="I12" s="20" t="n">
        <f t="shared" si="2"/>
        <v>150.0</v>
      </c>
      <c r="K12" s="24" t="n">
        <f t="shared" si="6"/>
        <v>100.0</v>
      </c>
      <c r="L12" s="24" t="n">
        <f t="shared" si="7"/>
        <v>50.0</v>
      </c>
      <c r="M12" s="9"/>
      <c r="N12" s="9"/>
      <c r="O12" s="9"/>
      <c r="P12" s="9"/>
      <c r="Q12" s="9"/>
      <c r="R12" s="9"/>
    </row>
    <row r="13" spans="1:18" s="4" customFormat="1" x14ac:dyDescent="0.25">
      <c r="A13" s="23">
        <v>931165</v>
      </c>
      <c r="B13" s="22" t="s">
        <v>144</v>
      </c>
      <c r="C13" s="22" t="s">
        <v>145</v>
      </c>
      <c r="D13" s="19">
        <v>110000</v>
      </c>
      <c r="E13" s="21">
        <v>0.1</v>
      </c>
      <c r="F13" s="20" t="n">
        <f>D11*10%/12</f>
        <v>920.8333333333334</v>
      </c>
      <c r="G13" s="27">
        <v>0.5</v>
      </c>
      <c r="H13" s="31" t="n">
        <f t="shared" si="5"/>
        <v>460.4166666666667</v>
      </c>
      <c r="I13" s="40" t="n">
        <f t="shared" si="2"/>
        <v>1381.25</v>
      </c>
      <c r="K13" s="24" t="n">
        <f t="shared" si="6"/>
        <v>920.8333333333334</v>
      </c>
      <c r="L13" s="24" t="n">
        <f t="shared" si="7"/>
        <v>460.4166666666667</v>
      </c>
      <c r="M13" s="11"/>
      <c r="N13" s="11"/>
      <c r="O13" s="11"/>
      <c r="P13" s="11"/>
      <c r="Q13"/>
      <c r="R13"/>
    </row>
    <row r="14" spans="1:18" s="4" customFormat="1" x14ac:dyDescent="0.25">
      <c r="A14" s="17"/>
      <c r="B14" s="16"/>
      <c r="C14" s="16"/>
      <c r="D14" s="12"/>
      <c r="E14" s="15"/>
      <c r="F14" s="13"/>
      <c r="G14" s="15"/>
      <c r="H14" s="14"/>
      <c r="I14" s="13"/>
      <c r="K14" s="12"/>
      <c r="L14" s="12"/>
      <c r="M14" s="11"/>
      <c r="N14" s="11"/>
      <c r="O14" s="11"/>
      <c r="P14" s="11"/>
      <c r="Q14"/>
      <c r="R14"/>
    </row>
    <row r="15" spans="1:18" x14ac:dyDescent="0.25">
      <c r="A15" s="6"/>
      <c r="F15" s="7" t="n">
        <f>SUM(F5:F13)</f>
        <v>5224.669333333332</v>
      </c>
      <c r="H15" s="7" t="n">
        <f>SUM(H5:H13)</f>
        <v>2612.334666666666</v>
      </c>
      <c r="I15" s="7" t="n">
        <f>SUM(I5:I13)</f>
        <v>7837.004</v>
      </c>
      <c r="J15" s="6"/>
      <c r="K15" s="7" t="n">
        <f>SUM(K5:K13)</f>
        <v>5224.669333333332</v>
      </c>
      <c r="L15" s="7" t="n">
        <f>SUM(L5:L13)</f>
        <v>2612.334666666666</v>
      </c>
    </row>
    <row r="16" spans="1:18" ht="15.75" x14ac:dyDescent="0.25">
      <c r="A16" s="10" t="s">
        <v>1</v>
      </c>
      <c r="B16" s="6"/>
      <c r="C16" s="6"/>
      <c r="D16" s="6"/>
      <c r="E16" s="8"/>
      <c r="F16" s="7"/>
      <c r="G16" s="8"/>
      <c r="H16" s="7"/>
      <c r="I16" s="7"/>
      <c r="J16" s="6"/>
    </row>
    <row r="17" spans="1:10" s="2" customFormat="1" x14ac:dyDescent="0.25">
      <c r="A17" s="41" t="s">
        <v>35</v>
      </c>
      <c r="B17" s="42"/>
      <c r="C17" s="42"/>
      <c r="D17" s="42"/>
      <c r="E17" s="43"/>
      <c r="F17" s="44"/>
      <c r="G17" s="43"/>
      <c r="H17" s="44"/>
      <c r="I17" s="44"/>
      <c r="J17" s="42"/>
    </row>
    <row r="18" spans="1:10" ht="15.75" customHeight="1" x14ac:dyDescent="0.25"/>
    <row r="19" spans="1:10" ht="15.75" customHeight="1" x14ac:dyDescent="0.25">
      <c r="A19" s="5" t="s">
        <v>0</v>
      </c>
    </row>
  </sheetData>
  <mergeCells count="1">
    <mergeCell ref="K2:L2"/>
  </mergeCells>
  <hyperlinks>
    <hyperlink ref="A12" r:id="rId1" location="0928091"/>
    <hyperlink ref="A13" r:id="rId2" location="0928091" display="https://www.pensionplanetinteractive.ie/ppi/content/loadSchemeMemberSearch.action - 0928091"/>
  </hyperlinks>
  <pageMargins left="0.7" right="0.7" top="0.75" bottom="0.75" header="0.3" footer="0.3"/>
  <pageSetup paperSize="9" scale="79"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AW24"/>
  <sheetViews>
    <sheetView zoomScale="85" zoomScaleNormal="85" workbookViewId="0">
      <selection activeCell="O8" sqref="O8"/>
    </sheetView>
  </sheetViews>
  <sheetFormatPr defaultRowHeight="15" x14ac:dyDescent="0.25"/>
  <cols>
    <col min="1" max="1" customWidth="true" width="14.5703125" collapsed="false"/>
    <col min="2" max="2" customWidth="true" width="13.140625" collapsed="false"/>
    <col min="3" max="3" customWidth="true" width="14.28515625" collapsed="false"/>
    <col min="4" max="4" customWidth="true" width="17.0" collapsed="false"/>
    <col min="5" max="5" customWidth="true" style="1" width="14.7109375" collapsed="false"/>
    <col min="6" max="6" customWidth="true" width="16.140625" collapsed="false"/>
    <col min="7" max="7" customWidth="true" width="9.85546875" collapsed="false"/>
    <col min="8" max="8" customWidth="true" width="16.140625" collapsed="false"/>
    <col min="9" max="9" customWidth="true" width="18.7109375" collapsed="false"/>
    <col min="10" max="10" customWidth="true" width="5.42578125" collapsed="false"/>
    <col min="11" max="11" customWidth="true" hidden="true" style="3" width="12.28515625" collapsed="false"/>
    <col min="12" max="12" customWidth="true" hidden="true" width="12.28515625" collapsed="false"/>
    <col min="13" max="14" bestFit="true" customWidth="true" width="12.140625" collapsed="false"/>
    <col min="15" max="15" customWidth="true" width="10.140625" collapsed="false"/>
    <col min="16" max="49" customWidth="true" width="5.5703125" collapsed="false"/>
  </cols>
  <sheetData>
    <row r="1" spans="1:49" x14ac:dyDescent="0.25">
      <c r="A1" s="11" t="s">
        <v>31</v>
      </c>
    </row>
    <row r="2" spans="1:49" ht="39" customHeight="1" x14ac:dyDescent="0.25">
      <c r="A2" s="39">
        <v>43952</v>
      </c>
      <c r="M2" s="138"/>
      <c r="N2" s="138"/>
    </row>
    <row r="3" spans="1:49" x14ac:dyDescent="0.25">
      <c r="K3" s="139" t="s">
        <v>81</v>
      </c>
      <c r="L3" s="139"/>
      <c r="M3" s="139"/>
      <c r="N3" s="139"/>
    </row>
    <row r="4" spans="1:49" ht="45" x14ac:dyDescent="0.25">
      <c r="A4" s="38" t="s">
        <v>30</v>
      </c>
      <c r="B4" s="38" t="s">
        <v>29</v>
      </c>
      <c r="C4" s="38" t="s">
        <v>28</v>
      </c>
      <c r="D4" s="37" t="s">
        <v>27</v>
      </c>
      <c r="E4" s="34" t="s">
        <v>26</v>
      </c>
      <c r="F4" s="36" t="s">
        <v>25</v>
      </c>
      <c r="G4" s="34" t="s">
        <v>24</v>
      </c>
      <c r="H4" s="36" t="s">
        <v>23</v>
      </c>
      <c r="I4" s="36" t="s">
        <v>22</v>
      </c>
      <c r="K4" s="34" t="s">
        <v>32</v>
      </c>
      <c r="L4" s="34" t="s">
        <v>34</v>
      </c>
      <c r="M4" s="34" t="s">
        <v>32</v>
      </c>
      <c r="N4" s="34" t="s">
        <v>33</v>
      </c>
    </row>
    <row r="5" spans="1:49" s="3" customFormat="1" x14ac:dyDescent="0.25">
      <c r="A5" s="32">
        <v>839415</v>
      </c>
      <c r="B5" s="29" t="s">
        <v>128</v>
      </c>
      <c r="C5" s="29" t="s">
        <v>129</v>
      </c>
      <c r="D5" s="24">
        <v>59500</v>
      </c>
      <c r="E5" s="27">
        <v>7.0000000000000007E-2</v>
      </c>
      <c r="F5" s="31" t="n">
        <f>D5*7%/12</f>
        <v>347.0833333333333</v>
      </c>
      <c r="G5" s="27">
        <v>0.5</v>
      </c>
      <c r="H5" s="31" t="n">
        <f>F5*50%</f>
        <v>173.54166666666666</v>
      </c>
      <c r="I5" s="26" t="n">
        <f t="shared" ref="I5" si="0">F5+H5</f>
        <v>520.625</v>
      </c>
      <c r="J5"/>
      <c r="K5" s="24">
        <v>903.58333333333348</v>
      </c>
      <c r="L5" s="24">
        <v>451.79166666666674</v>
      </c>
      <c r="M5" s="24" t="n">
        <f>K5+(F5*2)</f>
        <v>1597.75</v>
      </c>
      <c r="N5" s="24" t="n">
        <f>L5+(H5*2)</f>
        <v>798.875</v>
      </c>
      <c r="O5"/>
      <c r="P5"/>
      <c r="Q5"/>
      <c r="R5"/>
      <c r="S5"/>
      <c r="T5"/>
      <c r="U5"/>
      <c r="V5"/>
      <c r="W5"/>
      <c r="X5"/>
      <c r="Y5"/>
      <c r="Z5"/>
      <c r="AA5"/>
      <c r="AB5"/>
      <c r="AC5"/>
      <c r="AD5"/>
      <c r="AE5"/>
      <c r="AF5"/>
      <c r="AG5"/>
      <c r="AH5"/>
      <c r="AI5"/>
      <c r="AJ5"/>
      <c r="AK5"/>
      <c r="AL5"/>
      <c r="AM5"/>
      <c r="AN5"/>
      <c r="AO5"/>
      <c r="AP5"/>
      <c r="AQ5"/>
      <c r="AR5"/>
      <c r="AS5"/>
      <c r="AT5"/>
      <c r="AU5"/>
      <c r="AV5"/>
      <c r="AW5"/>
    </row>
    <row r="6" spans="1:49" s="3" customFormat="1" x14ac:dyDescent="0.25">
      <c r="A6" s="32">
        <v>862567</v>
      </c>
      <c r="B6" s="29" t="s">
        <v>130</v>
      </c>
      <c r="C6" s="29" t="s">
        <v>131</v>
      </c>
      <c r="D6" s="24">
        <v>170400</v>
      </c>
      <c r="E6" s="27">
        <v>0.05</v>
      </c>
      <c r="F6" s="31" t="n">
        <f>D6*5%/12</f>
        <v>710.0</v>
      </c>
      <c r="G6" s="27">
        <v>0.5</v>
      </c>
      <c r="H6" s="31" t="n">
        <f>F6*50%</f>
        <v>355.0</v>
      </c>
      <c r="I6" s="26" t="n">
        <f t="shared" ref="I6:I17" si="1">F6+H6</f>
        <v>1065.0</v>
      </c>
      <c r="J6" s="11"/>
      <c r="K6" s="24">
        <v>2000</v>
      </c>
      <c r="L6" s="24">
        <v>1000</v>
      </c>
      <c r="M6" s="24" t="n">
        <f>K6+(F6*2)</f>
        <v>3420.0</v>
      </c>
      <c r="N6" s="24" t="n">
        <f>L6+(H6*2)</f>
        <v>1710.0</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3" customFormat="1" x14ac:dyDescent="0.25">
      <c r="A7" s="32">
        <v>881957</v>
      </c>
      <c r="B7" s="29" t="s">
        <v>132</v>
      </c>
      <c r="C7" s="29" t="s">
        <v>133</v>
      </c>
      <c r="D7" s="24">
        <v>51300</v>
      </c>
      <c r="E7" s="27">
        <v>0.05</v>
      </c>
      <c r="F7" s="31" t="n">
        <f>D7*5%/12</f>
        <v>213.75</v>
      </c>
      <c r="G7" s="27">
        <v>0.5</v>
      </c>
      <c r="H7" s="31" t="n">
        <f t="shared" ref="H7" si="2">F7*50%</f>
        <v>106.875</v>
      </c>
      <c r="I7" s="26" t="n">
        <f t="shared" si="1"/>
        <v>320.625</v>
      </c>
      <c r="J7" s="11"/>
      <c r="K7" s="24">
        <v>532.5</v>
      </c>
      <c r="L7" s="24">
        <v>266.25</v>
      </c>
      <c r="M7" s="24" t="n">
        <f>K7+(F7*2)</f>
        <v>960.0</v>
      </c>
      <c r="N7" s="24" t="n">
        <f>L7+(H7*2)</f>
        <v>480.0</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3" customFormat="1" x14ac:dyDescent="0.25">
      <c r="A8" s="32">
        <v>886344</v>
      </c>
      <c r="B8" s="29" t="s">
        <v>134</v>
      </c>
      <c r="C8" s="29" t="s">
        <v>135</v>
      </c>
      <c r="D8" s="24">
        <v>151000</v>
      </c>
      <c r="E8" s="33">
        <v>0.12690000000000001</v>
      </c>
      <c r="F8" s="31" t="n">
        <f>D8*12.69%/12</f>
        <v>1596.8249999999998</v>
      </c>
      <c r="G8" s="27">
        <v>0.5</v>
      </c>
      <c r="H8" s="31" t="n">
        <f t="shared" ref="H8:H13" si="3">F8*50%</f>
        <v>798.4124999999999</v>
      </c>
      <c r="I8" s="26" t="n">
        <f t="shared" si="1"/>
        <v>2395.2374999999997</v>
      </c>
      <c r="J8" s="11"/>
      <c r="K8" s="24">
        <v>4875.0079999999998</v>
      </c>
      <c r="L8" s="24">
        <v>2437.5039999999999</v>
      </c>
      <c r="M8" s="24" t="n">
        <f>6666.07+(F8*1)</f>
        <v>8262.895</v>
      </c>
      <c r="N8" s="45" t="n">
        <f>3333.03+(H8*1)</f>
        <v>4131.4425</v>
      </c>
      <c r="O8" s="11" t="s">
        <v>83</v>
      </c>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3" customFormat="1" x14ac:dyDescent="0.25">
      <c r="A9" s="32">
        <v>896998</v>
      </c>
      <c r="B9" s="29" t="s">
        <v>136</v>
      </c>
      <c r="C9" s="29" t="s">
        <v>137</v>
      </c>
      <c r="D9" s="24">
        <v>49200</v>
      </c>
      <c r="E9" s="27">
        <v>0.1</v>
      </c>
      <c r="F9" s="31" t="n">
        <f>D9*10%/12</f>
        <v>410.0</v>
      </c>
      <c r="G9" s="27">
        <v>0.5</v>
      </c>
      <c r="H9" s="31" t="n">
        <f t="shared" si="3"/>
        <v>205.0</v>
      </c>
      <c r="I9" s="26" t="n">
        <f t="shared" si="1"/>
        <v>615.0</v>
      </c>
      <c r="J9" s="11"/>
      <c r="K9" s="24">
        <v>1036.6666666666667</v>
      </c>
      <c r="L9" s="24">
        <v>518.33333333333337</v>
      </c>
      <c r="M9" s="24" t="n">
        <f>K9+(F9*2)</f>
        <v>1856.6666666666667</v>
      </c>
      <c r="N9" s="24" t="n">
        <f>L9+(H9*2)</f>
        <v>928.3333333333334</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67" customFormat="1" x14ac:dyDescent="0.25">
      <c r="A10" s="62">
        <v>896997</v>
      </c>
      <c r="B10" s="63" t="s">
        <v>138</v>
      </c>
      <c r="C10" s="63" t="s">
        <v>139</v>
      </c>
      <c r="D10" s="64">
        <v>0</v>
      </c>
      <c r="E10" s="65">
        <v>0.05</v>
      </c>
      <c r="F10" s="66" t="n">
        <f>D10*5%/12</f>
        <v>0.0</v>
      </c>
      <c r="G10" s="65">
        <v>0.5</v>
      </c>
      <c r="H10" s="66" t="n">
        <f t="shared" si="3"/>
        <v>0.0</v>
      </c>
      <c r="I10" s="28" t="n">
        <f t="shared" si="1"/>
        <v>0.0</v>
      </c>
      <c r="J10" s="11"/>
      <c r="K10" s="64">
        <v>634.58333333333337</v>
      </c>
      <c r="L10" s="64">
        <v>317.29166666666669</v>
      </c>
      <c r="M10" s="24" t="n">
        <f>K10+(F10*1)</f>
        <v>634.5833333333334</v>
      </c>
      <c r="N10" s="24" t="n">
        <f t="shared" ref="N10" si="4">L10+(H10*1)</f>
        <v>317.2916666666667</v>
      </c>
      <c r="O10" s="11" t="s">
        <v>88</v>
      </c>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3" customFormat="1" x14ac:dyDescent="0.25">
      <c r="A11" s="30">
        <v>900332</v>
      </c>
      <c r="B11" s="29" t="s">
        <v>140</v>
      </c>
      <c r="C11" s="29" t="s">
        <v>141</v>
      </c>
      <c r="D11" s="24">
        <v>140500</v>
      </c>
      <c r="E11" s="27">
        <v>0.1</v>
      </c>
      <c r="F11" s="31" t="n">
        <f>D11*10%/12</f>
        <v>1170.8333333333333</v>
      </c>
      <c r="G11" s="27">
        <v>0.5</v>
      </c>
      <c r="H11" s="31" t="n">
        <f t="shared" si="3"/>
        <v>585.4166666666666</v>
      </c>
      <c r="I11" s="26" t="n">
        <f t="shared" si="1"/>
        <v>1756.25</v>
      </c>
      <c r="J11" s="11"/>
      <c r="K11" s="24">
        <v>2942.5</v>
      </c>
      <c r="L11" s="24">
        <v>1471.25</v>
      </c>
      <c r="M11" s="24" t="n">
        <f t="shared" ref="M11" si="5">K11+(F11*2)</f>
        <v>5284.166666666666</v>
      </c>
      <c r="N11" s="24" t="n">
        <f t="shared" ref="N11" si="6">L11+(H11*2)</f>
        <v>2642.083333333333</v>
      </c>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8" customFormat="1" x14ac:dyDescent="0.25">
      <c r="A12" s="23" t="s">
        <v>7</v>
      </c>
      <c r="B12" s="22" t="s">
        <v>142</v>
      </c>
      <c r="C12" s="22" t="s">
        <v>143</v>
      </c>
      <c r="D12" s="24">
        <v>54000</v>
      </c>
      <c r="E12" s="21" t="s">
        <v>4</v>
      </c>
      <c r="F12" s="31">
        <v>100</v>
      </c>
      <c r="G12" s="27">
        <v>0.5</v>
      </c>
      <c r="H12" s="31" t="n">
        <f t="shared" si="3"/>
        <v>50.0</v>
      </c>
      <c r="I12" s="20" t="n">
        <f t="shared" si="1"/>
        <v>150.0</v>
      </c>
      <c r="J12" s="9"/>
      <c r="K12" s="24">
        <v>300</v>
      </c>
      <c r="L12" s="24">
        <v>150</v>
      </c>
      <c r="M12" s="24" t="n">
        <f>K12+(F12*2)</f>
        <v>500.0</v>
      </c>
      <c r="N12" s="24" t="n">
        <f>L12+(H12*2)</f>
        <v>250.0</v>
      </c>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row>
    <row r="13" spans="1:49" s="4" customFormat="1" x14ac:dyDescent="0.25">
      <c r="A13" s="32">
        <v>931165</v>
      </c>
      <c r="B13" s="22" t="s">
        <v>144</v>
      </c>
      <c r="C13" s="22" t="s">
        <v>145</v>
      </c>
      <c r="D13" s="19">
        <v>114000</v>
      </c>
      <c r="E13" s="21">
        <v>0.1</v>
      </c>
      <c r="F13" s="31" t="n">
        <f>SUM(D13*E13)/12</f>
        <v>950.0</v>
      </c>
      <c r="G13" s="27">
        <v>0.5</v>
      </c>
      <c r="H13" s="31" t="n">
        <f t="shared" si="3"/>
        <v>475.0</v>
      </c>
      <c r="I13" s="20" t="n">
        <f t="shared" si="1"/>
        <v>1425.0</v>
      </c>
      <c r="J13" s="11"/>
      <c r="K13" s="24">
        <v>2848.3333333333335</v>
      </c>
      <c r="L13" s="24">
        <v>1424.1666666666667</v>
      </c>
      <c r="M13" s="24" t="n">
        <f>K13+(F13*2)</f>
        <v>4748.333333333334</v>
      </c>
      <c r="N13" s="24" t="n">
        <f>L13+(H13*2)</f>
        <v>2374.166666666667</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4" customFormat="1" x14ac:dyDescent="0.25">
      <c r="A14" s="47" t="s">
        <v>46</v>
      </c>
      <c r="B14" s="22" t="s">
        <v>146</v>
      </c>
      <c r="C14" s="22" t="s">
        <v>147</v>
      </c>
      <c r="D14" s="19">
        <v>104000</v>
      </c>
      <c r="E14" s="21">
        <v>0.1</v>
      </c>
      <c r="F14" s="31" t="n">
        <f>D14*E14/12</f>
        <v>866.6666666666666</v>
      </c>
      <c r="G14" s="27">
        <v>0.5</v>
      </c>
      <c r="H14" s="31" t="n">
        <f>F14/2</f>
        <v>433.3333333333333</v>
      </c>
      <c r="I14" s="20" t="n">
        <f t="shared" si="1"/>
        <v>1300.0</v>
      </c>
      <c r="J14" s="11"/>
      <c r="K14" s="24">
        <v>4250</v>
      </c>
      <c r="L14" s="24">
        <v>1275</v>
      </c>
      <c r="M14" s="24" t="n">
        <f>K14+(F14*2)</f>
        <v>5983.333333333333</v>
      </c>
      <c r="N14" s="24" t="n">
        <f>L14+(H14*2)</f>
        <v>2141.6666666666665</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4" customFormat="1" x14ac:dyDescent="0.25">
      <c r="A15" s="30">
        <v>943285</v>
      </c>
      <c r="B15" s="22" t="s">
        <v>148</v>
      </c>
      <c r="C15" s="22" t="s">
        <v>149</v>
      </c>
      <c r="D15" s="19">
        <v>227300</v>
      </c>
      <c r="E15" s="21" t="s">
        <v>4</v>
      </c>
      <c r="F15" s="31">
        <v>1000</v>
      </c>
      <c r="G15" s="27">
        <v>0.5</v>
      </c>
      <c r="H15" s="31" t="n">
        <f>F15/2</f>
        <v>500.0</v>
      </c>
      <c r="I15" s="20" t="n">
        <f t="shared" si="1"/>
        <v>1500.0</v>
      </c>
      <c r="J15" s="11"/>
      <c r="K15" s="24">
        <v>1000</v>
      </c>
      <c r="L15" s="24">
        <v>500</v>
      </c>
      <c r="M15" s="24" t="n">
        <f>K15+(F15*2)</f>
        <v>3000.0</v>
      </c>
      <c r="N15" s="24" t="n">
        <f>L15+(H15*2)</f>
        <v>1500.0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4" customFormat="1" x14ac:dyDescent="0.25">
      <c r="A16" s="30">
        <v>946506</v>
      </c>
      <c r="B16" s="22" t="s">
        <v>150</v>
      </c>
      <c r="C16" s="22" t="s">
        <v>151</v>
      </c>
      <c r="D16" s="19">
        <v>124000</v>
      </c>
      <c r="E16" s="21" t="s">
        <v>4</v>
      </c>
      <c r="F16" s="31">
        <v>733</v>
      </c>
      <c r="G16" s="27">
        <v>0.5</v>
      </c>
      <c r="H16" s="31" t="n">
        <f>F16/2</f>
        <v>366.5</v>
      </c>
      <c r="I16" s="20" t="n">
        <f t="shared" si="1"/>
        <v>1099.5</v>
      </c>
      <c r="J16" s="11"/>
      <c r="K16" s="24">
        <v>733</v>
      </c>
      <c r="L16" s="24">
        <v>366.5</v>
      </c>
      <c r="M16" s="24" t="n">
        <f>K16+(F16*2)</f>
        <v>2199.0</v>
      </c>
      <c r="N16" s="24" t="n">
        <f>L16+(H16*2)</f>
        <v>1099.5</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4" customFormat="1" x14ac:dyDescent="0.25">
      <c r="A17" s="78" t="s">
        <v>84</v>
      </c>
      <c r="B17" s="63" t="s">
        <v>155</v>
      </c>
      <c r="C17" s="63" t="s">
        <v>156</v>
      </c>
      <c r="D17" s="64">
        <v>60000</v>
      </c>
      <c r="E17" s="65">
        <v>0.03</v>
      </c>
      <c r="F17" s="66" t="n">
        <f>D17*E17/12</f>
        <v>150.0</v>
      </c>
      <c r="G17" s="65">
        <v>0.5</v>
      </c>
      <c r="H17" s="66" t="n">
        <f>F17/2</f>
        <v>75.0</v>
      </c>
      <c r="I17" s="28" t="n">
        <f t="shared" si="1"/>
        <v>225.0</v>
      </c>
      <c r="J17" s="11"/>
      <c r="K17" s="64">
        <v>733</v>
      </c>
      <c r="L17" s="64">
        <v>366.5</v>
      </c>
      <c r="M17" s="64" t="n">
        <f>F17</f>
        <v>150.0</v>
      </c>
      <c r="N17" s="64" t="n">
        <f>H17</f>
        <v>75.0</v>
      </c>
      <c r="O17" s="11" t="s">
        <v>87</v>
      </c>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row>
    <row r="18" spans="1:49" s="4" customFormat="1" x14ac:dyDescent="0.25">
      <c r="A18" s="17"/>
      <c r="B18" s="16"/>
      <c r="C18" s="16"/>
      <c r="D18" s="12"/>
      <c r="E18" s="15"/>
      <c r="F18" s="14"/>
      <c r="G18" s="15"/>
      <c r="H18" s="14"/>
      <c r="I18" s="13"/>
      <c r="J18" s="11"/>
      <c r="K18" s="12"/>
      <c r="L18" s="12"/>
      <c r="M18" s="12"/>
      <c r="N18" s="12"/>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row>
    <row r="19" spans="1:49" x14ac:dyDescent="0.25">
      <c r="A19" s="6"/>
      <c r="D19" s="68" t="n">
        <f>SUM(D5:D18)</f>
        <v>1305200.0</v>
      </c>
      <c r="F19" s="7" t="n">
        <f>SUM(F5:F17)</f>
        <v>8248.158333333333</v>
      </c>
      <c r="H19" s="7" t="n">
        <f>SUM(H5:H17)</f>
        <v>4124.079166666666</v>
      </c>
      <c r="I19" s="7" t="n">
        <f>SUM(I5:I17)</f>
        <v>12372.2375</v>
      </c>
      <c r="K19" s="71"/>
      <c r="L19" s="7"/>
      <c r="M19" s="7" t="n">
        <f>SUM(M5:M17)</f>
        <v>38596.72833333334</v>
      </c>
      <c r="N19" s="7" t="n">
        <f>SUM(N5:N17)</f>
        <v>18448.35916666667</v>
      </c>
    </row>
    <row r="20" spans="1:49" ht="15.75" x14ac:dyDescent="0.25">
      <c r="A20" s="10" t="s">
        <v>1</v>
      </c>
      <c r="B20" s="6"/>
      <c r="C20" s="6"/>
      <c r="D20" s="6"/>
      <c r="E20" s="8"/>
      <c r="F20" s="7"/>
      <c r="G20" s="8"/>
      <c r="H20" s="7"/>
      <c r="I20" s="7"/>
    </row>
    <row r="21" spans="1:49" s="2" customFormat="1" x14ac:dyDescent="0.25">
      <c r="A21" s="41" t="s">
        <v>35</v>
      </c>
      <c r="B21" s="42"/>
      <c r="C21" s="42"/>
      <c r="D21" s="42"/>
      <c r="E21" s="43"/>
      <c r="F21" s="44"/>
      <c r="G21" s="43"/>
      <c r="H21" s="44"/>
      <c r="I21" s="44"/>
      <c r="K21" s="4"/>
      <c r="L21" s="42"/>
    </row>
    <row r="22" spans="1:49" ht="15.75" customHeight="1" x14ac:dyDescent="0.25"/>
    <row r="23" spans="1:49" ht="15.75" customHeight="1" x14ac:dyDescent="0.25">
      <c r="A23" s="5" t="s">
        <v>0</v>
      </c>
    </row>
    <row r="24" spans="1:49" s="74" customFormat="1" ht="21" x14ac:dyDescent="0.35">
      <c r="A24" s="77" t="s">
        <v>163</v>
      </c>
      <c r="E24" s="75"/>
      <c r="K24" s="76"/>
    </row>
  </sheetData>
  <mergeCells count="3">
    <mergeCell ref="M2:N2"/>
    <mergeCell ref="K3:L3"/>
    <mergeCell ref="M3:N3"/>
  </mergeCells>
  <hyperlinks>
    <hyperlink ref="A12" r:id="rId1" location="0928091"/>
    <hyperlink ref="A13" r:id="rId2" location="0928091" display="https://www.pensionplanetinteractive.ie/ppi/content/loadSchemeMemberSearch.action - 0928091"/>
  </hyperlinks>
  <pageMargins left="0.70866141732283472" right="0.70866141732283472" top="0.74803149606299213" bottom="0.74803149606299213" header="0.31496062992125984" footer="0.31496062992125984"/>
  <pageSetup paperSize="9" scale="48" orientation="landscape"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4"/>
  <sheetViews>
    <sheetView workbookViewId="0"/>
  </sheetViews>
  <sheetFormatPr defaultColWidth="9.28515625" defaultRowHeight="15" x14ac:dyDescent="0.25"/>
  <sheetData>
    <row r="1" spans="1:7" x14ac:dyDescent="0.25">
      <c r="A1" s="125" t="s">
        <v>121</v>
      </c>
      <c r="B1" s="125" t="s">
        <v>105</v>
      </c>
      <c r="C1" s="125" t="s">
        <v>106</v>
      </c>
      <c r="D1" s="125" t="s">
        <v>107</v>
      </c>
      <c r="E1" s="125" t="s">
        <v>108</v>
      </c>
      <c r="F1" s="125" t="s">
        <v>109</v>
      </c>
      <c r="G1" s="125" t="s">
        <v>110</v>
      </c>
    </row>
    <row r="2" spans="1:7" x14ac:dyDescent="0.25">
      <c r="A2" s="126" t="s">
        <v>122</v>
      </c>
      <c r="B2" t="s">
        <v>111</v>
      </c>
      <c r="C2" t="s">
        <v>128</v>
      </c>
      <c r="D2" t="s">
        <v>129</v>
      </c>
      <c r="E2">
        <v>59500</v>
      </c>
      <c r="F2">
        <v>347.08</v>
      </c>
      <c r="G2">
        <v>451.79</v>
      </c>
    </row>
    <row r="3" spans="1:7" x14ac:dyDescent="0.25">
      <c r="A3" s="11" t="s">
        <v>122</v>
      </c>
      <c r="B3" t="s">
        <v>112</v>
      </c>
      <c r="C3" t="s">
        <v>130</v>
      </c>
      <c r="D3" t="s">
        <v>131</v>
      </c>
      <c r="E3">
        <v>170400</v>
      </c>
      <c r="F3">
        <v>710</v>
      </c>
      <c r="G3">
        <v>1000</v>
      </c>
    </row>
    <row r="4" spans="1:7" x14ac:dyDescent="0.25">
      <c r="A4" s="11" t="s">
        <v>122</v>
      </c>
      <c r="B4" t="s">
        <v>113</v>
      </c>
      <c r="C4" t="s">
        <v>132</v>
      </c>
      <c r="D4" t="s">
        <v>133</v>
      </c>
      <c r="E4">
        <v>51300</v>
      </c>
      <c r="F4">
        <v>213.75</v>
      </c>
      <c r="G4">
        <v>266.25</v>
      </c>
    </row>
    <row r="5" spans="1:7" x14ac:dyDescent="0.25">
      <c r="A5" s="11" t="s">
        <v>122</v>
      </c>
      <c r="B5" t="s">
        <v>114</v>
      </c>
      <c r="C5" t="s">
        <v>134</v>
      </c>
      <c r="D5" t="s">
        <v>135</v>
      </c>
      <c r="E5">
        <v>151000</v>
      </c>
      <c r="F5">
        <v>1596.82</v>
      </c>
      <c r="G5">
        <v>2437.5</v>
      </c>
    </row>
    <row r="6" spans="1:7" x14ac:dyDescent="0.25">
      <c r="A6" s="11" t="s">
        <v>122</v>
      </c>
      <c r="B6" t="s">
        <v>115</v>
      </c>
      <c r="C6" t="s">
        <v>136</v>
      </c>
      <c r="D6" t="s">
        <v>137</v>
      </c>
      <c r="E6">
        <v>49200</v>
      </c>
      <c r="F6">
        <v>410</v>
      </c>
      <c r="G6">
        <v>518.33000000000004</v>
      </c>
    </row>
    <row r="7" spans="1:7" x14ac:dyDescent="0.25">
      <c r="A7" s="11" t="s">
        <v>122</v>
      </c>
      <c r="B7" t="s">
        <v>116</v>
      </c>
      <c r="C7" t="s">
        <v>138</v>
      </c>
      <c r="D7" t="s">
        <v>139</v>
      </c>
      <c r="E7">
        <v>0</v>
      </c>
      <c r="F7">
        <v>0</v>
      </c>
      <c r="G7">
        <v>317.29000000000002</v>
      </c>
    </row>
    <row r="8" spans="1:7" x14ac:dyDescent="0.25">
      <c r="A8" s="11" t="s">
        <v>122</v>
      </c>
      <c r="B8" t="s">
        <v>117</v>
      </c>
      <c r="C8" t="s">
        <v>140</v>
      </c>
      <c r="D8" t="s">
        <v>141</v>
      </c>
      <c r="E8">
        <v>140500</v>
      </c>
      <c r="F8">
        <v>1170.83</v>
      </c>
      <c r="G8">
        <v>1471.25</v>
      </c>
    </row>
    <row r="9" spans="1:7" x14ac:dyDescent="0.25">
      <c r="A9" s="11" t="s">
        <v>122</v>
      </c>
      <c r="B9" t="s">
        <v>7</v>
      </c>
      <c r="C9" t="s">
        <v>142</v>
      </c>
      <c r="D9" t="s">
        <v>143</v>
      </c>
      <c r="E9">
        <v>54000</v>
      </c>
      <c r="F9">
        <v>100</v>
      </c>
      <c r="G9">
        <v>150</v>
      </c>
    </row>
    <row r="10" spans="1:7" x14ac:dyDescent="0.25">
      <c r="A10" s="11" t="s">
        <v>122</v>
      </c>
      <c r="B10" t="s">
        <v>118</v>
      </c>
      <c r="C10" t="s">
        <v>144</v>
      </c>
      <c r="D10" t="s">
        <v>145</v>
      </c>
      <c r="E10">
        <v>114000</v>
      </c>
      <c r="F10">
        <v>950</v>
      </c>
      <c r="G10">
        <v>1424.17</v>
      </c>
    </row>
    <row r="11" spans="1:7" x14ac:dyDescent="0.25">
      <c r="A11" s="11" t="s">
        <v>122</v>
      </c>
      <c r="B11" t="s">
        <v>46</v>
      </c>
      <c r="C11" t="s">
        <v>146</v>
      </c>
      <c r="D11" t="s">
        <v>147</v>
      </c>
      <c r="E11">
        <v>104000</v>
      </c>
      <c r="F11">
        <v>866.67</v>
      </c>
      <c r="G11">
        <v>1275</v>
      </c>
    </row>
    <row r="12" spans="1:7" x14ac:dyDescent="0.25">
      <c r="A12" s="11" t="s">
        <v>122</v>
      </c>
      <c r="B12" t="s">
        <v>119</v>
      </c>
      <c r="C12" t="s">
        <v>148</v>
      </c>
      <c r="D12" t="s">
        <v>149</v>
      </c>
      <c r="E12">
        <v>227300</v>
      </c>
      <c r="F12">
        <v>1000</v>
      </c>
      <c r="G12">
        <v>500</v>
      </c>
    </row>
    <row r="13" spans="1:7" x14ac:dyDescent="0.25">
      <c r="A13" s="11" t="s">
        <v>122</v>
      </c>
      <c r="B13" t="s">
        <v>120</v>
      </c>
      <c r="C13" t="s">
        <v>150</v>
      </c>
      <c r="D13" t="s">
        <v>151</v>
      </c>
      <c r="E13">
        <v>124000</v>
      </c>
      <c r="F13">
        <v>733</v>
      </c>
      <c r="G13">
        <v>366.5</v>
      </c>
    </row>
    <row r="14" spans="1:7" x14ac:dyDescent="0.25">
      <c r="A14" s="11" t="s">
        <v>123</v>
      </c>
      <c r="B14" t="s">
        <v>84</v>
      </c>
      <c r="C14" t="s">
        <v>155</v>
      </c>
      <c r="D14" t="s">
        <v>156</v>
      </c>
      <c r="E14">
        <v>60000</v>
      </c>
      <c r="F14">
        <v>150</v>
      </c>
      <c r="G14">
        <v>366.5</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AW25"/>
  <sheetViews>
    <sheetView zoomScale="85" zoomScaleNormal="85" workbookViewId="0">
      <selection activeCell="I22" sqref="I22"/>
    </sheetView>
  </sheetViews>
  <sheetFormatPr defaultRowHeight="15" x14ac:dyDescent="0.25"/>
  <cols>
    <col min="1" max="1" customWidth="true" width="14.5703125" collapsed="false"/>
    <col min="2" max="2" customWidth="true" width="13.140625" collapsed="false"/>
    <col min="3" max="3" customWidth="true" width="14.28515625" collapsed="false"/>
    <col min="4" max="4" customWidth="true" width="17.0" collapsed="false"/>
    <col min="5" max="5" customWidth="true" style="1" width="14.7109375" collapsed="false"/>
    <col min="6" max="6" customWidth="true" width="16.140625" collapsed="false"/>
    <col min="7" max="7" customWidth="true" width="9.85546875" collapsed="false"/>
    <col min="8" max="8" customWidth="true" width="16.140625" collapsed="false"/>
    <col min="9" max="9" customWidth="true" width="18.7109375" collapsed="false"/>
    <col min="10" max="10" customWidth="true" width="5.42578125" collapsed="false"/>
    <col min="11" max="11" customWidth="true" hidden="true" style="3" width="12.28515625" collapsed="false"/>
    <col min="12" max="12" customWidth="true" hidden="true" width="12.28515625" collapsed="false"/>
    <col min="13" max="14" bestFit="true" customWidth="true" width="12.140625" collapsed="false"/>
    <col min="15" max="15" customWidth="true" width="10.140625" collapsed="false"/>
    <col min="16" max="49" customWidth="true" width="5.5703125" collapsed="false"/>
  </cols>
  <sheetData>
    <row r="1" spans="1:49" x14ac:dyDescent="0.25">
      <c r="A1" s="11" t="s">
        <v>31</v>
      </c>
    </row>
    <row r="2" spans="1:49" ht="39" customHeight="1" x14ac:dyDescent="0.25">
      <c r="A2" s="39">
        <v>43983</v>
      </c>
      <c r="M2" s="138"/>
      <c r="N2" s="138"/>
    </row>
    <row r="3" spans="1:49" x14ac:dyDescent="0.25">
      <c r="K3" s="139" t="s">
        <v>81</v>
      </c>
      <c r="L3" s="139"/>
      <c r="M3" s="139"/>
      <c r="N3" s="139"/>
    </row>
    <row r="4" spans="1:49" ht="45" x14ac:dyDescent="0.25">
      <c r="A4" s="38" t="s">
        <v>30</v>
      </c>
      <c r="B4" s="38" t="s">
        <v>29</v>
      </c>
      <c r="C4" s="38" t="s">
        <v>28</v>
      </c>
      <c r="D4" s="37" t="s">
        <v>27</v>
      </c>
      <c r="E4" s="34" t="s">
        <v>26</v>
      </c>
      <c r="F4" s="36" t="s">
        <v>25</v>
      </c>
      <c r="G4" s="34" t="s">
        <v>24</v>
      </c>
      <c r="H4" s="36" t="s">
        <v>23</v>
      </c>
      <c r="I4" s="36" t="s">
        <v>22</v>
      </c>
      <c r="K4" s="34" t="s">
        <v>32</v>
      </c>
      <c r="L4" s="34" t="s">
        <v>34</v>
      </c>
      <c r="M4" s="34" t="s">
        <v>32</v>
      </c>
      <c r="N4" s="34" t="s">
        <v>33</v>
      </c>
    </row>
    <row r="5" spans="1:49" s="3" customFormat="1" x14ac:dyDescent="0.25">
      <c r="A5" s="32">
        <v>839415</v>
      </c>
      <c r="B5" s="29" t="s">
        <v>128</v>
      </c>
      <c r="C5" s="29" t="s">
        <v>129</v>
      </c>
      <c r="D5" s="24">
        <v>59500</v>
      </c>
      <c r="E5" s="27">
        <v>7.0000000000000007E-2</v>
      </c>
      <c r="F5" s="31" t="n">
        <f>D5*7%/12</f>
        <v>347.0833333333333</v>
      </c>
      <c r="G5" s="27">
        <v>0.5</v>
      </c>
      <c r="H5" s="31" t="n">
        <f>F5*50%</f>
        <v>173.54166666666666</v>
      </c>
      <c r="I5" s="26" t="n">
        <f t="shared" ref="I5" si="0">F5+H5</f>
        <v>520.625</v>
      </c>
      <c r="J5"/>
      <c r="K5" s="24">
        <v>903.58333333333348</v>
      </c>
      <c r="L5" s="24">
        <v>451.79166666666674</v>
      </c>
      <c r="M5" s="24" t="n">
        <f>K5+(F5*3)</f>
        <v>1944.8333333333335</v>
      </c>
      <c r="N5" s="24" t="n">
        <f>L5+(H5*3)</f>
        <v>972.4166666666667</v>
      </c>
      <c r="O5"/>
      <c r="P5"/>
      <c r="Q5"/>
      <c r="R5"/>
      <c r="S5"/>
      <c r="T5"/>
      <c r="U5"/>
      <c r="V5"/>
      <c r="W5"/>
      <c r="X5"/>
      <c r="Y5"/>
      <c r="Z5"/>
      <c r="AA5"/>
      <c r="AB5"/>
      <c r="AC5"/>
      <c r="AD5"/>
      <c r="AE5"/>
      <c r="AF5"/>
      <c r="AG5"/>
      <c r="AH5"/>
      <c r="AI5"/>
      <c r="AJ5"/>
      <c r="AK5"/>
      <c r="AL5"/>
      <c r="AM5"/>
      <c r="AN5"/>
      <c r="AO5"/>
      <c r="AP5"/>
      <c r="AQ5"/>
      <c r="AR5"/>
      <c r="AS5"/>
      <c r="AT5"/>
      <c r="AU5"/>
      <c r="AV5"/>
      <c r="AW5"/>
    </row>
    <row r="6" spans="1:49" s="3" customFormat="1" x14ac:dyDescent="0.25">
      <c r="A6" s="32">
        <v>862567</v>
      </c>
      <c r="B6" s="29" t="s">
        <v>130</v>
      </c>
      <c r="C6" s="29" t="s">
        <v>131</v>
      </c>
      <c r="D6" s="24">
        <v>170400</v>
      </c>
      <c r="E6" s="27">
        <v>0.05</v>
      </c>
      <c r="F6" s="31" t="n">
        <f>D6*5%/12</f>
        <v>710.0</v>
      </c>
      <c r="G6" s="27">
        <v>0.5</v>
      </c>
      <c r="H6" s="31" t="n">
        <f>F6*50%</f>
        <v>355.0</v>
      </c>
      <c r="I6" s="26" t="n">
        <f t="shared" ref="I6:I17" si="1">F6+H6</f>
        <v>1065.0</v>
      </c>
      <c r="J6" s="11"/>
      <c r="K6" s="24">
        <v>2000</v>
      </c>
      <c r="L6" s="24">
        <v>1000</v>
      </c>
      <c r="M6" s="24" t="n">
        <f>K6+(F6*3)</f>
        <v>4130.0</v>
      </c>
      <c r="N6" s="24" t="n">
        <f>L6+(H6*3)</f>
        <v>2065.0</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3" customFormat="1" x14ac:dyDescent="0.25">
      <c r="A7" s="32">
        <v>881957</v>
      </c>
      <c r="B7" s="29" t="s">
        <v>132</v>
      </c>
      <c r="C7" s="29" t="s">
        <v>133</v>
      </c>
      <c r="D7" s="24">
        <v>51300</v>
      </c>
      <c r="E7" s="27">
        <v>0.05</v>
      </c>
      <c r="F7" s="31" t="n">
        <f>D7*5%/12</f>
        <v>213.75</v>
      </c>
      <c r="G7" s="27">
        <v>0.5</v>
      </c>
      <c r="H7" s="31" t="n">
        <f t="shared" ref="H7" si="2">F7*50%</f>
        <v>106.875</v>
      </c>
      <c r="I7" s="26" t="n">
        <f t="shared" si="1"/>
        <v>320.625</v>
      </c>
      <c r="J7" s="11"/>
      <c r="K7" s="24">
        <v>532.5</v>
      </c>
      <c r="L7" s="24">
        <v>266.25</v>
      </c>
      <c r="M7" s="24" t="n">
        <f>K7+(F7*3)</f>
        <v>1173.75</v>
      </c>
      <c r="N7" s="24" t="n">
        <f>L7+(H7*3)</f>
        <v>586.875</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2" customFormat="1" x14ac:dyDescent="0.25">
      <c r="A8" s="81">
        <v>886344</v>
      </c>
      <c r="B8" s="82" t="s">
        <v>134</v>
      </c>
      <c r="C8" s="82" t="s">
        <v>135</v>
      </c>
      <c r="D8" s="45">
        <v>151000</v>
      </c>
      <c r="E8" s="83">
        <v>0.12690000000000001</v>
      </c>
      <c r="F8" s="84" t="n">
        <f>D8*12.69%/12</f>
        <v>1596.8249999999998</v>
      </c>
      <c r="G8" s="85">
        <v>0.5</v>
      </c>
      <c r="H8" s="84">
        <v>268.56</v>
      </c>
      <c r="I8" s="86" t="n">
        <f t="shared" si="1"/>
        <v>1865.3849999999998</v>
      </c>
      <c r="J8" s="87"/>
      <c r="K8" s="45">
        <v>4875.0079999999998</v>
      </c>
      <c r="L8" s="45">
        <v>2437.5039999999999</v>
      </c>
      <c r="M8" s="45" t="n">
        <f>6666.07+(F8*2)</f>
        <v>9859.72</v>
      </c>
      <c r="N8" s="45" t="n">
        <f>4131.44+268.56</f>
        <v>4400.0</v>
      </c>
      <c r="O8" s="87" t="s">
        <v>89</v>
      </c>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row>
    <row r="9" spans="1:49" s="3" customFormat="1" x14ac:dyDescent="0.25">
      <c r="A9" s="32">
        <v>896998</v>
      </c>
      <c r="B9" s="29" t="s">
        <v>136</v>
      </c>
      <c r="C9" s="29" t="s">
        <v>137</v>
      </c>
      <c r="D9" s="24">
        <v>49200</v>
      </c>
      <c r="E9" s="27">
        <v>0.1</v>
      </c>
      <c r="F9" s="31" t="n">
        <f>D9*10%/12</f>
        <v>410.0</v>
      </c>
      <c r="G9" s="27">
        <v>0.5</v>
      </c>
      <c r="H9" s="31" t="n">
        <f>F9*50%</f>
        <v>205.0</v>
      </c>
      <c r="I9" s="26" t="n">
        <f t="shared" si="1"/>
        <v>615.0</v>
      </c>
      <c r="J9" s="11"/>
      <c r="K9" s="24">
        <v>1036.6666666666667</v>
      </c>
      <c r="L9" s="24">
        <v>518.33333333333337</v>
      </c>
      <c r="M9" s="24" t="n">
        <f>K9+(F9*3)</f>
        <v>2266.666666666667</v>
      </c>
      <c r="N9" s="24" t="n">
        <f>L9+(H9*3)</f>
        <v>1133.3333333333335</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67" customFormat="1" x14ac:dyDescent="0.25">
      <c r="A10" s="62">
        <v>896997</v>
      </c>
      <c r="B10" s="63" t="s">
        <v>138</v>
      </c>
      <c r="C10" s="63" t="s">
        <v>139</v>
      </c>
      <c r="D10" s="64">
        <v>0</v>
      </c>
      <c r="E10" s="65">
        <v>0.05</v>
      </c>
      <c r="F10" s="66" t="n">
        <f>D10*5%/12</f>
        <v>0.0</v>
      </c>
      <c r="G10" s="65">
        <v>0.5</v>
      </c>
      <c r="H10" s="66" t="n">
        <f>F10*50%</f>
        <v>0.0</v>
      </c>
      <c r="I10" s="28" t="n">
        <f t="shared" si="1"/>
        <v>0.0</v>
      </c>
      <c r="J10" s="11"/>
      <c r="K10" s="64">
        <v>634.58333333333337</v>
      </c>
      <c r="L10" s="64">
        <v>317.29166666666669</v>
      </c>
      <c r="M10" s="24" t="n">
        <f>K10+(F10*1)</f>
        <v>634.5833333333334</v>
      </c>
      <c r="N10" s="24" t="n">
        <f t="shared" ref="N10" si="3">L10+(H10*1)</f>
        <v>317.2916666666667</v>
      </c>
      <c r="O10" s="11" t="s">
        <v>88</v>
      </c>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3" customFormat="1" x14ac:dyDescent="0.25">
      <c r="A11" s="30">
        <v>900332</v>
      </c>
      <c r="B11" s="29" t="s">
        <v>140</v>
      </c>
      <c r="C11" s="29" t="s">
        <v>141</v>
      </c>
      <c r="D11" s="24">
        <v>140500</v>
      </c>
      <c r="E11" s="27">
        <v>0.1</v>
      </c>
      <c r="F11" s="31" t="n">
        <f>D11*10%/12</f>
        <v>1170.8333333333333</v>
      </c>
      <c r="G11" s="27">
        <v>0.5</v>
      </c>
      <c r="H11" s="31" t="n">
        <f>F11*50%</f>
        <v>585.4166666666666</v>
      </c>
      <c r="I11" s="26" t="n">
        <f t="shared" si="1"/>
        <v>1756.25</v>
      </c>
      <c r="J11" s="11"/>
      <c r="K11" s="24">
        <v>2942.5</v>
      </c>
      <c r="L11" s="24">
        <v>1471.25</v>
      </c>
      <c r="M11" s="24" t="n">
        <f t="shared" ref="M11" si="4">K11+(F11*3)</f>
        <v>6455.0</v>
      </c>
      <c r="N11" s="24" t="n">
        <f t="shared" ref="N11" si="5">L11+(H11*3)</f>
        <v>3227.5</v>
      </c>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8" customFormat="1" x14ac:dyDescent="0.25">
      <c r="A12" s="23" t="s">
        <v>7</v>
      </c>
      <c r="B12" s="22" t="s">
        <v>142</v>
      </c>
      <c r="C12" s="22" t="s">
        <v>143</v>
      </c>
      <c r="D12" s="24">
        <v>54000</v>
      </c>
      <c r="E12" s="21" t="s">
        <v>4</v>
      </c>
      <c r="F12" s="31">
        <v>100</v>
      </c>
      <c r="G12" s="27">
        <v>0.5</v>
      </c>
      <c r="H12" s="31" t="n">
        <f>F12*50%</f>
        <v>50.0</v>
      </c>
      <c r="I12" s="20" t="n">
        <f t="shared" si="1"/>
        <v>150.0</v>
      </c>
      <c r="J12" s="9"/>
      <c r="K12" s="24">
        <v>300</v>
      </c>
      <c r="L12" s="24">
        <v>150</v>
      </c>
      <c r="M12" s="24" t="n">
        <f>K12+(F12*3)</f>
        <v>600.0</v>
      </c>
      <c r="N12" s="24" t="n">
        <f>L12+(H12*3)</f>
        <v>300.0</v>
      </c>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row>
    <row r="13" spans="1:49" s="4" customFormat="1" x14ac:dyDescent="0.25">
      <c r="A13" s="32">
        <v>931165</v>
      </c>
      <c r="B13" s="22" t="s">
        <v>144</v>
      </c>
      <c r="C13" s="22" t="s">
        <v>145</v>
      </c>
      <c r="D13" s="19">
        <v>114000</v>
      </c>
      <c r="E13" s="21">
        <v>0.1</v>
      </c>
      <c r="F13" s="31" t="n">
        <f>SUM(D13*E13)/12</f>
        <v>950.0</v>
      </c>
      <c r="G13" s="27">
        <v>0.5</v>
      </c>
      <c r="H13" s="31" t="n">
        <f>F13*50%</f>
        <v>475.0</v>
      </c>
      <c r="I13" s="20" t="n">
        <f t="shared" si="1"/>
        <v>1425.0</v>
      </c>
      <c r="J13" s="11"/>
      <c r="K13" s="24">
        <v>2848.3333333333335</v>
      </c>
      <c r="L13" s="24">
        <v>1424.1666666666667</v>
      </c>
      <c r="M13" s="24" t="n">
        <f>K13+(F13*3)</f>
        <v>5698.333333333334</v>
      </c>
      <c r="N13" s="24" t="n">
        <f>L13+(H13*3)</f>
        <v>2849.166666666667</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4" customFormat="1" x14ac:dyDescent="0.25">
      <c r="A14" s="47" t="s">
        <v>46</v>
      </c>
      <c r="B14" s="22" t="s">
        <v>146</v>
      </c>
      <c r="C14" s="22" t="s">
        <v>147</v>
      </c>
      <c r="D14" s="19">
        <v>104000</v>
      </c>
      <c r="E14" s="21">
        <v>0.1</v>
      </c>
      <c r="F14" s="31" t="n">
        <f>D14*E14/12</f>
        <v>866.6666666666666</v>
      </c>
      <c r="G14" s="27">
        <v>0.5</v>
      </c>
      <c r="H14" s="31" t="n">
        <f>F14/2</f>
        <v>433.3333333333333</v>
      </c>
      <c r="I14" s="20" t="n">
        <f t="shared" si="1"/>
        <v>1300.0</v>
      </c>
      <c r="J14" s="11"/>
      <c r="K14" s="24">
        <v>4250</v>
      </c>
      <c r="L14" s="24">
        <v>1275</v>
      </c>
      <c r="M14" s="24" t="n">
        <f>K14+(F14*3)</f>
        <v>6850.0</v>
      </c>
      <c r="N14" s="24" t="n">
        <f>L14+(H14*3)</f>
        <v>2575.0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4" customFormat="1" x14ac:dyDescent="0.25">
      <c r="A15" s="30">
        <v>943285</v>
      </c>
      <c r="B15" s="22" t="s">
        <v>148</v>
      </c>
      <c r="C15" s="22" t="s">
        <v>149</v>
      </c>
      <c r="D15" s="19">
        <v>227300</v>
      </c>
      <c r="E15" s="21" t="s">
        <v>4</v>
      </c>
      <c r="F15" s="31">
        <v>1000</v>
      </c>
      <c r="G15" s="27">
        <v>0.5</v>
      </c>
      <c r="H15" s="31" t="n">
        <f>F15/2</f>
        <v>500.0</v>
      </c>
      <c r="I15" s="20" t="n">
        <f t="shared" si="1"/>
        <v>1500.0</v>
      </c>
      <c r="J15" s="11"/>
      <c r="K15" s="24">
        <v>1000</v>
      </c>
      <c r="L15" s="24">
        <v>500</v>
      </c>
      <c r="M15" s="24" t="n">
        <f>K15+(F15*3)</f>
        <v>4000.0</v>
      </c>
      <c r="N15" s="24" t="n">
        <f>L15+(H15*3)</f>
        <v>2000.0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4" customFormat="1" x14ac:dyDescent="0.25">
      <c r="A16" s="30">
        <v>946506</v>
      </c>
      <c r="B16" s="22" t="s">
        <v>150</v>
      </c>
      <c r="C16" s="22" t="s">
        <v>151</v>
      </c>
      <c r="D16" s="19">
        <v>124000</v>
      </c>
      <c r="E16" s="21" t="s">
        <v>4</v>
      </c>
      <c r="F16" s="31">
        <v>733</v>
      </c>
      <c r="G16" s="27">
        <v>0.5</v>
      </c>
      <c r="H16" s="31" t="n">
        <f>F16/2</f>
        <v>366.5</v>
      </c>
      <c r="I16" s="20" t="n">
        <f t="shared" si="1"/>
        <v>1099.5</v>
      </c>
      <c r="J16" s="11"/>
      <c r="K16" s="24">
        <v>733</v>
      </c>
      <c r="L16" s="24">
        <v>366.5</v>
      </c>
      <c r="M16" s="24" t="n">
        <f>K16+(F16*3)</f>
        <v>2932.0</v>
      </c>
      <c r="N16" s="24" t="n">
        <f>L16+(H16*3)</f>
        <v>1466.0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80" customFormat="1" x14ac:dyDescent="0.25">
      <c r="A17" s="47">
        <v>962325</v>
      </c>
      <c r="B17" s="22" t="s">
        <v>155</v>
      </c>
      <c r="C17" s="22" t="s">
        <v>156</v>
      </c>
      <c r="D17" s="19">
        <v>60000</v>
      </c>
      <c r="E17" s="21">
        <v>0.03</v>
      </c>
      <c r="F17" s="79" t="n">
        <f>D17*E17/12</f>
        <v>150.0</v>
      </c>
      <c r="G17" s="21">
        <v>0.5</v>
      </c>
      <c r="H17" s="79" t="n">
        <f>F17/2</f>
        <v>75.0</v>
      </c>
      <c r="I17" s="20" t="n">
        <f t="shared" si="1"/>
        <v>225.0</v>
      </c>
      <c r="J17" s="9"/>
      <c r="K17" s="19">
        <v>733</v>
      </c>
      <c r="L17" s="19">
        <v>366.5</v>
      </c>
      <c r="M17" s="19" t="n">
        <f>F17*2</f>
        <v>300.0</v>
      </c>
      <c r="N17" s="19" t="n">
        <f>H17*2</f>
        <v>150.0</v>
      </c>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row>
    <row r="18" spans="1:49" s="4" customFormat="1" x14ac:dyDescent="0.25">
      <c r="A18" s="17"/>
      <c r="B18" s="16"/>
      <c r="C18" s="16"/>
      <c r="D18" s="12"/>
      <c r="E18" s="15"/>
      <c r="F18" s="14"/>
      <c r="G18" s="15"/>
      <c r="H18" s="14"/>
      <c r="I18" s="13"/>
      <c r="J18" s="11"/>
      <c r="K18" s="12"/>
      <c r="L18" s="12"/>
      <c r="M18" s="12"/>
      <c r="N18" s="12"/>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row>
    <row r="19" spans="1:49" x14ac:dyDescent="0.25">
      <c r="A19" s="6"/>
      <c r="D19" s="68" t="n">
        <f>SUM(D5:D18)</f>
        <v>1305200.0</v>
      </c>
      <c r="F19" s="7" t="n">
        <f>SUM(F5:F17)</f>
        <v>8248.158333333333</v>
      </c>
      <c r="H19" s="7" t="n">
        <f>SUM(H5:H17)</f>
        <v>3594.226666666667</v>
      </c>
      <c r="I19" s="7" t="n">
        <f>SUM(I5:I17)</f>
        <v>11842.385</v>
      </c>
      <c r="K19" s="71"/>
      <c r="L19" s="7"/>
      <c r="M19" s="7" t="n">
        <f>SUM(M5:M17)</f>
        <v>46844.886666666665</v>
      </c>
      <c r="N19" s="7" t="n">
        <f>SUM(N5:N17)</f>
        <v>22042.583333333332</v>
      </c>
    </row>
    <row r="20" spans="1:49" ht="15.75" x14ac:dyDescent="0.25">
      <c r="A20" s="10" t="s">
        <v>1</v>
      </c>
      <c r="B20" s="6"/>
      <c r="C20" s="6"/>
      <c r="D20" s="6"/>
      <c r="E20" s="8"/>
      <c r="F20" s="7"/>
      <c r="G20" s="8"/>
      <c r="H20" s="7"/>
      <c r="I20" s="7"/>
    </row>
    <row r="21" spans="1:49" s="88" customFormat="1" ht="18.75" x14ac:dyDescent="0.3">
      <c r="A21" s="88" t="s">
        <v>35</v>
      </c>
      <c r="E21" s="89"/>
      <c r="F21" s="90"/>
      <c r="G21" s="89"/>
      <c r="H21" s="90"/>
      <c r="I21" s="90"/>
    </row>
    <row r="22" spans="1:49" ht="15.75" customHeight="1" x14ac:dyDescent="0.25"/>
    <row r="23" spans="1:49" ht="15.75" customHeight="1" x14ac:dyDescent="0.25">
      <c r="A23" s="5" t="s">
        <v>0</v>
      </c>
    </row>
    <row r="24" spans="1:49" s="74" customFormat="1" ht="21" x14ac:dyDescent="0.35">
      <c r="A24" s="77" t="s">
        <v>163</v>
      </c>
      <c r="E24" s="75"/>
      <c r="K24" s="76"/>
    </row>
    <row r="25" spans="1:49" ht="21" x14ac:dyDescent="0.35">
      <c r="A25" s="77" t="s">
        <v>164</v>
      </c>
    </row>
  </sheetData>
  <mergeCells count="3">
    <mergeCell ref="M2:N2"/>
    <mergeCell ref="K3:L3"/>
    <mergeCell ref="M3:N3"/>
  </mergeCells>
  <hyperlinks>
    <hyperlink ref="A12" r:id="rId1" location="0928091"/>
    <hyperlink ref="A13" r:id="rId2" location="0928091" display="https://www.pensionplanetinteractive.ie/ppi/content/loadSchemeMemberSearch.action - 0928091"/>
  </hyperlinks>
  <pageMargins left="0.70866141732283472" right="0.70866141732283472" top="0.74803149606299213" bottom="0.74803149606299213" header="0.31496062992125984" footer="0.31496062992125984"/>
  <pageSetup paperSize="9" scale="48" orientation="landscape"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4"/>
  <sheetViews>
    <sheetView workbookViewId="0"/>
  </sheetViews>
  <sheetFormatPr defaultColWidth="9.28515625" defaultRowHeight="15" x14ac:dyDescent="0.25"/>
  <sheetData>
    <row r="1" spans="1:6" x14ac:dyDescent="0.25">
      <c r="A1" s="125" t="s">
        <v>105</v>
      </c>
      <c r="B1" s="125" t="s">
        <v>106</v>
      </c>
      <c r="C1" s="125" t="s">
        <v>107</v>
      </c>
      <c r="D1" s="125" t="s">
        <v>108</v>
      </c>
      <c r="E1" s="125" t="s">
        <v>109</v>
      </c>
      <c r="F1" s="125" t="s">
        <v>110</v>
      </c>
    </row>
    <row r="2" spans="1:6" x14ac:dyDescent="0.25">
      <c r="A2" t="s">
        <v>111</v>
      </c>
      <c r="B2" t="s">
        <v>128</v>
      </c>
      <c r="C2" t="s">
        <v>129</v>
      </c>
      <c r="D2">
        <v>59500</v>
      </c>
      <c r="E2">
        <v>347.08</v>
      </c>
      <c r="F2">
        <v>451.79</v>
      </c>
    </row>
    <row r="3" spans="1:6" x14ac:dyDescent="0.25">
      <c r="A3" t="s">
        <v>112</v>
      </c>
      <c r="B3" t="s">
        <v>130</v>
      </c>
      <c r="C3" t="s">
        <v>131</v>
      </c>
      <c r="D3">
        <v>170400</v>
      </c>
      <c r="E3">
        <v>710</v>
      </c>
      <c r="F3">
        <v>1000</v>
      </c>
    </row>
    <row r="4" spans="1:6" x14ac:dyDescent="0.25">
      <c r="A4" t="s">
        <v>113</v>
      </c>
      <c r="B4" t="s">
        <v>132</v>
      </c>
      <c r="C4" t="s">
        <v>133</v>
      </c>
      <c r="D4">
        <v>51300</v>
      </c>
      <c r="E4">
        <v>213.75</v>
      </c>
      <c r="F4">
        <v>266.25</v>
      </c>
    </row>
    <row r="5" spans="1:6" x14ac:dyDescent="0.25">
      <c r="A5" t="s">
        <v>114</v>
      </c>
      <c r="B5" t="s">
        <v>134</v>
      </c>
      <c r="C5" t="s">
        <v>135</v>
      </c>
      <c r="D5">
        <v>151000</v>
      </c>
      <c r="E5">
        <v>1596.82</v>
      </c>
      <c r="F5">
        <v>2437.5</v>
      </c>
    </row>
    <row r="6" spans="1:6" x14ac:dyDescent="0.25">
      <c r="A6" t="s">
        <v>115</v>
      </c>
      <c r="B6" t="s">
        <v>136</v>
      </c>
      <c r="C6" t="s">
        <v>137</v>
      </c>
      <c r="D6">
        <v>49200</v>
      </c>
      <c r="E6">
        <v>410</v>
      </c>
      <c r="F6">
        <v>518.33000000000004</v>
      </c>
    </row>
    <row r="7" spans="1:6" x14ac:dyDescent="0.25">
      <c r="A7" t="s">
        <v>116</v>
      </c>
      <c r="B7" t="s">
        <v>138</v>
      </c>
      <c r="C7" t="s">
        <v>139</v>
      </c>
      <c r="D7">
        <v>0</v>
      </c>
      <c r="E7">
        <v>0</v>
      </c>
      <c r="F7">
        <v>317.29000000000002</v>
      </c>
    </row>
    <row r="8" spans="1:6" x14ac:dyDescent="0.25">
      <c r="A8" t="s">
        <v>117</v>
      </c>
      <c r="B8" t="s">
        <v>140</v>
      </c>
      <c r="C8" t="s">
        <v>141</v>
      </c>
      <c r="D8">
        <v>140500</v>
      </c>
      <c r="E8">
        <v>1170.83</v>
      </c>
      <c r="F8">
        <v>1471.25</v>
      </c>
    </row>
    <row r="9" spans="1:6" x14ac:dyDescent="0.25">
      <c r="A9" t="s">
        <v>7</v>
      </c>
      <c r="B9" t="s">
        <v>142</v>
      </c>
      <c r="C9" t="s">
        <v>143</v>
      </c>
      <c r="D9">
        <v>54000</v>
      </c>
      <c r="E9">
        <v>100</v>
      </c>
      <c r="F9">
        <v>150</v>
      </c>
    </row>
    <row r="10" spans="1:6" x14ac:dyDescent="0.25">
      <c r="A10" t="s">
        <v>118</v>
      </c>
      <c r="B10" t="s">
        <v>144</v>
      </c>
      <c r="C10" t="s">
        <v>145</v>
      </c>
      <c r="D10">
        <v>114000</v>
      </c>
      <c r="E10">
        <v>950</v>
      </c>
      <c r="F10">
        <v>1424.17</v>
      </c>
    </row>
    <row r="11" spans="1:6" x14ac:dyDescent="0.25">
      <c r="A11" t="s">
        <v>46</v>
      </c>
      <c r="B11" t="s">
        <v>146</v>
      </c>
      <c r="C11" t="s">
        <v>147</v>
      </c>
      <c r="D11">
        <v>104000</v>
      </c>
      <c r="E11">
        <v>866.67</v>
      </c>
      <c r="F11">
        <v>1275</v>
      </c>
    </row>
    <row r="12" spans="1:6" x14ac:dyDescent="0.25">
      <c r="A12" t="s">
        <v>119</v>
      </c>
      <c r="B12" t="s">
        <v>148</v>
      </c>
      <c r="C12" t="s">
        <v>149</v>
      </c>
      <c r="D12">
        <v>227300</v>
      </c>
      <c r="E12">
        <v>1000</v>
      </c>
      <c r="F12">
        <v>500</v>
      </c>
    </row>
    <row r="13" spans="1:6" x14ac:dyDescent="0.25">
      <c r="A13" t="s">
        <v>120</v>
      </c>
      <c r="B13" t="s">
        <v>150</v>
      </c>
      <c r="C13" t="s">
        <v>151</v>
      </c>
      <c r="D13">
        <v>124000</v>
      </c>
      <c r="E13">
        <v>733</v>
      </c>
      <c r="F13">
        <v>366.5</v>
      </c>
    </row>
    <row r="14" spans="1:6" x14ac:dyDescent="0.25">
      <c r="A14" t="s">
        <v>124</v>
      </c>
      <c r="B14" t="s">
        <v>155</v>
      </c>
      <c r="C14" t="s">
        <v>156</v>
      </c>
      <c r="D14">
        <v>60000</v>
      </c>
      <c r="E14">
        <v>150</v>
      </c>
      <c r="F14">
        <v>366.5</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AW25"/>
  <sheetViews>
    <sheetView topLeftCell="A4" zoomScale="85" zoomScaleNormal="85" workbookViewId="0">
      <selection activeCell="N5" sqref="N5"/>
    </sheetView>
  </sheetViews>
  <sheetFormatPr defaultRowHeight="15" x14ac:dyDescent="0.25"/>
  <cols>
    <col min="1" max="1" customWidth="true" width="14.5703125" collapsed="false"/>
    <col min="2" max="2" customWidth="true" width="13.140625" collapsed="false"/>
    <col min="3" max="3" customWidth="true" width="14.28515625" collapsed="false"/>
    <col min="4" max="4" customWidth="true" width="17.0" collapsed="false"/>
    <col min="5" max="5" customWidth="true" style="1" width="14.7109375" collapsed="false"/>
    <col min="6" max="6" customWidth="true" width="16.140625" collapsed="false"/>
    <col min="7" max="7" customWidth="true" width="9.85546875" collapsed="false"/>
    <col min="8" max="8" customWidth="true" width="16.140625" collapsed="false"/>
    <col min="9" max="9" customWidth="true" width="18.7109375" collapsed="false"/>
    <col min="10" max="10" customWidth="true" width="5.42578125" collapsed="false"/>
    <col min="11" max="11" customWidth="true" hidden="true" style="3" width="12.28515625" collapsed="false"/>
    <col min="12" max="12" customWidth="true" hidden="true" width="12.28515625" collapsed="false"/>
    <col min="13" max="14" bestFit="true" customWidth="true" width="12.140625" collapsed="false"/>
    <col min="15" max="15" customWidth="true" width="10.140625" collapsed="false"/>
    <col min="16" max="49" customWidth="true" width="5.5703125" collapsed="false"/>
  </cols>
  <sheetData>
    <row r="1" spans="1:49" x14ac:dyDescent="0.25">
      <c r="A1" s="11" t="s">
        <v>31</v>
      </c>
    </row>
    <row r="2" spans="1:49" ht="39" customHeight="1" x14ac:dyDescent="0.25">
      <c r="A2" s="39">
        <v>44013</v>
      </c>
      <c r="M2" s="138"/>
      <c r="N2" s="138"/>
    </row>
    <row r="3" spans="1:49" x14ac:dyDescent="0.25">
      <c r="K3" s="139" t="s">
        <v>81</v>
      </c>
      <c r="L3" s="139"/>
      <c r="M3" s="139"/>
      <c r="N3" s="139"/>
    </row>
    <row r="4" spans="1:49" ht="45" x14ac:dyDescent="0.25">
      <c r="A4" s="38" t="s">
        <v>30</v>
      </c>
      <c r="B4" s="38" t="s">
        <v>29</v>
      </c>
      <c r="C4" s="38" t="s">
        <v>28</v>
      </c>
      <c r="D4" s="37" t="s">
        <v>27</v>
      </c>
      <c r="E4" s="34" t="s">
        <v>26</v>
      </c>
      <c r="F4" s="36" t="s">
        <v>25</v>
      </c>
      <c r="G4" s="34" t="s">
        <v>24</v>
      </c>
      <c r="H4" s="36" t="s">
        <v>23</v>
      </c>
      <c r="I4" s="36" t="s">
        <v>22</v>
      </c>
      <c r="K4" s="34" t="s">
        <v>32</v>
      </c>
      <c r="L4" s="34" t="s">
        <v>34</v>
      </c>
      <c r="M4" s="34" t="s">
        <v>32</v>
      </c>
      <c r="N4" s="34" t="s">
        <v>33</v>
      </c>
    </row>
    <row r="5" spans="1:49" s="3" customFormat="1" x14ac:dyDescent="0.25">
      <c r="A5" s="32">
        <v>839415</v>
      </c>
      <c r="B5" s="29" t="s">
        <v>128</v>
      </c>
      <c r="C5" s="29" t="s">
        <v>129</v>
      </c>
      <c r="D5" s="24">
        <v>59500</v>
      </c>
      <c r="E5" s="27">
        <v>7.0000000000000007E-2</v>
      </c>
      <c r="F5" s="31" t="n">
        <f>D5*7%/12</f>
        <v>347.0833333333333</v>
      </c>
      <c r="G5" s="27">
        <v>0.5</v>
      </c>
      <c r="H5" s="31" t="n">
        <f>F5*50%</f>
        <v>173.54166666666666</v>
      </c>
      <c r="I5" s="26" t="n">
        <f t="shared" ref="I5" si="0">F5+H5</f>
        <v>520.625</v>
      </c>
      <c r="J5"/>
      <c r="K5" s="24">
        <v>903.58333333333348</v>
      </c>
      <c r="L5" s="24">
        <v>451.79166666666674</v>
      </c>
      <c r="M5" s="24" t="n">
        <f>K5+(F5*4)</f>
        <v>2291.916666666667</v>
      </c>
      <c r="N5" s="24" t="n">
        <f>L5+(H5*4)</f>
        <v>1145.9583333333335</v>
      </c>
      <c r="O5"/>
      <c r="P5"/>
      <c r="Q5"/>
      <c r="R5"/>
      <c r="S5"/>
      <c r="T5"/>
      <c r="U5"/>
      <c r="V5"/>
      <c r="W5"/>
      <c r="X5"/>
      <c r="Y5"/>
      <c r="Z5"/>
      <c r="AA5"/>
      <c r="AB5"/>
      <c r="AC5"/>
      <c r="AD5"/>
      <c r="AE5"/>
      <c r="AF5"/>
      <c r="AG5"/>
      <c r="AH5"/>
      <c r="AI5"/>
      <c r="AJ5"/>
      <c r="AK5"/>
      <c r="AL5"/>
      <c r="AM5"/>
      <c r="AN5"/>
      <c r="AO5"/>
      <c r="AP5"/>
      <c r="AQ5"/>
      <c r="AR5"/>
      <c r="AS5"/>
      <c r="AT5"/>
      <c r="AU5"/>
      <c r="AV5"/>
      <c r="AW5"/>
    </row>
    <row r="6" spans="1:49" s="3" customFormat="1" x14ac:dyDescent="0.25">
      <c r="A6" s="32">
        <v>862567</v>
      </c>
      <c r="B6" s="29" t="s">
        <v>130</v>
      </c>
      <c r="C6" s="29" t="s">
        <v>131</v>
      </c>
      <c r="D6" s="24">
        <v>170400</v>
      </c>
      <c r="E6" s="27">
        <v>0.05</v>
      </c>
      <c r="F6" s="31" t="n">
        <f>D6*5%/12</f>
        <v>710.0</v>
      </c>
      <c r="G6" s="27">
        <v>0.5</v>
      </c>
      <c r="H6" s="31" t="n">
        <f>F6*50%</f>
        <v>355.0</v>
      </c>
      <c r="I6" s="26" t="n">
        <f t="shared" ref="I6:I17" si="1">F6+H6</f>
        <v>1065.0</v>
      </c>
      <c r="J6" s="11"/>
      <c r="K6" s="24">
        <v>2000</v>
      </c>
      <c r="L6" s="24">
        <v>1000</v>
      </c>
      <c r="M6" s="24" t="n">
        <f>K6+(F6*4)</f>
        <v>4840.0</v>
      </c>
      <c r="N6" s="24" t="n">
        <f>L6+(H6*4)</f>
        <v>2420.0</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3" customFormat="1" x14ac:dyDescent="0.25">
      <c r="A7" s="32">
        <v>881957</v>
      </c>
      <c r="B7" s="29" t="s">
        <v>132</v>
      </c>
      <c r="C7" s="29" t="s">
        <v>133</v>
      </c>
      <c r="D7" s="24">
        <v>51300</v>
      </c>
      <c r="E7" s="27">
        <v>0.05</v>
      </c>
      <c r="F7" s="31" t="n">
        <f>D7*5%/12</f>
        <v>213.75</v>
      </c>
      <c r="G7" s="27">
        <v>0.5</v>
      </c>
      <c r="H7" s="31" t="n">
        <f t="shared" ref="H7" si="2">F7*50%</f>
        <v>106.875</v>
      </c>
      <c r="I7" s="26" t="n">
        <f t="shared" si="1"/>
        <v>320.625</v>
      </c>
      <c r="J7" s="11"/>
      <c r="K7" s="24">
        <v>532.5</v>
      </c>
      <c r="L7" s="24">
        <v>266.25</v>
      </c>
      <c r="M7" s="24" t="n">
        <f>K7+(F7*4)</f>
        <v>1387.5</v>
      </c>
      <c r="N7" s="24" t="n">
        <f>L7+(H7*4)</f>
        <v>693.75</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2" customFormat="1" x14ac:dyDescent="0.25">
      <c r="A8" s="81">
        <v>886344</v>
      </c>
      <c r="B8" s="82" t="s">
        <v>134</v>
      </c>
      <c r="C8" s="82" t="s">
        <v>135</v>
      </c>
      <c r="D8" s="45">
        <v>151000</v>
      </c>
      <c r="E8" s="83">
        <v>0.12690000000000001</v>
      </c>
      <c r="F8" s="84" t="n">
        <f>D8*12.69%/12</f>
        <v>1596.8249999999998</v>
      </c>
      <c r="G8" s="85">
        <v>0.5</v>
      </c>
      <c r="H8" s="84">
        <v>0</v>
      </c>
      <c r="I8" s="86" t="n">
        <f t="shared" si="1"/>
        <v>1596.8249999999998</v>
      </c>
      <c r="J8" s="87"/>
      <c r="K8" s="45">
        <v>4875.0079999999998</v>
      </c>
      <c r="L8" s="45">
        <v>2437.5039999999999</v>
      </c>
      <c r="M8" s="45" t="n">
        <f>6666.07+(F8*4)</f>
        <v>13053.369999999999</v>
      </c>
      <c r="N8" s="45" t="n">
        <f>4131.44+268.56</f>
        <v>4400.0</v>
      </c>
      <c r="O8" s="87" t="s">
        <v>89</v>
      </c>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row>
    <row r="9" spans="1:49" s="3" customFormat="1" x14ac:dyDescent="0.25">
      <c r="A9" s="32">
        <v>896998</v>
      </c>
      <c r="B9" s="29" t="s">
        <v>136</v>
      </c>
      <c r="C9" s="29" t="s">
        <v>137</v>
      </c>
      <c r="D9" s="24">
        <v>49200</v>
      </c>
      <c r="E9" s="27">
        <v>0.1</v>
      </c>
      <c r="F9" s="31" t="n">
        <f>D9*10%/12</f>
        <v>410.0</v>
      </c>
      <c r="G9" s="27">
        <v>0.5</v>
      </c>
      <c r="H9" s="31" t="n">
        <f>F9*50%</f>
        <v>205.0</v>
      </c>
      <c r="I9" s="26" t="n">
        <f t="shared" si="1"/>
        <v>615.0</v>
      </c>
      <c r="J9" s="11"/>
      <c r="K9" s="24">
        <v>1036.6666666666667</v>
      </c>
      <c r="L9" s="24">
        <v>518.33333333333337</v>
      </c>
      <c r="M9" s="24" t="n">
        <f>K9+(F9*4)</f>
        <v>2676.666666666667</v>
      </c>
      <c r="N9" s="24" t="n">
        <f>L9+(H9*4)</f>
        <v>1338.3333333333335</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67" customFormat="1" x14ac:dyDescent="0.25">
      <c r="A10" s="62">
        <v>896997</v>
      </c>
      <c r="B10" s="63" t="s">
        <v>138</v>
      </c>
      <c r="C10" s="63" t="s">
        <v>139</v>
      </c>
      <c r="D10" s="64">
        <v>0</v>
      </c>
      <c r="E10" s="65">
        <v>0.05</v>
      </c>
      <c r="F10" s="66" t="n">
        <f>D10*5%/12</f>
        <v>0.0</v>
      </c>
      <c r="G10" s="65">
        <v>0.5</v>
      </c>
      <c r="H10" s="66" t="n">
        <f>F10*50%</f>
        <v>0.0</v>
      </c>
      <c r="I10" s="28" t="n">
        <f t="shared" si="1"/>
        <v>0.0</v>
      </c>
      <c r="J10" s="11"/>
      <c r="K10" s="64">
        <v>634.58333333333337</v>
      </c>
      <c r="L10" s="64">
        <v>317.29166666666669</v>
      </c>
      <c r="M10" s="24" t="n">
        <f>K10+(F10*1)</f>
        <v>634.5833333333334</v>
      </c>
      <c r="N10" s="24" t="n">
        <f t="shared" ref="N10" si="3">L10+(H10*1)</f>
        <v>317.2916666666667</v>
      </c>
      <c r="O10" s="11" t="s">
        <v>88</v>
      </c>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3" customFormat="1" x14ac:dyDescent="0.25">
      <c r="A11" s="30">
        <v>900332</v>
      </c>
      <c r="B11" s="29" t="s">
        <v>140</v>
      </c>
      <c r="C11" s="29" t="s">
        <v>141</v>
      </c>
      <c r="D11" s="24">
        <v>140500</v>
      </c>
      <c r="E11" s="27">
        <v>0.1</v>
      </c>
      <c r="F11" s="31" t="n">
        <f>D11*10%/12</f>
        <v>1170.8333333333333</v>
      </c>
      <c r="G11" s="27">
        <v>0.5</v>
      </c>
      <c r="H11" s="31" t="n">
        <f>F11*50%</f>
        <v>585.4166666666666</v>
      </c>
      <c r="I11" s="26" t="n">
        <f t="shared" si="1"/>
        <v>1756.25</v>
      </c>
      <c r="J11" s="11"/>
      <c r="K11" s="24">
        <v>2942.5</v>
      </c>
      <c r="L11" s="24">
        <v>1471.25</v>
      </c>
      <c r="M11" s="24" t="n">
        <f t="shared" ref="M11" si="4">K11+(F11*4)</f>
        <v>7625.833333333333</v>
      </c>
      <c r="N11" s="24" t="n">
        <f t="shared" ref="N11" si="5">L11+(H11*4)</f>
        <v>3812.9166666666665</v>
      </c>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8" customFormat="1" x14ac:dyDescent="0.25">
      <c r="A12" s="23" t="s">
        <v>7</v>
      </c>
      <c r="B12" s="22" t="s">
        <v>142</v>
      </c>
      <c r="C12" s="22" t="s">
        <v>143</v>
      </c>
      <c r="D12" s="24">
        <v>54000</v>
      </c>
      <c r="E12" s="21" t="s">
        <v>4</v>
      </c>
      <c r="F12" s="31">
        <v>100</v>
      </c>
      <c r="G12" s="27">
        <v>0.5</v>
      </c>
      <c r="H12" s="31" t="n">
        <f>F12*50%</f>
        <v>50.0</v>
      </c>
      <c r="I12" s="20" t="n">
        <f t="shared" si="1"/>
        <v>150.0</v>
      </c>
      <c r="J12" s="9"/>
      <c r="K12" s="24">
        <v>300</v>
      </c>
      <c r="L12" s="24">
        <v>150</v>
      </c>
      <c r="M12" s="24" t="n">
        <f>K12+(F12*4)</f>
        <v>700.0</v>
      </c>
      <c r="N12" s="24" t="n">
        <f>L12+(H12*4)</f>
        <v>350.0</v>
      </c>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row>
    <row r="13" spans="1:49" s="4" customFormat="1" x14ac:dyDescent="0.25">
      <c r="A13" s="32">
        <v>931165</v>
      </c>
      <c r="B13" s="22" t="s">
        <v>144</v>
      </c>
      <c r="C13" s="22" t="s">
        <v>145</v>
      </c>
      <c r="D13" s="19">
        <v>114000</v>
      </c>
      <c r="E13" s="21">
        <v>0.1</v>
      </c>
      <c r="F13" s="31" t="n">
        <f>SUM(D13*E13)/12</f>
        <v>950.0</v>
      </c>
      <c r="G13" s="27">
        <v>0.5</v>
      </c>
      <c r="H13" s="31" t="n">
        <f>F13*50%</f>
        <v>475.0</v>
      </c>
      <c r="I13" s="20" t="n">
        <f t="shared" si="1"/>
        <v>1425.0</v>
      </c>
      <c r="J13" s="11"/>
      <c r="K13" s="24">
        <v>2848.3333333333335</v>
      </c>
      <c r="L13" s="24">
        <v>1424.1666666666667</v>
      </c>
      <c r="M13" s="24" t="n">
        <f>K13+(F13*4)</f>
        <v>6648.333333333334</v>
      </c>
      <c r="N13" s="24" t="n">
        <f>L13+(H13*4)</f>
        <v>3324.166666666667</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4" customFormat="1" x14ac:dyDescent="0.25">
      <c r="A14" s="47" t="s">
        <v>46</v>
      </c>
      <c r="B14" s="22" t="s">
        <v>146</v>
      </c>
      <c r="C14" s="22" t="s">
        <v>147</v>
      </c>
      <c r="D14" s="19">
        <v>104000</v>
      </c>
      <c r="E14" s="21">
        <v>0.1</v>
      </c>
      <c r="F14" s="31" t="n">
        <f>D14*E14/12</f>
        <v>866.6666666666666</v>
      </c>
      <c r="G14" s="27">
        <v>0.5</v>
      </c>
      <c r="H14" s="31" t="n">
        <f>F14/2</f>
        <v>433.3333333333333</v>
      </c>
      <c r="I14" s="20" t="n">
        <f t="shared" si="1"/>
        <v>1300.0</v>
      </c>
      <c r="J14" s="11"/>
      <c r="K14" s="24">
        <v>4250</v>
      </c>
      <c r="L14" s="24">
        <v>1275</v>
      </c>
      <c r="M14" s="24" t="n">
        <f>K14+(F14*4)</f>
        <v>7716.666666666666</v>
      </c>
      <c r="N14" s="24" t="n">
        <f>L14+(H14*4)</f>
        <v>3008.333333333333</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4" customFormat="1" x14ac:dyDescent="0.25">
      <c r="A15" s="30">
        <v>943285</v>
      </c>
      <c r="B15" s="22" t="s">
        <v>148</v>
      </c>
      <c r="C15" s="22" t="s">
        <v>149</v>
      </c>
      <c r="D15" s="19">
        <v>227300</v>
      </c>
      <c r="E15" s="21" t="s">
        <v>4</v>
      </c>
      <c r="F15" s="31">
        <v>1000</v>
      </c>
      <c r="G15" s="27">
        <v>0.5</v>
      </c>
      <c r="H15" s="31" t="n">
        <f>F15/2</f>
        <v>500.0</v>
      </c>
      <c r="I15" s="20" t="n">
        <f t="shared" si="1"/>
        <v>1500.0</v>
      </c>
      <c r="J15" s="11"/>
      <c r="K15" s="24">
        <v>1000</v>
      </c>
      <c r="L15" s="24">
        <v>500</v>
      </c>
      <c r="M15" s="24" t="n">
        <f>K15+(F15*4)</f>
        <v>5000.0</v>
      </c>
      <c r="N15" s="24" t="n">
        <f>L15+(H15*4)</f>
        <v>2500.0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4" customFormat="1" x14ac:dyDescent="0.25">
      <c r="A16" s="30">
        <v>946506</v>
      </c>
      <c r="B16" s="22" t="s">
        <v>150</v>
      </c>
      <c r="C16" s="22" t="s">
        <v>151</v>
      </c>
      <c r="D16" s="19">
        <v>124000</v>
      </c>
      <c r="E16" s="21" t="s">
        <v>4</v>
      </c>
      <c r="F16" s="31">
        <v>733</v>
      </c>
      <c r="G16" s="27">
        <v>0.5</v>
      </c>
      <c r="H16" s="31" t="n">
        <f>F16/2</f>
        <v>366.5</v>
      </c>
      <c r="I16" s="20" t="n">
        <f t="shared" si="1"/>
        <v>1099.5</v>
      </c>
      <c r="J16" s="11"/>
      <c r="K16" s="24">
        <v>733</v>
      </c>
      <c r="L16" s="24">
        <v>366.5</v>
      </c>
      <c r="M16" s="24" t="n">
        <f>K16+(F16*4)</f>
        <v>3665.0</v>
      </c>
      <c r="N16" s="24" t="n">
        <f>L16+(H16*4)</f>
        <v>1832.5</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80" customFormat="1" x14ac:dyDescent="0.25">
      <c r="A17" s="47">
        <v>962325</v>
      </c>
      <c r="B17" s="22" t="s">
        <v>155</v>
      </c>
      <c r="C17" s="22" t="s">
        <v>156</v>
      </c>
      <c r="D17" s="19">
        <v>60000</v>
      </c>
      <c r="E17" s="21">
        <v>0.03</v>
      </c>
      <c r="F17" s="79" t="n">
        <f>D17*E17/12</f>
        <v>150.0</v>
      </c>
      <c r="G17" s="21">
        <v>0.5</v>
      </c>
      <c r="H17" s="79" t="n">
        <f>F17/2</f>
        <v>75.0</v>
      </c>
      <c r="I17" s="20" t="n">
        <f t="shared" si="1"/>
        <v>225.0</v>
      </c>
      <c r="J17" s="9"/>
      <c r="K17" s="19">
        <v>733</v>
      </c>
      <c r="L17" s="19">
        <v>366.5</v>
      </c>
      <c r="M17" s="19" t="n">
        <f>F17*3</f>
        <v>450.0</v>
      </c>
      <c r="N17" s="19" t="n">
        <f>H17*3</f>
        <v>225.0</v>
      </c>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row>
    <row r="18" spans="1:49" s="4" customFormat="1" x14ac:dyDescent="0.25">
      <c r="A18" s="17"/>
      <c r="B18" s="16"/>
      <c r="C18" s="16"/>
      <c r="D18" s="12"/>
      <c r="E18" s="15"/>
      <c r="F18" s="14"/>
      <c r="G18" s="15"/>
      <c r="H18" s="14"/>
      <c r="I18" s="13"/>
      <c r="J18" s="11"/>
      <c r="K18" s="12"/>
      <c r="L18" s="12"/>
      <c r="M18" s="12"/>
      <c r="N18" s="12"/>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row>
    <row r="19" spans="1:49" x14ac:dyDescent="0.25">
      <c r="A19" s="6"/>
      <c r="D19" s="68" t="n">
        <f>SUM(D5:D18)</f>
        <v>1305200.0</v>
      </c>
      <c r="F19" s="7" t="n">
        <f>SUM(F5:F17)</f>
        <v>8248.158333333333</v>
      </c>
      <c r="H19" s="7" t="n">
        <f>SUM(H5:H17)</f>
        <v>3325.6666666666665</v>
      </c>
      <c r="I19" s="7" t="n">
        <f>SUM(I5:I17)</f>
        <v>11573.825</v>
      </c>
      <c r="K19" s="71"/>
      <c r="L19" s="7"/>
      <c r="M19" s="7" t="n">
        <f>SUM(M5:M17)</f>
        <v>56689.869999999995</v>
      </c>
      <c r="N19" s="7" t="n">
        <f>SUM(N5:N17)</f>
        <v>25368.25</v>
      </c>
    </row>
    <row r="20" spans="1:49" ht="15.75" x14ac:dyDescent="0.25">
      <c r="A20" s="10" t="s">
        <v>1</v>
      </c>
      <c r="B20" s="6"/>
      <c r="C20" s="6"/>
      <c r="D20" s="6"/>
      <c r="E20" s="8"/>
      <c r="F20" s="7"/>
      <c r="G20" s="8"/>
      <c r="H20" s="7"/>
      <c r="I20" s="7"/>
    </row>
    <row r="21" spans="1:49" s="88" customFormat="1" ht="18.75" x14ac:dyDescent="0.3">
      <c r="A21" s="88" t="s">
        <v>35</v>
      </c>
      <c r="E21" s="89"/>
      <c r="F21" s="90"/>
      <c r="G21" s="89"/>
      <c r="H21" s="90"/>
      <c r="I21" s="90"/>
    </row>
    <row r="22" spans="1:49" ht="15.75" customHeight="1" x14ac:dyDescent="0.25"/>
    <row r="23" spans="1:49" ht="15.75" customHeight="1" x14ac:dyDescent="0.25">
      <c r="A23" s="5" t="s">
        <v>0</v>
      </c>
    </row>
    <row r="24" spans="1:49" s="74" customFormat="1" ht="21" x14ac:dyDescent="0.35">
      <c r="A24" s="77" t="s">
        <v>165</v>
      </c>
      <c r="E24" s="75"/>
      <c r="K24" s="76"/>
    </row>
    <row r="25" spans="1:49" ht="21" x14ac:dyDescent="0.35">
      <c r="A25" s="77"/>
    </row>
  </sheetData>
  <mergeCells count="3">
    <mergeCell ref="M2:N2"/>
    <mergeCell ref="K3:L3"/>
    <mergeCell ref="M3:N3"/>
  </mergeCells>
  <hyperlinks>
    <hyperlink ref="A12" r:id="rId1" location="0928091"/>
    <hyperlink ref="A13" r:id="rId2" location="0928091" display="https://www.pensionplanetinteractive.ie/ppi/content/loadSchemeMemberSearch.action - 0928091"/>
  </hyperlinks>
  <pageMargins left="0.70866141732283472" right="0.70866141732283472" top="0.74803149606299213" bottom="0.74803149606299213" header="0.31496062992125984" footer="0.31496062992125984"/>
  <pageSetup paperSize="9" scale="48" orientation="landscape"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4"/>
  <sheetViews>
    <sheetView workbookViewId="0"/>
  </sheetViews>
  <sheetFormatPr defaultColWidth="9.28515625" defaultRowHeight="15" x14ac:dyDescent="0.25"/>
  <sheetData>
    <row r="1" spans="1:6" x14ac:dyDescent="0.25">
      <c r="A1" s="125" t="s">
        <v>105</v>
      </c>
      <c r="B1" s="125" t="s">
        <v>106</v>
      </c>
      <c r="C1" s="125" t="s">
        <v>107</v>
      </c>
      <c r="D1" s="125" t="s">
        <v>108</v>
      </c>
      <c r="E1" s="125" t="s">
        <v>109</v>
      </c>
      <c r="F1" s="125" t="s">
        <v>110</v>
      </c>
    </row>
    <row r="2" spans="1:6" x14ac:dyDescent="0.25">
      <c r="A2" t="s">
        <v>111</v>
      </c>
      <c r="B2" t="s">
        <v>128</v>
      </c>
      <c r="C2" t="s">
        <v>129</v>
      </c>
      <c r="D2">
        <v>59500</v>
      </c>
      <c r="E2">
        <v>347.08</v>
      </c>
      <c r="F2">
        <v>451.79</v>
      </c>
    </row>
    <row r="3" spans="1:6" x14ac:dyDescent="0.25">
      <c r="A3" t="s">
        <v>112</v>
      </c>
      <c r="B3" t="s">
        <v>130</v>
      </c>
      <c r="C3" t="s">
        <v>131</v>
      </c>
      <c r="D3">
        <v>170400</v>
      </c>
      <c r="E3">
        <v>710</v>
      </c>
      <c r="F3">
        <v>1000</v>
      </c>
    </row>
    <row r="4" spans="1:6" x14ac:dyDescent="0.25">
      <c r="A4" t="s">
        <v>113</v>
      </c>
      <c r="B4" t="s">
        <v>132</v>
      </c>
      <c r="C4" t="s">
        <v>133</v>
      </c>
      <c r="D4">
        <v>51300</v>
      </c>
      <c r="E4">
        <v>213.75</v>
      </c>
      <c r="F4">
        <v>266.25</v>
      </c>
    </row>
    <row r="5" spans="1:6" x14ac:dyDescent="0.25">
      <c r="A5" t="s">
        <v>114</v>
      </c>
      <c r="B5" t="s">
        <v>134</v>
      </c>
      <c r="C5" t="s">
        <v>135</v>
      </c>
      <c r="D5">
        <v>151000</v>
      </c>
      <c r="E5">
        <v>1596.82</v>
      </c>
      <c r="F5">
        <v>2437.5</v>
      </c>
    </row>
    <row r="6" spans="1:6" x14ac:dyDescent="0.25">
      <c r="A6" t="s">
        <v>115</v>
      </c>
      <c r="B6" t="s">
        <v>136</v>
      </c>
      <c r="C6" t="s">
        <v>137</v>
      </c>
      <c r="D6">
        <v>49200</v>
      </c>
      <c r="E6">
        <v>410</v>
      </c>
      <c r="F6">
        <v>518.33000000000004</v>
      </c>
    </row>
    <row r="7" spans="1:6" x14ac:dyDescent="0.25">
      <c r="A7" t="s">
        <v>116</v>
      </c>
      <c r="B7" t="s">
        <v>138</v>
      </c>
      <c r="C7" t="s">
        <v>139</v>
      </c>
      <c r="D7">
        <v>0</v>
      </c>
      <c r="E7">
        <v>0</v>
      </c>
      <c r="F7">
        <v>317.29000000000002</v>
      </c>
    </row>
    <row r="8" spans="1:6" x14ac:dyDescent="0.25">
      <c r="A8" t="s">
        <v>117</v>
      </c>
      <c r="B8" t="s">
        <v>140</v>
      </c>
      <c r="C8" t="s">
        <v>141</v>
      </c>
      <c r="D8">
        <v>140500</v>
      </c>
      <c r="E8">
        <v>1170.83</v>
      </c>
      <c r="F8">
        <v>1471.25</v>
      </c>
    </row>
    <row r="9" spans="1:6" x14ac:dyDescent="0.25">
      <c r="A9" t="s">
        <v>7</v>
      </c>
      <c r="B9" t="s">
        <v>142</v>
      </c>
      <c r="C9" t="s">
        <v>143</v>
      </c>
      <c r="D9">
        <v>54000</v>
      </c>
      <c r="E9">
        <v>100</v>
      </c>
      <c r="F9">
        <v>150</v>
      </c>
    </row>
    <row r="10" spans="1:6" x14ac:dyDescent="0.25">
      <c r="A10" t="s">
        <v>118</v>
      </c>
      <c r="B10" t="s">
        <v>144</v>
      </c>
      <c r="C10" t="s">
        <v>145</v>
      </c>
      <c r="D10">
        <v>114000</v>
      </c>
      <c r="E10">
        <v>950</v>
      </c>
      <c r="F10">
        <v>1424.17</v>
      </c>
    </row>
    <row r="11" spans="1:6" x14ac:dyDescent="0.25">
      <c r="A11" t="s">
        <v>46</v>
      </c>
      <c r="B11" t="s">
        <v>146</v>
      </c>
      <c r="C11" t="s">
        <v>147</v>
      </c>
      <c r="D11">
        <v>104000</v>
      </c>
      <c r="E11">
        <v>866.67</v>
      </c>
      <c r="F11">
        <v>1275</v>
      </c>
    </row>
    <row r="12" spans="1:6" x14ac:dyDescent="0.25">
      <c r="A12" t="s">
        <v>119</v>
      </c>
      <c r="B12" t="s">
        <v>148</v>
      </c>
      <c r="C12" t="s">
        <v>149</v>
      </c>
      <c r="D12">
        <v>227300</v>
      </c>
      <c r="E12">
        <v>1000</v>
      </c>
      <c r="F12">
        <v>500</v>
      </c>
    </row>
    <row r="13" spans="1:6" x14ac:dyDescent="0.25">
      <c r="A13" t="s">
        <v>120</v>
      </c>
      <c r="B13" t="s">
        <v>150</v>
      </c>
      <c r="C13" t="s">
        <v>151</v>
      </c>
      <c r="D13">
        <v>124000</v>
      </c>
      <c r="E13">
        <v>733</v>
      </c>
      <c r="F13">
        <v>366.5</v>
      </c>
    </row>
    <row r="14" spans="1:6" x14ac:dyDescent="0.25">
      <c r="A14" t="s">
        <v>124</v>
      </c>
      <c r="B14" t="s">
        <v>155</v>
      </c>
      <c r="C14" t="s">
        <v>156</v>
      </c>
      <c r="D14">
        <v>60000</v>
      </c>
      <c r="E14">
        <v>150</v>
      </c>
      <c r="F14">
        <v>366.5</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pageSetUpPr fitToPage="1"/>
  </sheetPr>
  <dimension ref="A1:AW25"/>
  <sheetViews>
    <sheetView zoomScale="85" zoomScaleNormal="85" workbookViewId="0">
      <selection activeCell="M6" sqref="M6"/>
    </sheetView>
  </sheetViews>
  <sheetFormatPr defaultRowHeight="15" x14ac:dyDescent="0.25"/>
  <cols>
    <col min="1" max="1" customWidth="true" width="14.5703125" collapsed="false"/>
    <col min="2" max="2" customWidth="true" width="13.140625" collapsed="false"/>
    <col min="3" max="3" customWidth="true" width="14.28515625" collapsed="false"/>
    <col min="4" max="4" customWidth="true" width="17.0" collapsed="false"/>
    <col min="5" max="5" customWidth="true" style="1" width="14.7109375" collapsed="false"/>
    <col min="6" max="6" customWidth="true" width="16.140625" collapsed="false"/>
    <col min="7" max="7" customWidth="true" width="9.85546875" collapsed="false"/>
    <col min="8" max="8" customWidth="true" width="16.140625" collapsed="false"/>
    <col min="9" max="9" customWidth="true" width="18.7109375" collapsed="false"/>
    <col min="10" max="10" customWidth="true" width="5.42578125" collapsed="false"/>
    <col min="11" max="11" customWidth="true" hidden="true" style="3" width="12.28515625" collapsed="false"/>
    <col min="12" max="12" customWidth="true" hidden="true" width="12.28515625" collapsed="false"/>
    <col min="13" max="14" bestFit="true" customWidth="true" width="12.140625" collapsed="false"/>
    <col min="15" max="15" customWidth="true" width="10.140625" collapsed="false"/>
    <col min="16" max="49" customWidth="true" width="5.5703125" collapsed="false"/>
  </cols>
  <sheetData>
    <row r="1" spans="1:49" x14ac:dyDescent="0.25">
      <c r="A1" s="11" t="s">
        <v>31</v>
      </c>
    </row>
    <row r="2" spans="1:49" ht="39" customHeight="1" x14ac:dyDescent="0.25">
      <c r="A2" s="39">
        <v>44044</v>
      </c>
      <c r="M2" s="138"/>
      <c r="N2" s="138"/>
    </row>
    <row r="3" spans="1:49" x14ac:dyDescent="0.25">
      <c r="K3" s="139" t="s">
        <v>81</v>
      </c>
      <c r="L3" s="139"/>
      <c r="M3" s="139"/>
      <c r="N3" s="139"/>
    </row>
    <row r="4" spans="1:49" ht="45" x14ac:dyDescent="0.25">
      <c r="A4" s="38" t="s">
        <v>30</v>
      </c>
      <c r="B4" s="38" t="s">
        <v>29</v>
      </c>
      <c r="C4" s="38" t="s">
        <v>28</v>
      </c>
      <c r="D4" s="37" t="s">
        <v>27</v>
      </c>
      <c r="E4" s="34" t="s">
        <v>26</v>
      </c>
      <c r="F4" s="36" t="s">
        <v>25</v>
      </c>
      <c r="G4" s="34" t="s">
        <v>24</v>
      </c>
      <c r="H4" s="36" t="s">
        <v>23</v>
      </c>
      <c r="I4" s="36" t="s">
        <v>22</v>
      </c>
      <c r="K4" s="34" t="s">
        <v>32</v>
      </c>
      <c r="L4" s="34" t="s">
        <v>34</v>
      </c>
      <c r="M4" s="34" t="s">
        <v>32</v>
      </c>
      <c r="N4" s="34" t="s">
        <v>33</v>
      </c>
    </row>
    <row r="5" spans="1:49" s="3" customFormat="1" x14ac:dyDescent="0.25">
      <c r="A5" s="32">
        <v>839415</v>
      </c>
      <c r="B5" s="29" t="s">
        <v>128</v>
      </c>
      <c r="C5" s="29" t="s">
        <v>129</v>
      </c>
      <c r="D5" s="24">
        <v>59500</v>
      </c>
      <c r="E5" s="27">
        <v>7.0000000000000007E-2</v>
      </c>
      <c r="F5" s="31" t="n">
        <f>D5*7%/12</f>
        <v>347.0833333333333</v>
      </c>
      <c r="G5" s="27">
        <v>0.5</v>
      </c>
      <c r="H5" s="31" t="n">
        <f>F5*50%</f>
        <v>173.54166666666666</v>
      </c>
      <c r="I5" s="26" t="n">
        <f t="shared" ref="I5" si="0">F5+H5</f>
        <v>520.625</v>
      </c>
      <c r="J5"/>
      <c r="K5" s="24">
        <v>903.58333333333348</v>
      </c>
      <c r="L5" s="24">
        <v>451.79166666666674</v>
      </c>
      <c r="M5" s="24" t="n">
        <f>K5+(F5*5)</f>
        <v>2639.0</v>
      </c>
      <c r="N5" s="24" t="n">
        <f>L5+(H5*5)</f>
        <v>1319.5</v>
      </c>
      <c r="O5"/>
      <c r="P5"/>
      <c r="Q5"/>
      <c r="R5"/>
      <c r="S5"/>
      <c r="T5"/>
      <c r="U5"/>
      <c r="V5"/>
      <c r="W5"/>
      <c r="X5"/>
      <c r="Y5"/>
      <c r="Z5"/>
      <c r="AA5"/>
      <c r="AB5"/>
      <c r="AC5"/>
      <c r="AD5"/>
      <c r="AE5"/>
      <c r="AF5"/>
      <c r="AG5"/>
      <c r="AH5"/>
      <c r="AI5"/>
      <c r="AJ5"/>
      <c r="AK5"/>
      <c r="AL5"/>
      <c r="AM5"/>
      <c r="AN5"/>
      <c r="AO5"/>
      <c r="AP5"/>
      <c r="AQ5"/>
      <c r="AR5"/>
      <c r="AS5"/>
      <c r="AT5"/>
      <c r="AU5"/>
      <c r="AV5"/>
      <c r="AW5"/>
    </row>
    <row r="6" spans="1:49" s="3" customFormat="1" x14ac:dyDescent="0.25">
      <c r="A6" s="32">
        <v>862567</v>
      </c>
      <c r="B6" s="29" t="s">
        <v>130</v>
      </c>
      <c r="C6" s="29" t="s">
        <v>131</v>
      </c>
      <c r="D6" s="24">
        <v>170400</v>
      </c>
      <c r="E6" s="27">
        <v>0.05</v>
      </c>
      <c r="F6" s="31" t="n">
        <f>D6*5%/12</f>
        <v>710.0</v>
      </c>
      <c r="G6" s="27">
        <v>0.5</v>
      </c>
      <c r="H6" s="31" t="n">
        <f>F6*50%</f>
        <v>355.0</v>
      </c>
      <c r="I6" s="26" t="n">
        <f t="shared" ref="I6:I17" si="1">F6+H6</f>
        <v>1065.0</v>
      </c>
      <c r="J6" s="11"/>
      <c r="K6" s="24">
        <v>2000</v>
      </c>
      <c r="L6" s="24">
        <v>1000</v>
      </c>
      <c r="M6" s="24" t="n">
        <f>K6+(F6*5)</f>
        <v>5550.0</v>
      </c>
      <c r="N6" s="24" t="n">
        <f>L6+(H6*5)</f>
        <v>2775.0</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3" customFormat="1" x14ac:dyDescent="0.25">
      <c r="A7" s="32">
        <v>881957</v>
      </c>
      <c r="B7" s="29" t="s">
        <v>132</v>
      </c>
      <c r="C7" s="29" t="s">
        <v>133</v>
      </c>
      <c r="D7" s="24">
        <v>51300</v>
      </c>
      <c r="E7" s="27">
        <v>0.05</v>
      </c>
      <c r="F7" s="31" t="n">
        <f>D7*5%/12</f>
        <v>213.75</v>
      </c>
      <c r="G7" s="27">
        <v>0.5</v>
      </c>
      <c r="H7" s="31" t="n">
        <f t="shared" ref="H7" si="2">F7*50%</f>
        <v>106.875</v>
      </c>
      <c r="I7" s="26" t="n">
        <f t="shared" si="1"/>
        <v>320.625</v>
      </c>
      <c r="J7" s="11"/>
      <c r="K7" s="24">
        <v>532.5</v>
      </c>
      <c r="L7" s="24">
        <v>266.25</v>
      </c>
      <c r="M7" s="24" t="n">
        <f>K7+(F7*5)</f>
        <v>1601.25</v>
      </c>
      <c r="N7" s="24" t="n">
        <f>L7+(H7*5)</f>
        <v>800.625</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2" customFormat="1" x14ac:dyDescent="0.25">
      <c r="A8" s="81">
        <v>886344</v>
      </c>
      <c r="B8" s="82" t="s">
        <v>134</v>
      </c>
      <c r="C8" s="82" t="s">
        <v>135</v>
      </c>
      <c r="D8" s="45">
        <v>151000</v>
      </c>
      <c r="E8" s="83">
        <v>0.12690000000000001</v>
      </c>
      <c r="F8" s="84" t="n">
        <f>D8*12.69%/12</f>
        <v>1596.8249999999998</v>
      </c>
      <c r="G8" s="85">
        <v>0.5</v>
      </c>
      <c r="H8" s="84">
        <v>0</v>
      </c>
      <c r="I8" s="86" t="n">
        <f t="shared" si="1"/>
        <v>1596.8249999999998</v>
      </c>
      <c r="J8" s="87"/>
      <c r="K8" s="45">
        <v>4875.0079999999998</v>
      </c>
      <c r="L8" s="45">
        <v>2437.5039999999999</v>
      </c>
      <c r="M8" s="45" t="n">
        <f>6666.07+(F8*5)</f>
        <v>14650.195</v>
      </c>
      <c r="N8" s="45" t="n">
        <f>4131.44+268.56</f>
        <v>4400.0</v>
      </c>
      <c r="O8" s="87" t="s">
        <v>89</v>
      </c>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row>
    <row r="9" spans="1:49" s="3" customFormat="1" x14ac:dyDescent="0.25">
      <c r="A9" s="32">
        <v>896998</v>
      </c>
      <c r="B9" s="29" t="s">
        <v>136</v>
      </c>
      <c r="C9" s="29" t="s">
        <v>137</v>
      </c>
      <c r="D9" s="24">
        <v>49200</v>
      </c>
      <c r="E9" s="27">
        <v>0.1</v>
      </c>
      <c r="F9" s="31" t="n">
        <f>D9*10%/12</f>
        <v>410.0</v>
      </c>
      <c r="G9" s="27">
        <v>0.5</v>
      </c>
      <c r="H9" s="31" t="n">
        <f>F9*50%</f>
        <v>205.0</v>
      </c>
      <c r="I9" s="26" t="n">
        <f t="shared" si="1"/>
        <v>615.0</v>
      </c>
      <c r="J9" s="11"/>
      <c r="K9" s="24">
        <v>1036.6666666666667</v>
      </c>
      <c r="L9" s="24">
        <v>518.33333333333337</v>
      </c>
      <c r="M9" s="24" t="n">
        <f>K9+(F9*5)</f>
        <v>3086.666666666667</v>
      </c>
      <c r="N9" s="24" t="n">
        <f>L9+(H9*5)</f>
        <v>1543.3333333333335</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67" customFormat="1" x14ac:dyDescent="0.25">
      <c r="A10" s="62">
        <v>896997</v>
      </c>
      <c r="B10" s="63" t="s">
        <v>138</v>
      </c>
      <c r="C10" s="63" t="s">
        <v>139</v>
      </c>
      <c r="D10" s="64">
        <v>0</v>
      </c>
      <c r="E10" s="65">
        <v>0.05</v>
      </c>
      <c r="F10" s="66" t="n">
        <f>D10*5%/12</f>
        <v>0.0</v>
      </c>
      <c r="G10" s="65">
        <v>0.5</v>
      </c>
      <c r="H10" s="66" t="n">
        <f>F10*50%</f>
        <v>0.0</v>
      </c>
      <c r="I10" s="28" t="n">
        <f t="shared" si="1"/>
        <v>0.0</v>
      </c>
      <c r="J10" s="11"/>
      <c r="K10" s="64">
        <v>634.58333333333337</v>
      </c>
      <c r="L10" s="64">
        <v>317.29166666666669</v>
      </c>
      <c r="M10" s="24" t="n">
        <f>K10+(F10*1)</f>
        <v>634.5833333333334</v>
      </c>
      <c r="N10" s="24" t="n">
        <f t="shared" ref="N10" si="3">L10+(H10*1)</f>
        <v>317.2916666666667</v>
      </c>
      <c r="O10" s="11" t="s">
        <v>88</v>
      </c>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3" customFormat="1" x14ac:dyDescent="0.25">
      <c r="A11" s="30">
        <v>900332</v>
      </c>
      <c r="B11" s="29" t="s">
        <v>140</v>
      </c>
      <c r="C11" s="29" t="s">
        <v>141</v>
      </c>
      <c r="D11" s="24">
        <v>140500</v>
      </c>
      <c r="E11" s="27">
        <v>0.1</v>
      </c>
      <c r="F11" s="31" t="n">
        <f>D11*10%/12</f>
        <v>1170.8333333333333</v>
      </c>
      <c r="G11" s="27">
        <v>0.5</v>
      </c>
      <c r="H11" s="31" t="n">
        <f>F11*50%</f>
        <v>585.4166666666666</v>
      </c>
      <c r="I11" s="26" t="n">
        <f t="shared" si="1"/>
        <v>1756.25</v>
      </c>
      <c r="J11" s="11"/>
      <c r="K11" s="24">
        <v>2942.5</v>
      </c>
      <c r="L11" s="24">
        <v>1471.25</v>
      </c>
      <c r="M11" s="24" t="n">
        <f t="shared" ref="M11" si="4">K11+(F11*5)</f>
        <v>8796.666666666666</v>
      </c>
      <c r="N11" s="45" t="n">
        <f t="shared" ref="N11" si="5">L11+(H11*5)</f>
        <v>4398.333333333333</v>
      </c>
      <c r="O11" s="11" t="s">
        <v>83</v>
      </c>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8" customFormat="1" x14ac:dyDescent="0.25">
      <c r="A12" s="23" t="s">
        <v>7</v>
      </c>
      <c r="B12" s="22" t="s">
        <v>142</v>
      </c>
      <c r="C12" s="22" t="s">
        <v>143</v>
      </c>
      <c r="D12" s="24">
        <v>54000</v>
      </c>
      <c r="E12" s="21" t="s">
        <v>4</v>
      </c>
      <c r="F12" s="31">
        <v>100</v>
      </c>
      <c r="G12" s="27">
        <v>0.5</v>
      </c>
      <c r="H12" s="31" t="n">
        <f>F12*50%</f>
        <v>50.0</v>
      </c>
      <c r="I12" s="20" t="n">
        <f t="shared" si="1"/>
        <v>150.0</v>
      </c>
      <c r="J12" s="9"/>
      <c r="K12" s="24">
        <v>300</v>
      </c>
      <c r="L12" s="24">
        <v>150</v>
      </c>
      <c r="M12" s="24" t="n">
        <f>K12+(F12*5)</f>
        <v>800.0</v>
      </c>
      <c r="N12" s="24" t="n">
        <f>L12+(H12*5)</f>
        <v>400.0</v>
      </c>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row>
    <row r="13" spans="1:49" s="4" customFormat="1" x14ac:dyDescent="0.25">
      <c r="A13" s="32">
        <v>931165</v>
      </c>
      <c r="B13" s="22" t="s">
        <v>144</v>
      </c>
      <c r="C13" s="22" t="s">
        <v>145</v>
      </c>
      <c r="D13" s="19">
        <v>114000</v>
      </c>
      <c r="E13" s="21">
        <v>0.1</v>
      </c>
      <c r="F13" s="31" t="n">
        <f>SUM(D13*E13)/12</f>
        <v>950.0</v>
      </c>
      <c r="G13" s="27">
        <v>0.5</v>
      </c>
      <c r="H13" s="31" t="n">
        <f>F13*50%</f>
        <v>475.0</v>
      </c>
      <c r="I13" s="20" t="n">
        <f t="shared" si="1"/>
        <v>1425.0</v>
      </c>
      <c r="J13" s="11"/>
      <c r="K13" s="24">
        <v>2848.3333333333335</v>
      </c>
      <c r="L13" s="24">
        <v>1424.1666666666667</v>
      </c>
      <c r="M13" s="24" t="n">
        <f>K13+(F13*5)</f>
        <v>7598.333333333334</v>
      </c>
      <c r="N13" s="45" t="n">
        <f>L13+(H13*5)</f>
        <v>3799.166666666667</v>
      </c>
      <c r="O13" s="11" t="s">
        <v>83</v>
      </c>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4" customFormat="1" x14ac:dyDescent="0.25">
      <c r="A14" s="47" t="s">
        <v>46</v>
      </c>
      <c r="B14" s="22" t="s">
        <v>146</v>
      </c>
      <c r="C14" s="22" t="s">
        <v>147</v>
      </c>
      <c r="D14" s="19">
        <v>104000</v>
      </c>
      <c r="E14" s="21">
        <v>0.1</v>
      </c>
      <c r="F14" s="31" t="n">
        <f>D14*E14/12</f>
        <v>866.6666666666666</v>
      </c>
      <c r="G14" s="27">
        <v>0.5</v>
      </c>
      <c r="H14" s="31" t="n">
        <f>F14/2</f>
        <v>433.3333333333333</v>
      </c>
      <c r="I14" s="20" t="n">
        <f t="shared" si="1"/>
        <v>1300.0</v>
      </c>
      <c r="J14" s="11"/>
      <c r="K14" s="24">
        <v>4250</v>
      </c>
      <c r="L14" s="24">
        <v>1275</v>
      </c>
      <c r="M14" s="24" t="n">
        <f>K14+(F14*5)</f>
        <v>8583.333333333332</v>
      </c>
      <c r="N14" s="24" t="n">
        <f>L14+(H14*5)</f>
        <v>3441.6666666666665</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4" customFormat="1" x14ac:dyDescent="0.25">
      <c r="A15" s="30">
        <v>943285</v>
      </c>
      <c r="B15" s="22" t="s">
        <v>148</v>
      </c>
      <c r="C15" s="22" t="s">
        <v>149</v>
      </c>
      <c r="D15" s="19">
        <v>227300</v>
      </c>
      <c r="E15" s="21" t="s">
        <v>4</v>
      </c>
      <c r="F15" s="31">
        <v>1000</v>
      </c>
      <c r="G15" s="27">
        <v>0.5</v>
      </c>
      <c r="H15" s="31" t="n">
        <f>F15/2</f>
        <v>500.0</v>
      </c>
      <c r="I15" s="20" t="n">
        <f t="shared" si="1"/>
        <v>1500.0</v>
      </c>
      <c r="J15" s="11"/>
      <c r="K15" s="24">
        <v>1000</v>
      </c>
      <c r="L15" s="24">
        <v>500</v>
      </c>
      <c r="M15" s="24" t="n">
        <f>K15+(F15*5)</f>
        <v>6000.0</v>
      </c>
      <c r="N15" s="24" t="n">
        <f>L15+(H15*5)</f>
        <v>3000.0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4" customFormat="1" x14ac:dyDescent="0.25">
      <c r="A16" s="30">
        <v>946506</v>
      </c>
      <c r="B16" s="22" t="s">
        <v>150</v>
      </c>
      <c r="C16" s="22" t="s">
        <v>151</v>
      </c>
      <c r="D16" s="19">
        <v>124000</v>
      </c>
      <c r="E16" s="21" t="s">
        <v>4</v>
      </c>
      <c r="F16" s="31">
        <v>733</v>
      </c>
      <c r="G16" s="27">
        <v>0.5</v>
      </c>
      <c r="H16" s="31" t="n">
        <f>F16/2</f>
        <v>366.5</v>
      </c>
      <c r="I16" s="20" t="n">
        <f t="shared" si="1"/>
        <v>1099.5</v>
      </c>
      <c r="J16" s="11"/>
      <c r="K16" s="24">
        <v>733</v>
      </c>
      <c r="L16" s="24">
        <v>366.5</v>
      </c>
      <c r="M16" s="24" t="n">
        <f>K16+(F16*5)</f>
        <v>4398.0</v>
      </c>
      <c r="N16" s="24" t="n">
        <f>L16+(H16*5)</f>
        <v>2199.0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80" customFormat="1" x14ac:dyDescent="0.25">
      <c r="A17" s="47">
        <v>962325</v>
      </c>
      <c r="B17" s="22" t="s">
        <v>155</v>
      </c>
      <c r="C17" s="22" t="s">
        <v>156</v>
      </c>
      <c r="D17" s="19">
        <v>60000</v>
      </c>
      <c r="E17" s="21">
        <v>0.03</v>
      </c>
      <c r="F17" s="79" t="n">
        <f>D17*E17/12</f>
        <v>150.0</v>
      </c>
      <c r="G17" s="21">
        <v>0.5</v>
      </c>
      <c r="H17" s="79" t="n">
        <f>F17/2</f>
        <v>75.0</v>
      </c>
      <c r="I17" s="20" t="n">
        <f t="shared" si="1"/>
        <v>225.0</v>
      </c>
      <c r="J17" s="9"/>
      <c r="K17" s="19">
        <v>733</v>
      </c>
      <c r="L17" s="19">
        <v>366.5</v>
      </c>
      <c r="M17" s="19" t="n">
        <f>F17*4</f>
        <v>600.0</v>
      </c>
      <c r="N17" s="19" t="n">
        <f>H17*4</f>
        <v>300.0</v>
      </c>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row>
    <row r="18" spans="1:49" s="4" customFormat="1" x14ac:dyDescent="0.25">
      <c r="A18" s="17"/>
      <c r="B18" s="16"/>
      <c r="C18" s="16"/>
      <c r="D18" s="12"/>
      <c r="E18" s="15"/>
      <c r="F18" s="14"/>
      <c r="G18" s="15"/>
      <c r="H18" s="14"/>
      <c r="I18" s="13"/>
      <c r="J18" s="11"/>
      <c r="K18" s="12"/>
      <c r="L18" s="12"/>
      <c r="M18" s="12"/>
      <c r="N18" s="12"/>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row>
    <row r="19" spans="1:49" x14ac:dyDescent="0.25">
      <c r="A19" s="6"/>
      <c r="D19" s="68"/>
      <c r="F19" s="7" t="n">
        <f>SUM(F5:F17)</f>
        <v>8248.158333333333</v>
      </c>
      <c r="H19" s="7" t="n">
        <f>SUM(H5:H17)</f>
        <v>3325.6666666666665</v>
      </c>
      <c r="I19" s="7" t="n">
        <f>SUM(I5:I17)</f>
        <v>11573.825</v>
      </c>
      <c r="K19" s="71"/>
      <c r="L19" s="7"/>
      <c r="M19" s="7" t="n">
        <f>SUM(M5:M17)</f>
        <v>64938.028333333335</v>
      </c>
      <c r="N19" s="7" t="n">
        <f>SUM(N5:N17)</f>
        <v>28693.916666666668</v>
      </c>
    </row>
    <row r="20" spans="1:49" ht="15.75" x14ac:dyDescent="0.25">
      <c r="A20" s="10" t="s">
        <v>1</v>
      </c>
      <c r="B20" s="6"/>
      <c r="C20" s="6"/>
      <c r="D20" s="6"/>
      <c r="E20" s="8"/>
      <c r="F20" s="7"/>
      <c r="G20" s="8"/>
      <c r="H20" s="7"/>
      <c r="I20" s="7"/>
    </row>
    <row r="21" spans="1:49" s="88" customFormat="1" ht="18.75" x14ac:dyDescent="0.3">
      <c r="A21" s="88" t="s">
        <v>35</v>
      </c>
      <c r="E21" s="89"/>
      <c r="F21" s="90"/>
      <c r="G21" s="89"/>
      <c r="H21" s="90"/>
      <c r="I21" s="90"/>
    </row>
    <row r="22" spans="1:49" ht="15.75" customHeight="1" x14ac:dyDescent="0.25"/>
    <row r="23" spans="1:49" ht="15.75" customHeight="1" x14ac:dyDescent="0.25">
      <c r="A23" s="5" t="s">
        <v>0</v>
      </c>
    </row>
    <row r="24" spans="1:49" s="74" customFormat="1" ht="21" x14ac:dyDescent="0.35">
      <c r="A24" s="77" t="s">
        <v>165</v>
      </c>
      <c r="E24" s="75"/>
      <c r="K24" s="76"/>
    </row>
    <row r="25" spans="1:49" ht="21" x14ac:dyDescent="0.35">
      <c r="A25" s="77"/>
    </row>
  </sheetData>
  <mergeCells count="3">
    <mergeCell ref="M2:N2"/>
    <mergeCell ref="K3:L3"/>
    <mergeCell ref="M3:N3"/>
  </mergeCells>
  <hyperlinks>
    <hyperlink ref="A12" r:id="rId1" location="0928091"/>
    <hyperlink ref="A13" r:id="rId2" location="0928091" display="https://www.pensionplanetinteractive.ie/ppi/content/loadSchemeMemberSearch.action - 0928091"/>
  </hyperlinks>
  <pageMargins left="0.70866141732283472" right="0.70866141732283472" top="0.74803149606299213" bottom="0.74803149606299213" header="0.31496062992125984" footer="0.31496062992125984"/>
  <pageSetup paperSize="9" scale="48" orientation="landscape"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4"/>
  <sheetViews>
    <sheetView workbookViewId="0"/>
  </sheetViews>
  <sheetFormatPr defaultColWidth="9.28515625" defaultRowHeight="15" x14ac:dyDescent="0.25"/>
  <sheetData>
    <row r="1" spans="1:6" x14ac:dyDescent="0.25">
      <c r="A1" s="125" t="s">
        <v>105</v>
      </c>
      <c r="B1" s="125" t="s">
        <v>106</v>
      </c>
      <c r="C1" s="125" t="s">
        <v>107</v>
      </c>
      <c r="D1" s="125" t="s">
        <v>108</v>
      </c>
      <c r="E1" s="125" t="s">
        <v>109</v>
      </c>
      <c r="F1" s="125" t="s">
        <v>110</v>
      </c>
    </row>
    <row r="2" spans="1:6" x14ac:dyDescent="0.25">
      <c r="A2" t="s">
        <v>111</v>
      </c>
      <c r="B2" t="s">
        <v>128</v>
      </c>
      <c r="C2" t="s">
        <v>129</v>
      </c>
      <c r="D2">
        <v>59500</v>
      </c>
      <c r="E2">
        <v>347.08</v>
      </c>
      <c r="F2">
        <v>451.79</v>
      </c>
    </row>
    <row r="3" spans="1:6" x14ac:dyDescent="0.25">
      <c r="A3" t="s">
        <v>112</v>
      </c>
      <c r="B3" t="s">
        <v>130</v>
      </c>
      <c r="C3" t="s">
        <v>131</v>
      </c>
      <c r="D3">
        <v>170400</v>
      </c>
      <c r="E3">
        <v>710</v>
      </c>
      <c r="F3">
        <v>1000</v>
      </c>
    </row>
    <row r="4" spans="1:6" x14ac:dyDescent="0.25">
      <c r="A4" t="s">
        <v>113</v>
      </c>
      <c r="B4" t="s">
        <v>132</v>
      </c>
      <c r="C4" t="s">
        <v>133</v>
      </c>
      <c r="D4">
        <v>51300</v>
      </c>
      <c r="E4">
        <v>213.75</v>
      </c>
      <c r="F4">
        <v>266.25</v>
      </c>
    </row>
    <row r="5" spans="1:6" x14ac:dyDescent="0.25">
      <c r="A5" t="s">
        <v>114</v>
      </c>
      <c r="B5" t="s">
        <v>134</v>
      </c>
      <c r="C5" t="s">
        <v>135</v>
      </c>
      <c r="D5">
        <v>151000</v>
      </c>
      <c r="E5">
        <v>1596.82</v>
      </c>
      <c r="F5">
        <v>2437.5</v>
      </c>
    </row>
    <row r="6" spans="1:6" x14ac:dyDescent="0.25">
      <c r="A6" t="s">
        <v>115</v>
      </c>
      <c r="B6" t="s">
        <v>136</v>
      </c>
      <c r="C6" t="s">
        <v>137</v>
      </c>
      <c r="D6">
        <v>49200</v>
      </c>
      <c r="E6">
        <v>410</v>
      </c>
      <c r="F6">
        <v>518.33000000000004</v>
      </c>
    </row>
    <row r="7" spans="1:6" x14ac:dyDescent="0.25">
      <c r="A7" t="s">
        <v>116</v>
      </c>
      <c r="B7" t="s">
        <v>138</v>
      </c>
      <c r="C7" t="s">
        <v>139</v>
      </c>
      <c r="D7">
        <v>0</v>
      </c>
      <c r="E7">
        <v>0</v>
      </c>
      <c r="F7">
        <v>317.29000000000002</v>
      </c>
    </row>
    <row r="8" spans="1:6" x14ac:dyDescent="0.25">
      <c r="A8" t="s">
        <v>117</v>
      </c>
      <c r="B8" t="s">
        <v>140</v>
      </c>
      <c r="C8" t="s">
        <v>141</v>
      </c>
      <c r="D8">
        <v>140500</v>
      </c>
      <c r="E8">
        <v>1170.83</v>
      </c>
      <c r="F8">
        <v>1471.25</v>
      </c>
    </row>
    <row r="9" spans="1:6" x14ac:dyDescent="0.25">
      <c r="A9" t="s">
        <v>7</v>
      </c>
      <c r="B9" t="s">
        <v>142</v>
      </c>
      <c r="C9" t="s">
        <v>143</v>
      </c>
      <c r="D9">
        <v>54000</v>
      </c>
      <c r="E9">
        <v>100</v>
      </c>
      <c r="F9">
        <v>150</v>
      </c>
    </row>
    <row r="10" spans="1:6" x14ac:dyDescent="0.25">
      <c r="A10" t="s">
        <v>118</v>
      </c>
      <c r="B10" t="s">
        <v>144</v>
      </c>
      <c r="C10" t="s">
        <v>145</v>
      </c>
      <c r="D10">
        <v>114000</v>
      </c>
      <c r="E10">
        <v>950</v>
      </c>
      <c r="F10">
        <v>1424.17</v>
      </c>
    </row>
    <row r="11" spans="1:6" x14ac:dyDescent="0.25">
      <c r="A11" t="s">
        <v>46</v>
      </c>
      <c r="B11" t="s">
        <v>146</v>
      </c>
      <c r="C11" t="s">
        <v>147</v>
      </c>
      <c r="D11">
        <v>104000</v>
      </c>
      <c r="E11">
        <v>866.67</v>
      </c>
      <c r="F11">
        <v>1275</v>
      </c>
    </row>
    <row r="12" spans="1:6" x14ac:dyDescent="0.25">
      <c r="A12" t="s">
        <v>119</v>
      </c>
      <c r="B12" t="s">
        <v>148</v>
      </c>
      <c r="C12" t="s">
        <v>149</v>
      </c>
      <c r="D12">
        <v>227300</v>
      </c>
      <c r="E12">
        <v>1000</v>
      </c>
      <c r="F12">
        <v>500</v>
      </c>
    </row>
    <row r="13" spans="1:6" x14ac:dyDescent="0.25">
      <c r="A13" t="s">
        <v>120</v>
      </c>
      <c r="B13" t="s">
        <v>150</v>
      </c>
      <c r="C13" t="s">
        <v>151</v>
      </c>
      <c r="D13">
        <v>124000</v>
      </c>
      <c r="E13">
        <v>733</v>
      </c>
      <c r="F13">
        <v>366.5</v>
      </c>
    </row>
    <row r="14" spans="1:6" x14ac:dyDescent="0.25">
      <c r="A14" t="s">
        <v>124</v>
      </c>
      <c r="B14" t="s">
        <v>155</v>
      </c>
      <c r="C14" t="s">
        <v>156</v>
      </c>
      <c r="D14">
        <v>60000</v>
      </c>
      <c r="E14">
        <v>150</v>
      </c>
      <c r="F14">
        <v>366.5</v>
      </c>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FF"/>
    <pageSetUpPr fitToPage="1"/>
  </sheetPr>
  <dimension ref="A1:AW25"/>
  <sheetViews>
    <sheetView zoomScale="85" zoomScaleNormal="85" workbookViewId="0">
      <selection activeCell="H14" sqref="H14"/>
    </sheetView>
  </sheetViews>
  <sheetFormatPr defaultRowHeight="15" x14ac:dyDescent="0.25"/>
  <cols>
    <col min="1" max="1" customWidth="true" width="14.5703125" collapsed="false"/>
    <col min="2" max="2" customWidth="true" width="13.140625" collapsed="false"/>
    <col min="3" max="3" customWidth="true" width="14.28515625" collapsed="false"/>
    <col min="4" max="4" customWidth="true" width="17.0" collapsed="false"/>
    <col min="5" max="5" customWidth="true" style="1" width="14.7109375" collapsed="false"/>
    <col min="6" max="6" customWidth="true" width="16.140625" collapsed="false"/>
    <col min="7" max="7" customWidth="true" width="9.85546875" collapsed="false"/>
    <col min="8" max="8" customWidth="true" width="16.140625" collapsed="false"/>
    <col min="9" max="9" customWidth="true" width="18.7109375" collapsed="false"/>
    <col min="10" max="10" customWidth="true" width="5.42578125" collapsed="false"/>
    <col min="11" max="11" customWidth="true" hidden="true" style="3" width="12.28515625" collapsed="false"/>
    <col min="12" max="12" customWidth="true" hidden="true" width="12.28515625" collapsed="false"/>
    <col min="13" max="14" bestFit="true" customWidth="true" width="12.140625" collapsed="false"/>
    <col min="15" max="15" customWidth="true" width="10.140625" collapsed="false"/>
    <col min="16" max="49" customWidth="true" width="5.5703125" collapsed="false"/>
  </cols>
  <sheetData>
    <row r="1" spans="1:49" x14ac:dyDescent="0.25">
      <c r="A1" s="11" t="s">
        <v>31</v>
      </c>
    </row>
    <row r="2" spans="1:49" ht="39" customHeight="1" x14ac:dyDescent="0.25">
      <c r="A2" s="39">
        <v>44075</v>
      </c>
      <c r="M2" s="138"/>
      <c r="N2" s="138"/>
    </row>
    <row r="3" spans="1:49" x14ac:dyDescent="0.25">
      <c r="K3" s="139" t="s">
        <v>81</v>
      </c>
      <c r="L3" s="139"/>
      <c r="M3" s="139"/>
      <c r="N3" s="139"/>
    </row>
    <row r="4" spans="1:49" ht="45" x14ac:dyDescent="0.25">
      <c r="A4" s="38" t="s">
        <v>30</v>
      </c>
      <c r="B4" s="38" t="s">
        <v>29</v>
      </c>
      <c r="C4" s="38" t="s">
        <v>28</v>
      </c>
      <c r="D4" s="37" t="s">
        <v>27</v>
      </c>
      <c r="E4" s="34" t="s">
        <v>26</v>
      </c>
      <c r="F4" s="36" t="s">
        <v>25</v>
      </c>
      <c r="G4" s="34" t="s">
        <v>24</v>
      </c>
      <c r="H4" s="36" t="s">
        <v>23</v>
      </c>
      <c r="I4" s="36" t="s">
        <v>22</v>
      </c>
      <c r="K4" s="34" t="s">
        <v>32</v>
      </c>
      <c r="L4" s="34" t="s">
        <v>34</v>
      </c>
      <c r="M4" s="34" t="s">
        <v>32</v>
      </c>
      <c r="N4" s="34" t="s">
        <v>33</v>
      </c>
    </row>
    <row r="5" spans="1:49" s="4" customFormat="1" x14ac:dyDescent="0.25">
      <c r="A5" s="92">
        <v>839415</v>
      </c>
      <c r="B5" s="93" t="s">
        <v>128</v>
      </c>
      <c r="C5" s="93" t="s">
        <v>129</v>
      </c>
      <c r="D5" s="94">
        <v>0</v>
      </c>
      <c r="E5" s="95">
        <v>7.0000000000000007E-2</v>
      </c>
      <c r="F5" s="96" t="n">
        <f>D5*7%/12</f>
        <v>0.0</v>
      </c>
      <c r="G5" s="95">
        <v>0.5</v>
      </c>
      <c r="H5" s="96" t="n">
        <f>F5*50%</f>
        <v>0.0</v>
      </c>
      <c r="I5" s="97" t="n">
        <f t="shared" ref="I5" si="0">F5+H5</f>
        <v>0.0</v>
      </c>
      <c r="J5" s="6"/>
      <c r="K5" s="94">
        <v>903.58333333333348</v>
      </c>
      <c r="L5" s="94">
        <v>451.79166666666674</v>
      </c>
      <c r="M5" s="94">
        <v>2639</v>
      </c>
      <c r="N5" s="94">
        <v>1319.5</v>
      </c>
      <c r="O5" s="6" t="s">
        <v>97</v>
      </c>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row>
    <row r="6" spans="1:49" s="3" customFormat="1" x14ac:dyDescent="0.25">
      <c r="A6" s="32">
        <v>862567</v>
      </c>
      <c r="B6" s="29" t="s">
        <v>130</v>
      </c>
      <c r="C6" s="29" t="s">
        <v>131</v>
      </c>
      <c r="D6" s="24">
        <v>170400</v>
      </c>
      <c r="E6" s="27">
        <v>0.05</v>
      </c>
      <c r="F6" s="31" t="n">
        <f>D6*5%/12</f>
        <v>710.0</v>
      </c>
      <c r="G6" s="27">
        <v>0.5</v>
      </c>
      <c r="H6" s="31" t="n">
        <f>F6*50%</f>
        <v>355.0</v>
      </c>
      <c r="I6" s="26" t="n">
        <f t="shared" ref="I6:I17" si="1">F6+H6</f>
        <v>1065.0</v>
      </c>
      <c r="J6" s="11"/>
      <c r="K6" s="24">
        <v>2000</v>
      </c>
      <c r="L6" s="24">
        <v>1000</v>
      </c>
      <c r="M6" s="24" t="n">
        <f>K6+(F6*6)</f>
        <v>6260.0</v>
      </c>
      <c r="N6" s="24" t="n">
        <f>L6+(H6*6)</f>
        <v>3130.0</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3" customFormat="1" x14ac:dyDescent="0.25">
      <c r="A7" s="32">
        <v>881957</v>
      </c>
      <c r="B7" s="29" t="s">
        <v>132</v>
      </c>
      <c r="C7" s="29" t="s">
        <v>133</v>
      </c>
      <c r="D7" s="24">
        <v>51300</v>
      </c>
      <c r="E7" s="27">
        <v>0.05</v>
      </c>
      <c r="F7" s="31" t="n">
        <f>D7*5%/12</f>
        <v>213.75</v>
      </c>
      <c r="G7" s="27">
        <v>0.5</v>
      </c>
      <c r="H7" s="31" t="n">
        <f t="shared" ref="H7" si="2">F7*50%</f>
        <v>106.875</v>
      </c>
      <c r="I7" s="26" t="n">
        <f t="shared" si="1"/>
        <v>320.625</v>
      </c>
      <c r="J7" s="11"/>
      <c r="K7" s="24">
        <v>532.5</v>
      </c>
      <c r="L7" s="24">
        <v>266.25</v>
      </c>
      <c r="M7" s="24" t="n">
        <f>K7+(F7*6)</f>
        <v>1815.0</v>
      </c>
      <c r="N7" s="24" t="n">
        <f>L7+(H7*6)</f>
        <v>907.5</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2" customFormat="1" x14ac:dyDescent="0.25">
      <c r="A8" s="81">
        <v>886344</v>
      </c>
      <c r="B8" s="82" t="s">
        <v>134</v>
      </c>
      <c r="C8" s="82" t="s">
        <v>135</v>
      </c>
      <c r="D8" s="45">
        <v>151000</v>
      </c>
      <c r="E8" s="83">
        <v>0.12690000000000001</v>
      </c>
      <c r="F8" s="84" t="n">
        <f>D8*12.69%/12</f>
        <v>1596.8249999999998</v>
      </c>
      <c r="G8" s="85">
        <v>0.5</v>
      </c>
      <c r="H8" s="84">
        <v>0</v>
      </c>
      <c r="I8" s="86" t="n">
        <f t="shared" si="1"/>
        <v>1596.8249999999998</v>
      </c>
      <c r="J8" s="87"/>
      <c r="K8" s="45">
        <v>4875.0079999999998</v>
      </c>
      <c r="L8" s="45">
        <v>2437.5039999999999</v>
      </c>
      <c r="M8" s="45" t="n">
        <f>6666.07+(F8*6)</f>
        <v>16247.019999999999</v>
      </c>
      <c r="N8" s="45" t="n">
        <f>4131.44+268.56</f>
        <v>4400.0</v>
      </c>
      <c r="O8" s="87" t="s">
        <v>89</v>
      </c>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row>
    <row r="9" spans="1:49" s="3" customFormat="1" x14ac:dyDescent="0.25">
      <c r="A9" s="32">
        <v>896998</v>
      </c>
      <c r="B9" s="29" t="s">
        <v>136</v>
      </c>
      <c r="C9" s="29" t="s">
        <v>137</v>
      </c>
      <c r="D9" s="24">
        <v>49200</v>
      </c>
      <c r="E9" s="27">
        <v>0.1</v>
      </c>
      <c r="F9" s="31" t="n">
        <f>D9*10%/12</f>
        <v>410.0</v>
      </c>
      <c r="G9" s="27">
        <v>0.5</v>
      </c>
      <c r="H9" s="31" t="n">
        <f>F9*50%</f>
        <v>205.0</v>
      </c>
      <c r="I9" s="26" t="n">
        <f t="shared" si="1"/>
        <v>615.0</v>
      </c>
      <c r="J9" s="11"/>
      <c r="K9" s="24">
        <v>1036.6666666666667</v>
      </c>
      <c r="L9" s="24">
        <v>518.33333333333337</v>
      </c>
      <c r="M9" s="24" t="n">
        <f>K9+(F9*6)</f>
        <v>3496.666666666667</v>
      </c>
      <c r="N9" s="24" t="n">
        <f>L9+(H9*6)</f>
        <v>1748.3333333333335</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67" customFormat="1" x14ac:dyDescent="0.25">
      <c r="A10" s="62">
        <v>896997</v>
      </c>
      <c r="B10" s="63" t="s">
        <v>138</v>
      </c>
      <c r="C10" s="63" t="s">
        <v>139</v>
      </c>
      <c r="D10" s="64">
        <v>0</v>
      </c>
      <c r="E10" s="65">
        <v>0.05</v>
      </c>
      <c r="F10" s="66" t="n">
        <f>D10*5%/12</f>
        <v>0.0</v>
      </c>
      <c r="G10" s="65">
        <v>0.5</v>
      </c>
      <c r="H10" s="66" t="n">
        <f>F10*50%</f>
        <v>0.0</v>
      </c>
      <c r="I10" s="28" t="n">
        <f t="shared" si="1"/>
        <v>0.0</v>
      </c>
      <c r="J10" s="11"/>
      <c r="K10" s="64">
        <v>634.58333333333337</v>
      </c>
      <c r="L10" s="64">
        <v>317.29166666666669</v>
      </c>
      <c r="M10" s="24" t="n">
        <f>K10+(F10*1)</f>
        <v>634.5833333333334</v>
      </c>
      <c r="N10" s="24" t="n">
        <f t="shared" ref="N10" si="3">L10+(H10*1)</f>
        <v>317.2916666666667</v>
      </c>
      <c r="O10" s="11" t="s">
        <v>88</v>
      </c>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2" customFormat="1" x14ac:dyDescent="0.25">
      <c r="A11" s="91">
        <v>900332</v>
      </c>
      <c r="B11" s="82" t="s">
        <v>140</v>
      </c>
      <c r="C11" s="82" t="s">
        <v>141</v>
      </c>
      <c r="D11" s="45">
        <v>140500</v>
      </c>
      <c r="E11" s="85">
        <v>0.1</v>
      </c>
      <c r="F11" s="84" t="n">
        <f>D11*10%/12</f>
        <v>1170.8333333333333</v>
      </c>
      <c r="G11" s="85">
        <v>0.5</v>
      </c>
      <c r="H11" s="84">
        <v>0</v>
      </c>
      <c r="I11" s="86" t="n">
        <f t="shared" si="1"/>
        <v>1170.8333333333333</v>
      </c>
      <c r="J11" s="87"/>
      <c r="K11" s="45">
        <v>2942.5</v>
      </c>
      <c r="L11" s="45">
        <v>1471.25</v>
      </c>
      <c r="M11" s="45" t="n">
        <f t="shared" ref="M11" si="4">K11+(F11*6)</f>
        <v>9967.5</v>
      </c>
      <c r="N11" s="45" t="n">
        <f>4398.33+1.67</f>
        <v>4400.0</v>
      </c>
      <c r="O11" s="87" t="s">
        <v>89</v>
      </c>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row>
    <row r="12" spans="1:49" s="18" customFormat="1" x14ac:dyDescent="0.25">
      <c r="A12" s="23" t="s">
        <v>7</v>
      </c>
      <c r="B12" s="22" t="s">
        <v>142</v>
      </c>
      <c r="C12" s="22" t="s">
        <v>143</v>
      </c>
      <c r="D12" s="24">
        <v>54000</v>
      </c>
      <c r="E12" s="21" t="s">
        <v>4</v>
      </c>
      <c r="F12" s="31">
        <v>100</v>
      </c>
      <c r="G12" s="27">
        <v>0.5</v>
      </c>
      <c r="H12" s="31" t="n">
        <f>F12*50%</f>
        <v>50.0</v>
      </c>
      <c r="I12" s="20" t="n">
        <f t="shared" si="1"/>
        <v>150.0</v>
      </c>
      <c r="J12" s="9"/>
      <c r="K12" s="24">
        <v>300</v>
      </c>
      <c r="L12" s="24">
        <v>150</v>
      </c>
      <c r="M12" s="24" t="n">
        <f>K12+(F12*6)</f>
        <v>900.0</v>
      </c>
      <c r="N12" s="24" t="n">
        <f>L12+(H12*6)</f>
        <v>450.0</v>
      </c>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row>
    <row r="13" spans="1:49" s="4" customFormat="1" x14ac:dyDescent="0.25">
      <c r="A13" s="32">
        <v>931165</v>
      </c>
      <c r="B13" s="22" t="s">
        <v>144</v>
      </c>
      <c r="C13" s="22" t="s">
        <v>145</v>
      </c>
      <c r="D13" s="19">
        <v>114000</v>
      </c>
      <c r="E13" s="21">
        <v>0.1</v>
      </c>
      <c r="F13" s="31" t="n">
        <f>SUM(D13*E13)/12</f>
        <v>950.0</v>
      </c>
      <c r="G13" s="27">
        <v>0.5</v>
      </c>
      <c r="H13" s="31" t="n">
        <f>F13*50%</f>
        <v>475.0</v>
      </c>
      <c r="I13" s="20" t="n">
        <f t="shared" si="1"/>
        <v>1425.0</v>
      </c>
      <c r="J13" s="11"/>
      <c r="K13" s="24">
        <v>2848.3333333333335</v>
      </c>
      <c r="L13" s="24">
        <v>1424.1666666666667</v>
      </c>
      <c r="M13" s="24" t="n">
        <f>K13+(F13*6)</f>
        <v>8548.333333333334</v>
      </c>
      <c r="N13" s="45" t="n">
        <f>L13+(H13*6)</f>
        <v>4274.166666666667</v>
      </c>
      <c r="O13" s="11" t="s">
        <v>83</v>
      </c>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42" customFormat="1" x14ac:dyDescent="0.25">
      <c r="A14" s="98" t="s">
        <v>46</v>
      </c>
      <c r="B14" s="99" t="s">
        <v>146</v>
      </c>
      <c r="C14" s="99" t="s">
        <v>147</v>
      </c>
      <c r="D14" s="100">
        <v>104000</v>
      </c>
      <c r="E14" s="101">
        <v>0.1</v>
      </c>
      <c r="F14" s="84" t="n">
        <f>D14*E14/12</f>
        <v>866.6666666666666</v>
      </c>
      <c r="G14" s="85">
        <v>0.5</v>
      </c>
      <c r="H14" s="84">
        <v>108.35</v>
      </c>
      <c r="I14" s="102" t="n">
        <f t="shared" si="1"/>
        <v>975.0166666666667</v>
      </c>
      <c r="J14" s="87"/>
      <c r="K14" s="45">
        <v>4250</v>
      </c>
      <c r="L14" s="45">
        <v>1275</v>
      </c>
      <c r="M14" s="45" t="n">
        <f>K14+(F14*6)</f>
        <v>9450.0</v>
      </c>
      <c r="N14" s="45">
        <v>4400</v>
      </c>
      <c r="O14" s="87" t="s">
        <v>89</v>
      </c>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row>
    <row r="15" spans="1:49" s="4" customFormat="1" x14ac:dyDescent="0.25">
      <c r="A15" s="30">
        <v>943285</v>
      </c>
      <c r="B15" s="22" t="s">
        <v>148</v>
      </c>
      <c r="C15" s="22" t="s">
        <v>149</v>
      </c>
      <c r="D15" s="19">
        <v>227300</v>
      </c>
      <c r="E15" s="21" t="s">
        <v>4</v>
      </c>
      <c r="F15" s="31">
        <v>1000</v>
      </c>
      <c r="G15" s="27">
        <v>0.5</v>
      </c>
      <c r="H15" s="31" t="n">
        <f>F15/2</f>
        <v>500.0</v>
      </c>
      <c r="I15" s="20" t="n">
        <f t="shared" si="1"/>
        <v>1500.0</v>
      </c>
      <c r="J15" s="11"/>
      <c r="K15" s="24">
        <v>1000</v>
      </c>
      <c r="L15" s="24">
        <v>500</v>
      </c>
      <c r="M15" s="24" t="n">
        <f>K15+(F15*6)</f>
        <v>7000.0</v>
      </c>
      <c r="N15" s="24" t="n">
        <f>L15+(H15*6)</f>
        <v>3500.0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4" customFormat="1" x14ac:dyDescent="0.25">
      <c r="A16" s="30">
        <v>946506</v>
      </c>
      <c r="B16" s="22" t="s">
        <v>150</v>
      </c>
      <c r="C16" s="22" t="s">
        <v>151</v>
      </c>
      <c r="D16" s="19">
        <v>124000</v>
      </c>
      <c r="E16" s="21" t="s">
        <v>4</v>
      </c>
      <c r="F16" s="31">
        <v>733</v>
      </c>
      <c r="G16" s="27">
        <v>0.5</v>
      </c>
      <c r="H16" s="31" t="n">
        <f>F16/2</f>
        <v>366.5</v>
      </c>
      <c r="I16" s="20" t="n">
        <f t="shared" si="1"/>
        <v>1099.5</v>
      </c>
      <c r="J16" s="11"/>
      <c r="K16" s="24">
        <v>733</v>
      </c>
      <c r="L16" s="24">
        <v>366.5</v>
      </c>
      <c r="M16" s="24" t="n">
        <f>K16+(F16*6)</f>
        <v>5131.0</v>
      </c>
      <c r="N16" s="24" t="n">
        <f>L16+(H16*6)</f>
        <v>2565.5</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80" customFormat="1" x14ac:dyDescent="0.25">
      <c r="A17" s="47">
        <v>962325</v>
      </c>
      <c r="B17" s="22" t="s">
        <v>155</v>
      </c>
      <c r="C17" s="22" t="s">
        <v>156</v>
      </c>
      <c r="D17" s="19">
        <v>60000</v>
      </c>
      <c r="E17" s="21">
        <v>0.03</v>
      </c>
      <c r="F17" s="79" t="n">
        <f>D17*E17/12</f>
        <v>150.0</v>
      </c>
      <c r="G17" s="21">
        <v>0.5</v>
      </c>
      <c r="H17" s="79" t="n">
        <f>F17/2</f>
        <v>75.0</v>
      </c>
      <c r="I17" s="20" t="n">
        <f t="shared" si="1"/>
        <v>225.0</v>
      </c>
      <c r="J17" s="9"/>
      <c r="K17" s="19">
        <v>733</v>
      </c>
      <c r="L17" s="19">
        <v>366.5</v>
      </c>
      <c r="M17" s="19" t="n">
        <f>F17*5</f>
        <v>750.0</v>
      </c>
      <c r="N17" s="19" t="n">
        <f>H17*5</f>
        <v>375.0</v>
      </c>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row>
    <row r="18" spans="1:49" s="4" customFormat="1" x14ac:dyDescent="0.25">
      <c r="A18" s="17"/>
      <c r="B18" s="16"/>
      <c r="C18" s="16"/>
      <c r="D18" s="12"/>
      <c r="E18" s="15"/>
      <c r="F18" s="14"/>
      <c r="G18" s="15"/>
      <c r="H18" s="14"/>
      <c r="I18" s="13"/>
      <c r="J18" s="11"/>
      <c r="K18" s="12"/>
      <c r="L18" s="12"/>
      <c r="M18" s="12"/>
      <c r="N18" s="12"/>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row>
    <row r="19" spans="1:49" x14ac:dyDescent="0.25">
      <c r="A19" s="6"/>
      <c r="D19" s="68"/>
      <c r="F19" s="7" t="n">
        <f>SUM(F5:F17)</f>
        <v>7901.075</v>
      </c>
      <c r="H19" s="7" t="n">
        <f>SUM(H5:H17)</f>
        <v>2241.725</v>
      </c>
      <c r="I19" s="7" t="n">
        <f>SUM(I5:I17)</f>
        <v>10142.8</v>
      </c>
      <c r="K19" s="71"/>
      <c r="L19" s="7"/>
      <c r="M19" s="7" t="n">
        <f>SUM(M5:M17)</f>
        <v>72839.10333333333</v>
      </c>
      <c r="N19" s="7" t="n">
        <f>SUM(N5:N17)</f>
        <v>31787.291666666668</v>
      </c>
    </row>
    <row r="20" spans="1:49" ht="15.75" x14ac:dyDescent="0.25">
      <c r="A20" s="10" t="s">
        <v>1</v>
      </c>
      <c r="B20" s="6"/>
      <c r="C20" s="6"/>
      <c r="D20" s="6"/>
      <c r="E20" s="8"/>
      <c r="F20" s="7"/>
      <c r="G20" s="8"/>
      <c r="H20" s="7"/>
      <c r="I20" s="7"/>
    </row>
    <row r="21" spans="1:49" s="88" customFormat="1" ht="18.75" x14ac:dyDescent="0.3">
      <c r="A21" s="88" t="s">
        <v>35</v>
      </c>
      <c r="E21" s="89"/>
      <c r="F21" s="90"/>
      <c r="G21" s="89"/>
      <c r="H21" s="90"/>
      <c r="I21" s="90"/>
    </row>
    <row r="22" spans="1:49" ht="15.75" customHeight="1" x14ac:dyDescent="0.25"/>
    <row r="23" spans="1:49" ht="15.75" customHeight="1" x14ac:dyDescent="0.25">
      <c r="A23" s="5" t="s">
        <v>0</v>
      </c>
    </row>
    <row r="24" spans="1:49" s="74" customFormat="1" ht="21" x14ac:dyDescent="0.35">
      <c r="A24" s="77" t="s">
        <v>165</v>
      </c>
      <c r="E24" s="75"/>
      <c r="K24" s="76"/>
    </row>
    <row r="25" spans="1:49" ht="21" x14ac:dyDescent="0.35">
      <c r="A25" s="77"/>
    </row>
  </sheetData>
  <mergeCells count="3">
    <mergeCell ref="M2:N2"/>
    <mergeCell ref="K3:L3"/>
    <mergeCell ref="M3:N3"/>
  </mergeCells>
  <hyperlinks>
    <hyperlink ref="A12" r:id="rId1" location="0928091"/>
    <hyperlink ref="A13" r:id="rId2" location="0928091" display="https://www.pensionplanetinteractive.ie/ppi/content/loadSchemeMemberSearch.action - 0928091"/>
  </hyperlinks>
  <pageMargins left="0.70866141732283472" right="0.70866141732283472" top="0.74803149606299213" bottom="0.74803149606299213" header="0.31496062992125984" footer="0.31496062992125984"/>
  <pageSetup paperSize="9" scale="48" orientation="landscape" r:id="rId3"/>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4"/>
  <sheetViews>
    <sheetView workbookViewId="0"/>
  </sheetViews>
  <sheetFormatPr defaultColWidth="9.28515625" defaultRowHeight="15" x14ac:dyDescent="0.25"/>
  <sheetData>
    <row r="1" spans="1:6" x14ac:dyDescent="0.25">
      <c r="A1" s="125" t="s">
        <v>105</v>
      </c>
      <c r="B1" s="125" t="s">
        <v>106</v>
      </c>
      <c r="C1" s="125" t="s">
        <v>107</v>
      </c>
      <c r="D1" s="125" t="s">
        <v>108</v>
      </c>
      <c r="E1" s="125" t="s">
        <v>109</v>
      </c>
      <c r="F1" s="125" t="s">
        <v>110</v>
      </c>
    </row>
    <row r="2" spans="1:6" x14ac:dyDescent="0.25">
      <c r="A2" t="s">
        <v>111</v>
      </c>
      <c r="B2" t="s">
        <v>128</v>
      </c>
      <c r="C2" t="s">
        <v>129</v>
      </c>
      <c r="D2">
        <v>0</v>
      </c>
      <c r="E2">
        <v>0</v>
      </c>
      <c r="F2">
        <v>451.79</v>
      </c>
    </row>
    <row r="3" spans="1:6" x14ac:dyDescent="0.25">
      <c r="A3" t="s">
        <v>112</v>
      </c>
      <c r="B3" t="s">
        <v>130</v>
      </c>
      <c r="C3" t="s">
        <v>131</v>
      </c>
      <c r="D3">
        <v>170400</v>
      </c>
      <c r="E3">
        <v>710</v>
      </c>
      <c r="F3">
        <v>1000</v>
      </c>
    </row>
    <row r="4" spans="1:6" x14ac:dyDescent="0.25">
      <c r="A4" t="s">
        <v>113</v>
      </c>
      <c r="B4" t="s">
        <v>132</v>
      </c>
      <c r="C4" t="s">
        <v>133</v>
      </c>
      <c r="D4">
        <v>51300</v>
      </c>
      <c r="E4">
        <v>213.75</v>
      </c>
      <c r="F4">
        <v>266.25</v>
      </c>
    </row>
    <row r="5" spans="1:6" x14ac:dyDescent="0.25">
      <c r="A5" t="s">
        <v>114</v>
      </c>
      <c r="B5" t="s">
        <v>134</v>
      </c>
      <c r="C5" t="s">
        <v>135</v>
      </c>
      <c r="D5">
        <v>151000</v>
      </c>
      <c r="E5">
        <v>1596.82</v>
      </c>
      <c r="F5">
        <v>2437.5</v>
      </c>
    </row>
    <row r="6" spans="1:6" x14ac:dyDescent="0.25">
      <c r="A6" t="s">
        <v>115</v>
      </c>
      <c r="B6" t="s">
        <v>136</v>
      </c>
      <c r="C6" t="s">
        <v>137</v>
      </c>
      <c r="D6">
        <v>49200</v>
      </c>
      <c r="E6">
        <v>410</v>
      </c>
      <c r="F6">
        <v>518.33000000000004</v>
      </c>
    </row>
    <row r="7" spans="1:6" x14ac:dyDescent="0.25">
      <c r="A7" t="s">
        <v>116</v>
      </c>
      <c r="B7" t="s">
        <v>138</v>
      </c>
      <c r="C7" t="s">
        <v>139</v>
      </c>
      <c r="D7">
        <v>0</v>
      </c>
      <c r="E7">
        <v>0</v>
      </c>
      <c r="F7">
        <v>317.29000000000002</v>
      </c>
    </row>
    <row r="8" spans="1:6" x14ac:dyDescent="0.25">
      <c r="A8" t="s">
        <v>117</v>
      </c>
      <c r="B8" t="s">
        <v>140</v>
      </c>
      <c r="C8" t="s">
        <v>141</v>
      </c>
      <c r="D8">
        <v>140500</v>
      </c>
      <c r="E8">
        <v>1170.83</v>
      </c>
      <c r="F8">
        <v>1471.25</v>
      </c>
    </row>
    <row r="9" spans="1:6" x14ac:dyDescent="0.25">
      <c r="A9" t="s">
        <v>7</v>
      </c>
      <c r="B9" t="s">
        <v>142</v>
      </c>
      <c r="C9" t="s">
        <v>143</v>
      </c>
      <c r="D9">
        <v>54000</v>
      </c>
      <c r="E9">
        <v>100</v>
      </c>
      <c r="F9">
        <v>150</v>
      </c>
    </row>
    <row r="10" spans="1:6" x14ac:dyDescent="0.25">
      <c r="A10" t="s">
        <v>118</v>
      </c>
      <c r="B10" t="s">
        <v>144</v>
      </c>
      <c r="C10" t="s">
        <v>145</v>
      </c>
      <c r="D10">
        <v>114000</v>
      </c>
      <c r="E10">
        <v>950</v>
      </c>
      <c r="F10">
        <v>1424.17</v>
      </c>
    </row>
    <row r="11" spans="1:6" x14ac:dyDescent="0.25">
      <c r="A11" t="s">
        <v>46</v>
      </c>
      <c r="B11" t="s">
        <v>146</v>
      </c>
      <c r="C11" t="s">
        <v>147</v>
      </c>
      <c r="D11">
        <v>104000</v>
      </c>
      <c r="E11">
        <v>866.67</v>
      </c>
      <c r="F11">
        <v>1275</v>
      </c>
    </row>
    <row r="12" spans="1:6" x14ac:dyDescent="0.25">
      <c r="A12" t="s">
        <v>119</v>
      </c>
      <c r="B12" t="s">
        <v>148</v>
      </c>
      <c r="C12" t="s">
        <v>149</v>
      </c>
      <c r="D12">
        <v>227300</v>
      </c>
      <c r="E12">
        <v>1000</v>
      </c>
      <c r="F12">
        <v>500</v>
      </c>
    </row>
    <row r="13" spans="1:6" x14ac:dyDescent="0.25">
      <c r="A13" t="s">
        <v>120</v>
      </c>
      <c r="B13" t="s">
        <v>150</v>
      </c>
      <c r="C13" t="s">
        <v>151</v>
      </c>
      <c r="D13">
        <v>124000</v>
      </c>
      <c r="E13">
        <v>733</v>
      </c>
      <c r="F13">
        <v>366.5</v>
      </c>
    </row>
    <row r="14" spans="1:6" x14ac:dyDescent="0.25">
      <c r="A14" t="s">
        <v>124</v>
      </c>
      <c r="B14" t="s">
        <v>155</v>
      </c>
      <c r="C14" t="s">
        <v>156</v>
      </c>
      <c r="D14">
        <v>60000</v>
      </c>
      <c r="E14">
        <v>150</v>
      </c>
      <c r="F14">
        <v>366.5</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0"/>
  <sheetViews>
    <sheetView workbookViewId="0"/>
  </sheetViews>
  <sheetFormatPr defaultColWidth="9.28515625" defaultRowHeight="15" x14ac:dyDescent="0.25"/>
  <sheetData>
    <row r="1" spans="1:6" x14ac:dyDescent="0.25">
      <c r="A1" s="125" t="s">
        <v>105</v>
      </c>
      <c r="B1" s="125" t="s">
        <v>106</v>
      </c>
      <c r="C1" s="125" t="s">
        <v>107</v>
      </c>
      <c r="D1" s="125" t="s">
        <v>108</v>
      </c>
      <c r="E1" s="125" t="s">
        <v>109</v>
      </c>
      <c r="F1" s="125" t="s">
        <v>110</v>
      </c>
    </row>
    <row r="2" spans="1:6" x14ac:dyDescent="0.25">
      <c r="A2" t="s">
        <v>111</v>
      </c>
      <c r="B2" t="s">
        <v>128</v>
      </c>
      <c r="C2" t="s">
        <v>129</v>
      </c>
      <c r="D2">
        <v>48300</v>
      </c>
      <c r="E2">
        <v>281.75</v>
      </c>
      <c r="F2">
        <v>140.88</v>
      </c>
    </row>
    <row r="3" spans="1:6" x14ac:dyDescent="0.25">
      <c r="A3" t="s">
        <v>112</v>
      </c>
      <c r="B3" t="s">
        <v>130</v>
      </c>
      <c r="C3" t="s">
        <v>131</v>
      </c>
      <c r="D3">
        <v>160000</v>
      </c>
      <c r="E3">
        <v>666.67</v>
      </c>
      <c r="F3">
        <v>333.33</v>
      </c>
    </row>
    <row r="4" spans="1:6" x14ac:dyDescent="0.25">
      <c r="A4" t="s">
        <v>113</v>
      </c>
      <c r="B4" t="s">
        <v>132</v>
      </c>
      <c r="C4" t="s">
        <v>133</v>
      </c>
      <c r="D4">
        <v>42600</v>
      </c>
      <c r="E4">
        <v>177.5</v>
      </c>
      <c r="F4">
        <v>88.75</v>
      </c>
    </row>
    <row r="5" spans="1:6" x14ac:dyDescent="0.25">
      <c r="A5" t="s">
        <v>114</v>
      </c>
      <c r="B5" t="s">
        <v>134</v>
      </c>
      <c r="C5" t="s">
        <v>135</v>
      </c>
      <c r="D5">
        <v>137000</v>
      </c>
      <c r="E5">
        <v>1625</v>
      </c>
      <c r="F5">
        <v>812.5</v>
      </c>
    </row>
    <row r="6" spans="1:6" x14ac:dyDescent="0.25">
      <c r="A6" t="s">
        <v>115</v>
      </c>
      <c r="B6" t="s">
        <v>136</v>
      </c>
      <c r="C6" t="s">
        <v>137</v>
      </c>
      <c r="D6">
        <v>39200</v>
      </c>
      <c r="E6">
        <v>326.67</v>
      </c>
      <c r="F6">
        <v>163.33000000000001</v>
      </c>
    </row>
    <row r="7" spans="1:6" x14ac:dyDescent="0.25">
      <c r="A7" t="s">
        <v>116</v>
      </c>
      <c r="B7" t="s">
        <v>138</v>
      </c>
      <c r="C7" t="s">
        <v>139</v>
      </c>
      <c r="D7">
        <v>49300</v>
      </c>
      <c r="E7">
        <v>205.42</v>
      </c>
      <c r="F7">
        <v>102.71</v>
      </c>
    </row>
    <row r="8" spans="1:6" x14ac:dyDescent="0.25">
      <c r="A8" t="s">
        <v>117</v>
      </c>
      <c r="B8" t="s">
        <v>140</v>
      </c>
      <c r="C8" t="s">
        <v>141</v>
      </c>
      <c r="D8">
        <v>110500</v>
      </c>
      <c r="E8">
        <v>920.83</v>
      </c>
      <c r="F8">
        <v>460.42</v>
      </c>
    </row>
    <row r="9" spans="1:6" x14ac:dyDescent="0.25">
      <c r="A9" t="s">
        <v>7</v>
      </c>
      <c r="B9" t="s">
        <v>142</v>
      </c>
      <c r="C9" t="s">
        <v>143</v>
      </c>
      <c r="D9">
        <v>52000</v>
      </c>
      <c r="E9">
        <v>100</v>
      </c>
      <c r="F9">
        <v>50</v>
      </c>
    </row>
    <row r="10" spans="1:6" x14ac:dyDescent="0.25">
      <c r="A10" t="s">
        <v>118</v>
      </c>
      <c r="B10" t="s">
        <v>144</v>
      </c>
      <c r="C10" t="s">
        <v>145</v>
      </c>
      <c r="D10">
        <v>110000</v>
      </c>
      <c r="E10">
        <v>920.83</v>
      </c>
      <c r="F10">
        <v>460.42</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FF"/>
    <pageSetUpPr fitToPage="1"/>
  </sheetPr>
  <dimension ref="A1:AW28"/>
  <sheetViews>
    <sheetView zoomScale="85" zoomScaleNormal="85" workbookViewId="0">
      <selection activeCell="D32" sqref="D32"/>
    </sheetView>
  </sheetViews>
  <sheetFormatPr defaultRowHeight="15" x14ac:dyDescent="0.25"/>
  <cols>
    <col min="1" max="1" customWidth="true" width="14.5703125" collapsed="false"/>
    <col min="2" max="2" customWidth="true" width="13.140625" collapsed="false"/>
    <col min="3" max="3" customWidth="true" width="14.28515625" collapsed="false"/>
    <col min="4" max="4" customWidth="true" width="17.0" collapsed="false"/>
    <col min="5" max="5" customWidth="true" style="1" width="14.7109375" collapsed="false"/>
    <col min="6" max="6" customWidth="true" width="16.140625" collapsed="false"/>
    <col min="7" max="7" customWidth="true" width="9.85546875" collapsed="false"/>
    <col min="8" max="8" customWidth="true" width="16.140625" collapsed="false"/>
    <col min="9" max="9" customWidth="true" width="11.7109375" collapsed="false"/>
    <col min="10" max="10" customWidth="true" hidden="true" width="8.140625" collapsed="false"/>
    <col min="11" max="11" customWidth="true" hidden="true" style="3" width="4.5703125" collapsed="false"/>
    <col min="12" max="12" customWidth="true" width="1.28515625" collapsed="false"/>
    <col min="13" max="14" bestFit="true" customWidth="true" width="12.140625" collapsed="false"/>
    <col min="15" max="15" customWidth="true" width="10.140625" collapsed="false"/>
    <col min="16" max="49" customWidth="true" width="5.5703125" collapsed="false"/>
  </cols>
  <sheetData>
    <row r="1" spans="1:49" x14ac:dyDescent="0.25">
      <c r="A1" s="11" t="s">
        <v>31</v>
      </c>
    </row>
    <row r="2" spans="1:49" ht="39" customHeight="1" x14ac:dyDescent="0.25">
      <c r="A2" s="39">
        <v>44105</v>
      </c>
      <c r="M2" s="138"/>
      <c r="N2" s="138"/>
    </row>
    <row r="3" spans="1:49" x14ac:dyDescent="0.25">
      <c r="K3" s="139" t="s">
        <v>81</v>
      </c>
      <c r="L3" s="139"/>
      <c r="M3" s="139"/>
      <c r="N3" s="139"/>
    </row>
    <row r="4" spans="1:49" ht="45" x14ac:dyDescent="0.25">
      <c r="A4" s="38" t="s">
        <v>30</v>
      </c>
      <c r="B4" s="38" t="s">
        <v>29</v>
      </c>
      <c r="C4" s="38" t="s">
        <v>28</v>
      </c>
      <c r="D4" s="37" t="s">
        <v>27</v>
      </c>
      <c r="E4" s="34" t="s">
        <v>26</v>
      </c>
      <c r="F4" s="36" t="s">
        <v>25</v>
      </c>
      <c r="G4" s="34" t="s">
        <v>24</v>
      </c>
      <c r="H4" s="36" t="s">
        <v>23</v>
      </c>
      <c r="I4" s="36" t="s">
        <v>22</v>
      </c>
      <c r="K4" s="34" t="s">
        <v>32</v>
      </c>
      <c r="L4" s="34" t="s">
        <v>34</v>
      </c>
      <c r="M4" s="34" t="s">
        <v>32</v>
      </c>
      <c r="N4" s="34" t="s">
        <v>33</v>
      </c>
    </row>
    <row r="5" spans="1:49" s="4" customFormat="1" x14ac:dyDescent="0.25">
      <c r="A5" s="92">
        <v>839415</v>
      </c>
      <c r="B5" s="93" t="s">
        <v>128</v>
      </c>
      <c r="C5" s="93" t="s">
        <v>129</v>
      </c>
      <c r="D5" s="94">
        <v>0</v>
      </c>
      <c r="E5" s="95">
        <v>7.0000000000000007E-2</v>
      </c>
      <c r="F5" s="96" t="n">
        <f>D5*7%/12</f>
        <v>0.0</v>
      </c>
      <c r="G5" s="95">
        <v>0.5</v>
      </c>
      <c r="H5" s="96" t="n">
        <f>F5*50%</f>
        <v>0.0</v>
      </c>
      <c r="I5" s="97" t="n">
        <f t="shared" ref="I5" si="0">F5+H5</f>
        <v>0.0</v>
      </c>
      <c r="J5" s="6"/>
      <c r="K5" s="94">
        <v>903.58333333333348</v>
      </c>
      <c r="L5" s="94">
        <v>451.79166666666674</v>
      </c>
      <c r="M5" s="94">
        <v>2639</v>
      </c>
      <c r="N5" s="94">
        <v>1319.5</v>
      </c>
      <c r="O5" s="6" t="s">
        <v>97</v>
      </c>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row>
    <row r="6" spans="1:49" s="3" customFormat="1" x14ac:dyDescent="0.25">
      <c r="A6" s="32">
        <v>862567</v>
      </c>
      <c r="B6" s="29" t="s">
        <v>130</v>
      </c>
      <c r="C6" s="29" t="s">
        <v>131</v>
      </c>
      <c r="D6" s="24">
        <v>170400</v>
      </c>
      <c r="E6" s="27">
        <v>0.05</v>
      </c>
      <c r="F6" s="31" t="n">
        <f>D6*5%/12</f>
        <v>710.0</v>
      </c>
      <c r="G6" s="27">
        <v>0.5</v>
      </c>
      <c r="H6" s="31" t="n">
        <f>F6*50%</f>
        <v>355.0</v>
      </c>
      <c r="I6" s="26" t="n">
        <f t="shared" ref="I6:I20" si="1">F6+H6</f>
        <v>1065.0</v>
      </c>
      <c r="J6" s="11"/>
      <c r="K6" s="24">
        <v>2000</v>
      </c>
      <c r="L6" s="24">
        <v>1000</v>
      </c>
      <c r="M6" s="24" t="n">
        <f>K6+(F6*7)</f>
        <v>6970.0</v>
      </c>
      <c r="N6" s="24" t="n">
        <f>L6+(H6*7)</f>
        <v>3485.0</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3" customFormat="1" x14ac:dyDescent="0.25">
      <c r="A7" s="32">
        <v>881957</v>
      </c>
      <c r="B7" s="29" t="s">
        <v>132</v>
      </c>
      <c r="C7" s="29" t="s">
        <v>133</v>
      </c>
      <c r="D7" s="24">
        <v>51300</v>
      </c>
      <c r="E7" s="27">
        <v>0.05</v>
      </c>
      <c r="F7" s="31" t="n">
        <f>D7*5%/12</f>
        <v>213.75</v>
      </c>
      <c r="G7" s="27">
        <v>0.5</v>
      </c>
      <c r="H7" s="31" t="n">
        <f t="shared" ref="H7" si="2">F7*50%</f>
        <v>106.875</v>
      </c>
      <c r="I7" s="26" t="n">
        <f t="shared" si="1"/>
        <v>320.625</v>
      </c>
      <c r="J7" s="11"/>
      <c r="K7" s="24">
        <v>532.5</v>
      </c>
      <c r="L7" s="24">
        <v>266.25</v>
      </c>
      <c r="M7" s="24" t="n">
        <f>K7+(F7*7)</f>
        <v>2028.75</v>
      </c>
      <c r="N7" s="24" t="n">
        <f>L7+(H7*7)</f>
        <v>1014.375</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2" customFormat="1" x14ac:dyDescent="0.25">
      <c r="A8" s="81">
        <v>886344</v>
      </c>
      <c r="B8" s="82" t="s">
        <v>134</v>
      </c>
      <c r="C8" s="82" t="s">
        <v>135</v>
      </c>
      <c r="D8" s="45">
        <v>151000</v>
      </c>
      <c r="E8" s="83">
        <v>0.12690000000000001</v>
      </c>
      <c r="F8" s="84" t="n">
        <f>D8*12.69%/12</f>
        <v>1596.8249999999998</v>
      </c>
      <c r="G8" s="85">
        <v>0.5</v>
      </c>
      <c r="H8" s="84">
        <v>0</v>
      </c>
      <c r="I8" s="86" t="n">
        <f t="shared" si="1"/>
        <v>1596.8249999999998</v>
      </c>
      <c r="J8" s="87"/>
      <c r="K8" s="45">
        <v>4875.0079999999998</v>
      </c>
      <c r="L8" s="45">
        <v>2437.5039999999999</v>
      </c>
      <c r="M8" s="45" t="n">
        <f>6666.07+(F8*7)</f>
        <v>17843.844999999998</v>
      </c>
      <c r="N8" s="45" t="n">
        <f>4131.44+268.56</f>
        <v>4400.0</v>
      </c>
      <c r="O8" s="87" t="s">
        <v>89</v>
      </c>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row>
    <row r="9" spans="1:49" s="3" customFormat="1" x14ac:dyDescent="0.25">
      <c r="A9" s="32">
        <v>896998</v>
      </c>
      <c r="B9" s="29" t="s">
        <v>136</v>
      </c>
      <c r="C9" s="29" t="s">
        <v>137</v>
      </c>
      <c r="D9" s="24">
        <v>49200</v>
      </c>
      <c r="E9" s="27">
        <v>0.1</v>
      </c>
      <c r="F9" s="31" t="n">
        <f>D9*10%/12</f>
        <v>410.0</v>
      </c>
      <c r="G9" s="27">
        <v>0.5</v>
      </c>
      <c r="H9" s="31" t="n">
        <f>F9*50%</f>
        <v>205.0</v>
      </c>
      <c r="I9" s="26" t="n">
        <f t="shared" si="1"/>
        <v>615.0</v>
      </c>
      <c r="J9" s="11"/>
      <c r="K9" s="24">
        <v>1036.6666666666667</v>
      </c>
      <c r="L9" s="24">
        <v>518.33333333333337</v>
      </c>
      <c r="M9" s="24" t="n">
        <f>K9+(F9*7)</f>
        <v>3906.666666666667</v>
      </c>
      <c r="N9" s="24" t="n">
        <f>L9+(H9*7)</f>
        <v>1953.3333333333335</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4" customFormat="1" x14ac:dyDescent="0.25">
      <c r="A10" s="92">
        <v>896997</v>
      </c>
      <c r="B10" s="93" t="s">
        <v>138</v>
      </c>
      <c r="C10" s="93" t="s">
        <v>139</v>
      </c>
      <c r="D10" s="94">
        <v>0</v>
      </c>
      <c r="E10" s="95">
        <v>0.05</v>
      </c>
      <c r="F10" s="96" t="n">
        <f>D10*5%/12</f>
        <v>0.0</v>
      </c>
      <c r="G10" s="95">
        <v>0.5</v>
      </c>
      <c r="H10" s="96" t="n">
        <f>F10*50%</f>
        <v>0.0</v>
      </c>
      <c r="I10" s="97" t="n">
        <f t="shared" si="1"/>
        <v>0.0</v>
      </c>
      <c r="J10" s="6"/>
      <c r="K10" s="94">
        <v>634.58333333333337</v>
      </c>
      <c r="L10" s="94">
        <v>317.29166666666669</v>
      </c>
      <c r="M10" s="103" t="n">
        <f>K10+(F10*1)</f>
        <v>634.5833333333334</v>
      </c>
      <c r="N10" s="103" t="n">
        <f t="shared" ref="N10" si="3">L10+(H10*1)</f>
        <v>317.2916666666667</v>
      </c>
      <c r="O10" s="6" t="s">
        <v>88</v>
      </c>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2" customFormat="1" x14ac:dyDescent="0.25">
      <c r="A11" s="91">
        <v>900332</v>
      </c>
      <c r="B11" s="82" t="s">
        <v>140</v>
      </c>
      <c r="C11" s="82" t="s">
        <v>141</v>
      </c>
      <c r="D11" s="45">
        <v>140500</v>
      </c>
      <c r="E11" s="85">
        <v>0.1</v>
      </c>
      <c r="F11" s="84" t="n">
        <f>D11*10%/12</f>
        <v>1170.8333333333333</v>
      </c>
      <c r="G11" s="85">
        <v>0.5</v>
      </c>
      <c r="H11" s="84">
        <v>0</v>
      </c>
      <c r="I11" s="86" t="n">
        <f t="shared" si="1"/>
        <v>1170.8333333333333</v>
      </c>
      <c r="J11" s="87"/>
      <c r="K11" s="45">
        <v>2942.5</v>
      </c>
      <c r="L11" s="45">
        <v>1471.25</v>
      </c>
      <c r="M11" s="45" t="n">
        <f t="shared" ref="M11" si="4">K11+(F11*7)</f>
        <v>11138.333333333332</v>
      </c>
      <c r="N11" s="45" t="n">
        <f>4398.33+1.67</f>
        <v>4400.0</v>
      </c>
      <c r="O11" s="87" t="s">
        <v>89</v>
      </c>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row>
    <row r="12" spans="1:49" s="18" customFormat="1" x14ac:dyDescent="0.25">
      <c r="A12" s="23" t="s">
        <v>7</v>
      </c>
      <c r="B12" s="22" t="s">
        <v>142</v>
      </c>
      <c r="C12" s="22" t="s">
        <v>143</v>
      </c>
      <c r="D12" s="24">
        <v>54000</v>
      </c>
      <c r="E12" s="21" t="s">
        <v>4</v>
      </c>
      <c r="F12" s="31">
        <v>100</v>
      </c>
      <c r="G12" s="27">
        <v>0.5</v>
      </c>
      <c r="H12" s="31" t="n">
        <f>F12*50%</f>
        <v>50.0</v>
      </c>
      <c r="I12" s="20" t="n">
        <f t="shared" si="1"/>
        <v>150.0</v>
      </c>
      <c r="J12" s="9"/>
      <c r="K12" s="24">
        <v>300</v>
      </c>
      <c r="L12" s="24">
        <v>150</v>
      </c>
      <c r="M12" s="24" t="n">
        <f>K12+(F12*7)</f>
        <v>1000.0</v>
      </c>
      <c r="N12" s="24" t="n">
        <f>L12+(H12*7)</f>
        <v>500.0</v>
      </c>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row>
    <row r="13" spans="1:49" s="42" customFormat="1" x14ac:dyDescent="0.25">
      <c r="A13" s="81">
        <v>931165</v>
      </c>
      <c r="B13" s="99" t="s">
        <v>144</v>
      </c>
      <c r="C13" s="99" t="s">
        <v>145</v>
      </c>
      <c r="D13" s="100">
        <v>114000</v>
      </c>
      <c r="E13" s="101">
        <v>0.1</v>
      </c>
      <c r="F13" s="84" t="n">
        <f>SUM(D13*E13)/12</f>
        <v>950.0</v>
      </c>
      <c r="G13" s="85">
        <v>0.5</v>
      </c>
      <c r="H13" s="84">
        <v>125.83</v>
      </c>
      <c r="I13" s="102" t="n">
        <f t="shared" si="1"/>
        <v>1075.83</v>
      </c>
      <c r="J13" s="87"/>
      <c r="K13" s="45">
        <v>2848.3333333333335</v>
      </c>
      <c r="L13" s="45">
        <v>1424.1666666666667</v>
      </c>
      <c r="M13" s="45" t="n">
        <f>K13+(F13*7)</f>
        <v>9498.333333333334</v>
      </c>
      <c r="N13" s="45" t="n">
        <f>4274.17+H13</f>
        <v>4400.0</v>
      </c>
      <c r="O13" s="87" t="s">
        <v>89</v>
      </c>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row>
    <row r="14" spans="1:49" s="42" customFormat="1" x14ac:dyDescent="0.25">
      <c r="A14" s="98" t="s">
        <v>46</v>
      </c>
      <c r="B14" s="99" t="s">
        <v>146</v>
      </c>
      <c r="C14" s="99" t="s">
        <v>147</v>
      </c>
      <c r="D14" s="100">
        <v>104000</v>
      </c>
      <c r="E14" s="101">
        <v>0.1</v>
      </c>
      <c r="F14" s="84" t="n">
        <f>D14*E14/12</f>
        <v>866.6666666666666</v>
      </c>
      <c r="G14" s="85">
        <v>0.5</v>
      </c>
      <c r="H14" s="84">
        <v>0</v>
      </c>
      <c r="I14" s="102" t="n">
        <f t="shared" si="1"/>
        <v>866.6666666666666</v>
      </c>
      <c r="J14" s="87"/>
      <c r="K14" s="45">
        <v>4250</v>
      </c>
      <c r="L14" s="45">
        <v>1275</v>
      </c>
      <c r="M14" s="45" t="n">
        <f>K14+(F14*7)</f>
        <v>10316.666666666666</v>
      </c>
      <c r="N14" s="45">
        <v>4400</v>
      </c>
      <c r="O14" s="87" t="s">
        <v>89</v>
      </c>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row>
    <row r="15" spans="1:49" s="4" customFormat="1" x14ac:dyDescent="0.25">
      <c r="A15" s="30">
        <v>943285</v>
      </c>
      <c r="B15" s="22" t="s">
        <v>148</v>
      </c>
      <c r="C15" s="22" t="s">
        <v>149</v>
      </c>
      <c r="D15" s="19">
        <v>227300</v>
      </c>
      <c r="E15" s="21" t="s">
        <v>4</v>
      </c>
      <c r="F15" s="31">
        <v>1000</v>
      </c>
      <c r="G15" s="27">
        <v>0.5</v>
      </c>
      <c r="H15" s="31" t="n">
        <f>F15/2</f>
        <v>500.0</v>
      </c>
      <c r="I15" s="20" t="n">
        <f t="shared" si="1"/>
        <v>1500.0</v>
      </c>
      <c r="J15" s="11"/>
      <c r="K15" s="24">
        <v>1000</v>
      </c>
      <c r="L15" s="24">
        <v>500</v>
      </c>
      <c r="M15" s="24" t="n">
        <f>K15+(F15*7)</f>
        <v>8000.0</v>
      </c>
      <c r="N15" s="24" t="n">
        <f>L15+(H15*7)</f>
        <v>4000.0</v>
      </c>
      <c r="O15" s="11" t="s">
        <v>101</v>
      </c>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4" customFormat="1" x14ac:dyDescent="0.25">
      <c r="A16" s="30">
        <v>946506</v>
      </c>
      <c r="B16" s="22" t="s">
        <v>150</v>
      </c>
      <c r="C16" s="22" t="s">
        <v>151</v>
      </c>
      <c r="D16" s="19">
        <v>124000</v>
      </c>
      <c r="E16" s="21" t="s">
        <v>4</v>
      </c>
      <c r="F16" s="31">
        <v>733</v>
      </c>
      <c r="G16" s="27">
        <v>0.5</v>
      </c>
      <c r="H16" s="31" t="n">
        <f>F16/2</f>
        <v>366.5</v>
      </c>
      <c r="I16" s="20" t="n">
        <f t="shared" si="1"/>
        <v>1099.5</v>
      </c>
      <c r="J16" s="11"/>
      <c r="K16" s="24">
        <v>733</v>
      </c>
      <c r="L16" s="24">
        <v>366.5</v>
      </c>
      <c r="M16" s="24" t="n">
        <f>K16+(F16*7)</f>
        <v>5864.0</v>
      </c>
      <c r="N16" s="24" t="n">
        <f>L16+(H16*7)</f>
        <v>2932.0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80" customFormat="1" x14ac:dyDescent="0.25">
      <c r="A17" s="47">
        <v>962325</v>
      </c>
      <c r="B17" s="22" t="s">
        <v>155</v>
      </c>
      <c r="C17" s="22" t="s">
        <v>156</v>
      </c>
      <c r="D17" s="19">
        <v>60000</v>
      </c>
      <c r="E17" s="21">
        <v>0.03</v>
      </c>
      <c r="F17" s="79" t="n">
        <f>D17*E17/12</f>
        <v>150.0</v>
      </c>
      <c r="G17" s="21">
        <v>0.5</v>
      </c>
      <c r="H17" s="79" t="n">
        <f>F17/2</f>
        <v>75.0</v>
      </c>
      <c r="I17" s="20" t="n">
        <f t="shared" si="1"/>
        <v>225.0</v>
      </c>
      <c r="J17" s="9"/>
      <c r="K17" s="19">
        <v>733</v>
      </c>
      <c r="L17" s="19">
        <v>366.5</v>
      </c>
      <c r="M17" s="19" t="n">
        <f>F17*6</f>
        <v>900.0</v>
      </c>
      <c r="N17" s="19" t="n">
        <f>H17*6</f>
        <v>450.0</v>
      </c>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row>
    <row r="18" spans="1:49" s="110" customFormat="1" x14ac:dyDescent="0.25">
      <c r="A18" s="104" t="s">
        <v>84</v>
      </c>
      <c r="B18" s="105" t="s">
        <v>157</v>
      </c>
      <c r="C18" s="105" t="s">
        <v>158</v>
      </c>
      <c r="D18" s="106">
        <v>39000</v>
      </c>
      <c r="E18" s="107">
        <v>0.1</v>
      </c>
      <c r="F18" s="108" t="n">
        <f>D18*E18/12</f>
        <v>325.0</v>
      </c>
      <c r="G18" s="107">
        <v>0.5</v>
      </c>
      <c r="H18" s="108" t="n">
        <f t="shared" ref="H18" si="5">F18/2</f>
        <v>162.5</v>
      </c>
      <c r="I18" s="109" t="n">
        <f t="shared" si="1"/>
        <v>487.5</v>
      </c>
      <c r="K18" s="106"/>
      <c r="L18" s="106"/>
      <c r="M18" s="106" t="n">
        <f>F18*1</f>
        <v>325.0</v>
      </c>
      <c r="N18" s="106" t="n">
        <f>H18*1</f>
        <v>162.5</v>
      </c>
      <c r="O18" s="110" t="s">
        <v>94</v>
      </c>
    </row>
    <row r="19" spans="1:49" s="110" customFormat="1" x14ac:dyDescent="0.25">
      <c r="A19" s="111" t="s">
        <v>84</v>
      </c>
      <c r="B19" s="112" t="s">
        <v>159</v>
      </c>
      <c r="C19" s="112" t="s">
        <v>160</v>
      </c>
      <c r="D19" s="113">
        <v>39000</v>
      </c>
      <c r="E19" s="114">
        <v>0.03</v>
      </c>
      <c r="F19" s="115" t="n">
        <f>D19*E19/12</f>
        <v>97.5</v>
      </c>
      <c r="G19" s="114">
        <v>0.5</v>
      </c>
      <c r="H19" s="115" t="n">
        <f>F19/2</f>
        <v>48.75</v>
      </c>
      <c r="I19" s="116" t="n">
        <f t="shared" si="1"/>
        <v>146.25</v>
      </c>
      <c r="J19" s="112"/>
      <c r="K19" s="113"/>
      <c r="L19" s="113"/>
      <c r="M19" s="113" t="n">
        <f>F19*1</f>
        <v>97.5</v>
      </c>
      <c r="N19" s="113" t="n">
        <f>H19*1</f>
        <v>48.75</v>
      </c>
      <c r="O19" s="110" t="s">
        <v>94</v>
      </c>
    </row>
    <row r="20" spans="1:49" s="110" customFormat="1" x14ac:dyDescent="0.25">
      <c r="A20" s="111" t="s">
        <v>84</v>
      </c>
      <c r="B20" s="112" t="s">
        <v>150</v>
      </c>
      <c r="C20" s="112" t="s">
        <v>161</v>
      </c>
      <c r="D20" s="113">
        <v>141000</v>
      </c>
      <c r="E20" s="117">
        <v>0.62393710000000002</v>
      </c>
      <c r="F20" s="115" t="n">
        <f>D20*E20/12</f>
        <v>7331.260925</v>
      </c>
      <c r="G20" s="114">
        <v>0.5</v>
      </c>
      <c r="H20" s="115" t="n">
        <f>F20/2</f>
        <v>3665.6304625</v>
      </c>
      <c r="I20" s="116" t="n">
        <f t="shared" si="1"/>
        <v>10996.8913875</v>
      </c>
      <c r="J20" s="112"/>
      <c r="K20" s="113"/>
      <c r="L20" s="113"/>
      <c r="M20" s="113" t="n">
        <f>F20*1</f>
        <v>7331.260925</v>
      </c>
      <c r="N20" s="113" t="n">
        <f>H20*1</f>
        <v>3665.6304625</v>
      </c>
      <c r="O20" s="110" t="s">
        <v>99</v>
      </c>
    </row>
    <row r="21" spans="1:49" s="4" customFormat="1" x14ac:dyDescent="0.25">
      <c r="A21" s="17"/>
      <c r="B21" s="16"/>
      <c r="C21" s="16"/>
      <c r="D21" s="12"/>
      <c r="E21" s="15"/>
      <c r="F21" s="14"/>
      <c r="G21" s="15"/>
      <c r="H21" s="14"/>
      <c r="I21" s="13"/>
      <c r="J21" s="11"/>
      <c r="K21" s="12"/>
      <c r="L21" s="12"/>
      <c r="M21" s="12"/>
      <c r="N21" s="12"/>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row>
    <row r="22" spans="1:49" x14ac:dyDescent="0.25">
      <c r="A22" s="6"/>
      <c r="D22" s="68"/>
      <c r="F22" s="7" t="n">
        <f>SUM(F5:F20)</f>
        <v>15654.835925</v>
      </c>
      <c r="H22" s="7" t="n">
        <f>SUM(H5:H20)</f>
        <v>5661.085462499999</v>
      </c>
      <c r="I22" s="7" t="n">
        <f>SUM(I5:I20)</f>
        <v>21315.9213875</v>
      </c>
      <c r="K22" s="71"/>
      <c r="L22" s="7"/>
      <c r="M22" s="7" t="n">
        <f>SUM(M5:M20)</f>
        <v>88493.93925833332</v>
      </c>
      <c r="N22" s="7" t="n">
        <f>SUM(N5:N20)</f>
        <v>37448.3804625</v>
      </c>
    </row>
    <row r="23" spans="1:49" ht="15.75" x14ac:dyDescent="0.25">
      <c r="A23" s="10" t="s">
        <v>1</v>
      </c>
      <c r="B23" s="6"/>
      <c r="C23" s="6"/>
      <c r="D23" s="6"/>
      <c r="E23" s="8"/>
      <c r="F23" s="7"/>
      <c r="G23" s="8"/>
      <c r="H23" s="7"/>
      <c r="I23" s="7"/>
    </row>
    <row r="24" spans="1:49" s="88" customFormat="1" ht="18.75" x14ac:dyDescent="0.3">
      <c r="A24" s="88" t="s">
        <v>35</v>
      </c>
      <c r="E24" s="89"/>
      <c r="F24" s="90"/>
      <c r="G24" s="89"/>
      <c r="H24" s="90"/>
      <c r="I24" s="90"/>
    </row>
    <row r="25" spans="1:49" ht="15.75" customHeight="1" x14ac:dyDescent="0.25"/>
    <row r="26" spans="1:49" ht="15.75" customHeight="1" x14ac:dyDescent="0.25">
      <c r="A26" s="5" t="s">
        <v>0</v>
      </c>
    </row>
    <row r="27" spans="1:49" s="74" customFormat="1" ht="21" x14ac:dyDescent="0.35">
      <c r="A27" s="77" t="s">
        <v>165</v>
      </c>
      <c r="E27" s="75"/>
      <c r="K27" s="76"/>
    </row>
    <row r="28" spans="1:49" ht="21" x14ac:dyDescent="0.35">
      <c r="A28" s="77" t="s">
        <v>166</v>
      </c>
    </row>
  </sheetData>
  <mergeCells count="3">
    <mergeCell ref="M2:N2"/>
    <mergeCell ref="K3:L3"/>
    <mergeCell ref="M3:N3"/>
  </mergeCells>
  <hyperlinks>
    <hyperlink ref="A12" r:id="rId1" location="0928091"/>
    <hyperlink ref="A13" r:id="rId2" location="0928091" display="https://www.pensionplanetinteractive.ie/ppi/content/loadSchemeMemberSearch.action - 0928091"/>
  </hyperlinks>
  <pageMargins left="0.70866141732283472" right="0.70866141732283472" top="0.74803149606299213" bottom="0.74803149606299213" header="0.31496062992125984" footer="0.31496062992125984"/>
  <pageSetup paperSize="9" scale="48" orientation="landscape" r:id="rId3"/>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23"/>
  <sheetViews>
    <sheetView tabSelected="1" workbookViewId="0">
      <selection activeCell="A22" sqref="A22"/>
    </sheetView>
  </sheetViews>
  <sheetFormatPr defaultColWidth="9.28515625" defaultRowHeight="15" x14ac:dyDescent="0.25"/>
  <cols>
    <col min="5" max="5" style="2" width="9.28515625" collapsed="false"/>
    <col min="7" max="7" style="87" width="9.28515625" collapsed="false"/>
  </cols>
  <sheetData>
    <row r="1" spans="1:7" x14ac:dyDescent="0.25">
      <c r="A1" s="125" t="s">
        <v>121</v>
      </c>
      <c r="B1" s="125" t="s">
        <v>105</v>
      </c>
      <c r="C1" s="125" t="s">
        <v>106</v>
      </c>
      <c r="D1" s="125" t="s">
        <v>107</v>
      </c>
      <c r="E1" s="127" t="s">
        <v>108</v>
      </c>
      <c r="F1" s="125" t="s">
        <v>109</v>
      </c>
      <c r="G1" s="128" t="s">
        <v>110</v>
      </c>
    </row>
    <row r="2" spans="1:7" x14ac:dyDescent="0.25">
      <c r="A2" s="126" t="s">
        <v>122</v>
      </c>
      <c r="B2" t="s">
        <v>111</v>
      </c>
      <c r="C2" t="s">
        <v>128</v>
      </c>
      <c r="D2" t="s">
        <v>129</v>
      </c>
      <c r="E2" s="2">
        <v>0</v>
      </c>
      <c r="F2">
        <v>0</v>
      </c>
      <c r="G2" s="87">
        <v>451.79</v>
      </c>
    </row>
    <row r="3" spans="1:7" x14ac:dyDescent="0.25">
      <c r="A3" s="11" t="s">
        <v>122</v>
      </c>
      <c r="B3" t="s">
        <v>112</v>
      </c>
      <c r="C3" t="s">
        <v>130</v>
      </c>
      <c r="D3" t="s">
        <v>131</v>
      </c>
      <c r="E3" s="2">
        <v>170400</v>
      </c>
      <c r="F3">
        <v>710</v>
      </c>
      <c r="G3" s="87">
        <v>1000</v>
      </c>
    </row>
    <row r="4" spans="1:7" x14ac:dyDescent="0.25">
      <c r="A4" s="11" t="s">
        <v>122</v>
      </c>
      <c r="B4" t="s">
        <v>113</v>
      </c>
      <c r="C4" t="s">
        <v>132</v>
      </c>
      <c r="D4" t="s">
        <v>133</v>
      </c>
      <c r="E4" s="2">
        <v>51300</v>
      </c>
      <c r="F4">
        <v>213.75</v>
      </c>
      <c r="G4" s="87">
        <v>266.25</v>
      </c>
    </row>
    <row r="5" spans="1:7" x14ac:dyDescent="0.25">
      <c r="A5" s="11" t="s">
        <v>122</v>
      </c>
      <c r="B5" t="s">
        <v>114</v>
      </c>
      <c r="C5" t="s">
        <v>134</v>
      </c>
      <c r="D5" t="s">
        <v>135</v>
      </c>
      <c r="E5" s="2">
        <v>151000</v>
      </c>
      <c r="F5">
        <v>1596.82</v>
      </c>
      <c r="G5" s="87">
        <v>2437.5</v>
      </c>
    </row>
    <row r="6" spans="1:7" x14ac:dyDescent="0.25">
      <c r="A6" s="11" t="s">
        <v>122</v>
      </c>
      <c r="B6" t="s">
        <v>115</v>
      </c>
      <c r="C6" t="s">
        <v>136</v>
      </c>
      <c r="D6" t="s">
        <v>137</v>
      </c>
      <c r="E6" s="2">
        <v>49200</v>
      </c>
      <c r="F6">
        <v>410</v>
      </c>
      <c r="G6" s="87">
        <v>518.33000000000004</v>
      </c>
    </row>
    <row r="7" spans="1:7" x14ac:dyDescent="0.25">
      <c r="A7" s="11" t="s">
        <v>122</v>
      </c>
      <c r="B7" t="s">
        <v>116</v>
      </c>
      <c r="C7" t="s">
        <v>138</v>
      </c>
      <c r="D7" t="s">
        <v>139</v>
      </c>
      <c r="E7" s="2">
        <v>0</v>
      </c>
      <c r="F7">
        <v>0</v>
      </c>
      <c r="G7" s="87">
        <v>317.29000000000002</v>
      </c>
    </row>
    <row r="8" spans="1:7" x14ac:dyDescent="0.25">
      <c r="A8" s="11" t="s">
        <v>122</v>
      </c>
      <c r="B8" t="s">
        <v>117</v>
      </c>
      <c r="C8" t="s">
        <v>140</v>
      </c>
      <c r="D8" t="s">
        <v>141</v>
      </c>
      <c r="E8" s="2">
        <v>140500</v>
      </c>
      <c r="F8">
        <v>1170.83</v>
      </c>
      <c r="G8" s="87">
        <v>1471.25</v>
      </c>
    </row>
    <row r="9" spans="1:7" x14ac:dyDescent="0.25">
      <c r="A9" s="11" t="s">
        <v>122</v>
      </c>
      <c r="B9" t="s">
        <v>7</v>
      </c>
      <c r="C9" t="s">
        <v>142</v>
      </c>
      <c r="D9" t="s">
        <v>143</v>
      </c>
      <c r="E9" s="2">
        <v>54000</v>
      </c>
      <c r="F9">
        <v>100</v>
      </c>
      <c r="G9" s="87">
        <v>150</v>
      </c>
    </row>
    <row r="10" spans="1:7" x14ac:dyDescent="0.25">
      <c r="A10" s="11" t="s">
        <v>122</v>
      </c>
      <c r="B10" t="s">
        <v>118</v>
      </c>
      <c r="C10" t="s">
        <v>144</v>
      </c>
      <c r="D10" t="s">
        <v>145</v>
      </c>
      <c r="E10" s="2">
        <v>114000</v>
      </c>
      <c r="F10">
        <v>950</v>
      </c>
      <c r="G10" s="87">
        <v>1424.17</v>
      </c>
    </row>
    <row r="11" spans="1:7" x14ac:dyDescent="0.25">
      <c r="A11" s="11" t="s">
        <v>122</v>
      </c>
      <c r="B11" t="s">
        <v>46</v>
      </c>
      <c r="C11" t="s">
        <v>146</v>
      </c>
      <c r="D11" t="s">
        <v>147</v>
      </c>
      <c r="E11" s="2">
        <v>104000</v>
      </c>
      <c r="F11">
        <v>866.67</v>
      </c>
      <c r="G11" s="87">
        <v>1275</v>
      </c>
    </row>
    <row r="12" spans="1:7" x14ac:dyDescent="0.25">
      <c r="A12" s="11" t="s">
        <v>122</v>
      </c>
      <c r="B12" t="s">
        <v>119</v>
      </c>
      <c r="C12" t="s">
        <v>148</v>
      </c>
      <c r="D12" t="s">
        <v>149</v>
      </c>
      <c r="E12" s="2">
        <v>227300</v>
      </c>
      <c r="F12">
        <v>1000</v>
      </c>
      <c r="G12" s="87">
        <v>500</v>
      </c>
    </row>
    <row r="13" spans="1:7" x14ac:dyDescent="0.25">
      <c r="A13" s="11" t="s">
        <v>122</v>
      </c>
      <c r="B13" t="s">
        <v>120</v>
      </c>
      <c r="C13" t="s">
        <v>150</v>
      </c>
      <c r="D13" t="s">
        <v>151</v>
      </c>
      <c r="E13" s="2">
        <v>124000</v>
      </c>
      <c r="F13">
        <v>733</v>
      </c>
      <c r="G13" s="87">
        <v>366.5</v>
      </c>
    </row>
    <row r="14" spans="1:7" x14ac:dyDescent="0.25">
      <c r="A14" s="11" t="s">
        <v>122</v>
      </c>
      <c r="B14" t="s">
        <v>124</v>
      </c>
      <c r="C14" t="s">
        <v>155</v>
      </c>
      <c r="D14" t="s">
        <v>156</v>
      </c>
      <c r="E14" s="2">
        <v>60000</v>
      </c>
      <c r="F14">
        <v>150</v>
      </c>
      <c r="G14" s="87">
        <v>366.5</v>
      </c>
    </row>
    <row r="15" spans="1:7" x14ac:dyDescent="0.25">
      <c r="A15" s="11" t="s">
        <v>123</v>
      </c>
      <c r="B15" t="s">
        <v>84</v>
      </c>
      <c r="C15" t="s">
        <v>157</v>
      </c>
      <c r="D15" t="s">
        <v>158</v>
      </c>
      <c r="E15" s="2">
        <v>39000</v>
      </c>
      <c r="F15">
        <v>325</v>
      </c>
      <c r="G15" s="87">
        <v>0</v>
      </c>
    </row>
    <row r="16" spans="1:7" x14ac:dyDescent="0.25">
      <c r="A16" s="11" t="s">
        <v>125</v>
      </c>
      <c r="B16" t="s">
        <v>84</v>
      </c>
      <c r="C16" t="s">
        <v>159</v>
      </c>
      <c r="D16" t="s">
        <v>160</v>
      </c>
      <c r="E16" s="2">
        <v>39000</v>
      </c>
      <c r="F16">
        <v>97.5</v>
      </c>
      <c r="G16" s="87">
        <v>0</v>
      </c>
    </row>
    <row r="17" spans="1:7" x14ac:dyDescent="0.25">
      <c r="A17" s="11" t="s">
        <v>125</v>
      </c>
      <c r="B17" t="s">
        <v>84</v>
      </c>
      <c r="C17" t="s">
        <v>150</v>
      </c>
      <c r="D17" t="s">
        <v>161</v>
      </c>
      <c r="E17" s="2">
        <v>141000</v>
      </c>
      <c r="F17">
        <v>7331.26</v>
      </c>
      <c r="G17" s="87">
        <v>0</v>
      </c>
    </row>
    <row r="19" spans="1:7" ht="15.75" thickBot="1" x14ac:dyDescent="0.3"/>
    <row r="20" spans="1:7" x14ac:dyDescent="0.25">
      <c r="A20" s="129" t="s">
        <v>126</v>
      </c>
      <c r="B20" s="130"/>
      <c r="C20" s="130"/>
      <c r="D20" s="130"/>
      <c r="E20" s="130"/>
      <c r="F20" s="130"/>
      <c r="G20" s="131"/>
    </row>
    <row r="21" spans="1:7" x14ac:dyDescent="0.25">
      <c r="A21" s="132" t="s">
        <v>127</v>
      </c>
      <c r="B21" s="133"/>
      <c r="C21" s="133"/>
      <c r="D21" s="133"/>
      <c r="E21" s="133"/>
      <c r="F21" s="133"/>
      <c r="G21" s="134"/>
    </row>
    <row r="22" spans="1:7" x14ac:dyDescent="0.25">
      <c r="A22" s="132"/>
      <c r="B22" s="133"/>
      <c r="C22" s="133"/>
      <c r="D22" s="133"/>
      <c r="E22" s="133"/>
      <c r="F22" s="133"/>
      <c r="G22" s="134"/>
    </row>
    <row r="23" spans="1:7" ht="15.75" thickBot="1" x14ac:dyDescent="0.3">
      <c r="A23" s="135"/>
      <c r="B23" s="136"/>
      <c r="C23" s="136"/>
      <c r="D23" s="136"/>
      <c r="E23" s="136"/>
      <c r="F23" s="136"/>
      <c r="G23" s="137"/>
    </row>
  </sheetData>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28"/>
  <sheetViews>
    <sheetView zoomScale="85" zoomScaleNormal="85" workbookViewId="0">
      <selection activeCell="O17" sqref="O17"/>
    </sheetView>
  </sheetViews>
  <sheetFormatPr defaultRowHeight="15" x14ac:dyDescent="0.25"/>
  <cols>
    <col min="1" max="1" customWidth="true" width="14.5703125" collapsed="false"/>
    <col min="2" max="2" customWidth="true" width="13.140625" collapsed="false"/>
    <col min="3" max="3" customWidth="true" width="14.28515625" collapsed="false"/>
    <col min="4" max="4" customWidth="true" width="17.0" collapsed="false"/>
    <col min="5" max="5" customWidth="true" style="1" width="14.7109375" collapsed="false"/>
    <col min="6" max="6" customWidth="true" width="16.140625" collapsed="false"/>
    <col min="7" max="7" customWidth="true" width="9.85546875" collapsed="false"/>
    <col min="8" max="8" customWidth="true" width="16.140625" collapsed="false"/>
    <col min="9" max="9" customWidth="true" width="18.7109375" collapsed="false"/>
    <col min="10" max="10" customWidth="true" width="5.42578125" collapsed="false"/>
    <col min="11" max="11" customWidth="true" hidden="true" style="3" width="12.28515625" collapsed="false"/>
    <col min="12" max="12" customWidth="true" hidden="true" width="12.28515625" collapsed="false"/>
    <col min="13" max="14" bestFit="true" customWidth="true" width="12.140625" collapsed="false"/>
    <col min="15" max="15" customWidth="true" width="10.140625" collapsed="false"/>
    <col min="16" max="49" customWidth="true" width="5.5703125" collapsed="false"/>
  </cols>
  <sheetData>
    <row r="1" spans="1:49" x14ac:dyDescent="0.25">
      <c r="A1" s="11" t="s">
        <v>31</v>
      </c>
    </row>
    <row r="2" spans="1:49" ht="39" customHeight="1" x14ac:dyDescent="0.25">
      <c r="A2" s="39">
        <v>44136</v>
      </c>
      <c r="M2" s="138"/>
      <c r="N2" s="138"/>
    </row>
    <row r="3" spans="1:49" x14ac:dyDescent="0.25">
      <c r="K3" s="139" t="s">
        <v>81</v>
      </c>
      <c r="L3" s="139"/>
      <c r="M3" s="139"/>
      <c r="N3" s="139"/>
    </row>
    <row r="4" spans="1:49" ht="45" x14ac:dyDescent="0.25">
      <c r="A4" s="38" t="s">
        <v>30</v>
      </c>
      <c r="B4" s="38" t="s">
        <v>29</v>
      </c>
      <c r="C4" s="38" t="s">
        <v>28</v>
      </c>
      <c r="D4" s="37" t="s">
        <v>27</v>
      </c>
      <c r="E4" s="34" t="s">
        <v>26</v>
      </c>
      <c r="F4" s="36" t="s">
        <v>25</v>
      </c>
      <c r="G4" s="34" t="s">
        <v>24</v>
      </c>
      <c r="H4" s="36" t="s">
        <v>23</v>
      </c>
      <c r="I4" s="36" t="s">
        <v>22</v>
      </c>
      <c r="K4" s="34" t="s">
        <v>32</v>
      </c>
      <c r="L4" s="34" t="s">
        <v>34</v>
      </c>
      <c r="M4" s="34" t="s">
        <v>32</v>
      </c>
      <c r="N4" s="34" t="s">
        <v>33</v>
      </c>
    </row>
    <row r="5" spans="1:49" s="4" customFormat="1" x14ac:dyDescent="0.25">
      <c r="A5" s="92">
        <v>839415</v>
      </c>
      <c r="B5" s="93" t="s">
        <v>128</v>
      </c>
      <c r="C5" s="93" t="s">
        <v>129</v>
      </c>
      <c r="D5" s="94">
        <v>0</v>
      </c>
      <c r="E5" s="95">
        <v>7.0000000000000007E-2</v>
      </c>
      <c r="F5" s="96" t="n">
        <f>D5*7%/12</f>
        <v>0.0</v>
      </c>
      <c r="G5" s="95">
        <v>0.5</v>
      </c>
      <c r="H5" s="96" t="n">
        <f>F5*50%</f>
        <v>0.0</v>
      </c>
      <c r="I5" s="97" t="n">
        <f t="shared" ref="I5" si="0">F5+H5</f>
        <v>0.0</v>
      </c>
      <c r="J5" s="6"/>
      <c r="K5" s="94">
        <v>903.58333333333348</v>
      </c>
      <c r="L5" s="94">
        <v>451.79166666666674</v>
      </c>
      <c r="M5" s="94">
        <v>2639</v>
      </c>
      <c r="N5" s="94">
        <v>1319.5</v>
      </c>
      <c r="O5" s="6" t="s">
        <v>97</v>
      </c>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row>
    <row r="6" spans="1:49" s="3" customFormat="1" x14ac:dyDescent="0.25">
      <c r="A6" s="32">
        <v>862567</v>
      </c>
      <c r="B6" s="29" t="s">
        <v>130</v>
      </c>
      <c r="C6" s="29" t="s">
        <v>131</v>
      </c>
      <c r="D6" s="24">
        <v>170400</v>
      </c>
      <c r="E6" s="27">
        <v>0.05</v>
      </c>
      <c r="F6" s="31" t="n">
        <f>D6*5%/12</f>
        <v>710.0</v>
      </c>
      <c r="G6" s="27">
        <v>0.5</v>
      </c>
      <c r="H6" s="31" t="n">
        <f>F6*50%</f>
        <v>355.0</v>
      </c>
      <c r="I6" s="26" t="n">
        <f t="shared" ref="I6:I20" si="1">F6+H6</f>
        <v>1065.0</v>
      </c>
      <c r="J6" s="11"/>
      <c r="K6" s="24">
        <v>2000</v>
      </c>
      <c r="L6" s="24">
        <v>1000</v>
      </c>
      <c r="M6" s="24" t="n">
        <f>K6+(F6*8)</f>
        <v>7680.0</v>
      </c>
      <c r="N6" s="24" t="n">
        <f>L6+(H6*8)</f>
        <v>3840.0</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3" customFormat="1" x14ac:dyDescent="0.25">
      <c r="A7" s="32">
        <v>881957</v>
      </c>
      <c r="B7" s="29" t="s">
        <v>132</v>
      </c>
      <c r="C7" s="29" t="s">
        <v>133</v>
      </c>
      <c r="D7" s="24">
        <v>51300</v>
      </c>
      <c r="E7" s="27">
        <v>0.05</v>
      </c>
      <c r="F7" s="31" t="n">
        <f>D7*5%/12</f>
        <v>213.75</v>
      </c>
      <c r="G7" s="27">
        <v>0.5</v>
      </c>
      <c r="H7" s="31" t="n">
        <f t="shared" ref="H7" si="2">F7*50%</f>
        <v>106.875</v>
      </c>
      <c r="I7" s="26" t="n">
        <f t="shared" si="1"/>
        <v>320.625</v>
      </c>
      <c r="J7" s="11"/>
      <c r="K7" s="24">
        <v>532.5</v>
      </c>
      <c r="L7" s="24">
        <v>266.25</v>
      </c>
      <c r="M7" s="24" t="n">
        <f>K7+(F7*8)</f>
        <v>2242.5</v>
      </c>
      <c r="N7" s="24" t="n">
        <f>L7+(H7*8)</f>
        <v>1121.25</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2" customFormat="1" x14ac:dyDescent="0.25">
      <c r="A8" s="81">
        <v>886344</v>
      </c>
      <c r="B8" s="82" t="s">
        <v>134</v>
      </c>
      <c r="C8" s="82" t="s">
        <v>135</v>
      </c>
      <c r="D8" s="45">
        <v>151000</v>
      </c>
      <c r="E8" s="83">
        <v>0.12690000000000001</v>
      </c>
      <c r="F8" s="84" t="n">
        <f>D8*12.69%/12</f>
        <v>1596.8249999999998</v>
      </c>
      <c r="G8" s="85">
        <v>0.5</v>
      </c>
      <c r="H8" s="84">
        <v>0</v>
      </c>
      <c r="I8" s="86" t="n">
        <f t="shared" si="1"/>
        <v>1596.8249999999998</v>
      </c>
      <c r="J8" s="87"/>
      <c r="K8" s="45">
        <v>4875.0079999999998</v>
      </c>
      <c r="L8" s="45">
        <v>2437.5039999999999</v>
      </c>
      <c r="M8" s="45" t="n">
        <f>6666.07+(F8*8)</f>
        <v>19440.67</v>
      </c>
      <c r="N8" s="45" t="n">
        <f>4131.44+268.56</f>
        <v>4400.0</v>
      </c>
      <c r="O8" s="87" t="s">
        <v>89</v>
      </c>
      <c r="P8" s="87"/>
      <c r="Q8" s="87"/>
      <c r="R8" s="87"/>
      <c r="S8" s="87"/>
      <c r="T8" s="87"/>
      <c r="U8" s="87"/>
      <c r="V8" s="87"/>
      <c r="W8" s="87"/>
      <c r="X8" s="87"/>
      <c r="Y8" s="87"/>
      <c r="Z8" s="87"/>
      <c r="AA8" s="87"/>
      <c r="AB8" s="87"/>
      <c r="AC8" s="87"/>
      <c r="AD8" s="87"/>
      <c r="AE8" s="87"/>
      <c r="AF8" s="87"/>
      <c r="AG8" s="87"/>
      <c r="AH8" s="87"/>
      <c r="AI8" s="87"/>
      <c r="AJ8" s="87"/>
      <c r="AK8" s="87"/>
      <c r="AL8" s="87"/>
      <c r="AM8" s="87"/>
      <c r="AN8" s="87"/>
      <c r="AO8" s="87"/>
      <c r="AP8" s="87"/>
      <c r="AQ8" s="87"/>
      <c r="AR8" s="87"/>
      <c r="AS8" s="87"/>
      <c r="AT8" s="87"/>
      <c r="AU8" s="87"/>
      <c r="AV8" s="87"/>
      <c r="AW8" s="87"/>
    </row>
    <row r="9" spans="1:49" s="3" customFormat="1" x14ac:dyDescent="0.25">
      <c r="A9" s="32">
        <v>896998</v>
      </c>
      <c r="B9" s="29" t="s">
        <v>136</v>
      </c>
      <c r="C9" s="29" t="s">
        <v>137</v>
      </c>
      <c r="D9" s="24">
        <v>49200</v>
      </c>
      <c r="E9" s="27">
        <v>0.1</v>
      </c>
      <c r="F9" s="31" t="n">
        <f>D9*10%/12</f>
        <v>410.0</v>
      </c>
      <c r="G9" s="27">
        <v>0.5</v>
      </c>
      <c r="H9" s="31" t="n">
        <f>F9*50%</f>
        <v>205.0</v>
      </c>
      <c r="I9" s="26" t="n">
        <f t="shared" si="1"/>
        <v>615.0</v>
      </c>
      <c r="J9" s="11"/>
      <c r="K9" s="24">
        <v>1036.6666666666667</v>
      </c>
      <c r="L9" s="24">
        <v>518.33333333333337</v>
      </c>
      <c r="M9" s="24" t="n">
        <f>K9+(F9*8)</f>
        <v>4316.666666666667</v>
      </c>
      <c r="N9" s="24" t="n">
        <f>L9+(H9*8)</f>
        <v>2158.3333333333335</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4" customFormat="1" x14ac:dyDescent="0.25">
      <c r="A10" s="92">
        <v>896997</v>
      </c>
      <c r="B10" s="93" t="s">
        <v>138</v>
      </c>
      <c r="C10" s="93" t="s">
        <v>139</v>
      </c>
      <c r="D10" s="94">
        <v>0</v>
      </c>
      <c r="E10" s="95">
        <v>0.05</v>
      </c>
      <c r="F10" s="96" t="n">
        <f>D10*5%/12</f>
        <v>0.0</v>
      </c>
      <c r="G10" s="95">
        <v>0.5</v>
      </c>
      <c r="H10" s="96" t="n">
        <f>F10*50%</f>
        <v>0.0</v>
      </c>
      <c r="I10" s="97" t="n">
        <f t="shared" si="1"/>
        <v>0.0</v>
      </c>
      <c r="J10" s="6"/>
      <c r="K10" s="94">
        <v>634.58333333333337</v>
      </c>
      <c r="L10" s="94">
        <v>317.29166666666669</v>
      </c>
      <c r="M10" s="103" t="n">
        <f>K10+(F10*1)</f>
        <v>634.5833333333334</v>
      </c>
      <c r="N10" s="103" t="n">
        <f t="shared" ref="N10" si="3">L10+(H10*1)</f>
        <v>317.2916666666667</v>
      </c>
      <c r="O10" s="6" t="s">
        <v>88</v>
      </c>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2" customFormat="1" x14ac:dyDescent="0.25">
      <c r="A11" s="91">
        <v>900332</v>
      </c>
      <c r="B11" s="82" t="s">
        <v>140</v>
      </c>
      <c r="C11" s="82" t="s">
        <v>141</v>
      </c>
      <c r="D11" s="45">
        <v>140500</v>
      </c>
      <c r="E11" s="85">
        <v>0.1</v>
      </c>
      <c r="F11" s="84" t="n">
        <f>D11*10%/12</f>
        <v>1170.8333333333333</v>
      </c>
      <c r="G11" s="85">
        <v>0.5</v>
      </c>
      <c r="H11" s="84">
        <v>0</v>
      </c>
      <c r="I11" s="86" t="n">
        <f t="shared" si="1"/>
        <v>1170.8333333333333</v>
      </c>
      <c r="J11" s="87"/>
      <c r="K11" s="45">
        <v>2942.5</v>
      </c>
      <c r="L11" s="45">
        <v>1471.25</v>
      </c>
      <c r="M11" s="45" t="n">
        <f t="shared" ref="M11" si="4">K11+(F11*8)</f>
        <v>12309.166666666666</v>
      </c>
      <c r="N11" s="45" t="n">
        <f>4398.33+1.67</f>
        <v>4400.0</v>
      </c>
      <c r="O11" s="87" t="s">
        <v>89</v>
      </c>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row>
    <row r="12" spans="1:49" s="18" customFormat="1" x14ac:dyDescent="0.25">
      <c r="A12" s="23" t="s">
        <v>7</v>
      </c>
      <c r="B12" s="22" t="s">
        <v>142</v>
      </c>
      <c r="C12" s="22" t="s">
        <v>143</v>
      </c>
      <c r="D12" s="24">
        <v>54000</v>
      </c>
      <c r="E12" s="21" t="s">
        <v>4</v>
      </c>
      <c r="F12" s="31">
        <v>100</v>
      </c>
      <c r="G12" s="27">
        <v>0.5</v>
      </c>
      <c r="H12" s="31" t="n">
        <f>F12*50%</f>
        <v>50.0</v>
      </c>
      <c r="I12" s="20" t="n">
        <f t="shared" si="1"/>
        <v>150.0</v>
      </c>
      <c r="J12" s="9"/>
      <c r="K12" s="24">
        <v>300</v>
      </c>
      <c r="L12" s="24">
        <v>150</v>
      </c>
      <c r="M12" s="24" t="n">
        <f>K12+(F12*8)</f>
        <v>1100.0</v>
      </c>
      <c r="N12" s="24" t="n">
        <f>L12+(H12*8)</f>
        <v>550.0</v>
      </c>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row>
    <row r="13" spans="1:49" s="42" customFormat="1" x14ac:dyDescent="0.25">
      <c r="A13" s="81">
        <v>931165</v>
      </c>
      <c r="B13" s="99" t="s">
        <v>144</v>
      </c>
      <c r="C13" s="99" t="s">
        <v>145</v>
      </c>
      <c r="D13" s="100">
        <v>114000</v>
      </c>
      <c r="E13" s="101">
        <v>0.1</v>
      </c>
      <c r="F13" s="84" t="n">
        <f>SUM(D13*E13)/12</f>
        <v>950.0</v>
      </c>
      <c r="G13" s="85">
        <v>0.5</v>
      </c>
      <c r="H13" s="84">
        <v>0</v>
      </c>
      <c r="I13" s="102" t="n">
        <f t="shared" si="1"/>
        <v>950.0</v>
      </c>
      <c r="J13" s="87"/>
      <c r="K13" s="45">
        <v>2848.3333333333335</v>
      </c>
      <c r="L13" s="45">
        <v>1424.1666666666667</v>
      </c>
      <c r="M13" s="45" t="n">
        <f>K13+(F13*8)</f>
        <v>10448.333333333334</v>
      </c>
      <c r="N13" s="45">
        <v>4400</v>
      </c>
      <c r="O13" s="87" t="s">
        <v>89</v>
      </c>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row>
    <row r="14" spans="1:49" s="42" customFormat="1" x14ac:dyDescent="0.25">
      <c r="A14" s="98" t="s">
        <v>46</v>
      </c>
      <c r="B14" s="99" t="s">
        <v>146</v>
      </c>
      <c r="C14" s="99" t="s">
        <v>147</v>
      </c>
      <c r="D14" s="100">
        <v>104000</v>
      </c>
      <c r="E14" s="101">
        <v>0.1</v>
      </c>
      <c r="F14" s="84" t="n">
        <f>D14*E14/12</f>
        <v>866.6666666666666</v>
      </c>
      <c r="G14" s="85">
        <v>0.5</v>
      </c>
      <c r="H14" s="84">
        <v>0</v>
      </c>
      <c r="I14" s="102" t="n">
        <f t="shared" si="1"/>
        <v>866.6666666666666</v>
      </c>
      <c r="J14" s="87"/>
      <c r="K14" s="45">
        <v>4250</v>
      </c>
      <c r="L14" s="45">
        <v>1275</v>
      </c>
      <c r="M14" s="45" t="n">
        <f>K14+(F14*8)</f>
        <v>11183.333333333332</v>
      </c>
      <c r="N14" s="45">
        <v>4400</v>
      </c>
      <c r="O14" s="87" t="s">
        <v>89</v>
      </c>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row>
    <row r="15" spans="1:49" s="42" customFormat="1" x14ac:dyDescent="0.25">
      <c r="A15" s="91">
        <v>943285</v>
      </c>
      <c r="B15" s="99" t="s">
        <v>148</v>
      </c>
      <c r="C15" s="99" t="s">
        <v>149</v>
      </c>
      <c r="D15" s="100">
        <v>227300</v>
      </c>
      <c r="E15" s="101" t="s">
        <v>4</v>
      </c>
      <c r="F15" s="84">
        <v>1000</v>
      </c>
      <c r="G15" s="85">
        <v>0.5</v>
      </c>
      <c r="H15" s="84">
        <v>400</v>
      </c>
      <c r="I15" s="102" t="n">
        <f t="shared" si="1"/>
        <v>1400.0</v>
      </c>
      <c r="J15" s="87"/>
      <c r="K15" s="45">
        <v>1000</v>
      </c>
      <c r="L15" s="45">
        <v>500</v>
      </c>
      <c r="M15" s="45" t="n">
        <f>K15+(F15*8)</f>
        <v>9000.0</v>
      </c>
      <c r="N15" s="45" t="n">
        <f>4000+400</f>
        <v>4400.0</v>
      </c>
      <c r="O15" s="87" t="s">
        <v>89</v>
      </c>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row>
    <row r="16" spans="1:49" s="4" customFormat="1" x14ac:dyDescent="0.25">
      <c r="A16" s="30">
        <v>946506</v>
      </c>
      <c r="B16" s="22" t="s">
        <v>150</v>
      </c>
      <c r="C16" s="22" t="s">
        <v>151</v>
      </c>
      <c r="D16" s="19">
        <v>124000</v>
      </c>
      <c r="E16" s="21" t="s">
        <v>4</v>
      </c>
      <c r="F16" s="31">
        <v>733</v>
      </c>
      <c r="G16" s="27">
        <v>0.5</v>
      </c>
      <c r="H16" s="31" t="n">
        <f>F16/2</f>
        <v>366.5</v>
      </c>
      <c r="I16" s="20" t="n">
        <f t="shared" si="1"/>
        <v>1099.5</v>
      </c>
      <c r="J16" s="11"/>
      <c r="K16" s="24">
        <v>733</v>
      </c>
      <c r="L16" s="24">
        <v>366.5</v>
      </c>
      <c r="M16" s="24" t="n">
        <f>K16+(F16*8)</f>
        <v>6597.0</v>
      </c>
      <c r="N16" s="24" t="n">
        <f>L16+(H16*8)</f>
        <v>3298.5</v>
      </c>
      <c r="O16"/>
      <c r="P16"/>
      <c r="Q16"/>
      <c r="R16"/>
      <c r="S16"/>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80" customFormat="1" x14ac:dyDescent="0.25">
      <c r="A17" s="47">
        <v>962325</v>
      </c>
      <c r="B17" s="22" t="s">
        <v>155</v>
      </c>
      <c r="C17" s="22" t="s">
        <v>156</v>
      </c>
      <c r="D17" s="19">
        <v>60000</v>
      </c>
      <c r="E17" s="21">
        <v>0.03</v>
      </c>
      <c r="F17" s="79" t="n">
        <f>D17*E17/12</f>
        <v>150.0</v>
      </c>
      <c r="G17" s="21">
        <v>0.5</v>
      </c>
      <c r="H17" s="79" t="n">
        <f>F17/2</f>
        <v>75.0</v>
      </c>
      <c r="I17" s="20" t="n">
        <f t="shared" si="1"/>
        <v>225.0</v>
      </c>
      <c r="J17" s="9"/>
      <c r="K17" s="19">
        <v>733</v>
      </c>
      <c r="L17" s="19">
        <v>366.5</v>
      </c>
      <c r="M17" s="19" t="n">
        <f>F17*7</f>
        <v>1050.0</v>
      </c>
      <c r="N17" s="19" t="n">
        <f>H17*7</f>
        <v>525.0</v>
      </c>
      <c r="O17"/>
      <c r="P17"/>
      <c r="Q17"/>
      <c r="R17"/>
      <c r="S17"/>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row>
    <row r="18" spans="1:49" s="18" customFormat="1" x14ac:dyDescent="0.25">
      <c r="A18" s="118" t="s">
        <v>102</v>
      </c>
      <c r="B18" s="119" t="s">
        <v>157</v>
      </c>
      <c r="C18" s="119" t="s">
        <v>158</v>
      </c>
      <c r="D18" s="120">
        <v>39000</v>
      </c>
      <c r="E18" s="121">
        <v>0.1</v>
      </c>
      <c r="F18" s="122" t="n">
        <f>D18*E18/12</f>
        <v>325.0</v>
      </c>
      <c r="G18" s="121">
        <v>0.5</v>
      </c>
      <c r="H18" s="122" t="n">
        <f t="shared" ref="H18" si="5">F18/2</f>
        <v>162.5</v>
      </c>
      <c r="I18" s="123" t="n">
        <f t="shared" si="1"/>
        <v>487.5</v>
      </c>
      <c r="K18" s="120"/>
      <c r="L18" s="120"/>
      <c r="M18" s="120" t="n">
        <f>F18*2</f>
        <v>650.0</v>
      </c>
      <c r="N18" s="120" t="n">
        <f>H18*2</f>
        <v>325.0</v>
      </c>
      <c r="O18"/>
      <c r="P18"/>
      <c r="Q18"/>
      <c r="R18"/>
      <c r="S18"/>
    </row>
    <row r="19" spans="1:49" s="18" customFormat="1" x14ac:dyDescent="0.25">
      <c r="A19" s="47" t="s">
        <v>103</v>
      </c>
      <c r="B19" s="22" t="s">
        <v>159</v>
      </c>
      <c r="C19" s="22" t="s">
        <v>160</v>
      </c>
      <c r="D19" s="19">
        <v>39000</v>
      </c>
      <c r="E19" s="21">
        <v>0.03</v>
      </c>
      <c r="F19" s="79" t="n">
        <f>D19*E19/12</f>
        <v>97.5</v>
      </c>
      <c r="G19" s="21">
        <v>0.5</v>
      </c>
      <c r="H19" s="79" t="n">
        <f>F19/2</f>
        <v>48.75</v>
      </c>
      <c r="I19" s="20" t="n">
        <f t="shared" si="1"/>
        <v>146.25</v>
      </c>
      <c r="J19" s="22"/>
      <c r="K19" s="19"/>
      <c r="L19" s="19"/>
      <c r="M19" s="19" t="n">
        <f>F19*2</f>
        <v>195.0</v>
      </c>
      <c r="N19" s="19" t="n">
        <f>H19*2</f>
        <v>97.5</v>
      </c>
      <c r="O19"/>
      <c r="P19"/>
      <c r="Q19"/>
      <c r="R19"/>
      <c r="S19"/>
    </row>
    <row r="20" spans="1:49" s="18" customFormat="1" x14ac:dyDescent="0.25">
      <c r="A20" s="47" t="s">
        <v>104</v>
      </c>
      <c r="B20" s="22" t="s">
        <v>150</v>
      </c>
      <c r="C20" s="22" t="s">
        <v>161</v>
      </c>
      <c r="D20" s="19">
        <v>141000</v>
      </c>
      <c r="E20" s="124">
        <v>6.25E-2</v>
      </c>
      <c r="F20" s="79" t="n">
        <f>D20*E20/12</f>
        <v>734.375</v>
      </c>
      <c r="G20" s="21">
        <v>0.5</v>
      </c>
      <c r="H20" s="79" t="n">
        <f>F20/2</f>
        <v>367.1875</v>
      </c>
      <c r="I20" s="20" t="n">
        <f t="shared" si="1"/>
        <v>1101.5625</v>
      </c>
      <c r="J20" s="22"/>
      <c r="K20" s="19"/>
      <c r="L20" s="19"/>
      <c r="M20" s="19" t="n">
        <f>7331.26+F20*1</f>
        <v>8065.635</v>
      </c>
      <c r="N20" s="19" t="n">
        <f>3665.63+H20*1</f>
        <v>4032.8175</v>
      </c>
      <c r="O20"/>
      <c r="P20"/>
      <c r="Q20"/>
      <c r="R20"/>
      <c r="S20"/>
    </row>
    <row r="21" spans="1:49" s="4" customFormat="1" x14ac:dyDescent="0.25">
      <c r="A21" s="17"/>
      <c r="B21" s="16"/>
      <c r="C21" s="16"/>
      <c r="D21" s="12"/>
      <c r="E21" s="15"/>
      <c r="F21" s="14"/>
      <c r="G21" s="15"/>
      <c r="H21" s="14"/>
      <c r="I21" s="13"/>
      <c r="J21" s="11"/>
      <c r="K21" s="12"/>
      <c r="L21" s="12"/>
      <c r="M21" s="12"/>
      <c r="N21" s="12"/>
      <c r="O21"/>
      <c r="P21"/>
      <c r="Q21"/>
      <c r="R21"/>
      <c r="S2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row>
    <row r="22" spans="1:49" x14ac:dyDescent="0.25">
      <c r="A22" s="6"/>
      <c r="D22" s="68"/>
      <c r="F22" s="7" t="n">
        <f>SUM(F5:F20)</f>
        <v>9057.95</v>
      </c>
      <c r="H22" s="7" t="n">
        <f>SUM(H5:H20)</f>
        <v>2136.8125</v>
      </c>
      <c r="I22" s="7" t="n">
        <f>SUM(I5:I20)</f>
        <v>11194.7625</v>
      </c>
      <c r="K22" s="71"/>
      <c r="L22" s="7"/>
      <c r="M22" s="7" t="n">
        <f>SUM(M5:M20)</f>
        <v>97551.88833333332</v>
      </c>
      <c r="N22" s="7" t="n">
        <f>SUM(N5:N20)</f>
        <v>39585.1925</v>
      </c>
    </row>
    <row r="23" spans="1:49" ht="15.75" x14ac:dyDescent="0.25">
      <c r="A23" s="10" t="s">
        <v>1</v>
      </c>
      <c r="B23" s="6"/>
      <c r="C23" s="6"/>
      <c r="D23" s="6"/>
      <c r="E23" s="8"/>
      <c r="F23" s="7"/>
      <c r="G23" s="8"/>
      <c r="H23" s="7"/>
      <c r="I23" s="7"/>
    </row>
    <row r="24" spans="1:49" s="88" customFormat="1" ht="18.75" x14ac:dyDescent="0.3">
      <c r="A24" s="88" t="s">
        <v>35</v>
      </c>
      <c r="E24" s="89"/>
      <c r="F24" s="90"/>
      <c r="G24" s="89"/>
      <c r="H24" s="90"/>
      <c r="I24" s="90"/>
      <c r="O24"/>
      <c r="P24"/>
      <c r="Q24"/>
      <c r="R24"/>
      <c r="S24"/>
    </row>
    <row r="25" spans="1:49" ht="15.75" customHeight="1" x14ac:dyDescent="0.25"/>
    <row r="26" spans="1:49" ht="15.75" customHeight="1" x14ac:dyDescent="0.25">
      <c r="A26" s="5" t="s">
        <v>0</v>
      </c>
    </row>
    <row r="27" spans="1:49" s="74" customFormat="1" ht="21" x14ac:dyDescent="0.35">
      <c r="A27" s="77" t="s">
        <v>165</v>
      </c>
      <c r="E27" s="75"/>
      <c r="K27" s="76"/>
      <c r="O27"/>
      <c r="P27"/>
      <c r="Q27"/>
      <c r="R27"/>
      <c r="S27"/>
    </row>
    <row r="28" spans="1:49" ht="21" x14ac:dyDescent="0.35">
      <c r="A28" s="77" t="s">
        <v>166</v>
      </c>
    </row>
  </sheetData>
  <mergeCells count="3">
    <mergeCell ref="M2:N2"/>
    <mergeCell ref="K3:L3"/>
    <mergeCell ref="M3:N3"/>
  </mergeCells>
  <hyperlinks>
    <hyperlink ref="A12" r:id="rId1" location="0928091"/>
    <hyperlink ref="A13" r:id="rId2" location="0928091" display="https://www.pensionplanetinteractive.ie/ppi/content/loadSchemeMemberSearch.action - 0928091"/>
  </hyperlinks>
  <pageMargins left="0.70866141732283472" right="0.70866141732283472" top="0.74803149606299213" bottom="0.74803149606299213" header="0.31496062992125984" footer="0.31496062992125984"/>
  <pageSetup paperSize="9" scale="48" orientation="landscape"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X19"/>
  <sheetViews>
    <sheetView zoomScale="85" zoomScaleNormal="85" workbookViewId="0">
      <selection activeCell="H13" sqref="H13"/>
    </sheetView>
  </sheetViews>
  <sheetFormatPr defaultRowHeight="15" x14ac:dyDescent="0.25"/>
  <cols>
    <col min="1" max="1" customWidth="true" width="14.5703125" collapsed="false"/>
    <col min="2" max="2" customWidth="true" width="13.140625" collapsed="false"/>
    <col min="3" max="3" customWidth="true" width="14.28515625" collapsed="false"/>
    <col min="4" max="4" customWidth="true" width="17.0" collapsed="false"/>
    <col min="5" max="5" customWidth="true" style="1" width="11.85546875" collapsed="false"/>
    <col min="6" max="6" customWidth="true" width="17.0" collapsed="false"/>
    <col min="7" max="7" customWidth="true" width="9.85546875" collapsed="false"/>
    <col min="8" max="8" customWidth="true" width="16.140625" collapsed="false"/>
    <col min="9" max="9" customWidth="true" width="18.7109375" collapsed="false"/>
    <col min="10" max="10" customWidth="true" width="5.5703125" collapsed="false"/>
    <col min="11" max="12" customWidth="true" hidden="true" width="11.140625" collapsed="false"/>
    <col min="13" max="14" bestFit="true" customWidth="true" width="12.140625" collapsed="false"/>
    <col min="15" max="50" customWidth="true" width="5.5703125" collapsed="false"/>
  </cols>
  <sheetData>
    <row r="1" spans="1:50" x14ac:dyDescent="0.25">
      <c r="A1" s="11" t="s">
        <v>31</v>
      </c>
    </row>
    <row r="2" spans="1:50" ht="39" customHeight="1" x14ac:dyDescent="0.25">
      <c r="A2" s="39">
        <v>43862</v>
      </c>
      <c r="M2" s="138"/>
      <c r="N2" s="138"/>
    </row>
    <row r="3" spans="1:50" x14ac:dyDescent="0.25">
      <c r="K3" s="139" t="s">
        <v>36</v>
      </c>
      <c r="L3" s="139"/>
      <c r="M3" s="139" t="s">
        <v>37</v>
      </c>
      <c r="N3" s="139"/>
    </row>
    <row r="4" spans="1:50" ht="45" x14ac:dyDescent="0.25">
      <c r="A4" s="38" t="s">
        <v>30</v>
      </c>
      <c r="B4" s="38" t="s">
        <v>29</v>
      </c>
      <c r="C4" s="38" t="s">
        <v>28</v>
      </c>
      <c r="D4" s="37" t="s">
        <v>27</v>
      </c>
      <c r="E4" s="34" t="s">
        <v>26</v>
      </c>
      <c r="F4" s="34" t="s">
        <v>25</v>
      </c>
      <c r="G4" s="34" t="s">
        <v>24</v>
      </c>
      <c r="H4" s="36" t="s">
        <v>23</v>
      </c>
      <c r="I4" s="36" t="s">
        <v>22</v>
      </c>
      <c r="K4" s="34" t="s">
        <v>32</v>
      </c>
      <c r="L4" s="34" t="s">
        <v>34</v>
      </c>
      <c r="M4" s="34" t="s">
        <v>32</v>
      </c>
      <c r="N4" s="34" t="s">
        <v>33</v>
      </c>
    </row>
    <row r="5" spans="1:50" s="3" customFormat="1" x14ac:dyDescent="0.25">
      <c r="A5" s="32">
        <v>839415</v>
      </c>
      <c r="B5" s="29" t="s">
        <v>128</v>
      </c>
      <c r="C5" s="29" t="s">
        <v>129</v>
      </c>
      <c r="D5" s="45">
        <v>53300</v>
      </c>
      <c r="E5" s="27">
        <v>7.0000000000000007E-2</v>
      </c>
      <c r="F5" s="20" t="n">
        <f>D5*7%/12</f>
        <v>310.9166666666667</v>
      </c>
      <c r="G5" s="27">
        <v>0.5</v>
      </c>
      <c r="H5" s="31" t="n">
        <f>F5*50%</f>
        <v>155.45833333333334</v>
      </c>
      <c r="I5" s="26" t="n">
        <f t="shared" ref="I5" si="0">F5+H5</f>
        <v>466.375</v>
      </c>
      <c r="J5"/>
      <c r="K5" s="24">
        <v>281.75000000000006</v>
      </c>
      <c r="L5" s="24">
        <v>140.87500000000003</v>
      </c>
      <c r="M5" s="24" t="n">
        <f>K5+F5</f>
        <v>592.6666666666667</v>
      </c>
      <c r="N5" s="24" t="n">
        <f>L5+H5</f>
        <v>296.33333333333337</v>
      </c>
      <c r="O5"/>
      <c r="P5"/>
      <c r="Q5"/>
      <c r="R5"/>
      <c r="S5"/>
      <c r="T5"/>
      <c r="U5"/>
      <c r="V5"/>
      <c r="W5"/>
      <c r="X5"/>
      <c r="Y5"/>
      <c r="Z5"/>
      <c r="AA5"/>
      <c r="AB5"/>
      <c r="AC5"/>
      <c r="AD5"/>
      <c r="AE5"/>
      <c r="AF5"/>
      <c r="AG5"/>
      <c r="AH5"/>
      <c r="AI5"/>
      <c r="AJ5"/>
      <c r="AK5"/>
      <c r="AL5"/>
      <c r="AM5"/>
      <c r="AN5"/>
      <c r="AO5"/>
      <c r="AP5"/>
      <c r="AQ5"/>
      <c r="AR5"/>
      <c r="AS5"/>
      <c r="AT5"/>
      <c r="AU5"/>
      <c r="AV5"/>
      <c r="AW5"/>
      <c r="AX5"/>
    </row>
    <row r="6" spans="1:50" s="3" customFormat="1" x14ac:dyDescent="0.25">
      <c r="A6" s="32">
        <v>862567</v>
      </c>
      <c r="B6" s="29" t="s">
        <v>130</v>
      </c>
      <c r="C6" s="29" t="s">
        <v>131</v>
      </c>
      <c r="D6" s="24">
        <v>160000</v>
      </c>
      <c r="E6" s="27">
        <v>0.05</v>
      </c>
      <c r="F6" s="26" t="n">
        <f>D6*5%/12</f>
        <v>666.6666666666666</v>
      </c>
      <c r="G6" s="27">
        <v>0.5</v>
      </c>
      <c r="H6" s="31" t="n">
        <f>F6*50%</f>
        <v>333.3333333333333</v>
      </c>
      <c r="I6" s="26" t="n">
        <f t="shared" ref="I6:I13" si="1">F6+H6</f>
        <v>1000.0</v>
      </c>
      <c r="J6" s="11"/>
      <c r="K6" s="24">
        <v>666.66666666666663</v>
      </c>
      <c r="L6" s="24">
        <v>333.33333333333331</v>
      </c>
      <c r="M6" s="24" t="n">
        <f>K6+F6</f>
        <v>1333.3333333333333</v>
      </c>
      <c r="N6" s="24" t="n">
        <f t="shared" ref="N6" si="2">L6+H6</f>
        <v>666.6666666666666</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s="3" customFormat="1" x14ac:dyDescent="0.25">
      <c r="A7" s="32">
        <v>881957</v>
      </c>
      <c r="B7" s="29" t="s">
        <v>132</v>
      </c>
      <c r="C7" s="29" t="s">
        <v>133</v>
      </c>
      <c r="D7" s="24">
        <v>42600</v>
      </c>
      <c r="E7" s="27">
        <v>0.05</v>
      </c>
      <c r="F7" s="26" t="n">
        <f>D7*5%/12</f>
        <v>177.5</v>
      </c>
      <c r="G7" s="27">
        <v>0.5</v>
      </c>
      <c r="H7" s="31" t="n">
        <f t="shared" ref="H7" si="3">F7*50%</f>
        <v>88.75</v>
      </c>
      <c r="I7" s="26" t="n">
        <f t="shared" si="1"/>
        <v>266.25</v>
      </c>
      <c r="J7" s="11"/>
      <c r="K7" s="24">
        <v>177.5</v>
      </c>
      <c r="L7" s="24">
        <v>88.75</v>
      </c>
      <c r="M7" s="24" t="n">
        <f t="shared" ref="M7" si="4">K7+F7</f>
        <v>355.0</v>
      </c>
      <c r="N7" s="24" t="n">
        <f t="shared" ref="N7:N13" si="5">L7+H7</f>
        <v>177.5</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s="3" customFormat="1" x14ac:dyDescent="0.25">
      <c r="A8" s="32">
        <v>886344</v>
      </c>
      <c r="B8" s="29" t="s">
        <v>134</v>
      </c>
      <c r="C8" s="29" t="s">
        <v>135</v>
      </c>
      <c r="D8" s="24">
        <v>137000</v>
      </c>
      <c r="E8" s="33">
        <v>0.14233599999999999</v>
      </c>
      <c r="F8" s="28" t="n">
        <f>D8*14.2336%/12</f>
        <v>1625.0026666666665</v>
      </c>
      <c r="G8" s="27">
        <v>0.5</v>
      </c>
      <c r="H8" s="31" t="n">
        <f t="shared" ref="H8:H13" si="6">F8*50%</f>
        <v>812.5013333333333</v>
      </c>
      <c r="I8" s="26" t="n">
        <f t="shared" si="1"/>
        <v>2437.504</v>
      </c>
      <c r="J8" s="11"/>
      <c r="K8" s="24">
        <v>1625.0026666666665</v>
      </c>
      <c r="L8" s="24">
        <v>812.50133333333326</v>
      </c>
      <c r="M8" s="24" t="n">
        <f t="shared" ref="M8:M13" si="7">K8+F8</f>
        <v>3250.005333333333</v>
      </c>
      <c r="N8" s="24" t="n">
        <f t="shared" si="5"/>
        <v>1625.0026666666665</v>
      </c>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s="3" customFormat="1" x14ac:dyDescent="0.25">
      <c r="A9" s="32">
        <v>896998</v>
      </c>
      <c r="B9" s="29" t="s">
        <v>136</v>
      </c>
      <c r="C9" s="29" t="s">
        <v>137</v>
      </c>
      <c r="D9" s="45">
        <v>42600</v>
      </c>
      <c r="E9" s="27">
        <v>0.1</v>
      </c>
      <c r="F9" s="20" t="n">
        <f>D9*10%/12</f>
        <v>355.0</v>
      </c>
      <c r="G9" s="27">
        <v>0.5</v>
      </c>
      <c r="H9" s="31" t="n">
        <f t="shared" si="6"/>
        <v>177.5</v>
      </c>
      <c r="I9" s="26" t="n">
        <f t="shared" si="1"/>
        <v>532.5</v>
      </c>
      <c r="J9" s="11"/>
      <c r="K9" s="24">
        <v>326.66666666666669</v>
      </c>
      <c r="L9" s="24">
        <v>163.33333333333334</v>
      </c>
      <c r="M9" s="24" t="n">
        <f t="shared" si="7"/>
        <v>681.6666666666667</v>
      </c>
      <c r="N9" s="24" t="n">
        <f t="shared" si="5"/>
        <v>340.83333333333337</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s="3" customFormat="1" x14ac:dyDescent="0.25">
      <c r="A10" s="32">
        <v>896997</v>
      </c>
      <c r="B10" s="29" t="s">
        <v>138</v>
      </c>
      <c r="C10" s="29" t="s">
        <v>139</v>
      </c>
      <c r="D10" s="45">
        <v>51500</v>
      </c>
      <c r="E10" s="27">
        <v>0.05</v>
      </c>
      <c r="F10" s="20" t="n">
        <f>D10*5%/12</f>
        <v>214.58333333333334</v>
      </c>
      <c r="G10" s="27">
        <v>0.5</v>
      </c>
      <c r="H10" s="31" t="n">
        <f t="shared" si="6"/>
        <v>107.29166666666667</v>
      </c>
      <c r="I10" s="26" t="n">
        <f t="shared" si="1"/>
        <v>321.875</v>
      </c>
      <c r="J10" s="11"/>
      <c r="K10" s="24">
        <v>205.41666666666666</v>
      </c>
      <c r="L10" s="24">
        <v>102.70833333333333</v>
      </c>
      <c r="M10" s="24" t="n">
        <f t="shared" si="7"/>
        <v>420.0</v>
      </c>
      <c r="N10" s="24" t="n">
        <f t="shared" si="5"/>
        <v>210.0</v>
      </c>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s="3" customFormat="1" x14ac:dyDescent="0.25">
      <c r="A11" s="30">
        <v>900332</v>
      </c>
      <c r="B11" s="29" t="s">
        <v>140</v>
      </c>
      <c r="C11" s="29" t="s">
        <v>141</v>
      </c>
      <c r="D11" s="45">
        <v>121300</v>
      </c>
      <c r="E11" s="27">
        <v>0.1</v>
      </c>
      <c r="F11" s="28" t="n">
        <f>D11*10%/12</f>
        <v>1010.8333333333334</v>
      </c>
      <c r="G11" s="27">
        <v>0.5</v>
      </c>
      <c r="H11" s="31" t="n">
        <f t="shared" si="6"/>
        <v>505.4166666666667</v>
      </c>
      <c r="I11" s="26" t="n">
        <f t="shared" si="1"/>
        <v>1516.25</v>
      </c>
      <c r="J11" s="11"/>
      <c r="K11" s="24">
        <v>920.83333333333337</v>
      </c>
      <c r="L11" s="24">
        <v>460.41666666666669</v>
      </c>
      <c r="M11" s="24" t="n">
        <f t="shared" si="7"/>
        <v>1931.6666666666667</v>
      </c>
      <c r="N11" s="24" t="n">
        <f t="shared" si="5"/>
        <v>965.8333333333334</v>
      </c>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s="18" customFormat="1" x14ac:dyDescent="0.25">
      <c r="A12" s="23" t="s">
        <v>7</v>
      </c>
      <c r="B12" s="22" t="s">
        <v>142</v>
      </c>
      <c r="C12" s="22" t="s">
        <v>143</v>
      </c>
      <c r="D12" s="19">
        <v>52000</v>
      </c>
      <c r="E12" s="21" t="s">
        <v>4</v>
      </c>
      <c r="F12" s="20">
        <v>100</v>
      </c>
      <c r="G12" s="27">
        <v>0.5</v>
      </c>
      <c r="H12" s="31" t="n">
        <f t="shared" si="6"/>
        <v>50.0</v>
      </c>
      <c r="I12" s="20" t="n">
        <f t="shared" si="1"/>
        <v>150.0</v>
      </c>
      <c r="J12" s="9"/>
      <c r="K12" s="24">
        <v>100</v>
      </c>
      <c r="L12" s="24">
        <v>50</v>
      </c>
      <c r="M12" s="24" t="n">
        <f t="shared" si="7"/>
        <v>200.0</v>
      </c>
      <c r="N12" s="24" t="n">
        <f t="shared" si="5"/>
        <v>100.0</v>
      </c>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row>
    <row r="13" spans="1:50" s="4" customFormat="1" x14ac:dyDescent="0.25">
      <c r="A13" s="23">
        <v>931165</v>
      </c>
      <c r="B13" s="22" t="s">
        <v>144</v>
      </c>
      <c r="C13" s="22" t="s">
        <v>145</v>
      </c>
      <c r="D13" s="19">
        <v>110000</v>
      </c>
      <c r="E13" s="21">
        <v>0.1</v>
      </c>
      <c r="F13" s="20" t="n">
        <f>D11*10%/12</f>
        <v>1010.8333333333334</v>
      </c>
      <c r="G13" s="27">
        <v>0.5</v>
      </c>
      <c r="H13" s="31" t="n">
        <f t="shared" si="6"/>
        <v>505.4166666666667</v>
      </c>
      <c r="I13" s="40" t="n">
        <f t="shared" si="1"/>
        <v>1516.25</v>
      </c>
      <c r="J13" s="11"/>
      <c r="K13" s="24">
        <v>920.83333333333337</v>
      </c>
      <c r="L13" s="24">
        <v>460.41666666666669</v>
      </c>
      <c r="M13" s="24" t="n">
        <f t="shared" si="7"/>
        <v>1931.6666666666667</v>
      </c>
      <c r="N13" s="24" t="n">
        <f t="shared" si="5"/>
        <v>965.8333333333334</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s="4" customFormat="1" x14ac:dyDescent="0.25">
      <c r="A14" s="17"/>
      <c r="B14" s="16"/>
      <c r="C14" s="16"/>
      <c r="D14" s="12"/>
      <c r="E14" s="15"/>
      <c r="F14" s="13"/>
      <c r="G14" s="15"/>
      <c r="H14" s="14"/>
      <c r="I14" s="13"/>
      <c r="J14" s="11"/>
      <c r="K14" s="12"/>
      <c r="L14" s="12"/>
      <c r="M14" s="12"/>
      <c r="N14" s="12"/>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x14ac:dyDescent="0.25">
      <c r="A15" s="6"/>
      <c r="F15" s="7" t="n">
        <f>SUM(F5:F13)</f>
        <v>5471.335999999999</v>
      </c>
      <c r="H15" s="7" t="n">
        <f>SUM(H5:H13)</f>
        <v>2735.6679999999997</v>
      </c>
      <c r="I15" s="7" t="n">
        <f>SUM(I5:I13)</f>
        <v>8207.004</v>
      </c>
      <c r="K15" s="7" t="n">
        <f>SUM(K5:K14)</f>
        <v>5224.669333333332</v>
      </c>
      <c r="L15" s="7" t="n">
        <f>SUM(L5:L13)</f>
        <v>2612.334666666666</v>
      </c>
      <c r="M15" s="7" t="n">
        <f>SUM(M5:M13)</f>
        <v>10696.005333333333</v>
      </c>
      <c r="N15" s="7" t="n">
        <f>SUM(N5:N13)</f>
        <v>5348.002666666666</v>
      </c>
    </row>
    <row r="16" spans="1:50" ht="15.75" x14ac:dyDescent="0.25">
      <c r="A16" s="10" t="s">
        <v>1</v>
      </c>
      <c r="B16" s="6"/>
      <c r="C16" s="6"/>
      <c r="D16" s="6"/>
      <c r="E16" s="8"/>
      <c r="F16" s="7"/>
      <c r="G16" s="8"/>
      <c r="H16" s="7"/>
      <c r="I16" s="7"/>
    </row>
    <row r="17" spans="1:12" s="2" customFormat="1" x14ac:dyDescent="0.25">
      <c r="A17" s="41" t="s">
        <v>35</v>
      </c>
      <c r="B17" s="42"/>
      <c r="C17" s="42"/>
      <c r="D17" s="42"/>
      <c r="E17" s="43"/>
      <c r="F17" s="44"/>
      <c r="G17" s="43"/>
      <c r="H17" s="44"/>
      <c r="I17" s="44"/>
      <c r="K17" s="42"/>
      <c r="L17" s="42"/>
    </row>
    <row r="18" spans="1:12" ht="15.75" customHeight="1" x14ac:dyDescent="0.25"/>
    <row r="19" spans="1:12" ht="15.75" customHeight="1" x14ac:dyDescent="0.25">
      <c r="A19" s="5" t="s">
        <v>0</v>
      </c>
    </row>
  </sheetData>
  <mergeCells count="3">
    <mergeCell ref="M2:N2"/>
    <mergeCell ref="K3:L3"/>
    <mergeCell ref="M3:N3"/>
  </mergeCells>
  <hyperlinks>
    <hyperlink ref="A12" r:id="rId1" location="0928091"/>
    <hyperlink ref="A13" r:id="rId2" location="0928091" display="https://www.pensionplanetinteractive.ie/ppi/content/loadSchemeMemberSearch.action - 0928091"/>
  </hyperlinks>
  <pageMargins left="0.70866141732283472" right="0.70866141732283472" top="0.74803149606299213" bottom="0.74803149606299213" header="0.31496062992125984" footer="0.31496062992125984"/>
  <pageSetup paperSize="9" scale="70"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0"/>
  <sheetViews>
    <sheetView workbookViewId="0"/>
  </sheetViews>
  <sheetFormatPr defaultColWidth="9.28515625" defaultRowHeight="15" x14ac:dyDescent="0.25"/>
  <sheetData>
    <row r="1" spans="1:6" x14ac:dyDescent="0.25">
      <c r="A1" s="125" t="s">
        <v>105</v>
      </c>
      <c r="B1" s="125" t="s">
        <v>106</v>
      </c>
      <c r="C1" s="125" t="s">
        <v>107</v>
      </c>
      <c r="D1" s="125" t="s">
        <v>108</v>
      </c>
      <c r="E1" s="125" t="s">
        <v>109</v>
      </c>
      <c r="F1" s="125" t="s">
        <v>110</v>
      </c>
    </row>
    <row r="2" spans="1:6" x14ac:dyDescent="0.25">
      <c r="A2" t="s">
        <v>111</v>
      </c>
      <c r="B2" t="s">
        <v>128</v>
      </c>
      <c r="C2" t="s">
        <v>129</v>
      </c>
      <c r="D2">
        <v>53300</v>
      </c>
      <c r="E2">
        <v>310.92</v>
      </c>
      <c r="F2">
        <v>140.88</v>
      </c>
    </row>
    <row r="3" spans="1:6" x14ac:dyDescent="0.25">
      <c r="A3" t="s">
        <v>112</v>
      </c>
      <c r="B3" t="s">
        <v>130</v>
      </c>
      <c r="C3" t="s">
        <v>131</v>
      </c>
      <c r="D3">
        <v>160000</v>
      </c>
      <c r="E3">
        <v>666.67</v>
      </c>
      <c r="F3">
        <v>333.33</v>
      </c>
    </row>
    <row r="4" spans="1:6" x14ac:dyDescent="0.25">
      <c r="A4" t="s">
        <v>113</v>
      </c>
      <c r="B4" t="s">
        <v>132</v>
      </c>
      <c r="C4" t="s">
        <v>133</v>
      </c>
      <c r="D4">
        <v>42600</v>
      </c>
      <c r="E4">
        <v>177.5</v>
      </c>
      <c r="F4">
        <v>88.75</v>
      </c>
    </row>
    <row r="5" spans="1:6" x14ac:dyDescent="0.25">
      <c r="A5" t="s">
        <v>114</v>
      </c>
      <c r="B5" t="s">
        <v>134</v>
      </c>
      <c r="C5" t="s">
        <v>135</v>
      </c>
      <c r="D5">
        <v>137000</v>
      </c>
      <c r="E5">
        <v>1625</v>
      </c>
      <c r="F5">
        <v>812.5</v>
      </c>
    </row>
    <row r="6" spans="1:6" x14ac:dyDescent="0.25">
      <c r="A6" t="s">
        <v>115</v>
      </c>
      <c r="B6" t="s">
        <v>136</v>
      </c>
      <c r="C6" t="s">
        <v>137</v>
      </c>
      <c r="D6">
        <v>42600</v>
      </c>
      <c r="E6">
        <v>355</v>
      </c>
      <c r="F6">
        <v>163.33000000000001</v>
      </c>
    </row>
    <row r="7" spans="1:6" x14ac:dyDescent="0.25">
      <c r="A7" t="s">
        <v>116</v>
      </c>
      <c r="B7" t="s">
        <v>138</v>
      </c>
      <c r="C7" t="s">
        <v>139</v>
      </c>
      <c r="D7">
        <v>51500</v>
      </c>
      <c r="E7">
        <v>214.58</v>
      </c>
      <c r="F7">
        <v>102.71</v>
      </c>
    </row>
    <row r="8" spans="1:6" x14ac:dyDescent="0.25">
      <c r="A8" t="s">
        <v>117</v>
      </c>
      <c r="B8" t="s">
        <v>140</v>
      </c>
      <c r="C8" t="s">
        <v>141</v>
      </c>
      <c r="D8">
        <v>121300</v>
      </c>
      <c r="E8">
        <v>1010.83</v>
      </c>
      <c r="F8">
        <v>460.42</v>
      </c>
    </row>
    <row r="9" spans="1:6" x14ac:dyDescent="0.25">
      <c r="A9" t="s">
        <v>7</v>
      </c>
      <c r="B9" t="s">
        <v>142</v>
      </c>
      <c r="C9" t="s">
        <v>143</v>
      </c>
      <c r="D9">
        <v>52000</v>
      </c>
      <c r="E9">
        <v>100</v>
      </c>
      <c r="F9">
        <v>50</v>
      </c>
    </row>
    <row r="10" spans="1:6" x14ac:dyDescent="0.25">
      <c r="A10" t="s">
        <v>118</v>
      </c>
      <c r="B10" t="s">
        <v>144</v>
      </c>
      <c r="C10" t="s">
        <v>145</v>
      </c>
      <c r="D10">
        <v>110000</v>
      </c>
      <c r="E10">
        <v>1010.83</v>
      </c>
      <c r="F10">
        <v>460.42</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7"/>
  <sheetViews>
    <sheetView workbookViewId="0">
      <selection activeCell="T10" sqref="T10"/>
    </sheetView>
  </sheetViews>
  <sheetFormatPr defaultRowHeight="15" x14ac:dyDescent="0.25"/>
  <cols>
    <col min="1" max="1" bestFit="true" customWidth="true" width="8.85546875" collapsed="false"/>
    <col min="3" max="3" customWidth="true" width="14.7109375" collapsed="false"/>
    <col min="4" max="4" bestFit="true" customWidth="true" width="13.42578125" collapsed="false"/>
    <col min="5" max="5" customWidth="true" width="3.140625" collapsed="false"/>
    <col min="6" max="6" customWidth="true" width="14.140625" collapsed="false"/>
    <col min="7" max="7" customWidth="true" width="2.28515625" collapsed="false"/>
    <col min="8" max="11" bestFit="true" customWidth="true" width="9.28515625" collapsed="false"/>
    <col min="12" max="12" bestFit="true" customWidth="true" width="11.5703125" collapsed="false"/>
    <col min="13" max="13" customWidth="true" width="4.0" collapsed="false"/>
    <col min="14" max="14" customWidth="true" width="11.5703125" collapsed="false"/>
  </cols>
  <sheetData>
    <row r="1" spans="1:18" ht="28.5" customHeight="1" x14ac:dyDescent="0.25">
      <c r="F1" s="58" t="s">
        <v>48</v>
      </c>
      <c r="H1" s="141" t="s">
        <v>49</v>
      </c>
      <c r="I1" s="141"/>
      <c r="J1" s="141"/>
      <c r="K1" s="141"/>
      <c r="L1" s="141"/>
    </row>
    <row r="2" spans="1:18" ht="45" x14ac:dyDescent="0.25">
      <c r="A2" s="50" t="s">
        <v>30</v>
      </c>
      <c r="B2" s="50" t="s">
        <v>29</v>
      </c>
      <c r="C2" s="50" t="s">
        <v>28</v>
      </c>
      <c r="D2" s="34" t="s">
        <v>27</v>
      </c>
      <c r="F2" s="34" t="s">
        <v>53</v>
      </c>
      <c r="H2" s="34" t="s">
        <v>50</v>
      </c>
      <c r="I2" s="34" t="s">
        <v>51</v>
      </c>
      <c r="J2" s="34" t="s">
        <v>52</v>
      </c>
      <c r="K2" s="34" t="s">
        <v>53</v>
      </c>
      <c r="L2" s="34" t="s">
        <v>22</v>
      </c>
      <c r="N2" s="34" t="s">
        <v>54</v>
      </c>
      <c r="O2" s="53"/>
      <c r="P2" s="53"/>
    </row>
    <row r="3" spans="1:18" x14ac:dyDescent="0.25">
      <c r="A3" s="32">
        <v>839415</v>
      </c>
      <c r="B3" s="29" t="s">
        <v>128</v>
      </c>
      <c r="C3" s="29" t="s">
        <v>129</v>
      </c>
      <c r="D3" s="45">
        <v>53300</v>
      </c>
      <c r="F3" s="26">
        <v>29.166666666666629</v>
      </c>
      <c r="H3" s="51">
        <v>14.583333333333314</v>
      </c>
      <c r="I3" s="51">
        <v>14.583333333333314</v>
      </c>
      <c r="J3" s="51">
        <v>14.583333333333314</v>
      </c>
      <c r="K3" s="51">
        <v>14.583333333333314</v>
      </c>
      <c r="L3" s="52">
        <v>58.3333333333333</v>
      </c>
      <c r="N3" s="54" t="n">
        <f>F3+L3</f>
        <v>87.49999999999993</v>
      </c>
    </row>
    <row r="4" spans="1:18" x14ac:dyDescent="0.25">
      <c r="A4" s="32">
        <v>896998</v>
      </c>
      <c r="B4" s="29" t="s">
        <v>136</v>
      </c>
      <c r="C4" s="29" t="s">
        <v>137</v>
      </c>
      <c r="D4" s="45">
        <v>42600</v>
      </c>
      <c r="F4" s="26">
        <v>28.333333333333314</v>
      </c>
      <c r="H4" s="51">
        <v>14.166666666666657</v>
      </c>
      <c r="I4" s="51">
        <v>14.166666666666657</v>
      </c>
      <c r="J4" s="51">
        <v>14.166666666666657</v>
      </c>
      <c r="K4" s="51">
        <v>14.166666666666657</v>
      </c>
      <c r="L4" s="52">
        <v>56.666666666666629</v>
      </c>
      <c r="N4" s="55" t="n">
        <f>F4+L4</f>
        <v>84.99999999999994</v>
      </c>
      <c r="O4" s="11"/>
      <c r="P4" s="11"/>
    </row>
    <row r="5" spans="1:18" x14ac:dyDescent="0.25">
      <c r="A5" s="32">
        <v>896997</v>
      </c>
      <c r="B5" s="29" t="s">
        <v>138</v>
      </c>
      <c r="C5" s="29" t="s">
        <v>139</v>
      </c>
      <c r="D5" s="45">
        <v>51500</v>
      </c>
      <c r="F5" s="26">
        <v>9.1666666666666856</v>
      </c>
      <c r="H5" s="51">
        <v>4.5833333333333428</v>
      </c>
      <c r="I5" s="51">
        <v>4.5833333333333428</v>
      </c>
      <c r="J5" s="51">
        <v>4.5833333333333428</v>
      </c>
      <c r="K5" s="51">
        <v>4.5833333333333428</v>
      </c>
      <c r="L5" s="52">
        <v>18.333333333333371</v>
      </c>
      <c r="N5" s="55" t="n">
        <f>F5+L5</f>
        <v>27.500000000000057</v>
      </c>
      <c r="O5" s="11"/>
      <c r="P5" s="11"/>
    </row>
    <row r="6" spans="1:18" ht="12" customHeight="1" x14ac:dyDescent="0.25">
      <c r="A6" s="30">
        <v>900332</v>
      </c>
      <c r="B6" s="29" t="s">
        <v>140</v>
      </c>
      <c r="C6" s="29" t="s">
        <v>141</v>
      </c>
      <c r="D6" s="45">
        <v>121300</v>
      </c>
      <c r="F6" s="26">
        <v>90</v>
      </c>
      <c r="H6" s="51">
        <v>0</v>
      </c>
      <c r="I6" s="51">
        <v>0</v>
      </c>
      <c r="J6" s="51">
        <v>0</v>
      </c>
      <c r="K6" s="51">
        <v>45</v>
      </c>
      <c r="L6" s="52" t="n">
        <f>K6</f>
        <v>45.0</v>
      </c>
      <c r="N6" s="55" t="n">
        <f>F6+L6</f>
        <v>135.0</v>
      </c>
      <c r="P6" s="61"/>
      <c r="Q6" s="61"/>
    </row>
    <row r="9" spans="1:18" x14ac:dyDescent="0.25">
      <c r="M9" s="59"/>
      <c r="N9" s="60"/>
      <c r="O9" s="60"/>
      <c r="P9" s="59"/>
      <c r="Q9" s="60"/>
      <c r="R9" s="60"/>
    </row>
    <row r="10" spans="1:18" x14ac:dyDescent="0.25">
      <c r="M10" s="59"/>
      <c r="N10" s="140"/>
      <c r="O10" s="140"/>
      <c r="P10" s="140"/>
      <c r="Q10" s="140"/>
      <c r="R10" s="140"/>
    </row>
    <row r="11" spans="1:18" x14ac:dyDescent="0.25">
      <c r="M11" s="59"/>
      <c r="N11" s="60"/>
      <c r="O11" s="60"/>
      <c r="P11" s="59"/>
      <c r="Q11" s="60"/>
      <c r="R11" s="60"/>
    </row>
    <row r="12" spans="1:18" x14ac:dyDescent="0.25">
      <c r="M12" s="59"/>
      <c r="N12" s="140"/>
      <c r="O12" s="140"/>
      <c r="P12" s="140"/>
      <c r="Q12" s="140"/>
      <c r="R12" s="140"/>
    </row>
    <row r="13" spans="1:18" x14ac:dyDescent="0.25">
      <c r="M13" s="59"/>
      <c r="N13" s="60"/>
      <c r="O13" s="60"/>
      <c r="P13" s="59"/>
      <c r="Q13" s="60"/>
      <c r="R13" s="60"/>
    </row>
    <row r="14" spans="1:18" x14ac:dyDescent="0.25">
      <c r="M14" s="59"/>
      <c r="N14" s="140"/>
      <c r="O14" s="140"/>
      <c r="P14" s="140"/>
      <c r="Q14" s="140"/>
      <c r="R14" s="140"/>
    </row>
    <row r="15" spans="1:18" x14ac:dyDescent="0.25">
      <c r="M15" s="59"/>
      <c r="N15" s="60"/>
      <c r="O15" s="60"/>
      <c r="P15" s="59"/>
      <c r="Q15" s="60"/>
      <c r="R15" s="60"/>
    </row>
    <row r="16" spans="1:18" x14ac:dyDescent="0.25">
      <c r="M16" s="59"/>
      <c r="N16" s="140"/>
      <c r="O16" s="140"/>
      <c r="P16" s="140"/>
      <c r="Q16" s="140"/>
      <c r="R16" s="140"/>
    </row>
    <row r="17" spans="13:18" x14ac:dyDescent="0.25">
      <c r="M17" s="59"/>
      <c r="N17" s="59"/>
      <c r="O17" s="59"/>
      <c r="P17" s="59"/>
      <c r="Q17" s="59"/>
      <c r="R17" s="59"/>
    </row>
  </sheetData>
  <mergeCells count="9">
    <mergeCell ref="N14:P14"/>
    <mergeCell ref="Q14:R14"/>
    <mergeCell ref="N16:P16"/>
    <mergeCell ref="Q16:R16"/>
    <mergeCell ref="H1:L1"/>
    <mergeCell ref="N10:P10"/>
    <mergeCell ref="Q10:R10"/>
    <mergeCell ref="N12:P12"/>
    <mergeCell ref="Q12:R12"/>
  </mergeCells>
  <pageMargins left="0.70866141732283472" right="0.70866141732283472" top="0.74803149606299213" bottom="0.74803149606299213" header="0.31496062992125984" footer="0.31496062992125984"/>
  <pageSetup paperSize="9" scale="7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W25"/>
  <sheetViews>
    <sheetView zoomScale="85" zoomScaleNormal="85" workbookViewId="0">
      <selection activeCell="M5" sqref="M5"/>
    </sheetView>
  </sheetViews>
  <sheetFormatPr defaultRowHeight="15" x14ac:dyDescent="0.25"/>
  <cols>
    <col min="1" max="1" customWidth="true" width="14.5703125" collapsed="false"/>
    <col min="2" max="2" customWidth="true" width="13.140625" collapsed="false"/>
    <col min="3" max="3" customWidth="true" width="14.28515625" collapsed="false"/>
    <col min="4" max="4" customWidth="true" width="17.0" collapsed="false"/>
    <col min="5" max="5" customWidth="true" style="1" width="11.85546875" collapsed="false"/>
    <col min="6" max="6" customWidth="true" width="17.0" collapsed="false"/>
    <col min="7" max="7" customWidth="true" width="9.85546875" collapsed="false"/>
    <col min="8" max="8" customWidth="true" width="16.140625" collapsed="false"/>
    <col min="9" max="9" customWidth="true" width="18.7109375" collapsed="false"/>
    <col min="10" max="10" customWidth="true" width="5.42578125" collapsed="false"/>
    <col min="11" max="11" customWidth="true" width="14.5703125" collapsed="false"/>
    <col min="12" max="12" customWidth="true" width="10.85546875" collapsed="false"/>
    <col min="13" max="14" bestFit="true" customWidth="true" width="12.140625" collapsed="false"/>
    <col min="15" max="49" customWidth="true" width="5.5703125" collapsed="false"/>
  </cols>
  <sheetData>
    <row r="1" spans="1:49" x14ac:dyDescent="0.25">
      <c r="A1" s="11" t="s">
        <v>31</v>
      </c>
    </row>
    <row r="2" spans="1:49" ht="39" customHeight="1" x14ac:dyDescent="0.25">
      <c r="A2" s="39">
        <v>43891</v>
      </c>
      <c r="M2" s="138"/>
      <c r="N2" s="138"/>
    </row>
    <row r="3" spans="1:49" x14ac:dyDescent="0.25">
      <c r="K3" s="139" t="s">
        <v>36</v>
      </c>
      <c r="L3" s="139"/>
      <c r="M3" s="139"/>
      <c r="N3" s="139"/>
    </row>
    <row r="4" spans="1:49" ht="60" x14ac:dyDescent="0.25">
      <c r="A4" s="38" t="s">
        <v>30</v>
      </c>
      <c r="B4" s="38" t="s">
        <v>29</v>
      </c>
      <c r="C4" s="38" t="s">
        <v>28</v>
      </c>
      <c r="D4" s="37" t="s">
        <v>27</v>
      </c>
      <c r="E4" s="34" t="s">
        <v>26</v>
      </c>
      <c r="F4" s="34" t="s">
        <v>25</v>
      </c>
      <c r="G4" s="34" t="s">
        <v>24</v>
      </c>
      <c r="H4" s="36" t="s">
        <v>23</v>
      </c>
      <c r="I4" s="36" t="s">
        <v>22</v>
      </c>
      <c r="K4" s="34" t="s">
        <v>32</v>
      </c>
      <c r="L4" s="34" t="s">
        <v>34</v>
      </c>
      <c r="M4" s="34" t="s">
        <v>32</v>
      </c>
      <c r="N4" s="34" t="s">
        <v>33</v>
      </c>
    </row>
    <row r="5" spans="1:49" s="3" customFormat="1" x14ac:dyDescent="0.25">
      <c r="A5" s="32">
        <v>839415</v>
      </c>
      <c r="B5" s="29" t="s">
        <v>128</v>
      </c>
      <c r="C5" s="29" t="s">
        <v>129</v>
      </c>
      <c r="D5" s="45">
        <v>53300</v>
      </c>
      <c r="E5" s="27">
        <v>7.0000000000000007E-2</v>
      </c>
      <c r="F5" s="20" t="n">
        <f>D5*7%/12</f>
        <v>310.9166666666667</v>
      </c>
      <c r="G5" s="27">
        <v>0.5</v>
      </c>
      <c r="H5" s="31" t="n">
        <f>F5*50%</f>
        <v>155.45833333333334</v>
      </c>
      <c r="I5" s="26" t="n">
        <f t="shared" ref="I5" si="0">F5+H5</f>
        <v>466.375</v>
      </c>
      <c r="J5"/>
      <c r="K5" s="24">
        <v>281.75000000000006</v>
      </c>
      <c r="L5" s="24">
        <v>140.87500000000003</v>
      </c>
      <c r="M5" s="24" t="n">
        <f t="shared" ref="M5" si="1">K5+(F5*2)</f>
        <v>903.5833333333335</v>
      </c>
      <c r="N5" s="24" t="n">
        <f t="shared" ref="N5" si="2">L5+(H5*2)</f>
        <v>451.79166666666674</v>
      </c>
      <c r="O5"/>
      <c r="P5"/>
      <c r="Q5"/>
      <c r="R5"/>
      <c r="S5"/>
      <c r="T5"/>
      <c r="U5"/>
      <c r="V5"/>
      <c r="W5"/>
      <c r="X5"/>
      <c r="Y5"/>
      <c r="Z5"/>
      <c r="AA5"/>
      <c r="AB5"/>
      <c r="AC5"/>
      <c r="AD5"/>
      <c r="AE5"/>
      <c r="AF5"/>
      <c r="AG5"/>
      <c r="AH5"/>
      <c r="AI5"/>
      <c r="AJ5"/>
      <c r="AK5"/>
      <c r="AL5"/>
      <c r="AM5"/>
      <c r="AN5"/>
      <c r="AO5"/>
      <c r="AP5"/>
      <c r="AQ5"/>
      <c r="AR5"/>
      <c r="AS5"/>
      <c r="AT5"/>
      <c r="AU5"/>
      <c r="AV5"/>
      <c r="AW5"/>
    </row>
    <row r="6" spans="1:49" s="3" customFormat="1" x14ac:dyDescent="0.25">
      <c r="A6" s="32">
        <v>862567</v>
      </c>
      <c r="B6" s="29" t="s">
        <v>130</v>
      </c>
      <c r="C6" s="29" t="s">
        <v>131</v>
      </c>
      <c r="D6" s="24">
        <v>160000</v>
      </c>
      <c r="E6" s="27">
        <v>0.05</v>
      </c>
      <c r="F6" s="26" t="n">
        <f>D6*5%/12</f>
        <v>666.6666666666666</v>
      </c>
      <c r="G6" s="27">
        <v>0.5</v>
      </c>
      <c r="H6" s="31" t="n">
        <f>F6*50%</f>
        <v>333.3333333333333</v>
      </c>
      <c r="I6" s="26" t="n">
        <f t="shared" ref="I6:I16" si="3">F6+H6</f>
        <v>1000.0</v>
      </c>
      <c r="J6" s="11"/>
      <c r="K6" s="24">
        <v>666.66666666666663</v>
      </c>
      <c r="L6" s="24">
        <v>333.33333333333331</v>
      </c>
      <c r="M6" s="24" t="n">
        <f t="shared" ref="M6:M12" si="4">K6+(F6*2)</f>
        <v>2000.0</v>
      </c>
      <c r="N6" s="24" t="n">
        <f t="shared" ref="N6:N12" si="5">L6+(H6*2)</f>
        <v>1000.0</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3" customFormat="1" x14ac:dyDescent="0.25">
      <c r="A7" s="32">
        <v>881957</v>
      </c>
      <c r="B7" s="29" t="s">
        <v>132</v>
      </c>
      <c r="C7" s="29" t="s">
        <v>133</v>
      </c>
      <c r="D7" s="24">
        <v>42600</v>
      </c>
      <c r="E7" s="27">
        <v>0.05</v>
      </c>
      <c r="F7" s="26" t="n">
        <f>D7*5%/12</f>
        <v>177.5</v>
      </c>
      <c r="G7" s="27">
        <v>0.5</v>
      </c>
      <c r="H7" s="31" t="n">
        <f t="shared" ref="H7" si="6">F7*50%</f>
        <v>88.75</v>
      </c>
      <c r="I7" s="26" t="n">
        <f t="shared" si="3"/>
        <v>266.25</v>
      </c>
      <c r="J7" s="11"/>
      <c r="K7" s="24">
        <v>177.5</v>
      </c>
      <c r="L7" s="24">
        <v>88.75</v>
      </c>
      <c r="M7" s="24" t="n">
        <f t="shared" si="4"/>
        <v>532.5</v>
      </c>
      <c r="N7" s="24" t="n">
        <f t="shared" si="5"/>
        <v>266.25</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3" customFormat="1" x14ac:dyDescent="0.25">
      <c r="A8" s="32">
        <v>886344</v>
      </c>
      <c r="B8" s="29" t="s">
        <v>134</v>
      </c>
      <c r="C8" s="29" t="s">
        <v>135</v>
      </c>
      <c r="D8" s="24">
        <v>137000</v>
      </c>
      <c r="E8" s="33">
        <v>0.14233599999999999</v>
      </c>
      <c r="F8" s="28" t="n">
        <f>D8*14.2336%/12</f>
        <v>1625.0026666666665</v>
      </c>
      <c r="G8" s="27">
        <v>0.5</v>
      </c>
      <c r="H8" s="31" t="n">
        <f t="shared" ref="H8:H13" si="7">F8*50%</f>
        <v>812.5013333333333</v>
      </c>
      <c r="I8" s="26" t="n">
        <f t="shared" si="3"/>
        <v>2437.504</v>
      </c>
      <c r="J8" s="11"/>
      <c r="K8" s="24">
        <v>1625.0026666666665</v>
      </c>
      <c r="L8" s="24">
        <v>812.50133333333326</v>
      </c>
      <c r="M8" s="24" t="n">
        <f t="shared" si="4"/>
        <v>4875.008</v>
      </c>
      <c r="N8" s="24" t="n">
        <f t="shared" si="5"/>
        <v>2437.504</v>
      </c>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3" customFormat="1" x14ac:dyDescent="0.25">
      <c r="A9" s="32">
        <v>896998</v>
      </c>
      <c r="B9" s="29" t="s">
        <v>136</v>
      </c>
      <c r="C9" s="29" t="s">
        <v>137</v>
      </c>
      <c r="D9" s="45">
        <v>42600</v>
      </c>
      <c r="E9" s="27">
        <v>0.1</v>
      </c>
      <c r="F9" s="20" t="n">
        <f>D9*10%/12</f>
        <v>355.0</v>
      </c>
      <c r="G9" s="27">
        <v>0.5</v>
      </c>
      <c r="H9" s="31" t="n">
        <f t="shared" si="7"/>
        <v>177.5</v>
      </c>
      <c r="I9" s="26" t="n">
        <f t="shared" si="3"/>
        <v>532.5</v>
      </c>
      <c r="J9" s="11"/>
      <c r="K9" s="24">
        <v>326.66666666666669</v>
      </c>
      <c r="L9" s="24">
        <v>163.33333333333334</v>
      </c>
      <c r="M9" s="24" t="n">
        <f t="shared" si="4"/>
        <v>1036.6666666666667</v>
      </c>
      <c r="N9" s="24" t="n">
        <f t="shared" si="5"/>
        <v>518.3333333333334</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3" customFormat="1" x14ac:dyDescent="0.25">
      <c r="A10" s="32">
        <v>896997</v>
      </c>
      <c r="B10" s="29" t="s">
        <v>138</v>
      </c>
      <c r="C10" s="29" t="s">
        <v>139</v>
      </c>
      <c r="D10" s="45">
        <v>51500</v>
      </c>
      <c r="E10" s="27">
        <v>0.05</v>
      </c>
      <c r="F10" s="20" t="n">
        <f>D10*5%/12</f>
        <v>214.58333333333334</v>
      </c>
      <c r="G10" s="27">
        <v>0.5</v>
      </c>
      <c r="H10" s="31" t="n">
        <f t="shared" si="7"/>
        <v>107.29166666666667</v>
      </c>
      <c r="I10" s="26" t="n">
        <f t="shared" si="3"/>
        <v>321.875</v>
      </c>
      <c r="J10" s="11"/>
      <c r="K10" s="24">
        <v>205.41666666666666</v>
      </c>
      <c r="L10" s="24">
        <v>102.70833333333333</v>
      </c>
      <c r="M10" s="24" t="n">
        <f t="shared" si="4"/>
        <v>634.5833333333334</v>
      </c>
      <c r="N10" s="24" t="n">
        <f t="shared" si="5"/>
        <v>317.2916666666667</v>
      </c>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3" customFormat="1" x14ac:dyDescent="0.25">
      <c r="A11" s="30">
        <v>900332</v>
      </c>
      <c r="B11" s="29" t="s">
        <v>140</v>
      </c>
      <c r="C11" s="29" t="s">
        <v>141</v>
      </c>
      <c r="D11" s="45">
        <v>121300</v>
      </c>
      <c r="E11" s="27">
        <v>0.1</v>
      </c>
      <c r="F11" s="28" t="n">
        <f>D11*10%/12</f>
        <v>1010.8333333333334</v>
      </c>
      <c r="G11" s="27">
        <v>0.5</v>
      </c>
      <c r="H11" s="31" t="n">
        <f t="shared" si="7"/>
        <v>505.4166666666667</v>
      </c>
      <c r="I11" s="26" t="n">
        <f t="shared" si="3"/>
        <v>1516.25</v>
      </c>
      <c r="J11" s="11"/>
      <c r="K11" s="24">
        <v>920.83333333333337</v>
      </c>
      <c r="L11" s="24">
        <v>460.41666666666669</v>
      </c>
      <c r="M11" s="24" t="n">
        <f t="shared" si="4"/>
        <v>2942.5</v>
      </c>
      <c r="N11" s="24" t="n">
        <f t="shared" si="5"/>
        <v>1471.25</v>
      </c>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8" customFormat="1" x14ac:dyDescent="0.25">
      <c r="A12" s="23" t="s">
        <v>7</v>
      </c>
      <c r="B12" s="22" t="s">
        <v>142</v>
      </c>
      <c r="C12" s="22" t="s">
        <v>143</v>
      </c>
      <c r="D12" s="19">
        <v>52000</v>
      </c>
      <c r="E12" s="21" t="s">
        <v>4</v>
      </c>
      <c r="F12" s="20">
        <v>100</v>
      </c>
      <c r="G12" s="27">
        <v>0.5</v>
      </c>
      <c r="H12" s="31" t="n">
        <f t="shared" si="7"/>
        <v>50.0</v>
      </c>
      <c r="I12" s="20" t="n">
        <f t="shared" si="3"/>
        <v>150.0</v>
      </c>
      <c r="J12" s="9"/>
      <c r="K12" s="24">
        <v>100</v>
      </c>
      <c r="L12" s="24">
        <v>50</v>
      </c>
      <c r="M12" s="24" t="n">
        <f t="shared" si="4"/>
        <v>300.0</v>
      </c>
      <c r="N12" s="24" t="n">
        <f t="shared" si="5"/>
        <v>150.0</v>
      </c>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row>
    <row r="13" spans="1:49" s="4" customFormat="1" x14ac:dyDescent="0.25">
      <c r="A13" s="32">
        <v>931165</v>
      </c>
      <c r="B13" s="22" t="s">
        <v>144</v>
      </c>
      <c r="C13" s="22" t="s">
        <v>145</v>
      </c>
      <c r="D13" s="19">
        <v>110000</v>
      </c>
      <c r="E13" s="21">
        <v>0.1</v>
      </c>
      <c r="F13" s="20" t="n">
        <f>D13*10%/12</f>
        <v>916.6666666666666</v>
      </c>
      <c r="G13" s="27">
        <v>0.5</v>
      </c>
      <c r="H13" s="31" t="n">
        <f t="shared" si="7"/>
        <v>458.3333333333333</v>
      </c>
      <c r="I13" s="20" t="n">
        <f t="shared" si="3"/>
        <v>1375.0</v>
      </c>
      <c r="J13" s="11"/>
      <c r="K13" s="24">
        <v>920.83333333333337</v>
      </c>
      <c r="L13" s="24">
        <v>460.41666666666669</v>
      </c>
      <c r="M13" s="24" t="n">
        <f>K13+'~February 2020'!F13+'~March 2020'!F13</f>
        <v>2848.3333333333335</v>
      </c>
      <c r="N13" s="24" t="n">
        <f>L13+'~February 2020'!H13+'~March 2020'!H13</f>
        <v>1424.1666666666667</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4" customFormat="1" x14ac:dyDescent="0.25">
      <c r="A14" s="47" t="s">
        <v>46</v>
      </c>
      <c r="B14" s="22" t="s">
        <v>146</v>
      </c>
      <c r="C14" s="22" t="s">
        <v>147</v>
      </c>
      <c r="D14" s="19">
        <v>102000</v>
      </c>
      <c r="E14" s="21" t="s">
        <v>4</v>
      </c>
      <c r="F14" s="20">
        <v>4250</v>
      </c>
      <c r="G14" s="27">
        <v>0.5</v>
      </c>
      <c r="H14" s="31" t="n">
        <f>F14/2</f>
        <v>2125.0</v>
      </c>
      <c r="I14" s="20" t="n">
        <f t="shared" si="3"/>
        <v>6375.0</v>
      </c>
      <c r="J14" s="11"/>
      <c r="K14" s="46"/>
      <c r="L14" s="46"/>
      <c r="M14" s="24" t="n">
        <f>F14</f>
        <v>4250.0</v>
      </c>
      <c r="N14" s="24" t="n">
        <f>H14-850</f>
        <v>1275.0</v>
      </c>
      <c r="O14" s="11" t="s">
        <v>56</v>
      </c>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4" customFormat="1" x14ac:dyDescent="0.25">
      <c r="A15" s="30">
        <v>943285</v>
      </c>
      <c r="B15" s="22" t="s">
        <v>148</v>
      </c>
      <c r="C15" s="22" t="s">
        <v>149</v>
      </c>
      <c r="D15" s="19">
        <v>220000</v>
      </c>
      <c r="E15" s="21" t="s">
        <v>4</v>
      </c>
      <c r="F15" s="20">
        <v>1000</v>
      </c>
      <c r="G15" s="27">
        <v>0.5</v>
      </c>
      <c r="H15" s="31" t="n">
        <f>F15/2</f>
        <v>500.0</v>
      </c>
      <c r="I15" s="20" t="n">
        <f t="shared" si="3"/>
        <v>1500.0</v>
      </c>
      <c r="J15" s="11"/>
      <c r="K15" s="46"/>
      <c r="L15" s="46"/>
      <c r="M15" s="24" t="n">
        <f>F15</f>
        <v>1000.0</v>
      </c>
      <c r="N15" s="24" t="n">
        <f>H15</f>
        <v>500.0</v>
      </c>
      <c r="O15" s="11" t="s">
        <v>43</v>
      </c>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4" customFormat="1" x14ac:dyDescent="0.25">
      <c r="A16" s="30">
        <v>946506</v>
      </c>
      <c r="B16" s="22" t="s">
        <v>150</v>
      </c>
      <c r="C16" s="22" t="s">
        <v>151</v>
      </c>
      <c r="D16" s="19">
        <v>120000</v>
      </c>
      <c r="E16" s="21" t="s">
        <v>4</v>
      </c>
      <c r="F16" s="20">
        <v>733</v>
      </c>
      <c r="G16" s="27">
        <v>0.5</v>
      </c>
      <c r="H16" s="31" t="n">
        <f>F16/2</f>
        <v>366.5</v>
      </c>
      <c r="I16" s="20" t="n">
        <f t="shared" si="3"/>
        <v>1099.5</v>
      </c>
      <c r="J16" s="11"/>
      <c r="K16" s="46"/>
      <c r="L16" s="46"/>
      <c r="M16" s="24" t="n">
        <f>F16</f>
        <v>733.0</v>
      </c>
      <c r="N16" s="24" t="n">
        <f>H16</f>
        <v>366.5</v>
      </c>
      <c r="O16" s="11" t="s">
        <v>43</v>
      </c>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4" customFormat="1" x14ac:dyDescent="0.25">
      <c r="A17" s="17"/>
      <c r="B17" s="16"/>
      <c r="C17" s="16"/>
      <c r="D17" s="12"/>
      <c r="E17" s="15"/>
      <c r="F17" s="13"/>
      <c r="G17" s="15"/>
      <c r="H17" s="14"/>
      <c r="I17" s="13"/>
      <c r="J17" s="11"/>
      <c r="K17" s="12"/>
      <c r="L17" s="12"/>
      <c r="M17" s="12"/>
      <c r="N17" s="12"/>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row>
    <row r="18" spans="1:49" x14ac:dyDescent="0.25">
      <c r="A18" s="6"/>
      <c r="D18" s="68" t="n">
        <f>SUM(D5:D17)</f>
        <v>1212300.0</v>
      </c>
      <c r="F18" s="7" t="n">
        <f>SUM(F5:F16)</f>
        <v>11360.169333333333</v>
      </c>
      <c r="H18" s="7" t="n">
        <f>SUM(H5:H16)</f>
        <v>5680.084666666667</v>
      </c>
      <c r="I18" s="7" t="n">
        <f>SUM(I5:I16)</f>
        <v>17040.254</v>
      </c>
      <c r="K18" s="7" t="n">
        <f>SUM(K5:K17)</f>
        <v>5224.669333333332</v>
      </c>
      <c r="L18" s="7" t="n">
        <f>SUM(L5:L13)</f>
        <v>2612.334666666666</v>
      </c>
      <c r="M18" s="7" t="n">
        <f>SUM(M5:M16)</f>
        <v>22056.174666666666</v>
      </c>
      <c r="N18" s="7" t="n">
        <f>SUM(N5:N16)</f>
        <v>10178.087333333333</v>
      </c>
    </row>
    <row r="19" spans="1:49" ht="15.75" x14ac:dyDescent="0.25">
      <c r="A19" s="10" t="s">
        <v>1</v>
      </c>
      <c r="B19" s="6"/>
      <c r="C19" s="6"/>
      <c r="D19" s="6"/>
      <c r="E19" s="8"/>
      <c r="F19" s="7"/>
      <c r="G19" s="8"/>
      <c r="H19" s="7"/>
      <c r="I19" s="7"/>
    </row>
    <row r="20" spans="1:49" s="2" customFormat="1" x14ac:dyDescent="0.25">
      <c r="A20" s="41" t="s">
        <v>35</v>
      </c>
      <c r="B20" s="42"/>
      <c r="C20" s="42"/>
      <c r="D20" s="42"/>
      <c r="E20" s="43"/>
      <c r="F20" s="44"/>
      <c r="G20" s="43"/>
      <c r="H20" s="44"/>
      <c r="I20" s="44"/>
      <c r="K20" s="42"/>
      <c r="L20" s="42"/>
    </row>
    <row r="21" spans="1:49" ht="15.75" customHeight="1" x14ac:dyDescent="0.25"/>
    <row r="22" spans="1:49" ht="15.75" customHeight="1" x14ac:dyDescent="0.25">
      <c r="A22" s="5" t="s">
        <v>0</v>
      </c>
    </row>
    <row r="23" spans="1:49" s="48" customFormat="1" ht="28.5" x14ac:dyDescent="0.45">
      <c r="A23" s="48" t="s">
        <v>47</v>
      </c>
      <c r="E23" s="49"/>
    </row>
    <row r="24" spans="1:49" s="56" customFormat="1" ht="31.5" x14ac:dyDescent="0.5">
      <c r="A24" s="56" t="s">
        <v>55</v>
      </c>
      <c r="E24" s="57"/>
    </row>
    <row r="25" spans="1:49" ht="109.5" customHeight="1" x14ac:dyDescent="0.3">
      <c r="A25" s="142" t="s">
        <v>162</v>
      </c>
      <c r="B25" s="142"/>
      <c r="C25" s="142"/>
      <c r="D25" s="142"/>
      <c r="E25" s="142"/>
      <c r="F25" s="142"/>
      <c r="G25" s="142"/>
      <c r="H25" s="142"/>
      <c r="I25" s="142"/>
    </row>
  </sheetData>
  <mergeCells count="4">
    <mergeCell ref="M2:N2"/>
    <mergeCell ref="K3:L3"/>
    <mergeCell ref="M3:N3"/>
    <mergeCell ref="A25:I25"/>
  </mergeCells>
  <hyperlinks>
    <hyperlink ref="A12" r:id="rId1" location="0928091"/>
    <hyperlink ref="A13" r:id="rId2" location="0928091" display="https://www.pensionplanetinteractive.ie/ppi/content/loadSchemeMemberSearch.action - 0928091"/>
  </hyperlinks>
  <pageMargins left="0.70866141732283472" right="0.70866141732283472" top="0.74803149606299213" bottom="0.74803149606299213" header="0.31496062992125984" footer="0.31496062992125984"/>
  <pageSetup paperSize="9" scale="63"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3"/>
  <sheetViews>
    <sheetView workbookViewId="0"/>
  </sheetViews>
  <sheetFormatPr defaultColWidth="9.28515625" defaultRowHeight="15" x14ac:dyDescent="0.25"/>
  <sheetData>
    <row r="1" spans="1:6" x14ac:dyDescent="0.25">
      <c r="A1" s="125" t="s">
        <v>105</v>
      </c>
      <c r="B1" s="125" t="s">
        <v>106</v>
      </c>
      <c r="C1" s="125" t="s">
        <v>107</v>
      </c>
      <c r="D1" s="125" t="s">
        <v>108</v>
      </c>
      <c r="E1" s="125" t="s">
        <v>109</v>
      </c>
      <c r="F1" s="125" t="s">
        <v>110</v>
      </c>
    </row>
    <row r="2" spans="1:6" x14ac:dyDescent="0.25">
      <c r="A2" t="s">
        <v>111</v>
      </c>
      <c r="B2" t="s">
        <v>128</v>
      </c>
      <c r="C2" t="s">
        <v>129</v>
      </c>
      <c r="D2">
        <v>53300</v>
      </c>
      <c r="E2">
        <v>310.92</v>
      </c>
      <c r="F2">
        <v>140.88</v>
      </c>
    </row>
    <row r="3" spans="1:6" x14ac:dyDescent="0.25">
      <c r="A3" t="s">
        <v>112</v>
      </c>
      <c r="B3" t="s">
        <v>130</v>
      </c>
      <c r="C3" t="s">
        <v>131</v>
      </c>
      <c r="D3">
        <v>160000</v>
      </c>
      <c r="E3">
        <v>666.67</v>
      </c>
      <c r="F3">
        <v>333.33</v>
      </c>
    </row>
    <row r="4" spans="1:6" x14ac:dyDescent="0.25">
      <c r="A4" t="s">
        <v>113</v>
      </c>
      <c r="B4" t="s">
        <v>132</v>
      </c>
      <c r="C4" t="s">
        <v>133</v>
      </c>
      <c r="D4">
        <v>42600</v>
      </c>
      <c r="E4">
        <v>177.5</v>
      </c>
      <c r="F4">
        <v>88.75</v>
      </c>
    </row>
    <row r="5" spans="1:6" x14ac:dyDescent="0.25">
      <c r="A5" t="s">
        <v>114</v>
      </c>
      <c r="B5" t="s">
        <v>134</v>
      </c>
      <c r="C5" t="s">
        <v>135</v>
      </c>
      <c r="D5">
        <v>137000</v>
      </c>
      <c r="E5">
        <v>1625</v>
      </c>
      <c r="F5">
        <v>812.5</v>
      </c>
    </row>
    <row r="6" spans="1:6" x14ac:dyDescent="0.25">
      <c r="A6" t="s">
        <v>115</v>
      </c>
      <c r="B6" t="s">
        <v>136</v>
      </c>
      <c r="C6" t="s">
        <v>137</v>
      </c>
      <c r="D6">
        <v>42600</v>
      </c>
      <c r="E6">
        <v>355</v>
      </c>
      <c r="F6">
        <v>163.33000000000001</v>
      </c>
    </row>
    <row r="7" spans="1:6" x14ac:dyDescent="0.25">
      <c r="A7" t="s">
        <v>116</v>
      </c>
      <c r="B7" t="s">
        <v>138</v>
      </c>
      <c r="C7" t="s">
        <v>139</v>
      </c>
      <c r="D7">
        <v>51500</v>
      </c>
      <c r="E7">
        <v>214.58</v>
      </c>
      <c r="F7">
        <v>102.71</v>
      </c>
    </row>
    <row r="8" spans="1:6" x14ac:dyDescent="0.25">
      <c r="A8" t="s">
        <v>117</v>
      </c>
      <c r="B8" t="s">
        <v>140</v>
      </c>
      <c r="C8" t="s">
        <v>141</v>
      </c>
      <c r="D8">
        <v>121300</v>
      </c>
      <c r="E8">
        <v>1010.83</v>
      </c>
      <c r="F8">
        <v>460.42</v>
      </c>
    </row>
    <row r="9" spans="1:6" x14ac:dyDescent="0.25">
      <c r="A9" t="s">
        <v>7</v>
      </c>
      <c r="B9" t="s">
        <v>142</v>
      </c>
      <c r="C9" t="s">
        <v>143</v>
      </c>
      <c r="D9">
        <v>52000</v>
      </c>
      <c r="E9">
        <v>100</v>
      </c>
      <c r="F9">
        <v>50</v>
      </c>
    </row>
    <row r="10" spans="1:6" x14ac:dyDescent="0.25">
      <c r="A10" t="s">
        <v>118</v>
      </c>
      <c r="B10" t="s">
        <v>144</v>
      </c>
      <c r="C10" t="s">
        <v>145</v>
      </c>
      <c r="D10">
        <v>110000</v>
      </c>
      <c r="E10">
        <v>916.67</v>
      </c>
      <c r="F10">
        <v>460.42</v>
      </c>
    </row>
    <row r="11" spans="1:6" x14ac:dyDescent="0.25">
      <c r="A11" t="s">
        <v>46</v>
      </c>
      <c r="B11" t="s">
        <v>146</v>
      </c>
      <c r="C11" t="s">
        <v>147</v>
      </c>
      <c r="D11">
        <v>102000</v>
      </c>
      <c r="E11">
        <v>4250</v>
      </c>
      <c r="F11">
        <v>0</v>
      </c>
    </row>
    <row r="12" spans="1:6" x14ac:dyDescent="0.25">
      <c r="A12" t="s">
        <v>119</v>
      </c>
      <c r="B12" t="s">
        <v>148</v>
      </c>
      <c r="C12" t="s">
        <v>149</v>
      </c>
      <c r="D12">
        <v>220000</v>
      </c>
      <c r="E12">
        <v>1000</v>
      </c>
      <c r="F12">
        <v>0</v>
      </c>
    </row>
    <row r="13" spans="1:6" x14ac:dyDescent="0.25">
      <c r="A13" t="s">
        <v>120</v>
      </c>
      <c r="B13" t="s">
        <v>150</v>
      </c>
      <c r="C13" t="s">
        <v>151</v>
      </c>
      <c r="D13">
        <v>120000</v>
      </c>
      <c r="E13">
        <v>733</v>
      </c>
      <c r="F13">
        <v>0</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A1:AW37"/>
  <sheetViews>
    <sheetView zoomScale="85" zoomScaleNormal="85" workbookViewId="0">
      <selection activeCell="M5" sqref="M5"/>
    </sheetView>
  </sheetViews>
  <sheetFormatPr defaultRowHeight="15" x14ac:dyDescent="0.25"/>
  <cols>
    <col min="1" max="1" customWidth="true" width="14.5703125" collapsed="false"/>
    <col min="2" max="2" customWidth="true" width="13.140625" collapsed="false"/>
    <col min="3" max="3" customWidth="true" width="14.28515625" collapsed="false"/>
    <col min="4" max="4" customWidth="true" width="17.0" collapsed="false"/>
    <col min="5" max="5" customWidth="true" style="1" width="14.7109375" collapsed="false"/>
    <col min="6" max="6" customWidth="true" width="16.140625" collapsed="false"/>
    <col min="7" max="7" customWidth="true" width="9.85546875" collapsed="false"/>
    <col min="8" max="8" customWidth="true" width="16.140625" collapsed="false"/>
    <col min="9" max="9" customWidth="true" width="18.7109375" collapsed="false"/>
    <col min="10" max="10" customWidth="true" width="5.42578125" collapsed="false"/>
    <col min="11" max="11" customWidth="true" hidden="true" style="3" width="12.28515625" collapsed="false"/>
    <col min="12" max="12" customWidth="true" hidden="true" width="12.28515625" collapsed="false"/>
    <col min="13" max="14" bestFit="true" customWidth="true" width="12.140625" collapsed="false"/>
    <col min="15" max="15" customWidth="true" width="10.140625" collapsed="false"/>
    <col min="16" max="49" customWidth="true" width="5.5703125" collapsed="false"/>
  </cols>
  <sheetData>
    <row r="1" spans="1:49" x14ac:dyDescent="0.25">
      <c r="A1" s="11" t="s">
        <v>31</v>
      </c>
    </row>
    <row r="2" spans="1:49" ht="39" customHeight="1" x14ac:dyDescent="0.25">
      <c r="A2" s="39">
        <v>43922</v>
      </c>
      <c r="M2" s="138"/>
      <c r="N2" s="138"/>
    </row>
    <row r="3" spans="1:49" x14ac:dyDescent="0.25">
      <c r="K3" s="139" t="s">
        <v>81</v>
      </c>
      <c r="L3" s="139"/>
      <c r="M3" s="139"/>
      <c r="N3" s="139"/>
    </row>
    <row r="4" spans="1:49" ht="45" x14ac:dyDescent="0.25">
      <c r="A4" s="38" t="s">
        <v>30</v>
      </c>
      <c r="B4" s="38" t="s">
        <v>29</v>
      </c>
      <c r="C4" s="38" t="s">
        <v>28</v>
      </c>
      <c r="D4" s="37" t="s">
        <v>27</v>
      </c>
      <c r="E4" s="34" t="s">
        <v>26</v>
      </c>
      <c r="F4" s="36" t="s">
        <v>25</v>
      </c>
      <c r="G4" s="34" t="s">
        <v>24</v>
      </c>
      <c r="H4" s="36" t="s">
        <v>23</v>
      </c>
      <c r="I4" s="36" t="s">
        <v>22</v>
      </c>
      <c r="K4" s="34" t="s">
        <v>32</v>
      </c>
      <c r="L4" s="34" t="s">
        <v>34</v>
      </c>
      <c r="M4" s="34" t="s">
        <v>32</v>
      </c>
      <c r="N4" s="34" t="s">
        <v>33</v>
      </c>
    </row>
    <row r="5" spans="1:49" s="3" customFormat="1" x14ac:dyDescent="0.25">
      <c r="A5" s="32">
        <v>839415</v>
      </c>
      <c r="B5" s="29" t="s">
        <v>128</v>
      </c>
      <c r="C5" s="29" t="s">
        <v>129</v>
      </c>
      <c r="D5" s="24">
        <v>59500</v>
      </c>
      <c r="E5" s="27">
        <v>7.0000000000000007E-2</v>
      </c>
      <c r="F5" s="31" t="n">
        <f>D5*7%/12</f>
        <v>347.0833333333333</v>
      </c>
      <c r="G5" s="27">
        <v>0.5</v>
      </c>
      <c r="H5" s="31" t="n">
        <f>F5*50%</f>
        <v>173.54166666666666</v>
      </c>
      <c r="I5" s="26" t="n">
        <f t="shared" ref="I5" si="0">F5+H5</f>
        <v>520.625</v>
      </c>
      <c r="J5"/>
      <c r="K5" s="24">
        <v>903.58333333333348</v>
      </c>
      <c r="L5" s="24">
        <v>451.79166666666674</v>
      </c>
      <c r="M5" s="24" t="n">
        <f t="shared" ref="M5" si="1">K5+(F5*1)</f>
        <v>1250.6666666666667</v>
      </c>
      <c r="N5" s="24" t="n">
        <f>L5+(H5*1)</f>
        <v>625.3333333333334</v>
      </c>
      <c r="O5"/>
      <c r="P5"/>
      <c r="Q5"/>
      <c r="R5"/>
      <c r="S5"/>
      <c r="T5"/>
      <c r="U5"/>
      <c r="V5"/>
      <c r="W5"/>
      <c r="X5"/>
      <c r="Y5"/>
      <c r="Z5"/>
      <c r="AA5"/>
      <c r="AB5"/>
      <c r="AC5"/>
      <c r="AD5"/>
      <c r="AE5"/>
      <c r="AF5"/>
      <c r="AG5"/>
      <c r="AH5"/>
      <c r="AI5"/>
      <c r="AJ5"/>
      <c r="AK5"/>
      <c r="AL5"/>
      <c r="AM5"/>
      <c r="AN5"/>
      <c r="AO5"/>
      <c r="AP5"/>
      <c r="AQ5"/>
      <c r="AR5"/>
      <c r="AS5"/>
      <c r="AT5"/>
      <c r="AU5"/>
      <c r="AV5"/>
      <c r="AW5"/>
    </row>
    <row r="6" spans="1:49" s="3" customFormat="1" x14ac:dyDescent="0.25">
      <c r="A6" s="32">
        <v>862567</v>
      </c>
      <c r="B6" s="29" t="s">
        <v>130</v>
      </c>
      <c r="C6" s="29" t="s">
        <v>131</v>
      </c>
      <c r="D6" s="24">
        <v>170400</v>
      </c>
      <c r="E6" s="27">
        <v>0.05</v>
      </c>
      <c r="F6" s="31" t="n">
        <f>D6*5%/12</f>
        <v>710.0</v>
      </c>
      <c r="G6" s="27">
        <v>0.5</v>
      </c>
      <c r="H6" s="31" t="n">
        <f>F6*50%</f>
        <v>355.0</v>
      </c>
      <c r="I6" s="26" t="n">
        <f t="shared" ref="I6:I16" si="2">F6+H6</f>
        <v>1065.0</v>
      </c>
      <c r="J6" s="11"/>
      <c r="K6" s="24">
        <v>2000</v>
      </c>
      <c r="L6" s="24">
        <v>1000</v>
      </c>
      <c r="M6" s="24" t="n">
        <f t="shared" ref="M6:M16" si="3">K6+(F6*1)</f>
        <v>2710.0</v>
      </c>
      <c r="N6" s="24" t="n">
        <f t="shared" ref="N6" si="4">L6+(H6*1)</f>
        <v>1355.0</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row>
    <row r="7" spans="1:49" s="3" customFormat="1" x14ac:dyDescent="0.25">
      <c r="A7" s="32">
        <v>881957</v>
      </c>
      <c r="B7" s="29" t="s">
        <v>132</v>
      </c>
      <c r="C7" s="29" t="s">
        <v>133</v>
      </c>
      <c r="D7" s="24">
        <v>51300</v>
      </c>
      <c r="E7" s="27">
        <v>0.05</v>
      </c>
      <c r="F7" s="31" t="n">
        <f>D7*5%/12</f>
        <v>213.75</v>
      </c>
      <c r="G7" s="27">
        <v>0.5</v>
      </c>
      <c r="H7" s="31" t="n">
        <f t="shared" ref="H7" si="5">F7*50%</f>
        <v>106.875</v>
      </c>
      <c r="I7" s="26" t="n">
        <f t="shared" si="2"/>
        <v>320.625</v>
      </c>
      <c r="J7" s="11"/>
      <c r="K7" s="24">
        <v>532.5</v>
      </c>
      <c r="L7" s="24">
        <v>266.25</v>
      </c>
      <c r="M7" s="24" t="n">
        <f t="shared" si="3"/>
        <v>746.25</v>
      </c>
      <c r="N7" s="24" t="n">
        <f t="shared" ref="N7:N16" si="6">L7+(H7*1)</f>
        <v>373.125</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row>
    <row r="8" spans="1:49" s="3" customFormat="1" x14ac:dyDescent="0.25">
      <c r="A8" s="32">
        <v>886344</v>
      </c>
      <c r="B8" s="29" t="s">
        <v>134</v>
      </c>
      <c r="C8" s="29" t="s">
        <v>135</v>
      </c>
      <c r="D8" s="24">
        <v>151000</v>
      </c>
      <c r="E8" s="33">
        <v>0.14233599999999999</v>
      </c>
      <c r="F8" s="31" t="n">
        <f>D8*14.2336%/12</f>
        <v>1791.061333333333</v>
      </c>
      <c r="G8" s="27">
        <v>0.5</v>
      </c>
      <c r="H8" s="31" t="n">
        <f t="shared" ref="H8:H13" si="7">F8*50%</f>
        <v>895.5306666666665</v>
      </c>
      <c r="I8" s="26" t="n">
        <f t="shared" si="2"/>
        <v>2686.5919999999996</v>
      </c>
      <c r="J8" s="11"/>
      <c r="K8" s="24">
        <v>4875.0079999999998</v>
      </c>
      <c r="L8" s="24">
        <v>2437.5039999999999</v>
      </c>
      <c r="M8" s="24" t="n">
        <f t="shared" si="3"/>
        <v>6666.069333333333</v>
      </c>
      <c r="N8" s="24" t="n">
        <f t="shared" si="6"/>
        <v>3333.0346666666665</v>
      </c>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row>
    <row r="9" spans="1:49" s="3" customFormat="1" x14ac:dyDescent="0.25">
      <c r="A9" s="32">
        <v>896998</v>
      </c>
      <c r="B9" s="29" t="s">
        <v>136</v>
      </c>
      <c r="C9" s="29" t="s">
        <v>137</v>
      </c>
      <c r="D9" s="24">
        <v>49200</v>
      </c>
      <c r="E9" s="27">
        <v>0.1</v>
      </c>
      <c r="F9" s="31" t="n">
        <f>D9*10%/12</f>
        <v>410.0</v>
      </c>
      <c r="G9" s="27">
        <v>0.5</v>
      </c>
      <c r="H9" s="31" t="n">
        <f t="shared" si="7"/>
        <v>205.0</v>
      </c>
      <c r="I9" s="26" t="n">
        <f t="shared" si="2"/>
        <v>615.0</v>
      </c>
      <c r="J9" s="11"/>
      <c r="K9" s="24">
        <v>1036.6666666666667</v>
      </c>
      <c r="L9" s="24">
        <v>518.33333333333337</v>
      </c>
      <c r="M9" s="24" t="n">
        <f t="shared" si="3"/>
        <v>1446.6666666666667</v>
      </c>
      <c r="N9" s="24" t="n">
        <f t="shared" si="6"/>
        <v>723.3333333333334</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s="67" customFormat="1" x14ac:dyDescent="0.25">
      <c r="A10" s="62">
        <v>896997</v>
      </c>
      <c r="B10" s="63" t="s">
        <v>138</v>
      </c>
      <c r="C10" s="63" t="s">
        <v>139</v>
      </c>
      <c r="D10" s="64">
        <v>61000</v>
      </c>
      <c r="E10" s="65">
        <v>0.05</v>
      </c>
      <c r="F10" s="66" t="n">
        <f>D10*5%/12</f>
        <v>254.16666666666666</v>
      </c>
      <c r="G10" s="65">
        <v>0.5</v>
      </c>
      <c r="H10" s="66" t="n">
        <f t="shared" si="7"/>
        <v>127.08333333333333</v>
      </c>
      <c r="I10" s="28" t="n">
        <f t="shared" si="2"/>
        <v>381.25</v>
      </c>
      <c r="J10" s="11"/>
      <c r="K10" s="64">
        <v>634.58333333333337</v>
      </c>
      <c r="L10" s="64">
        <v>317.29166666666669</v>
      </c>
      <c r="M10" s="24" t="n">
        <f t="shared" si="3"/>
        <v>888.75</v>
      </c>
      <c r="N10" s="24" t="n">
        <f t="shared" si="6"/>
        <v>444.375</v>
      </c>
      <c r="O10" s="11" t="s">
        <v>58</v>
      </c>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row>
    <row r="11" spans="1:49" s="3" customFormat="1" x14ac:dyDescent="0.25">
      <c r="A11" s="30">
        <v>900332</v>
      </c>
      <c r="B11" s="29" t="s">
        <v>140</v>
      </c>
      <c r="C11" s="29" t="s">
        <v>141</v>
      </c>
      <c r="D11" s="24">
        <v>140500</v>
      </c>
      <c r="E11" s="27">
        <v>0.1</v>
      </c>
      <c r="F11" s="31" t="n">
        <f>D11*10%/12</f>
        <v>1170.8333333333333</v>
      </c>
      <c r="G11" s="27">
        <v>0.5</v>
      </c>
      <c r="H11" s="31" t="n">
        <f t="shared" si="7"/>
        <v>585.4166666666666</v>
      </c>
      <c r="I11" s="26" t="n">
        <f t="shared" si="2"/>
        <v>1756.25</v>
      </c>
      <c r="J11" s="11"/>
      <c r="K11" s="24">
        <v>2942.5</v>
      </c>
      <c r="L11" s="24">
        <v>1471.25</v>
      </c>
      <c r="M11" s="24" t="n">
        <f t="shared" si="3"/>
        <v>4113.333333333333</v>
      </c>
      <c r="N11" s="24" t="n">
        <f t="shared" si="6"/>
        <v>2056.6666666666665</v>
      </c>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row>
    <row r="12" spans="1:49" s="18" customFormat="1" x14ac:dyDescent="0.25">
      <c r="A12" s="23" t="s">
        <v>7</v>
      </c>
      <c r="B12" s="22" t="s">
        <v>142</v>
      </c>
      <c r="C12" s="22" t="s">
        <v>143</v>
      </c>
      <c r="D12" s="24">
        <v>54000</v>
      </c>
      <c r="E12" s="21" t="s">
        <v>4</v>
      </c>
      <c r="F12" s="31">
        <v>100</v>
      </c>
      <c r="G12" s="27">
        <v>0.5</v>
      </c>
      <c r="H12" s="31" t="n">
        <f t="shared" si="7"/>
        <v>50.0</v>
      </c>
      <c r="I12" s="20" t="n">
        <f t="shared" si="2"/>
        <v>150.0</v>
      </c>
      <c r="J12" s="9"/>
      <c r="K12" s="24">
        <v>300</v>
      </c>
      <c r="L12" s="24">
        <v>150</v>
      </c>
      <c r="M12" s="24" t="n">
        <f t="shared" si="3"/>
        <v>400.0</v>
      </c>
      <c r="N12" s="24" t="n">
        <f t="shared" si="6"/>
        <v>200.0</v>
      </c>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row>
    <row r="13" spans="1:49" s="4" customFormat="1" x14ac:dyDescent="0.25">
      <c r="A13" s="32">
        <v>931165</v>
      </c>
      <c r="B13" s="22" t="s">
        <v>144</v>
      </c>
      <c r="C13" s="22" t="s">
        <v>145</v>
      </c>
      <c r="D13" s="19">
        <v>114000</v>
      </c>
      <c r="E13" s="21">
        <v>0.1</v>
      </c>
      <c r="F13" s="31" t="n">
        <f>SUM(D13*E13)/12</f>
        <v>950.0</v>
      </c>
      <c r="G13" s="27">
        <v>0.5</v>
      </c>
      <c r="H13" s="31" t="n">
        <f t="shared" si="7"/>
        <v>475.0</v>
      </c>
      <c r="I13" s="20" t="n">
        <f t="shared" si="2"/>
        <v>1425.0</v>
      </c>
      <c r="J13" s="11"/>
      <c r="K13" s="24">
        <v>2848.3333333333335</v>
      </c>
      <c r="L13" s="24">
        <v>1424.1666666666667</v>
      </c>
      <c r="M13" s="24" t="n">
        <f t="shared" si="3"/>
        <v>3798.3333333333335</v>
      </c>
      <c r="N13" s="24" t="n">
        <f t="shared" si="6"/>
        <v>1899.1666666666667</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row>
    <row r="14" spans="1:49" s="4" customFormat="1" x14ac:dyDescent="0.25">
      <c r="A14" s="47" t="s">
        <v>46</v>
      </c>
      <c r="B14" s="22" t="s">
        <v>146</v>
      </c>
      <c r="C14" s="22" t="s">
        <v>147</v>
      </c>
      <c r="D14" s="19">
        <v>104000</v>
      </c>
      <c r="E14" s="21">
        <v>0.1</v>
      </c>
      <c r="F14" s="31" t="n">
        <f>D14*E14/12</f>
        <v>866.6666666666666</v>
      </c>
      <c r="G14" s="27">
        <v>0.5</v>
      </c>
      <c r="H14" s="31" t="n">
        <f>F14/2</f>
        <v>433.3333333333333</v>
      </c>
      <c r="I14" s="20" t="n">
        <f t="shared" si="2"/>
        <v>1300.0</v>
      </c>
      <c r="J14" s="11"/>
      <c r="K14" s="24">
        <v>4250</v>
      </c>
      <c r="L14" s="24">
        <v>1275</v>
      </c>
      <c r="M14" s="24" t="n">
        <f t="shared" si="3"/>
        <v>5116.666666666667</v>
      </c>
      <c r="N14" s="24" t="n">
        <f t="shared" si="6"/>
        <v>1708.3333333333333</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row>
    <row r="15" spans="1:49" s="4" customFormat="1" x14ac:dyDescent="0.25">
      <c r="A15" s="30">
        <v>943285</v>
      </c>
      <c r="B15" s="22" t="s">
        <v>148</v>
      </c>
      <c r="C15" s="22" t="s">
        <v>149</v>
      </c>
      <c r="D15" s="19">
        <v>227300</v>
      </c>
      <c r="E15" s="21" t="s">
        <v>4</v>
      </c>
      <c r="F15" s="31">
        <v>1000</v>
      </c>
      <c r="G15" s="27">
        <v>0.5</v>
      </c>
      <c r="H15" s="31" t="n">
        <f>F15/2</f>
        <v>500.0</v>
      </c>
      <c r="I15" s="20" t="n">
        <f t="shared" si="2"/>
        <v>1500.0</v>
      </c>
      <c r="J15" s="11"/>
      <c r="K15" s="24">
        <v>1000</v>
      </c>
      <c r="L15" s="24">
        <v>500</v>
      </c>
      <c r="M15" s="24" t="n">
        <f t="shared" si="3"/>
        <v>2000.0</v>
      </c>
      <c r="N15" s="24" t="n">
        <f t="shared" si="6"/>
        <v>1000.0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row>
    <row r="16" spans="1:49" s="4" customFormat="1" x14ac:dyDescent="0.25">
      <c r="A16" s="30">
        <v>946506</v>
      </c>
      <c r="B16" s="22" t="s">
        <v>150</v>
      </c>
      <c r="C16" s="22" t="s">
        <v>151</v>
      </c>
      <c r="D16" s="19">
        <v>124000</v>
      </c>
      <c r="E16" s="21" t="s">
        <v>4</v>
      </c>
      <c r="F16" s="31">
        <v>733</v>
      </c>
      <c r="G16" s="27">
        <v>0.5</v>
      </c>
      <c r="H16" s="31" t="n">
        <f>F16/2</f>
        <v>366.5</v>
      </c>
      <c r="I16" s="20" t="n">
        <f t="shared" si="2"/>
        <v>1099.5</v>
      </c>
      <c r="J16" s="11"/>
      <c r="K16" s="24">
        <v>733</v>
      </c>
      <c r="L16" s="24">
        <v>366.5</v>
      </c>
      <c r="M16" s="24" t="n">
        <f t="shared" si="3"/>
        <v>1466.0</v>
      </c>
      <c r="N16" s="24" t="n">
        <f t="shared" si="6"/>
        <v>733.0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row>
    <row r="17" spans="1:49" s="4" customFormat="1" x14ac:dyDescent="0.25">
      <c r="A17" s="17"/>
      <c r="B17" s="16"/>
      <c r="C17" s="16"/>
      <c r="D17" s="12"/>
      <c r="E17" s="15"/>
      <c r="F17" s="14"/>
      <c r="G17" s="15"/>
      <c r="H17" s="14"/>
      <c r="I17" s="13"/>
      <c r="J17" s="11"/>
      <c r="K17" s="12"/>
      <c r="L17" s="12"/>
      <c r="M17" s="12"/>
      <c r="N17" s="12"/>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row>
    <row r="18" spans="1:49" x14ac:dyDescent="0.25">
      <c r="A18" s="6"/>
      <c r="D18" s="68" t="n">
        <f>SUM(D5:D17)</f>
        <v>1306200.0</v>
      </c>
      <c r="F18" s="7" t="n">
        <f>SUM(F5:F16)</f>
        <v>8546.561333333333</v>
      </c>
      <c r="H18" s="7" t="n">
        <f>SUM(H5:H16)</f>
        <v>4273.280666666667</v>
      </c>
      <c r="I18" s="7" t="n">
        <f>SUM(I5:I16)</f>
        <v>12819.842</v>
      </c>
      <c r="K18" s="71"/>
      <c r="L18" s="7"/>
      <c r="M18" s="7" t="n">
        <f>SUM(M5:M16)</f>
        <v>30602.736</v>
      </c>
      <c r="N18" s="7" t="n">
        <f>SUM(N5:N16)</f>
        <v>14451.368</v>
      </c>
    </row>
    <row r="19" spans="1:49" ht="15.75" x14ac:dyDescent="0.25">
      <c r="A19" s="10" t="s">
        <v>1</v>
      </c>
      <c r="B19" s="6"/>
      <c r="C19" s="6"/>
      <c r="D19" s="6"/>
      <c r="E19" s="8"/>
      <c r="F19" s="7"/>
      <c r="G19" s="8"/>
      <c r="H19" s="7"/>
      <c r="I19" s="7"/>
    </row>
    <row r="20" spans="1:49" s="2" customFormat="1" x14ac:dyDescent="0.25">
      <c r="A20" s="41" t="s">
        <v>35</v>
      </c>
      <c r="B20" s="42"/>
      <c r="C20" s="42"/>
      <c r="D20" s="42"/>
      <c r="E20" s="43"/>
      <c r="F20" s="44"/>
      <c r="G20" s="43"/>
      <c r="H20" s="44"/>
      <c r="I20" s="44"/>
      <c r="K20" s="4"/>
      <c r="L20" s="42"/>
    </row>
    <row r="21" spans="1:49" ht="15.75" customHeight="1" x14ac:dyDescent="0.25"/>
    <row r="22" spans="1:49" ht="15.75" customHeight="1" x14ac:dyDescent="0.25">
      <c r="A22" s="5" t="s">
        <v>0</v>
      </c>
    </row>
    <row r="23" spans="1:49" s="48" customFormat="1" ht="28.5" x14ac:dyDescent="0.45">
      <c r="A23" s="48" t="s">
        <v>78</v>
      </c>
      <c r="E23" s="49"/>
      <c r="H23" s="48" t="s">
        <v>79</v>
      </c>
      <c r="K23" s="72"/>
    </row>
    <row r="24" spans="1:49" s="56" customFormat="1" ht="31.5" x14ac:dyDescent="0.5">
      <c r="A24" t="s">
        <v>77</v>
      </c>
      <c r="B24" t="s">
        <v>29</v>
      </c>
      <c r="C24" t="s">
        <v>28</v>
      </c>
      <c r="D24" t="s">
        <v>59</v>
      </c>
      <c r="E24" t="s">
        <v>60</v>
      </c>
      <c r="F24" s="48"/>
      <c r="H24" s="48" t="s">
        <v>80</v>
      </c>
      <c r="K24" s="73"/>
    </row>
    <row r="25" spans="1:49" x14ac:dyDescent="0.25">
      <c r="A25" t="s">
        <v>76</v>
      </c>
      <c r="B25" t="s">
        <v>134</v>
      </c>
      <c r="C25" t="s">
        <v>135</v>
      </c>
      <c r="D25" t="s">
        <v>61</v>
      </c>
      <c r="E25" s="70">
        <v>151000</v>
      </c>
    </row>
    <row r="26" spans="1:49" x14ac:dyDescent="0.25">
      <c r="A26" t="s">
        <v>76</v>
      </c>
      <c r="B26" t="s">
        <v>150</v>
      </c>
      <c r="C26" t="s">
        <v>151</v>
      </c>
      <c r="D26" t="s">
        <v>62</v>
      </c>
      <c r="E26" s="70">
        <v>124000</v>
      </c>
    </row>
    <row r="27" spans="1:49" x14ac:dyDescent="0.25">
      <c r="A27" t="s">
        <v>76</v>
      </c>
      <c r="B27" t="s">
        <v>130</v>
      </c>
      <c r="C27" t="s">
        <v>131</v>
      </c>
      <c r="D27" t="s">
        <v>63</v>
      </c>
      <c r="E27" s="70">
        <v>170400</v>
      </c>
    </row>
    <row r="28" spans="1:49" x14ac:dyDescent="0.25">
      <c r="A28" t="s">
        <v>76</v>
      </c>
      <c r="B28" t="s">
        <v>142</v>
      </c>
      <c r="C28" t="s">
        <v>143</v>
      </c>
      <c r="D28" t="s">
        <v>64</v>
      </c>
      <c r="E28" s="70">
        <v>54000</v>
      </c>
    </row>
    <row r="29" spans="1:49" x14ac:dyDescent="0.25">
      <c r="A29" t="s">
        <v>76</v>
      </c>
      <c r="B29" t="s">
        <v>152</v>
      </c>
      <c r="C29" t="s">
        <v>147</v>
      </c>
      <c r="D29" t="s">
        <v>66</v>
      </c>
      <c r="E29" s="70">
        <v>104000</v>
      </c>
    </row>
    <row r="30" spans="1:49" x14ac:dyDescent="0.25">
      <c r="A30" t="s">
        <v>76</v>
      </c>
      <c r="B30" t="s">
        <v>148</v>
      </c>
      <c r="C30" t="s">
        <v>149</v>
      </c>
      <c r="D30" t="s">
        <v>67</v>
      </c>
      <c r="E30" s="70">
        <v>227300</v>
      </c>
    </row>
    <row r="31" spans="1:49" x14ac:dyDescent="0.25">
      <c r="A31" t="s">
        <v>76</v>
      </c>
      <c r="B31" t="s">
        <v>136</v>
      </c>
      <c r="C31" t="s">
        <v>137</v>
      </c>
      <c r="D31" t="s">
        <v>68</v>
      </c>
      <c r="E31" s="70">
        <v>49200</v>
      </c>
    </row>
    <row r="32" spans="1:49" x14ac:dyDescent="0.25">
      <c r="A32" t="s">
        <v>76</v>
      </c>
      <c r="B32" t="s">
        <v>140</v>
      </c>
      <c r="C32" t="s">
        <v>141</v>
      </c>
      <c r="D32" t="s">
        <v>69</v>
      </c>
      <c r="E32" s="70">
        <v>140500</v>
      </c>
    </row>
    <row r="33" spans="1:5" x14ac:dyDescent="0.25">
      <c r="A33" t="s">
        <v>76</v>
      </c>
      <c r="B33" t="s">
        <v>144</v>
      </c>
      <c r="C33" t="s">
        <v>145</v>
      </c>
      <c r="D33" t="s">
        <v>70</v>
      </c>
      <c r="E33" s="70">
        <v>114000</v>
      </c>
    </row>
    <row r="34" spans="1:5" x14ac:dyDescent="0.25">
      <c r="A34" t="s">
        <v>76</v>
      </c>
      <c r="B34" t="s">
        <v>153</v>
      </c>
      <c r="C34" t="s">
        <v>133</v>
      </c>
      <c r="D34" t="s">
        <v>72</v>
      </c>
      <c r="E34" s="70">
        <v>51300</v>
      </c>
    </row>
    <row r="35" spans="1:5" x14ac:dyDescent="0.25">
      <c r="A35" t="s">
        <v>76</v>
      </c>
      <c r="B35" t="s">
        <v>154</v>
      </c>
      <c r="C35" t="s">
        <v>139</v>
      </c>
      <c r="D35" t="s">
        <v>74</v>
      </c>
      <c r="E35" s="70">
        <v>61000</v>
      </c>
    </row>
    <row r="36" spans="1:5" x14ac:dyDescent="0.25">
      <c r="A36" t="s">
        <v>76</v>
      </c>
      <c r="B36" t="s">
        <v>128</v>
      </c>
      <c r="C36" t="s">
        <v>129</v>
      </c>
      <c r="D36" t="s">
        <v>75</v>
      </c>
      <c r="E36" s="70">
        <v>59500</v>
      </c>
    </row>
    <row r="37" spans="1:5" x14ac:dyDescent="0.25">
      <c r="E37" s="69" t="n">
        <f>SUM(E25:E36)</f>
        <v>1306200.0</v>
      </c>
    </row>
  </sheetData>
  <mergeCells count="3">
    <mergeCell ref="M2:N2"/>
    <mergeCell ref="M3:N3"/>
    <mergeCell ref="K3:L3"/>
  </mergeCells>
  <hyperlinks>
    <hyperlink ref="A12" r:id="rId1" location="0928091"/>
    <hyperlink ref="A13" r:id="rId2" location="0928091" display="https://www.pensionplanetinteractive.ie/ppi/content/loadSchemeMemberSearch.action - 0928091"/>
  </hyperlinks>
  <pageMargins left="0.70866141732283472" right="0.70866141732283472" top="0.74803149606299213" bottom="0.74803149606299213" header="0.31496062992125984" footer="0.31496062992125984"/>
  <pageSetup paperSize="9" scale="63" orientation="landscap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3"/>
  <sheetViews>
    <sheetView workbookViewId="0"/>
  </sheetViews>
  <sheetFormatPr defaultColWidth="9.28515625" defaultRowHeight="15" x14ac:dyDescent="0.25"/>
  <sheetData>
    <row r="1" spans="1:6" x14ac:dyDescent="0.25">
      <c r="A1" s="125" t="s">
        <v>105</v>
      </c>
      <c r="B1" s="125" t="s">
        <v>106</v>
      </c>
      <c r="C1" s="125" t="s">
        <v>107</v>
      </c>
      <c r="D1" s="125" t="s">
        <v>108</v>
      </c>
      <c r="E1" s="125" t="s">
        <v>109</v>
      </c>
      <c r="F1" s="125" t="s">
        <v>110</v>
      </c>
    </row>
    <row r="2" spans="1:6" x14ac:dyDescent="0.25">
      <c r="A2" t="s">
        <v>111</v>
      </c>
      <c r="B2" t="s">
        <v>128</v>
      </c>
      <c r="C2" t="s">
        <v>129</v>
      </c>
      <c r="D2">
        <v>59500</v>
      </c>
      <c r="E2">
        <v>347.08</v>
      </c>
      <c r="F2">
        <v>451.79</v>
      </c>
    </row>
    <row r="3" spans="1:6" x14ac:dyDescent="0.25">
      <c r="A3" t="s">
        <v>112</v>
      </c>
      <c r="B3" t="s">
        <v>130</v>
      </c>
      <c r="C3" t="s">
        <v>131</v>
      </c>
      <c r="D3">
        <v>170400</v>
      </c>
      <c r="E3">
        <v>710</v>
      </c>
      <c r="F3">
        <v>1000</v>
      </c>
    </row>
    <row r="4" spans="1:6" x14ac:dyDescent="0.25">
      <c r="A4" t="s">
        <v>113</v>
      </c>
      <c r="B4" t="s">
        <v>132</v>
      </c>
      <c r="C4" t="s">
        <v>133</v>
      </c>
      <c r="D4">
        <v>51300</v>
      </c>
      <c r="E4">
        <v>213.75</v>
      </c>
      <c r="F4">
        <v>266.25</v>
      </c>
    </row>
    <row r="5" spans="1:6" x14ac:dyDescent="0.25">
      <c r="A5" t="s">
        <v>114</v>
      </c>
      <c r="B5" t="s">
        <v>134</v>
      </c>
      <c r="C5" t="s">
        <v>135</v>
      </c>
      <c r="D5">
        <v>151000</v>
      </c>
      <c r="E5">
        <v>1791.06</v>
      </c>
      <c r="F5">
        <v>2437.5</v>
      </c>
    </row>
    <row r="6" spans="1:6" x14ac:dyDescent="0.25">
      <c r="A6" t="s">
        <v>115</v>
      </c>
      <c r="B6" t="s">
        <v>136</v>
      </c>
      <c r="C6" t="s">
        <v>137</v>
      </c>
      <c r="D6">
        <v>49200</v>
      </c>
      <c r="E6">
        <v>410</v>
      </c>
      <c r="F6">
        <v>518.33000000000004</v>
      </c>
    </row>
    <row r="7" spans="1:6" x14ac:dyDescent="0.25">
      <c r="A7" t="s">
        <v>116</v>
      </c>
      <c r="B7" t="s">
        <v>138</v>
      </c>
      <c r="C7" t="s">
        <v>139</v>
      </c>
      <c r="D7">
        <v>61000</v>
      </c>
      <c r="E7">
        <v>254.17</v>
      </c>
      <c r="F7">
        <v>317.29000000000002</v>
      </c>
    </row>
    <row r="8" spans="1:6" x14ac:dyDescent="0.25">
      <c r="A8" t="s">
        <v>117</v>
      </c>
      <c r="B8" t="s">
        <v>140</v>
      </c>
      <c r="C8" t="s">
        <v>141</v>
      </c>
      <c r="D8">
        <v>140500</v>
      </c>
      <c r="E8">
        <v>1170.83</v>
      </c>
      <c r="F8">
        <v>1471.25</v>
      </c>
    </row>
    <row r="9" spans="1:6" x14ac:dyDescent="0.25">
      <c r="A9" t="s">
        <v>7</v>
      </c>
      <c r="B9" t="s">
        <v>142</v>
      </c>
      <c r="C9" t="s">
        <v>143</v>
      </c>
      <c r="D9">
        <v>54000</v>
      </c>
      <c r="E9">
        <v>100</v>
      </c>
      <c r="F9">
        <v>150</v>
      </c>
    </row>
    <row r="10" spans="1:6" x14ac:dyDescent="0.25">
      <c r="A10" t="s">
        <v>118</v>
      </c>
      <c r="B10" t="s">
        <v>144</v>
      </c>
      <c r="C10" t="s">
        <v>145</v>
      </c>
      <c r="D10">
        <v>114000</v>
      </c>
      <c r="E10">
        <v>950</v>
      </c>
      <c r="F10">
        <v>1424.17</v>
      </c>
    </row>
    <row r="11" spans="1:6" x14ac:dyDescent="0.25">
      <c r="A11" t="s">
        <v>46</v>
      </c>
      <c r="B11" t="s">
        <v>146</v>
      </c>
      <c r="C11" t="s">
        <v>147</v>
      </c>
      <c r="D11">
        <v>104000</v>
      </c>
      <c r="E11">
        <v>866.67</v>
      </c>
      <c r="F11">
        <v>1275</v>
      </c>
    </row>
    <row r="12" spans="1:6" x14ac:dyDescent="0.25">
      <c r="A12" t="s">
        <v>119</v>
      </c>
      <c r="B12" t="s">
        <v>148</v>
      </c>
      <c r="C12" t="s">
        <v>149</v>
      </c>
      <c r="D12">
        <v>227300</v>
      </c>
      <c r="E12">
        <v>1000</v>
      </c>
      <c r="F12">
        <v>500</v>
      </c>
    </row>
    <row r="13" spans="1:6" x14ac:dyDescent="0.25">
      <c r="A13" t="s">
        <v>120</v>
      </c>
      <c r="B13" t="s">
        <v>150</v>
      </c>
      <c r="C13" t="s">
        <v>151</v>
      </c>
      <c r="D13">
        <v>124000</v>
      </c>
      <c r="E13">
        <v>733</v>
      </c>
      <c r="F13">
        <v>366.5</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22</vt:i4>
      </vt:variant>
      <vt:variant>
        <vt:lpstr>Named Ranges</vt:lpstr>
      </vt:variant>
      <vt:variant>
        <vt:i4>10</vt:i4>
      </vt:variant>
    </vt:vector>
  </HeadingPairs>
  <TitlesOfParts>
    <vt:vector size="32" baseType="lpstr">
      <vt:lpstr>~January 2020</vt:lpstr>
      <vt:lpstr>January 2020</vt:lpstr>
      <vt:lpstr>~February 2020</vt:lpstr>
      <vt:lpstr>February 2020</vt:lpstr>
      <vt:lpstr>March Arrears for 4 members</vt:lpstr>
      <vt:lpstr>~March 2020</vt:lpstr>
      <vt:lpstr>March 2020</vt:lpstr>
      <vt:lpstr>~April 2020</vt:lpstr>
      <vt:lpstr>April 2020</vt:lpstr>
      <vt:lpstr>~May 2020</vt:lpstr>
      <vt:lpstr>May 2020</vt:lpstr>
      <vt:lpstr>~June 2020</vt:lpstr>
      <vt:lpstr>June 2020</vt:lpstr>
      <vt:lpstr>~July 2020 </vt:lpstr>
      <vt:lpstr>July 2020 </vt:lpstr>
      <vt:lpstr>~August 2020</vt:lpstr>
      <vt:lpstr>August 2020</vt:lpstr>
      <vt:lpstr>~September 2020</vt:lpstr>
      <vt:lpstr>September 2020</vt:lpstr>
      <vt:lpstr>~October 2020</vt:lpstr>
      <vt:lpstr>October 2020</vt:lpstr>
      <vt:lpstr>November 2020</vt:lpstr>
      <vt:lpstr>'~April 2020'!Print_Area</vt:lpstr>
      <vt:lpstr>'~August 2020'!Print_Area</vt:lpstr>
      <vt:lpstr>'~February 2020'!Print_Area</vt:lpstr>
      <vt:lpstr>'~July 2020 '!Print_Area</vt:lpstr>
      <vt:lpstr>'~June 2020'!Print_Area</vt:lpstr>
      <vt:lpstr>'~March 2020'!Print_Area</vt:lpstr>
      <vt:lpstr>'~May 2020'!Print_Area</vt:lpstr>
      <vt:lpstr>'~October 2020'!Print_Area</vt:lpstr>
      <vt:lpstr>'~September 2020'!Print_Area</vt:lpstr>
      <vt:lpstr>'November 2020'!Print_Area</vt:lpstr>
    </vt:vector>
  </TitlesOfParts>
  <Manager/>
  <Company>ETS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2019-12-05T10:02:32Z</dcterms:created>
  <dc:creator>Julie Anne O'Brien</dc:creator>
  <cp:lastModifiedBy>Grace, Karen</cp:lastModifiedBy>
  <cp:lastPrinted>2020-05-08T12:44:54Z</cp:lastPrinted>
  <dcterms:modified xsi:type="dcterms:W3CDTF">2020-11-16T16:19:32Z</dcterms:modified>
</cp:coreProperties>
</file>