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2020" sheetId="1" r:id="rId4"/>
    <sheet state="visible" name="February 2020" sheetId="2" r:id="rId5"/>
    <sheet state="hidden" name="March Arrears for 4 members" sheetId="3" r:id="rId6"/>
    <sheet state="visible" name="March 2020" sheetId="4" r:id="rId7"/>
    <sheet state="visible" name="April 2020" sheetId="5" r:id="rId8"/>
    <sheet state="visible" name="May 2020" sheetId="6" r:id="rId9"/>
    <sheet state="visible" name="June 2020" sheetId="7" r:id="rId10"/>
    <sheet state="visible" name="July 2020 " sheetId="8" r:id="rId11"/>
    <sheet state="visible" name="August 2020" sheetId="9" r:id="rId12"/>
    <sheet state="visible" name="September 2020" sheetId="10" r:id="rId13"/>
    <sheet state="visible" name="October 2020" sheetId="11" r:id="rId14"/>
    <sheet state="hidden" name="November 2020" sheetId="12" r:id="rId15"/>
  </sheets>
  <definedNames/>
  <calcPr/>
  <extLst>
    <ext uri="GoogleSheetsCustomDataVersion1">
      <go:sheetsCustomData xmlns:go="http://customooxmlschemas.google.com/" r:id="rId16" roundtripDataSignature="AMtx7mhPrU4Egc5N68DyPugUtDXB/0Iaqg=="/>
    </ext>
  </extLst>
</workbook>
</file>

<file path=xl/comments1.xml><?xml version="1.0" encoding="utf-8"?>
<comments xmlns:r="http://schemas.openxmlformats.org/officeDocument/2006/relationships" xmlns="http://schemas.openxmlformats.org/spreadsheetml/2006/main">
  <authors>
    <author/>
  </authors>
  <commentList>
    <comment authorId="0" ref="H14">
      <text>
        <t xml:space="preserve">======
ID#AAAAK4rJaF8
Julie Anne O'Brien    (2020-12-05 14:16:01)
Square Audit advised 108.35 should be the Sept ER cont to bring up to max</t>
      </text>
    </comment>
    <comment authorId="0" ref="N14">
      <text>
        <t xml:space="preserve">======
ID#AAAAK4rJaF0
Julie Anne O'Brien    (2020-12-05 14:16:01)
Square Audit advised 108.35 should be the Sept ER cont to bring up to max</t>
      </text>
    </comment>
  </commentList>
  <extLst>
    <ext uri="GoogleSheetsCustomDataVersion1">
      <go:sheetsCustomData xmlns:go="http://customooxmlschemas.google.com/" r:id="rId1" roundtripDataSignature="AMtx7miTD3TlusK+gr9UEbZ2IHUB5R0lRA=="/>
    </ext>
  </extLst>
</comments>
</file>

<file path=xl/comments2.xml><?xml version="1.0" encoding="utf-8"?>
<comments xmlns:r="http://schemas.openxmlformats.org/officeDocument/2006/relationships" xmlns="http://schemas.openxmlformats.org/spreadsheetml/2006/main">
  <authors>
    <author/>
  </authors>
  <commentList>
    <comment authorId="0" ref="N14">
      <text>
        <t xml:space="preserve">======
ID#AAAAK4rJaFs
Julie Anne O'Brien    (2020-12-05 14:16:01)
Square Audit advised 108.35 should be the Sept ER cont to bring up to max</t>
      </text>
    </comment>
  </commentList>
  <extLst>
    <ext uri="GoogleSheetsCustomDataVersion1">
      <go:sheetsCustomData xmlns:go="http://customooxmlschemas.google.com/" r:id="rId1" roundtripDataSignature="AMtx7mh+o7i4ru+VM7qgMAtIYflyDtE33Q=="/>
    </ext>
  </extLst>
</comments>
</file>

<file path=xl/comments3.xml><?xml version="1.0" encoding="utf-8"?>
<comments xmlns:r="http://schemas.openxmlformats.org/officeDocument/2006/relationships" xmlns="http://schemas.openxmlformats.org/spreadsheetml/2006/main">
  <authors>
    <author/>
  </authors>
  <commentList>
    <comment authorId="0" ref="H15">
      <text>
        <t xml:space="preserve">======
ID#AAAAK4rJaF4
Julie Anne O'Brien    (2020-12-05 14:16:01)
reduced to €400 to keep in line with max ER</t>
      </text>
    </comment>
    <comment authorId="0" ref="N14">
      <text>
        <t xml:space="preserve">======
ID#AAAAK4rJaFw
Julie Anne O'Brien    (2020-12-05 14:16:01)
Square Audit advised 108.35 should be the Sept ER cont to bring up to max</t>
      </text>
    </comment>
  </commentList>
  <extLst>
    <ext uri="GoogleSheetsCustomDataVersion1">
      <go:sheetsCustomData xmlns:go="http://customooxmlschemas.google.com/" r:id="rId1" roundtripDataSignature="AMtx7mgBovocGINuUZvCwJlELjHfsct9Tg=="/>
    </ext>
  </extLst>
</comments>
</file>

<file path=xl/sharedStrings.xml><?xml version="1.0" encoding="utf-8"?>
<sst xmlns="http://schemas.openxmlformats.org/spreadsheetml/2006/main" count="659" uniqueCount="114">
  <si>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</si>
  <si>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</si>
  <si>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</si>
  <si>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</si>
  <si>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</si>
  <si>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</si>
  <si>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</si>
  <si>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</si>
  <si>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</si>
  <si>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</si>
  <si>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</si>
  <si>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rFont val="Calibri"/>
        <b/>
        <color rgb="FFFF0000"/>
        <sz val="11.0"/>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</si>
  <si>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</si>
  <si>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</si>
  <si>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</si>
  <si>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</si>
  <si>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</si>
  <si>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</si>
  <si>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</si>
  <si>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</si>
  <si>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</si>
  <si>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</si>
  <si>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</si>
  <si>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</si>
  <si>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</si>
  <si>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</si>
  <si>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</si>
  <si>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</si>
  <si>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</si>
  <si>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</si>
  <si>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</si>
  <si>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</si>
  <si>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</si>
  <si>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</si>
  <si>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</si>
  <si>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</si>
  <si>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</si>
  <si>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</si>
  <si>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rFont val="Calibri"/>
        <b/>
        <color rgb="FFFF0000"/>
        <sz val="11.0"/>
      </rPr>
      <t>(€4,400 max)</t>
    </r>
  </si>
  <si>
    <t>Employee Contributions</t>
  </si>
  <si>
    <t>Employer Contributions</t>
  </si>
  <si>
    <t>Jan</t>
  </si>
  <si>
    <t>Oct</t>
  </si>
  <si>
    <t>Nov</t>
  </si>
  <si>
    <t>Dec</t>
  </si>
  <si>
    <t>EE &amp; ER Combined Total</t>
  </si>
  <si>
    <r>
      <t xml:space="preserve">ER Paid YTD </t>
    </r>
    <r>
      <rPr>
        <rFont val="Calibri"/>
        <b/>
        <color rgb="FFFF0000"/>
        <sz val="11.0"/>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</si>
  <si>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</si>
  <si>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</si>
  <si>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</si>
  <si>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</si>
  <si>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</si>
  <si>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</si>
  <si>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</si>
  <si>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</si>
  <si>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</si>
  <si>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</si>
  <si>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</si>
  <si>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</si>
  <si>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</si>
  <si>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rFont val="Calibri"/>
        <b/>
        <color rgb="FFFF0000"/>
        <sz val="11.0"/>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</si>
  <si>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</si>
  <si>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</si>
  <si>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</si>
  <si>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</si>
  <si>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</si>
  <si>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</si>
  <si>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</si>
  <si>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</si>
  <si>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</si>
  <si>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</si>
  <si>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</si>
  <si>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</si>
  <si>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</si>
  <si>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</si>
  <si>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</si>
  <si>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</si>
  <si>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</si>
  <si>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</si>
  <si>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</si>
  <si>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</si>
  <si>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</si>
  <si>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</si>
  <si>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</si>
  <si>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rFont val="Calibri"/>
        <b/>
        <color rgb="FFFF0000"/>
        <sz val="11.0"/>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</si>
  <si>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</si>
  <si>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</si>
  <si>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</si>
  <si>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</si>
  <si>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</si>
  <si>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</si>
  <si>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</si>
  <si>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rFont val="Calibri"/>
        <b/>
        <color rgb="FFFF0000"/>
        <sz val="11.0"/>
      </rPr>
      <t>(€4,400 max)</t>
    </r>
  </si>
  <si>
    <t>MAX REACHED</t>
  </si>
  <si>
    <t>Kilmeena has now reached his maximum ER contributions - no more ER contributions from July onwards</t>
  </si>
  <si>
    <r>
      <t xml:space="preserve">ER Paid YTD </t>
    </r>
    <r>
      <rPr>
        <rFont val="Calibri"/>
        <b/>
        <color rgb="FFFF0000"/>
        <sz val="11.0"/>
      </rPr>
      <t>(€4,400 max)</t>
    </r>
  </si>
  <si>
    <t>Ballylanders Montenotte remains on premium holiday</t>
  </si>
  <si>
    <r>
      <t xml:space="preserve">ER Paid YTD </t>
    </r>
    <r>
      <rPr>
        <rFont val="Calibri"/>
        <b/>
        <color rgb="FFFF0000"/>
        <sz val="11.0"/>
      </rPr>
      <t>(€4,400 max)</t>
    </r>
  </si>
  <si>
    <r>
      <t xml:space="preserve">ER Paid YTD </t>
    </r>
    <r>
      <rPr>
        <rFont val="Calibri"/>
        <b/>
        <color rgb="FFFF0000"/>
        <sz val="11.0"/>
      </rPr>
      <t>(€4,400 max)</t>
    </r>
  </si>
  <si>
    <t>On Unpaid Leave</t>
  </si>
  <si>
    <r>
      <t xml:space="preserve">ER Paid YTD </t>
    </r>
    <r>
      <rPr>
        <rFont val="Calibri"/>
        <b/>
        <color rgb="FFFF0000"/>
        <sz val="11.0"/>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</si>
  <si>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</si>
  <si>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</si>
  <si>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</si>
  <si>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</si>
  <si>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</si>
  <si>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</si>
  <si>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</si>
  <si>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</si>
  <si>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</si>
  <si>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rFont val="Calibri"/>
        <b/>
        <color rgb="FFFF0000"/>
        <sz val="11.0"/>
      </rPr>
      <t>(€4,400 max)</t>
    </r>
  </si>
  <si>
    <t>0976269</t>
  </si>
  <si>
    <t>0976058</t>
  </si>
  <si>
    <t>0976880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</si>
</sst>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0"/>
      <color theme="1"/>
      <name val="Arial"/>
    </font>
    <font>
      <sz val="11.0"/>
      <color rgb="FFFF0000"/>
      <name val="Calibri"/>
    </font>
    <font>
      <sz val="11.0"/>
      <color theme="1"/>
      <name val="Calibri"/>
    </font>
    <font>
      <b/>
      <sz val="11.0"/>
      <color theme="1"/>
      <name val="Calibri"/>
    </font>
    <font>
      <sz val="11.0"/>
      <color rgb="FF000000"/>
      <name val="Calibri"/>
    </font>
    <font>
      <b/>
      <sz val="11.0"/>
      <color rgb="FF000000"/>
      <name val="Calibri"/>
    </font>
    <font>
      <u/>
      <sz val="11.0"/>
      <color rgb="FF0000FF"/>
    </font>
    <font>
      <b/>
      <sz val="11.0"/>
      <color rgb="FFFF0000"/>
      <name val="Calibri"/>
    </font>
    <font>
      <b/>
      <u/>
      <sz val="12.0"/>
      <color theme="1"/>
      <name val="Calibri"/>
    </font>
    <font>
      <b/>
      <u/>
      <sz val="11.0"/>
      <color theme="1"/>
      <name val="Calibri"/>
    </font>
    <font/>
    <font>
      <u/>
      <sz val="11.0"/>
      <color theme="1"/>
    </font>
    <font>
      <b/>
      <sz val="22.0"/>
      <color rgb="FFFF0000"/>
      <name val="Calibri"/>
    </font>
    <font>
      <b/>
      <sz val="24.0"/>
      <color theme="1"/>
      <name val="Calibri"/>
    </font>
    <font>
      <b/>
      <sz val="14.0"/>
      <color rgb="FFFF0000"/>
      <name val="Calibri"/>
    </font>
    <font>
      <color theme="1"/>
      <name val="Calibri"/>
    </font>
    <font>
      <b/>
      <sz val="16.0"/>
      <color rgb="FFFF0000"/>
      <name val="Calibri"/>
    </font>
    <font>
      <sz val="16.0"/>
      <color rgb="FFFF0000"/>
      <name val="Calibri"/>
    </font>
    <font>
      <b/>
      <sz val="14.0"/>
      <color rgb="FF3A3838"/>
      <name val="Calibri"/>
    </font>
    <font>
      <u/>
      <sz val="11.0"/>
      <color theme="1"/>
    </font>
  </fonts>
  <fills count="6">
    <fill>
      <patternFill patternType="none"/>
    </fill>
    <fill>
      <patternFill patternType="lightGray"/>
    </fill>
    <fill>
      <patternFill patternType="solid">
        <fgColor rgb="FFC5E0B3"/>
        <bgColor rgb="FFC5E0B3"/>
      </patternFill>
    </fill>
    <fill>
      <patternFill patternType="solid">
        <fgColor theme="0"/>
        <bgColor theme="0"/>
      </patternFill>
    </fill>
    <fill>
      <patternFill patternType="solid">
        <fgColor rgb="FFFFFF00"/>
        <bgColor rgb="FFFFFF00"/>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2" numFmtId="17" xfId="0" applyFont="1" applyNumberFormat="1"/>
    <xf borderId="0" fillId="0" fontId="1" numFmtId="0" xfId="0" applyAlignment="1" applyFont="1">
      <alignment horizontal="center" shrinkToFit="0" wrapText="1"/>
    </xf>
    <xf borderId="1" fillId="2" fontId="3" numFmtId="0" xfId="0" applyAlignment="1" applyBorder="1" applyFill="1" applyFont="1">
      <alignment vertical="center"/>
    </xf>
    <xf borderId="1" fillId="2" fontId="3" numFmtId="0" xfId="0" applyAlignment="1" applyBorder="1" applyFont="1">
      <alignment horizontal="center" vertical="center"/>
    </xf>
    <xf borderId="1"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0" fillId="0" fontId="2" numFmtId="0" xfId="0" applyFont="1"/>
    <xf borderId="1" fillId="3" fontId="2" numFmtId="0" xfId="0" applyAlignment="1" applyBorder="1" applyFill="1" applyFont="1">
      <alignment horizontal="left"/>
    </xf>
    <xf borderId="1" fillId="3" fontId="2" numFmtId="0" xfId="0" applyBorder="1" applyFont="1"/>
    <xf borderId="1" fillId="3" fontId="4" numFmtId="164" xfId="0" applyBorder="1" applyFont="1" applyNumberFormat="1"/>
    <xf borderId="1" fillId="3" fontId="4" numFmtId="9" xfId="0" applyAlignment="1" applyBorder="1" applyFont="1" applyNumberFormat="1">
      <alignment horizontal="center"/>
    </xf>
    <xf borderId="1" fillId="3" fontId="2" numFmtId="164" xfId="0" applyAlignment="1" applyBorder="1" applyFont="1" applyNumberFormat="1">
      <alignment horizontal="center"/>
    </xf>
    <xf borderId="3" fillId="3" fontId="2" numFmtId="0" xfId="0" applyBorder="1" applyFont="1"/>
    <xf borderId="1" fillId="3" fontId="5" numFmtId="165" xfId="0" applyAlignment="1" applyBorder="1" applyFont="1" applyNumberFormat="1">
      <alignment horizontal="center"/>
    </xf>
    <xf borderId="1" fillId="3" fontId="1" numFmtId="164" xfId="0" applyAlignment="1" applyBorder="1" applyFont="1" applyNumberFormat="1">
      <alignment horizontal="center"/>
    </xf>
    <xf borderId="1" fillId="3" fontId="6" numFmtId="0" xfId="0" applyAlignment="1" applyBorder="1" applyFont="1">
      <alignment horizontal="left"/>
    </xf>
    <xf borderId="1" fillId="3" fontId="2" numFmtId="164" xfId="0" applyBorder="1" applyFont="1" applyNumberFormat="1"/>
    <xf borderId="1" fillId="3" fontId="2" numFmtId="9" xfId="0" applyAlignment="1" applyBorder="1" applyFont="1" applyNumberFormat="1">
      <alignment horizontal="center"/>
    </xf>
    <xf borderId="1" fillId="3" fontId="3" numFmtId="164" xfId="0" applyAlignment="1" applyBorder="1" applyFont="1" applyNumberFormat="1">
      <alignment horizontal="center"/>
    </xf>
    <xf borderId="3" fillId="3" fontId="7" numFmtId="0" xfId="0" applyBorder="1" applyFont="1"/>
    <xf borderId="3" fillId="3" fontId="7" numFmtId="0" xfId="0" applyAlignment="1" applyBorder="1" applyFont="1">
      <alignment horizontal="left"/>
    </xf>
    <xf borderId="3" fillId="3" fontId="7" numFmtId="164" xfId="0" applyBorder="1" applyFont="1" applyNumberFormat="1"/>
    <xf borderId="3" fillId="3" fontId="7" numFmtId="9" xfId="0" applyAlignment="1" applyBorder="1" applyFont="1" applyNumberFormat="1">
      <alignment horizontal="center"/>
    </xf>
    <xf borderId="3" fillId="3" fontId="7" numFmtId="164" xfId="0" applyAlignment="1" applyBorder="1" applyFont="1" applyNumberFormat="1">
      <alignment horizontal="center"/>
    </xf>
    <xf borderId="0" fillId="0" fontId="7" numFmtId="0" xfId="0" applyFont="1"/>
    <xf borderId="0" fillId="0" fontId="7" numFmtId="164" xfId="0" applyFont="1" applyNumberFormat="1"/>
    <xf borderId="0" fillId="0" fontId="8" numFmtId="0" xfId="0" applyFont="1"/>
    <xf borderId="0" fillId="0" fontId="7" numFmtId="0" xfId="0" applyAlignment="1" applyFont="1">
      <alignment horizontal="center"/>
    </xf>
    <xf borderId="3" fillId="4" fontId="2" numFmtId="0" xfId="0" applyBorder="1" applyFill="1" applyFont="1"/>
    <xf borderId="3" fillId="4" fontId="7" numFmtId="0" xfId="0" applyBorder="1" applyFont="1"/>
    <xf borderId="3" fillId="4" fontId="7" numFmtId="0" xfId="0" applyAlignment="1" applyBorder="1" applyFont="1">
      <alignment horizontal="center"/>
    </xf>
    <xf borderId="3" fillId="4" fontId="7" numFmtId="164" xfId="0" applyBorder="1" applyFont="1" applyNumberFormat="1"/>
    <xf borderId="0" fillId="0" fontId="9" numFmtId="0" xfId="0" applyFont="1"/>
    <xf borderId="4" fillId="0" fontId="1" numFmtId="0" xfId="0" applyAlignment="1" applyBorder="1" applyFont="1">
      <alignment horizontal="center"/>
    </xf>
    <xf borderId="4" fillId="0" fontId="10" numFmtId="0" xfId="0" applyBorder="1" applyFont="1"/>
    <xf borderId="1" fillId="4" fontId="4" numFmtId="164" xfId="0" applyBorder="1" applyFont="1" applyNumberFormat="1"/>
    <xf borderId="4" fillId="0" fontId="3" numFmtId="0" xfId="0" applyAlignment="1" applyBorder="1" applyFont="1">
      <alignment horizontal="center" shrinkToFit="0" wrapText="1"/>
    </xf>
    <xf borderId="4" fillId="0" fontId="3" numFmtId="0" xfId="0" applyAlignment="1" applyBorder="1" applyFont="1">
      <alignment horizontal="center"/>
    </xf>
    <xf borderId="1" fillId="2" fontId="3" numFmtId="0" xfId="0" applyAlignment="1" applyBorder="1" applyFont="1">
      <alignment shrinkToFit="0" vertical="center" wrapText="1"/>
    </xf>
    <xf borderId="0" fillId="0" fontId="2" numFmtId="0" xfId="0" applyAlignment="1" applyFont="1">
      <alignment shrinkToFit="0" wrapText="1"/>
    </xf>
    <xf borderId="1" fillId="3" fontId="3" numFmtId="164" xfId="0" applyBorder="1" applyFont="1" applyNumberFormat="1"/>
    <xf borderId="1" fillId="0" fontId="2" numFmtId="164" xfId="0" applyBorder="1" applyFont="1" applyNumberFormat="1"/>
    <xf borderId="0" fillId="0" fontId="1" numFmtId="0" xfId="0" applyAlignment="1" applyFont="1">
      <alignment horizontal="left" shrinkToFit="0" wrapText="1"/>
    </xf>
    <xf borderId="1" fillId="3" fontId="11" numFmtId="0" xfId="0" applyAlignment="1" applyBorder="1" applyFont="1">
      <alignment horizontal="left"/>
    </xf>
    <xf quotePrefix="1" borderId="1" fillId="3" fontId="2" numFmtId="0" xfId="0" applyAlignment="1" applyBorder="1" applyFont="1">
      <alignment horizontal="left"/>
    </xf>
    <xf borderId="3" fillId="3" fontId="4" numFmtId="164" xfId="0" applyBorder="1" applyFont="1" applyNumberFormat="1"/>
    <xf borderId="0" fillId="0" fontId="2" numFmtId="164" xfId="0" applyFont="1" applyNumberFormat="1"/>
    <xf borderId="0" fillId="0" fontId="12" numFmtId="0" xfId="0" applyFont="1"/>
    <xf borderId="0" fillId="0" fontId="12" numFmtId="0" xfId="0" applyAlignment="1" applyFont="1">
      <alignment horizontal="center"/>
    </xf>
    <xf borderId="0" fillId="0" fontId="13" numFmtId="0" xfId="0" applyFont="1"/>
    <xf borderId="0" fillId="0" fontId="13" numFmtId="0" xfId="0" applyAlignment="1" applyFont="1">
      <alignment horizontal="center"/>
    </xf>
    <xf borderId="0" fillId="0" fontId="14" numFmtId="0" xfId="0" applyAlignment="1" applyFont="1">
      <alignment horizontal="left" shrinkToFit="0" wrapText="1"/>
    </xf>
    <xf borderId="1" fillId="3" fontId="1" numFmtId="0" xfId="0" applyAlignment="1" applyBorder="1" applyFont="1">
      <alignment horizontal="left"/>
    </xf>
    <xf borderId="1" fillId="3" fontId="1" numFmtId="0" xfId="0" applyBorder="1" applyFont="1"/>
    <xf borderId="1" fillId="3" fontId="1" numFmtId="164" xfId="0" applyBorder="1" applyFont="1" applyNumberFormat="1"/>
    <xf borderId="1" fillId="3" fontId="1" numFmtId="9" xfId="0" applyAlignment="1" applyBorder="1" applyFont="1" applyNumberFormat="1">
      <alignment horizontal="center"/>
    </xf>
    <xf borderId="3" fillId="3" fontId="12" numFmtId="0" xfId="0" applyBorder="1" applyFont="1"/>
    <xf borderId="0" fillId="0" fontId="15" numFmtId="0" xfId="0" applyFont="1"/>
    <xf borderId="3" fillId="3" fontId="13" numFmtId="0" xfId="0" applyBorder="1" applyFont="1"/>
    <xf borderId="0" fillId="0" fontId="2" numFmtId="166" xfId="0" applyFont="1" applyNumberFormat="1"/>
    <xf borderId="0" fillId="0" fontId="3" numFmtId="166" xfId="0" applyAlignment="1" applyFont="1" applyNumberFormat="1">
      <alignment horizontal="center"/>
    </xf>
    <xf quotePrefix="1" borderId="1" fillId="3" fontId="1" numFmtId="0" xfId="0" applyAlignment="1" applyBorder="1" applyFont="1">
      <alignment horizontal="left"/>
    </xf>
    <xf borderId="0" fillId="0" fontId="16" numFmtId="0" xfId="0" applyFont="1"/>
    <xf borderId="0" fillId="0" fontId="17" numFmtId="0" xfId="0" applyFont="1"/>
    <xf borderId="0" fillId="0" fontId="17" numFmtId="0" xfId="0" applyAlignment="1" applyFont="1">
      <alignment horizontal="center"/>
    </xf>
    <xf borderId="3" fillId="3" fontId="17" numFmtId="0" xfId="0" applyBorder="1" applyFont="1"/>
    <xf borderId="1" fillId="4" fontId="2" numFmtId="0" xfId="0" applyAlignment="1" applyBorder="1" applyFont="1">
      <alignment horizontal="left"/>
    </xf>
    <xf borderId="1" fillId="4" fontId="2" numFmtId="0" xfId="0" applyBorder="1" applyFont="1"/>
    <xf borderId="1" fillId="4" fontId="5" numFmtId="165" xfId="0" applyAlignment="1" applyBorder="1" applyFont="1" applyNumberFormat="1">
      <alignment horizontal="center"/>
    </xf>
    <xf borderId="1" fillId="4" fontId="4" numFmtId="9" xfId="0" applyAlignment="1" applyBorder="1" applyFont="1" applyNumberFormat="1">
      <alignment horizontal="center"/>
    </xf>
    <xf borderId="1" fillId="4" fontId="2" numFmtId="164" xfId="0" applyAlignment="1" applyBorder="1" applyFont="1" applyNumberFormat="1">
      <alignment horizontal="center"/>
    </xf>
    <xf borderId="3" fillId="4" fontId="1" numFmtId="0" xfId="0" applyBorder="1" applyFont="1"/>
    <xf borderId="3" fillId="3" fontId="18" numFmtId="0" xfId="0" applyBorder="1" applyFont="1"/>
    <xf borderId="3" fillId="3" fontId="18" numFmtId="0" xfId="0" applyAlignment="1" applyBorder="1" applyFont="1">
      <alignment horizontal="center"/>
    </xf>
    <xf borderId="3" fillId="3" fontId="18" numFmtId="164" xfId="0" applyBorder="1" applyFont="1" applyNumberFormat="1"/>
    <xf borderId="1" fillId="3" fontId="7" numFmtId="0" xfId="0" applyAlignment="1" applyBorder="1" applyFont="1">
      <alignment horizontal="left"/>
    </xf>
    <xf borderId="1" fillId="3" fontId="7" numFmtId="0" xfId="0" applyBorder="1" applyFont="1"/>
    <xf borderId="1" fillId="3" fontId="7" numFmtId="164" xfId="0" applyBorder="1" applyFont="1" applyNumberFormat="1"/>
    <xf borderId="1" fillId="3" fontId="7" numFmtId="9" xfId="0" applyAlignment="1" applyBorder="1" applyFont="1" applyNumberFormat="1">
      <alignment horizontal="center"/>
    </xf>
    <xf borderId="1" fillId="3" fontId="7" numFmtId="164" xfId="0" applyAlignment="1" applyBorder="1" applyFont="1" applyNumberFormat="1">
      <alignment horizontal="center"/>
    </xf>
    <xf quotePrefix="1" borderId="1" fillId="4" fontId="2" numFmtId="0" xfId="0" applyAlignment="1" applyBorder="1" applyFont="1">
      <alignment horizontal="left"/>
    </xf>
    <xf borderId="1" fillId="4" fontId="2" numFmtId="164" xfId="0" applyBorder="1" applyFont="1" applyNumberFormat="1"/>
    <xf borderId="1" fillId="4" fontId="2" numFmtId="9" xfId="0" applyAlignment="1" applyBorder="1" applyFont="1" applyNumberFormat="1">
      <alignment horizontal="center"/>
    </xf>
    <xf borderId="1" fillId="3" fontId="5" numFmtId="164" xfId="0" applyBorder="1" applyFont="1" applyNumberFormat="1"/>
    <xf borderId="1" fillId="4" fontId="19" numFmtId="0" xfId="0" applyAlignment="1" applyBorder="1" applyFont="1">
      <alignment horizontal="left"/>
    </xf>
    <xf quotePrefix="1" borderId="2" fillId="5" fontId="3" numFmtId="0" xfId="0" applyAlignment="1" applyBorder="1" applyFill="1" applyFont="1">
      <alignment horizontal="left"/>
    </xf>
    <xf borderId="2" fillId="5" fontId="3" numFmtId="0" xfId="0" applyBorder="1" applyFont="1"/>
    <xf borderId="2" fillId="5" fontId="3" numFmtId="164" xfId="0" applyBorder="1" applyFont="1" applyNumberFormat="1"/>
    <xf borderId="2" fillId="5" fontId="3" numFmtId="9" xfId="0" applyAlignment="1" applyBorder="1" applyFont="1" applyNumberFormat="1">
      <alignment horizontal="center"/>
    </xf>
    <xf borderId="2" fillId="5" fontId="3" numFmtId="164" xfId="0" applyAlignment="1" applyBorder="1" applyFont="1" applyNumberFormat="1">
      <alignment horizontal="center"/>
    </xf>
    <xf borderId="3" fillId="5" fontId="3" numFmtId="0" xfId="0" applyBorder="1" applyFont="1"/>
    <xf quotePrefix="1" borderId="1" fillId="5" fontId="3" numFmtId="0" xfId="0" applyAlignment="1" applyBorder="1" applyFont="1">
      <alignment horizontal="left"/>
    </xf>
    <xf borderId="1" fillId="5" fontId="3" numFmtId="0" xfId="0" applyBorder="1" applyFont="1"/>
    <xf borderId="1" fillId="5" fontId="3" numFmtId="164" xfId="0" applyBorder="1" applyFont="1" applyNumberFormat="1"/>
    <xf borderId="1" fillId="5" fontId="3" numFmtId="9" xfId="0" applyAlignment="1" applyBorder="1" applyFont="1" applyNumberFormat="1">
      <alignment horizontal="center"/>
    </xf>
    <xf borderId="1" fillId="5" fontId="3" numFmtId="164" xfId="0" applyAlignment="1" applyBorder="1" applyFont="1" applyNumberFormat="1">
      <alignment horizontal="center"/>
    </xf>
    <xf borderId="1" fillId="5" fontId="3" numFmtId="167" xfId="0" applyAlignment="1" applyBorder="1" applyFont="1" applyNumberFormat="1">
      <alignment horizontal="center"/>
    </xf>
    <xf quotePrefix="1" borderId="2" fillId="3" fontId="2" numFmtId="0" xfId="0" applyAlignment="1" applyBorder="1" applyFont="1">
      <alignment horizontal="left"/>
    </xf>
    <xf borderId="2" fillId="3" fontId="2" numFmtId="0" xfId="0" applyBorder="1" applyFont="1"/>
    <xf borderId="2" fillId="3" fontId="2" numFmtId="164" xfId="0" applyBorder="1" applyFont="1" applyNumberFormat="1"/>
    <xf borderId="2" fillId="3" fontId="2" numFmtId="9" xfId="0" applyAlignment="1" applyBorder="1" applyFont="1" applyNumberFormat="1">
      <alignment horizontal="center"/>
    </xf>
    <xf borderId="2" fillId="3" fontId="2" numFmtId="164" xfId="0" applyAlignment="1" applyBorder="1" applyFont="1" applyNumberFormat="1">
      <alignment horizontal="center"/>
    </xf>
    <xf borderId="1" fillId="3" fontId="2" numFmtId="10" xfId="0" applyAlignment="1" applyBorder="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0.xml"/><Relationship Id="rId5"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1.xml"/><Relationship Id="rId5"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2.xml"/><Relationship Id="rId5"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0.38"/>
    <col customWidth="1" min="6" max="6" width="14.88"/>
    <col customWidth="1" min="7" max="7" width="8.63"/>
    <col customWidth="1" min="8" max="8" width="14.13"/>
    <col customWidth="1" min="9" max="9" width="13.75"/>
    <col customWidth="1" min="10" max="10" width="9.75"/>
    <col customWidth="1" min="11" max="12" width="10.63"/>
    <col customWidth="1" min="13" max="26" width="7.63"/>
  </cols>
  <sheetData>
    <row r="1">
      <c r="A1" s="1" t="s">
        <v>0</v>
      </c>
      <c r="E1" s="2"/>
    </row>
    <row r="2" ht="39.0" customHeight="1">
      <c r="A2" s="3">
        <v>43831.0</v>
      </c>
      <c r="E2" s="2"/>
      <c r="K2" s="4"/>
    </row>
    <row r="3">
      <c r="E3" s="2"/>
    </row>
    <row r="4">
      <c r="A4" s="5" t="s">
        <v>1</v>
      </c>
      <c r="B4" s="5" t="s">
        <v>2</v>
      </c>
      <c r="C4" s="5" t="s">
        <v>3</v>
      </c>
      <c r="D4" s="6" t="s">
        <v>4</v>
      </c>
      <c r="E4" s="7" t="s">
        <v>5</v>
      </c>
      <c r="F4" s="7" t="s">
        <v>6</v>
      </c>
      <c r="G4" s="7" t="s">
        <v>7</v>
      </c>
      <c r="H4" s="8" t="s">
        <v>8</v>
      </c>
      <c r="I4" s="8" t="s">
        <v>9</v>
      </c>
      <c r="J4" s="9"/>
      <c r="K4" s="7" t="s">
        <v>10</v>
      </c>
      <c r="L4" s="7" t="s">
        <v>11</v>
      </c>
    </row>
    <row r="5">
      <c r="A5" s="10">
        <v>839415.0</v>
      </c>
      <c r="B5" s="11" t="s">
        <v>12</v>
      </c>
      <c r="C5" s="11" t="s">
        <v>13</v>
      </c>
      <c r="D5" s="12">
        <v>48300.0</v>
      </c>
      <c r="E5" s="13">
        <v>0.07</v>
      </c>
      <c r="F5" s="14">
        <f>D5*7%/12</f>
        <v>281.75</v>
      </c>
      <c r="G5" s="13">
        <v>0.5</v>
      </c>
      <c r="H5" s="12">
        <f t="shared" ref="H5:H13" si="1">F5*50%</f>
        <v>140.875</v>
      </c>
      <c r="I5" s="14">
        <f t="shared" ref="I5:I13" si="2">F5+H5</f>
        <v>422.625</v>
      </c>
      <c r="J5" s="15"/>
      <c r="K5" s="12">
        <f t="shared" ref="K5:K13" si="3">F5</f>
        <v>281.75</v>
      </c>
      <c r="L5" s="12">
        <f t="shared" ref="L5:L13" si="4">H5</f>
        <v>140.875</v>
      </c>
      <c r="S5" s="15"/>
      <c r="T5" s="15"/>
      <c r="U5" s="15"/>
      <c r="V5" s="15"/>
      <c r="W5" s="15"/>
      <c r="X5" s="15"/>
      <c r="Y5" s="15"/>
      <c r="Z5" s="15"/>
    </row>
    <row r="6">
      <c r="A6" s="10">
        <v>862567.0</v>
      </c>
      <c r="B6" s="11" t="s">
        <v>14</v>
      </c>
      <c r="C6" s="11" t="s">
        <v>15</v>
      </c>
      <c r="D6" s="12">
        <v>160000.0</v>
      </c>
      <c r="E6" s="13">
        <v>0.05</v>
      </c>
      <c r="F6" s="14">
        <f t="shared" ref="F6:F7" si="5">D6*5%/12</f>
        <v>666.6666667</v>
      </c>
      <c r="G6" s="13">
        <v>0.5</v>
      </c>
      <c r="H6" s="12">
        <f t="shared" si="1"/>
        <v>333.3333333</v>
      </c>
      <c r="I6" s="14">
        <f t="shared" si="2"/>
        <v>1000</v>
      </c>
      <c r="J6" s="15"/>
      <c r="K6" s="12">
        <f t="shared" si="3"/>
        <v>666.6666667</v>
      </c>
      <c r="L6" s="12">
        <f t="shared" si="4"/>
        <v>333.3333333</v>
      </c>
      <c r="M6" s="1"/>
      <c r="N6" s="1"/>
      <c r="O6" s="1"/>
      <c r="P6" s="1"/>
      <c r="S6" s="15"/>
      <c r="T6" s="15"/>
      <c r="U6" s="15"/>
      <c r="V6" s="15"/>
      <c r="W6" s="15"/>
      <c r="X6" s="15"/>
      <c r="Y6" s="15"/>
      <c r="Z6" s="15"/>
    </row>
    <row r="7">
      <c r="A7" s="10">
        <v>881957.0</v>
      </c>
      <c r="B7" s="11" t="s">
        <v>16</v>
      </c>
      <c r="C7" s="11" t="s">
        <v>17</v>
      </c>
      <c r="D7" s="12">
        <v>42600.0</v>
      </c>
      <c r="E7" s="13">
        <v>0.05</v>
      </c>
      <c r="F7" s="14">
        <f t="shared" si="5"/>
        <v>177.5</v>
      </c>
      <c r="G7" s="13">
        <v>0.5</v>
      </c>
      <c r="H7" s="12">
        <f t="shared" si="1"/>
        <v>88.75</v>
      </c>
      <c r="I7" s="14">
        <f t="shared" si="2"/>
        <v>266.25</v>
      </c>
      <c r="J7" s="15"/>
      <c r="K7" s="12">
        <f t="shared" si="3"/>
        <v>177.5</v>
      </c>
      <c r="L7" s="12">
        <f t="shared" si="4"/>
        <v>88.75</v>
      </c>
      <c r="M7" s="1"/>
      <c r="N7" s="1"/>
      <c r="O7" s="1"/>
      <c r="P7" s="1"/>
      <c r="S7" s="15"/>
      <c r="T7" s="15"/>
      <c r="U7" s="15"/>
      <c r="V7" s="15"/>
      <c r="W7" s="15"/>
      <c r="X7" s="15"/>
      <c r="Y7" s="15"/>
      <c r="Z7" s="15"/>
    </row>
    <row r="8">
      <c r="A8" s="10">
        <v>886344.0</v>
      </c>
      <c r="B8" s="11" t="s">
        <v>18</v>
      </c>
      <c r="C8" s="11" t="s">
        <v>19</v>
      </c>
      <c r="D8" s="12">
        <v>137000.0</v>
      </c>
      <c r="E8" s="16">
        <v>0.142336</v>
      </c>
      <c r="F8" s="17">
        <f>D8*14.2336%/12</f>
        <v>1625.002667</v>
      </c>
      <c r="G8" s="13">
        <v>0.5</v>
      </c>
      <c r="H8" s="12">
        <f t="shared" si="1"/>
        <v>812.5013333</v>
      </c>
      <c r="I8" s="14">
        <f t="shared" si="2"/>
        <v>2437.504</v>
      </c>
      <c r="J8" s="15"/>
      <c r="K8" s="12">
        <f t="shared" si="3"/>
        <v>1625.002667</v>
      </c>
      <c r="L8" s="12">
        <f t="shared" si="4"/>
        <v>812.5013333</v>
      </c>
      <c r="M8" s="1"/>
      <c r="N8" s="1"/>
      <c r="O8" s="1"/>
      <c r="P8" s="1"/>
      <c r="S8" s="15"/>
      <c r="T8" s="15"/>
      <c r="U8" s="15"/>
      <c r="V8" s="15"/>
      <c r="W8" s="15"/>
      <c r="X8" s="15"/>
      <c r="Y8" s="15"/>
      <c r="Z8" s="15"/>
    </row>
    <row r="9">
      <c r="A9" s="10">
        <v>896998.0</v>
      </c>
      <c r="B9" s="11" t="s">
        <v>20</v>
      </c>
      <c r="C9" s="11" t="s">
        <v>21</v>
      </c>
      <c r="D9" s="12">
        <v>39200.0</v>
      </c>
      <c r="E9" s="13">
        <v>0.1</v>
      </c>
      <c r="F9" s="14">
        <f>D9*10%/12</f>
        <v>326.6666667</v>
      </c>
      <c r="G9" s="13">
        <v>0.5</v>
      </c>
      <c r="H9" s="12">
        <f t="shared" si="1"/>
        <v>163.3333333</v>
      </c>
      <c r="I9" s="14">
        <f t="shared" si="2"/>
        <v>490</v>
      </c>
      <c r="J9" s="15"/>
      <c r="K9" s="12">
        <f t="shared" si="3"/>
        <v>326.6666667</v>
      </c>
      <c r="L9" s="12">
        <f t="shared" si="4"/>
        <v>163.3333333</v>
      </c>
      <c r="M9" s="1"/>
      <c r="N9" s="1"/>
      <c r="O9" s="1"/>
      <c r="P9" s="1"/>
      <c r="S9" s="15"/>
      <c r="T9" s="15"/>
      <c r="U9" s="15"/>
      <c r="V9" s="15"/>
      <c r="W9" s="15"/>
      <c r="X9" s="15"/>
      <c r="Y9" s="15"/>
      <c r="Z9" s="15"/>
    </row>
    <row r="10">
      <c r="A10" s="10">
        <v>896997.0</v>
      </c>
      <c r="B10" s="11" t="s">
        <v>22</v>
      </c>
      <c r="C10" s="11" t="s">
        <v>23</v>
      </c>
      <c r="D10" s="12">
        <v>49300.0</v>
      </c>
      <c r="E10" s="13">
        <v>0.05</v>
      </c>
      <c r="F10" s="14">
        <f>D10*5%/12</f>
        <v>205.4166667</v>
      </c>
      <c r="G10" s="13">
        <v>0.5</v>
      </c>
      <c r="H10" s="12">
        <f t="shared" si="1"/>
        <v>102.7083333</v>
      </c>
      <c r="I10" s="14">
        <f t="shared" si="2"/>
        <v>308.125</v>
      </c>
      <c r="J10" s="15"/>
      <c r="K10" s="12">
        <f t="shared" si="3"/>
        <v>205.4166667</v>
      </c>
      <c r="L10" s="12">
        <f t="shared" si="4"/>
        <v>102.7083333</v>
      </c>
      <c r="M10" s="1"/>
      <c r="N10" s="1"/>
      <c r="O10" s="1"/>
      <c r="P10" s="1"/>
      <c r="S10" s="15"/>
      <c r="T10" s="15"/>
      <c r="U10" s="15"/>
      <c r="V10" s="15"/>
      <c r="W10" s="15"/>
      <c r="X10" s="15"/>
      <c r="Y10" s="15"/>
      <c r="Z10" s="15"/>
    </row>
    <row r="11">
      <c r="A11" s="10">
        <v>900332.0</v>
      </c>
      <c r="B11" s="11" t="s">
        <v>24</v>
      </c>
      <c r="C11" s="11" t="s">
        <v>25</v>
      </c>
      <c r="D11" s="12">
        <v>110500.0</v>
      </c>
      <c r="E11" s="13">
        <v>0.1</v>
      </c>
      <c r="F11" s="17">
        <f>D11*10%/12</f>
        <v>920.8333333</v>
      </c>
      <c r="G11" s="13">
        <v>0.5</v>
      </c>
      <c r="H11" s="12">
        <f t="shared" si="1"/>
        <v>460.4166667</v>
      </c>
      <c r="I11" s="14">
        <f t="shared" si="2"/>
        <v>1381.25</v>
      </c>
      <c r="J11" s="15"/>
      <c r="K11" s="12">
        <f t="shared" si="3"/>
        <v>920.8333333</v>
      </c>
      <c r="L11" s="12">
        <f t="shared" si="4"/>
        <v>460.4166667</v>
      </c>
      <c r="M11" s="1"/>
      <c r="N11" s="1"/>
      <c r="O11" s="1"/>
      <c r="P11" s="1"/>
      <c r="S11" s="15"/>
      <c r="T11" s="15"/>
      <c r="U11" s="15"/>
      <c r="V11" s="15"/>
      <c r="W11" s="15"/>
      <c r="X11" s="15"/>
      <c r="Y11" s="15"/>
      <c r="Z11" s="15"/>
    </row>
    <row r="12">
      <c r="A12" s="18" t="s">
        <v>26</v>
      </c>
      <c r="B12" s="11" t="s">
        <v>27</v>
      </c>
      <c r="C12" s="11" t="s">
        <v>28</v>
      </c>
      <c r="D12" s="19">
        <v>52000.0</v>
      </c>
      <c r="E12" s="20" t="s">
        <v>29</v>
      </c>
      <c r="F12" s="14">
        <v>100.0</v>
      </c>
      <c r="G12" s="13">
        <v>0.5</v>
      </c>
      <c r="H12" s="12">
        <f t="shared" si="1"/>
        <v>50</v>
      </c>
      <c r="I12" s="14">
        <f t="shared" si="2"/>
        <v>150</v>
      </c>
      <c r="J12" s="15"/>
      <c r="K12" s="12">
        <f t="shared" si="3"/>
        <v>100</v>
      </c>
      <c r="L12" s="12">
        <f t="shared" si="4"/>
        <v>50</v>
      </c>
      <c r="M12" s="9"/>
      <c r="N12" s="9"/>
      <c r="O12" s="9"/>
      <c r="P12" s="9"/>
      <c r="Q12" s="9"/>
      <c r="R12" s="9"/>
      <c r="S12" s="15"/>
      <c r="T12" s="15"/>
      <c r="U12" s="15"/>
      <c r="V12" s="15"/>
      <c r="W12" s="15"/>
      <c r="X12" s="15"/>
      <c r="Y12" s="15"/>
      <c r="Z12" s="15"/>
    </row>
    <row r="13">
      <c r="A13" s="18">
        <v>931165.0</v>
      </c>
      <c r="B13" s="11" t="s">
        <v>30</v>
      </c>
      <c r="C13" s="11" t="s">
        <v>31</v>
      </c>
      <c r="D13" s="19">
        <v>110000.0</v>
      </c>
      <c r="E13" s="20">
        <v>0.1</v>
      </c>
      <c r="F13" s="14">
        <f>D11*10%/12</f>
        <v>920.8333333</v>
      </c>
      <c r="G13" s="13">
        <v>0.5</v>
      </c>
      <c r="H13" s="12">
        <f t="shared" si="1"/>
        <v>460.4166667</v>
      </c>
      <c r="I13" s="21">
        <f t="shared" si="2"/>
        <v>1381.25</v>
      </c>
      <c r="J13" s="22"/>
      <c r="K13" s="12">
        <f t="shared" si="3"/>
        <v>920.8333333</v>
      </c>
      <c r="L13" s="12">
        <f t="shared" si="4"/>
        <v>460.4166667</v>
      </c>
      <c r="M13" s="1"/>
      <c r="N13" s="1"/>
      <c r="O13" s="1"/>
      <c r="P13" s="1"/>
      <c r="S13" s="22"/>
      <c r="T13" s="22"/>
      <c r="U13" s="22"/>
      <c r="V13" s="22"/>
      <c r="W13" s="22"/>
      <c r="X13" s="22"/>
      <c r="Y13" s="22"/>
      <c r="Z13" s="22"/>
    </row>
    <row r="14">
      <c r="A14" s="23"/>
      <c r="B14" s="22"/>
      <c r="C14" s="22"/>
      <c r="D14" s="24"/>
      <c r="E14" s="25"/>
      <c r="F14" s="26"/>
      <c r="G14" s="25"/>
      <c r="H14" s="24"/>
      <c r="I14" s="26"/>
      <c r="J14" s="22"/>
      <c r="K14" s="24"/>
      <c r="L14" s="24"/>
      <c r="M14" s="1"/>
      <c r="N14" s="1"/>
      <c r="O14" s="1"/>
      <c r="P14" s="1"/>
      <c r="S14" s="22"/>
      <c r="T14" s="22"/>
      <c r="U14" s="22"/>
      <c r="V14" s="22"/>
      <c r="W14" s="22"/>
      <c r="X14" s="22"/>
      <c r="Y14" s="22"/>
      <c r="Z14" s="22"/>
    </row>
    <row r="15">
      <c r="A15" s="27"/>
      <c r="E15" s="2"/>
      <c r="F15" s="28">
        <f>SUM(F5:F13)</f>
        <v>5224.669333</v>
      </c>
      <c r="H15" s="28">
        <f t="shared" ref="H15:I15" si="6">SUM(H5:H13)</f>
        <v>2612.334667</v>
      </c>
      <c r="I15" s="28">
        <f t="shared" si="6"/>
        <v>7837.004</v>
      </c>
      <c r="J15" s="27"/>
      <c r="K15" s="28">
        <f t="shared" ref="K15:L15" si="7">SUM(K5:K13)</f>
        <v>5224.669333</v>
      </c>
      <c r="L15" s="28">
        <f t="shared" si="7"/>
        <v>2612.334667</v>
      </c>
    </row>
    <row r="16">
      <c r="A16" s="29" t="s">
        <v>32</v>
      </c>
      <c r="B16" s="27"/>
      <c r="C16" s="27"/>
      <c r="D16" s="27"/>
      <c r="E16" s="30"/>
      <c r="F16" s="28"/>
      <c r="G16" s="30"/>
      <c r="H16" s="28"/>
      <c r="I16" s="28"/>
      <c r="J16" s="27"/>
    </row>
    <row r="17">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ht="15.75" customHeight="1">
      <c r="E18" s="2"/>
    </row>
    <row r="19" ht="15.75" customHeight="1">
      <c r="A19" s="35" t="s">
        <v>34</v>
      </c>
      <c r="E19" s="2"/>
    </row>
    <row r="20">
      <c r="E20" s="2"/>
    </row>
    <row r="21" ht="15.75" customHeight="1">
      <c r="E21" s="2"/>
    </row>
    <row r="22" ht="15.75" customHeight="1">
      <c r="E22" s="2"/>
    </row>
    <row r="23" ht="15.75" customHeight="1">
      <c r="E23" s="2"/>
    </row>
    <row r="24" ht="15.75" customHeight="1">
      <c r="E24" s="2"/>
    </row>
    <row r="25" ht="15.75" customHeight="1">
      <c r="E25" s="2"/>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1">
    <mergeCell ref="K2:L2"/>
  </mergeCells>
  <hyperlinks>
    <hyperlink r:id="rId1" location="0928091" ref="A12"/>
    <hyperlink r:id="rId2" location="0928091" ref="A13"/>
  </hyperlinks>
  <printOptions/>
  <pageMargins bottom="0.75" footer="0.0" header="0.0" left="0.7" right="0.7" top="0.75"/>
  <pageSetup paperSize="9"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44075.0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98</v>
      </c>
    </row>
    <row r="5">
      <c r="A5" s="78">
        <v>839415.0</v>
      </c>
      <c r="B5" s="79" t="s">
        <v>12</v>
      </c>
      <c r="C5" s="79" t="s">
        <v>13</v>
      </c>
      <c r="D5" s="80">
        <v>0.0</v>
      </c>
      <c r="E5" s="81">
        <v>0.07</v>
      </c>
      <c r="F5" s="80">
        <f>D5*7%/12</f>
        <v>0</v>
      </c>
      <c r="G5" s="81">
        <v>0.5</v>
      </c>
      <c r="H5" s="80">
        <f t="shared" ref="H5:H7" si="1">F5*50%</f>
        <v>0</v>
      </c>
      <c r="I5" s="82">
        <f t="shared" ref="I5:I17" si="2">F5+H5</f>
        <v>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K6+(F6*6)</f>
        <v>6260</v>
      </c>
      <c r="N6" s="12">
        <f t="shared" ref="N6:N7" si="5">L6+(H6*6)</f>
        <v>3130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1815</v>
      </c>
      <c r="N7" s="12">
        <f t="shared" si="5"/>
        <v>907.5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0.0</v>
      </c>
      <c r="I8" s="73">
        <f t="shared" si="2"/>
        <v>1596.825</v>
      </c>
      <c r="J8" s="74"/>
      <c r="K8" s="38">
        <v>4875.008</v>
      </c>
      <c r="L8" s="38">
        <v>2437.504</v>
      </c>
      <c r="M8" s="38">
        <f>6666.07+(F8*6)</f>
        <v>16247.02</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0.0</v>
      </c>
      <c r="E10" s="58">
        <v>0.05</v>
      </c>
      <c r="F10" s="57">
        <f>D10*5%/12</f>
        <v>0</v>
      </c>
      <c r="G10" s="58">
        <v>0.5</v>
      </c>
      <c r="H10" s="57">
        <f t="shared" si="6"/>
        <v>0</v>
      </c>
      <c r="I10" s="17">
        <f t="shared" si="2"/>
        <v>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c r="A11" s="69">
        <v>900332.0</v>
      </c>
      <c r="B11" s="70" t="s">
        <v>24</v>
      </c>
      <c r="C11" s="70" t="s">
        <v>25</v>
      </c>
      <c r="D11" s="38">
        <v>140500.0</v>
      </c>
      <c r="E11" s="72">
        <v>0.1</v>
      </c>
      <c r="F11" s="38">
        <f>D11*10%/12</f>
        <v>1170.833333</v>
      </c>
      <c r="G11" s="72">
        <v>0.5</v>
      </c>
      <c r="H11" s="38">
        <v>0.0</v>
      </c>
      <c r="I11" s="73">
        <f t="shared" si="2"/>
        <v>1170.833333</v>
      </c>
      <c r="J11" s="74"/>
      <c r="K11" s="38">
        <v>2942.5</v>
      </c>
      <c r="L11" s="38">
        <v>1471.25</v>
      </c>
      <c r="M11" s="38">
        <f t="shared" ref="M11:M16" si="7">K11+(F11*6)</f>
        <v>9967.5</v>
      </c>
      <c r="N11" s="38">
        <f>4398.33+1.67</f>
        <v>4400</v>
      </c>
      <c r="O11" s="74" t="s">
        <v>93</v>
      </c>
      <c r="P11" s="74"/>
      <c r="Q11" s="74"/>
      <c r="R11" s="74"/>
      <c r="S11" s="74"/>
      <c r="T11" s="74"/>
      <c r="U11" s="74"/>
      <c r="V11" s="74"/>
      <c r="W11" s="74"/>
      <c r="X11" s="74"/>
      <c r="Y11" s="74"/>
      <c r="Z11" s="74"/>
      <c r="AA11" s="74"/>
      <c r="AB11" s="74"/>
      <c r="AC11" s="74"/>
      <c r="AD11" s="74"/>
      <c r="AE11" s="74"/>
      <c r="AF11" s="74"/>
      <c r="AG11" s="74"/>
      <c r="AH11" s="74"/>
      <c r="AI11" s="74"/>
    </row>
    <row r="12">
      <c r="A12" s="18" t="s">
        <v>26</v>
      </c>
      <c r="B12" s="11" t="s">
        <v>27</v>
      </c>
      <c r="C12" s="11" t="s">
        <v>28</v>
      </c>
      <c r="D12" s="12">
        <v>54000.0</v>
      </c>
      <c r="E12" s="20" t="s">
        <v>29</v>
      </c>
      <c r="F12" s="12">
        <v>100.0</v>
      </c>
      <c r="G12" s="13">
        <v>0.5</v>
      </c>
      <c r="H12" s="12">
        <f t="shared" ref="H12:H13" si="8">F12*50%</f>
        <v>50</v>
      </c>
      <c r="I12" s="14">
        <f t="shared" si="2"/>
        <v>150</v>
      </c>
      <c r="J12" s="9"/>
      <c r="K12" s="12">
        <v>300.0</v>
      </c>
      <c r="L12" s="12">
        <v>150.0</v>
      </c>
      <c r="M12" s="12">
        <f t="shared" si="7"/>
        <v>900</v>
      </c>
      <c r="N12" s="12">
        <f t="shared" ref="N12:N13" si="9">L12+(H12*6)</f>
        <v>450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8"/>
        <v>475</v>
      </c>
      <c r="I13" s="14">
        <f t="shared" si="2"/>
        <v>1425</v>
      </c>
      <c r="J13" s="1"/>
      <c r="K13" s="12">
        <v>2848.3333333333335</v>
      </c>
      <c r="L13" s="12">
        <v>1424.1666666666667</v>
      </c>
      <c r="M13" s="12">
        <f t="shared" si="7"/>
        <v>8548.333333</v>
      </c>
      <c r="N13" s="38">
        <f t="shared" si="9"/>
        <v>4274.166667</v>
      </c>
      <c r="O13" s="1" t="s">
        <v>85</v>
      </c>
      <c r="P13" s="1"/>
      <c r="Q13" s="1"/>
      <c r="R13" s="1"/>
      <c r="S13" s="1"/>
      <c r="T13" s="1"/>
      <c r="U13" s="1"/>
      <c r="V13" s="1"/>
      <c r="W13" s="1"/>
      <c r="X13" s="1"/>
      <c r="Y13" s="1"/>
      <c r="Z13" s="1"/>
      <c r="AA13" s="1"/>
      <c r="AB13" s="1"/>
      <c r="AC13" s="1"/>
      <c r="AD13" s="1"/>
      <c r="AE13" s="1"/>
      <c r="AF13" s="1"/>
      <c r="AG13" s="1"/>
      <c r="AH13" s="1"/>
      <c r="AI13" s="1"/>
    </row>
    <row r="14">
      <c r="A14" s="83" t="s">
        <v>47</v>
      </c>
      <c r="B14" s="70" t="s">
        <v>48</v>
      </c>
      <c r="C14" s="70" t="s">
        <v>49</v>
      </c>
      <c r="D14" s="84">
        <v>104000.0</v>
      </c>
      <c r="E14" s="85">
        <v>0.1</v>
      </c>
      <c r="F14" s="38">
        <f>D14*E14/12</f>
        <v>866.6666667</v>
      </c>
      <c r="G14" s="72">
        <v>0.5</v>
      </c>
      <c r="H14" s="38">
        <v>108.35</v>
      </c>
      <c r="I14" s="73">
        <f t="shared" si="2"/>
        <v>975.0166667</v>
      </c>
      <c r="J14" s="74"/>
      <c r="K14" s="38">
        <v>4250.0</v>
      </c>
      <c r="L14" s="38">
        <v>1275.0</v>
      </c>
      <c r="M14" s="38">
        <f t="shared" si="7"/>
        <v>9450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c r="A15" s="10">
        <v>943285.0</v>
      </c>
      <c r="B15" s="11" t="s">
        <v>51</v>
      </c>
      <c r="C15" s="11" t="s">
        <v>52</v>
      </c>
      <c r="D15" s="19">
        <v>227300.0</v>
      </c>
      <c r="E15" s="20" t="s">
        <v>29</v>
      </c>
      <c r="F15" s="12">
        <v>1000.0</v>
      </c>
      <c r="G15" s="13">
        <v>0.5</v>
      </c>
      <c r="H15" s="12">
        <f t="shared" ref="H15:H17" si="10">F15/2</f>
        <v>500</v>
      </c>
      <c r="I15" s="14">
        <f t="shared" si="2"/>
        <v>1500</v>
      </c>
      <c r="J15" s="1"/>
      <c r="K15" s="12">
        <v>1000.0</v>
      </c>
      <c r="L15" s="12">
        <v>500.0</v>
      </c>
      <c r="M15" s="12">
        <f t="shared" si="7"/>
        <v>7000</v>
      </c>
      <c r="N15" s="12">
        <f t="shared" ref="N15:N16" si="11">L15+(H15*6)</f>
        <v>3500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10"/>
        <v>366.5</v>
      </c>
      <c r="I16" s="14">
        <f t="shared" si="2"/>
        <v>1099.5</v>
      </c>
      <c r="J16" s="1"/>
      <c r="K16" s="12">
        <v>733.0</v>
      </c>
      <c r="L16" s="12">
        <v>366.5</v>
      </c>
      <c r="M16" s="12">
        <f t="shared" si="7"/>
        <v>5131</v>
      </c>
      <c r="N16" s="12">
        <f t="shared" si="11"/>
        <v>2565.5</v>
      </c>
      <c r="O16" s="1"/>
      <c r="P16" s="1"/>
      <c r="Q16" s="1"/>
      <c r="R16" s="1"/>
      <c r="S16" s="1"/>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D17*E17/12</f>
        <v>150</v>
      </c>
      <c r="G17" s="20">
        <v>0.5</v>
      </c>
      <c r="H17" s="19">
        <f t="shared" si="10"/>
        <v>75</v>
      </c>
      <c r="I17" s="14">
        <f t="shared" si="2"/>
        <v>225</v>
      </c>
      <c r="J17" s="9"/>
      <c r="K17" s="19">
        <v>733.0</v>
      </c>
      <c r="L17" s="19">
        <v>366.5</v>
      </c>
      <c r="M17" s="19">
        <f>F17*5</f>
        <v>750</v>
      </c>
      <c r="N17" s="19">
        <f>H17*5</f>
        <v>375</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49"/>
      <c r="E19" s="2"/>
      <c r="F19" s="28">
        <f>SUM(F5:F17)</f>
        <v>7901.075</v>
      </c>
      <c r="H19" s="28">
        <f t="shared" ref="H19:I19" si="12">SUM(H5:H17)</f>
        <v>2241.725</v>
      </c>
      <c r="I19" s="28">
        <f t="shared" si="12"/>
        <v>10142.8</v>
      </c>
      <c r="K19" s="24"/>
      <c r="L19" s="28"/>
      <c r="M19" s="28">
        <f t="shared" ref="M19:N19" si="13">SUM(M5:M17)</f>
        <v>72839.10333</v>
      </c>
      <c r="N19" s="28">
        <f t="shared" si="13"/>
        <v>31787.29167</v>
      </c>
    </row>
    <row r="20">
      <c r="A20" s="29" t="s">
        <v>32</v>
      </c>
      <c r="B20" s="27"/>
      <c r="C20" s="27"/>
      <c r="D20" s="27"/>
      <c r="E20" s="30"/>
      <c r="F20" s="28"/>
      <c r="G20" s="30"/>
      <c r="H20" s="28"/>
      <c r="I20" s="28"/>
      <c r="K20" s="15"/>
    </row>
    <row r="21"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ht="15.75" customHeight="1">
      <c r="E22" s="2"/>
      <c r="K22" s="15"/>
    </row>
    <row r="23" ht="15.75" customHeight="1">
      <c r="A23" s="35" t="s">
        <v>34</v>
      </c>
      <c r="E23" s="2"/>
      <c r="K23" s="15"/>
    </row>
    <row r="24"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ht="15.75" customHeight="1">
      <c r="A25" s="65"/>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0.25"/>
    <col customWidth="1" hidden="1" min="10" max="10" width="7.13"/>
    <col customWidth="1" hidden="1" min="11" max="11" width="4.0"/>
    <col customWidth="1" min="12" max="12" width="1.13"/>
    <col customWidth="1" min="13" max="14" width="10.63"/>
    <col customWidth="1" min="15" max="15" width="8.88"/>
    <col customWidth="1" min="16" max="35" width="4.88"/>
  </cols>
  <sheetData>
    <row r="1">
      <c r="A1" s="1" t="s">
        <v>0</v>
      </c>
      <c r="E1" s="2"/>
      <c r="K1" s="15"/>
    </row>
    <row r="2" ht="39.0" customHeight="1">
      <c r="A2" s="3">
        <v>44105.0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100</v>
      </c>
    </row>
    <row r="5">
      <c r="A5" s="78">
        <v>839415.0</v>
      </c>
      <c r="B5" s="79" t="s">
        <v>12</v>
      </c>
      <c r="C5" s="79" t="s">
        <v>13</v>
      </c>
      <c r="D5" s="80">
        <v>0.0</v>
      </c>
      <c r="E5" s="81">
        <v>0.07</v>
      </c>
      <c r="F5" s="80">
        <f>D5*7%/12</f>
        <v>0</v>
      </c>
      <c r="G5" s="81">
        <v>0.5</v>
      </c>
      <c r="H5" s="80">
        <f t="shared" ref="H5:H7" si="1">F5*50%</f>
        <v>0</v>
      </c>
      <c r="I5" s="82">
        <f t="shared" ref="I5:I20" si="2">F5+H5</f>
        <v>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K6+(F6*7)</f>
        <v>6970</v>
      </c>
      <c r="N6" s="12">
        <f t="shared" ref="N6:N7" si="5">L6+(H6*7)</f>
        <v>3485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2028.75</v>
      </c>
      <c r="N7" s="12">
        <f t="shared" si="5"/>
        <v>1014.375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0.0</v>
      </c>
      <c r="I8" s="73">
        <f t="shared" si="2"/>
        <v>1596.825</v>
      </c>
      <c r="J8" s="74"/>
      <c r="K8" s="38">
        <v>4875.008</v>
      </c>
      <c r="L8" s="38">
        <v>2437.504</v>
      </c>
      <c r="M8" s="38">
        <f>6666.07+(F8*7)</f>
        <v>17843.845</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c r="A10" s="78">
        <v>896997.0</v>
      </c>
      <c r="B10" s="79" t="s">
        <v>22</v>
      </c>
      <c r="C10" s="79" t="s">
        <v>23</v>
      </c>
      <c r="D10" s="80">
        <v>0.0</v>
      </c>
      <c r="E10" s="81">
        <v>0.05</v>
      </c>
      <c r="F10" s="80">
        <f>D10*5%/12</f>
        <v>0</v>
      </c>
      <c r="G10" s="81">
        <v>0.5</v>
      </c>
      <c r="H10" s="80">
        <f t="shared" si="6"/>
        <v>0</v>
      </c>
      <c r="I10" s="82">
        <f t="shared" si="2"/>
        <v>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c r="A11" s="69">
        <v>900332.0</v>
      </c>
      <c r="B11" s="70" t="s">
        <v>24</v>
      </c>
      <c r="C11" s="70" t="s">
        <v>25</v>
      </c>
      <c r="D11" s="38">
        <v>140500.0</v>
      </c>
      <c r="E11" s="72">
        <v>0.1</v>
      </c>
      <c r="F11" s="38">
        <f>D11*10%/12</f>
        <v>1170.833333</v>
      </c>
      <c r="G11" s="72">
        <v>0.5</v>
      </c>
      <c r="H11" s="38">
        <v>0.0</v>
      </c>
      <c r="I11" s="73">
        <f t="shared" si="2"/>
        <v>1170.833333</v>
      </c>
      <c r="J11" s="74"/>
      <c r="K11" s="38">
        <v>2942.5</v>
      </c>
      <c r="L11" s="38">
        <v>1471.25</v>
      </c>
      <c r="M11" s="38">
        <f t="shared" ref="M11:M16" si="7">K11+(F11*7)</f>
        <v>11138.33333</v>
      </c>
      <c r="N11" s="38">
        <f>4398.33+1.67</f>
        <v>4400</v>
      </c>
      <c r="O11" s="74" t="s">
        <v>93</v>
      </c>
      <c r="P11" s="74"/>
      <c r="Q11" s="74"/>
      <c r="R11" s="74"/>
      <c r="S11" s="74"/>
      <c r="T11" s="74"/>
      <c r="U11" s="74"/>
      <c r="V11" s="74"/>
      <c r="W11" s="74"/>
      <c r="X11" s="74"/>
      <c r="Y11" s="74"/>
      <c r="Z11" s="74"/>
      <c r="AA11" s="74"/>
      <c r="AB11" s="74"/>
      <c r="AC11" s="74"/>
      <c r="AD11" s="74"/>
      <c r="AE11" s="74"/>
      <c r="AF11" s="74"/>
      <c r="AG11" s="74"/>
      <c r="AH11" s="74"/>
      <c r="AI11" s="74"/>
    </row>
    <row r="12">
      <c r="A12" s="18" t="s">
        <v>26</v>
      </c>
      <c r="B12" s="11" t="s">
        <v>27</v>
      </c>
      <c r="C12" s="11" t="s">
        <v>28</v>
      </c>
      <c r="D12" s="12">
        <v>54000.0</v>
      </c>
      <c r="E12" s="20" t="s">
        <v>29</v>
      </c>
      <c r="F12" s="12">
        <v>100.0</v>
      </c>
      <c r="G12" s="13">
        <v>0.5</v>
      </c>
      <c r="H12" s="12">
        <f>F12*50%</f>
        <v>50</v>
      </c>
      <c r="I12" s="14">
        <f t="shared" si="2"/>
        <v>150</v>
      </c>
      <c r="J12" s="9"/>
      <c r="K12" s="12">
        <v>300.0</v>
      </c>
      <c r="L12" s="12">
        <v>150.0</v>
      </c>
      <c r="M12" s="12">
        <f t="shared" si="7"/>
        <v>1000</v>
      </c>
      <c r="N12" s="12">
        <f>L12+(H12*7)</f>
        <v>500</v>
      </c>
      <c r="O12" s="9"/>
      <c r="P12" s="9"/>
      <c r="Q12" s="9"/>
      <c r="R12" s="9"/>
      <c r="S12" s="9"/>
      <c r="T12" s="9"/>
      <c r="U12" s="9"/>
      <c r="V12" s="9"/>
      <c r="W12" s="9"/>
      <c r="X12" s="9"/>
      <c r="Y12" s="9"/>
      <c r="Z12" s="9"/>
      <c r="AA12" s="9"/>
      <c r="AB12" s="9"/>
      <c r="AC12" s="9"/>
      <c r="AD12" s="9"/>
      <c r="AE12" s="9"/>
      <c r="AF12" s="9"/>
      <c r="AG12" s="9"/>
      <c r="AH12" s="9"/>
      <c r="AI12" s="9"/>
    </row>
    <row r="13">
      <c r="A13" s="87">
        <v>931165.0</v>
      </c>
      <c r="B13" s="70" t="s">
        <v>30</v>
      </c>
      <c r="C13" s="70" t="s">
        <v>31</v>
      </c>
      <c r="D13" s="84">
        <v>114000.0</v>
      </c>
      <c r="E13" s="85">
        <v>0.1</v>
      </c>
      <c r="F13" s="38">
        <f>SUM(D13*E13)/12</f>
        <v>950</v>
      </c>
      <c r="G13" s="72">
        <v>0.5</v>
      </c>
      <c r="H13" s="38">
        <v>125.83</v>
      </c>
      <c r="I13" s="73">
        <f t="shared" si="2"/>
        <v>1075.83</v>
      </c>
      <c r="J13" s="74"/>
      <c r="K13" s="38">
        <v>2848.3333333333335</v>
      </c>
      <c r="L13" s="38">
        <v>1424.1666666666667</v>
      </c>
      <c r="M13" s="38">
        <f t="shared" si="7"/>
        <v>9498.333333</v>
      </c>
      <c r="N13" s="38">
        <f>4274.17+H13</f>
        <v>4400</v>
      </c>
      <c r="O13" s="74" t="s">
        <v>93</v>
      </c>
      <c r="P13" s="74"/>
      <c r="Q13" s="74"/>
      <c r="R13" s="74"/>
      <c r="S13" s="74"/>
      <c r="T13" s="74"/>
      <c r="U13" s="74"/>
      <c r="V13" s="74"/>
      <c r="W13" s="74"/>
      <c r="X13" s="74"/>
      <c r="Y13" s="74"/>
      <c r="Z13" s="74"/>
      <c r="AA13" s="74"/>
      <c r="AB13" s="74"/>
      <c r="AC13" s="74"/>
      <c r="AD13" s="74"/>
      <c r="AE13" s="74"/>
      <c r="AF13" s="74"/>
      <c r="AG13" s="74"/>
      <c r="AH13" s="74"/>
      <c r="AI13" s="74"/>
    </row>
    <row r="14">
      <c r="A14" s="83" t="s">
        <v>47</v>
      </c>
      <c r="B14" s="70" t="s">
        <v>48</v>
      </c>
      <c r="C14" s="70" t="s">
        <v>49</v>
      </c>
      <c r="D14" s="84">
        <v>104000.0</v>
      </c>
      <c r="E14" s="85">
        <v>0.1</v>
      </c>
      <c r="F14" s="38">
        <f>D14*E14/12</f>
        <v>866.6666667</v>
      </c>
      <c r="G14" s="72">
        <v>0.5</v>
      </c>
      <c r="H14" s="38">
        <v>0.0</v>
      </c>
      <c r="I14" s="73">
        <f t="shared" si="2"/>
        <v>866.6666667</v>
      </c>
      <c r="J14" s="74"/>
      <c r="K14" s="38">
        <v>4250.0</v>
      </c>
      <c r="L14" s="38">
        <v>1275.0</v>
      </c>
      <c r="M14" s="38">
        <f t="shared" si="7"/>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c r="A15" s="10">
        <v>943285.0</v>
      </c>
      <c r="B15" s="11" t="s">
        <v>51</v>
      </c>
      <c r="C15" s="11" t="s">
        <v>52</v>
      </c>
      <c r="D15" s="19">
        <v>227300.0</v>
      </c>
      <c r="E15" s="20" t="s">
        <v>29</v>
      </c>
      <c r="F15" s="12">
        <v>1000.0</v>
      </c>
      <c r="G15" s="13">
        <v>0.5</v>
      </c>
      <c r="H15" s="12">
        <f t="shared" ref="H15:H20" si="8">F15/2</f>
        <v>500</v>
      </c>
      <c r="I15" s="14">
        <f t="shared" si="2"/>
        <v>1500</v>
      </c>
      <c r="J15" s="1"/>
      <c r="K15" s="12">
        <v>1000.0</v>
      </c>
      <c r="L15" s="12">
        <v>500.0</v>
      </c>
      <c r="M15" s="12">
        <f t="shared" si="7"/>
        <v>8000</v>
      </c>
      <c r="N15" s="12">
        <f t="shared" ref="N15:N16" si="9">L15+(H15*7)</f>
        <v>4000</v>
      </c>
      <c r="O15" s="1" t="s">
        <v>101</v>
      </c>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8"/>
        <v>366.5</v>
      </c>
      <c r="I16" s="14">
        <f t="shared" si="2"/>
        <v>1099.5</v>
      </c>
      <c r="J16" s="1"/>
      <c r="K16" s="12">
        <v>733.0</v>
      </c>
      <c r="L16" s="12">
        <v>366.5</v>
      </c>
      <c r="M16" s="12">
        <f t="shared" si="7"/>
        <v>5864</v>
      </c>
      <c r="N16" s="12">
        <f t="shared" si="9"/>
        <v>2932</v>
      </c>
      <c r="O16" s="1"/>
      <c r="P16" s="1"/>
      <c r="Q16" s="1"/>
      <c r="R16" s="1"/>
      <c r="S16" s="1"/>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 t="shared" ref="F17:F20" si="10">D17*E17/12</f>
        <v>150</v>
      </c>
      <c r="G17" s="20">
        <v>0.5</v>
      </c>
      <c r="H17" s="19">
        <f t="shared" si="8"/>
        <v>75</v>
      </c>
      <c r="I17" s="14">
        <f t="shared" si="2"/>
        <v>225</v>
      </c>
      <c r="J17" s="9"/>
      <c r="K17" s="19">
        <v>733.0</v>
      </c>
      <c r="L17" s="19">
        <v>366.5</v>
      </c>
      <c r="M17" s="19">
        <f>F17*6</f>
        <v>900</v>
      </c>
      <c r="N17" s="19">
        <f>H17*6</f>
        <v>450</v>
      </c>
      <c r="O17" s="9"/>
      <c r="P17" s="9"/>
      <c r="Q17" s="9"/>
      <c r="R17" s="9"/>
      <c r="S17" s="9"/>
      <c r="T17" s="9"/>
      <c r="U17" s="9"/>
      <c r="V17" s="9"/>
      <c r="W17" s="9"/>
      <c r="X17" s="9"/>
      <c r="Y17" s="9"/>
      <c r="Z17" s="9"/>
      <c r="AA17" s="9"/>
      <c r="AB17" s="9"/>
      <c r="AC17" s="9"/>
      <c r="AD17" s="9"/>
      <c r="AE17" s="9"/>
      <c r="AF17" s="9"/>
      <c r="AG17" s="9"/>
      <c r="AH17" s="9"/>
      <c r="AI17" s="9"/>
    </row>
    <row r="18">
      <c r="A18" s="88" t="s">
        <v>87</v>
      </c>
      <c r="B18" s="89" t="s">
        <v>102</v>
      </c>
      <c r="C18" s="89" t="s">
        <v>103</v>
      </c>
      <c r="D18" s="90">
        <v>39000.0</v>
      </c>
      <c r="E18" s="91">
        <v>0.1</v>
      </c>
      <c r="F18" s="90">
        <f t="shared" si="10"/>
        <v>325</v>
      </c>
      <c r="G18" s="91">
        <v>0.5</v>
      </c>
      <c r="H18" s="90">
        <f t="shared" si="8"/>
        <v>162.5</v>
      </c>
      <c r="I18" s="92">
        <f t="shared" si="2"/>
        <v>487.5</v>
      </c>
      <c r="J18" s="93"/>
      <c r="K18" s="90"/>
      <c r="L18" s="90"/>
      <c r="M18" s="90">
        <f t="shared" ref="M18:M20" si="11">F18*1</f>
        <v>325</v>
      </c>
      <c r="N18" s="90">
        <f t="shared" ref="N18:N20" si="12">H18*1</f>
        <v>162.5</v>
      </c>
      <c r="O18" s="93" t="s">
        <v>104</v>
      </c>
      <c r="P18" s="93"/>
      <c r="Q18" s="93"/>
      <c r="R18" s="93"/>
      <c r="S18" s="93"/>
      <c r="T18" s="93"/>
      <c r="U18" s="93"/>
      <c r="V18" s="93"/>
      <c r="W18" s="93"/>
      <c r="X18" s="93"/>
      <c r="Y18" s="93"/>
      <c r="Z18" s="93"/>
      <c r="AA18" s="93"/>
      <c r="AB18" s="93"/>
      <c r="AC18" s="93"/>
      <c r="AD18" s="93"/>
      <c r="AE18" s="93"/>
      <c r="AF18" s="93"/>
      <c r="AG18" s="93"/>
      <c r="AH18" s="93"/>
      <c r="AI18" s="93"/>
    </row>
    <row r="19">
      <c r="A19" s="94" t="s">
        <v>87</v>
      </c>
      <c r="B19" s="95" t="s">
        <v>105</v>
      </c>
      <c r="C19" s="95" t="s">
        <v>106</v>
      </c>
      <c r="D19" s="96">
        <v>39000.0</v>
      </c>
      <c r="E19" s="97">
        <v>0.03</v>
      </c>
      <c r="F19" s="96">
        <f t="shared" si="10"/>
        <v>97.5</v>
      </c>
      <c r="G19" s="97">
        <v>0.5</v>
      </c>
      <c r="H19" s="96">
        <f t="shared" si="8"/>
        <v>48.75</v>
      </c>
      <c r="I19" s="98">
        <f t="shared" si="2"/>
        <v>146.25</v>
      </c>
      <c r="J19" s="95"/>
      <c r="K19" s="96"/>
      <c r="L19" s="96"/>
      <c r="M19" s="96">
        <f t="shared" si="11"/>
        <v>97.5</v>
      </c>
      <c r="N19" s="96">
        <f t="shared" si="12"/>
        <v>48.75</v>
      </c>
      <c r="O19" s="93" t="s">
        <v>104</v>
      </c>
      <c r="P19" s="93"/>
      <c r="Q19" s="93"/>
      <c r="R19" s="93"/>
      <c r="S19" s="93"/>
      <c r="T19" s="93"/>
      <c r="U19" s="93"/>
      <c r="V19" s="93"/>
      <c r="W19" s="93"/>
      <c r="X19" s="93"/>
      <c r="Y19" s="93"/>
      <c r="Z19" s="93"/>
      <c r="AA19" s="93"/>
      <c r="AB19" s="93"/>
      <c r="AC19" s="93"/>
      <c r="AD19" s="93"/>
      <c r="AE19" s="93"/>
      <c r="AF19" s="93"/>
      <c r="AG19" s="93"/>
      <c r="AH19" s="93"/>
      <c r="AI19" s="93"/>
    </row>
    <row r="20">
      <c r="A20" s="94" t="s">
        <v>87</v>
      </c>
      <c r="B20" s="95" t="s">
        <v>54</v>
      </c>
      <c r="C20" s="95" t="s">
        <v>107</v>
      </c>
      <c r="D20" s="96">
        <v>141000.0</v>
      </c>
      <c r="E20" s="99">
        <v>0.6239371</v>
      </c>
      <c r="F20" s="96">
        <f t="shared" si="10"/>
        <v>7331.260925</v>
      </c>
      <c r="G20" s="97">
        <v>0.5</v>
      </c>
      <c r="H20" s="96">
        <f t="shared" si="8"/>
        <v>3665.630463</v>
      </c>
      <c r="I20" s="98">
        <f t="shared" si="2"/>
        <v>10996.89139</v>
      </c>
      <c r="J20" s="95"/>
      <c r="K20" s="96"/>
      <c r="L20" s="96"/>
      <c r="M20" s="96">
        <f t="shared" si="11"/>
        <v>7331.260925</v>
      </c>
      <c r="N20" s="96">
        <f t="shared" si="12"/>
        <v>3665.630463</v>
      </c>
      <c r="O20" s="93" t="s">
        <v>108</v>
      </c>
      <c r="P20" s="93"/>
      <c r="Q20" s="93"/>
      <c r="R20" s="93"/>
      <c r="S20" s="93"/>
      <c r="T20" s="93"/>
      <c r="U20" s="93"/>
      <c r="V20" s="93"/>
      <c r="W20" s="93"/>
      <c r="X20" s="93"/>
      <c r="Y20" s="93"/>
      <c r="Z20" s="93"/>
      <c r="AA20" s="93"/>
      <c r="AB20" s="93"/>
      <c r="AC20" s="93"/>
      <c r="AD20" s="93"/>
      <c r="AE20" s="93"/>
      <c r="AF20" s="93"/>
      <c r="AG20" s="93"/>
      <c r="AH20" s="93"/>
      <c r="AI20" s="93"/>
    </row>
    <row r="21"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ht="15.75" customHeight="1">
      <c r="A22" s="27"/>
      <c r="D22" s="49"/>
      <c r="E22" s="2"/>
      <c r="F22" s="28">
        <f>SUM(F5:F20)</f>
        <v>15654.83593</v>
      </c>
      <c r="H22" s="28">
        <f t="shared" ref="H22:I22" si="13">SUM(H5:H20)</f>
        <v>5661.085463</v>
      </c>
      <c r="I22" s="28">
        <f t="shared" si="13"/>
        <v>21315.92139</v>
      </c>
      <c r="K22" s="24"/>
      <c r="L22" s="28"/>
      <c r="M22" s="28">
        <f t="shared" ref="M22:N22" si="14">SUM(M5:M20)</f>
        <v>88493.93926</v>
      </c>
      <c r="N22" s="28">
        <f t="shared" si="14"/>
        <v>37448.38046</v>
      </c>
    </row>
    <row r="23" ht="15.75" customHeight="1">
      <c r="A23" s="29" t="s">
        <v>32</v>
      </c>
      <c r="B23" s="27"/>
      <c r="C23" s="27"/>
      <c r="D23" s="27"/>
      <c r="E23" s="30"/>
      <c r="F23" s="28"/>
      <c r="G23" s="30"/>
      <c r="H23" s="28"/>
      <c r="I23" s="28"/>
      <c r="K23" s="15"/>
    </row>
    <row r="24"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ht="15.75" customHeight="1">
      <c r="E25" s="2"/>
      <c r="K25" s="15"/>
    </row>
    <row r="26" ht="15.75" customHeight="1">
      <c r="A26" s="35" t="s">
        <v>34</v>
      </c>
      <c r="E26" s="2"/>
      <c r="K26" s="15"/>
    </row>
    <row r="27"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ht="15.75" customHeight="1">
      <c r="A28" s="65" t="s">
        <v>109</v>
      </c>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44136.0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110</v>
      </c>
    </row>
    <row r="5">
      <c r="A5" s="78">
        <v>839415.0</v>
      </c>
      <c r="B5" s="79" t="s">
        <v>12</v>
      </c>
      <c r="C5" s="79" t="s">
        <v>13</v>
      </c>
      <c r="D5" s="80">
        <v>0.0</v>
      </c>
      <c r="E5" s="81">
        <v>0.07</v>
      </c>
      <c r="F5" s="80">
        <f>D5*7%/12</f>
        <v>0</v>
      </c>
      <c r="G5" s="81">
        <v>0.5</v>
      </c>
      <c r="H5" s="80">
        <f t="shared" ref="H5:H7" si="1">F5*50%</f>
        <v>0</v>
      </c>
      <c r="I5" s="82">
        <f t="shared" ref="I5:I20" si="2">F5+H5</f>
        <v>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K6+(F6*8)</f>
        <v>7680</v>
      </c>
      <c r="N6" s="12">
        <f t="shared" ref="N6:N7" si="5">L6+(H6*8)</f>
        <v>3840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2242.5</v>
      </c>
      <c r="N7" s="12">
        <f t="shared" si="5"/>
        <v>1121.25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0.0</v>
      </c>
      <c r="I8" s="73">
        <f t="shared" si="2"/>
        <v>1596.825</v>
      </c>
      <c r="J8" s="74"/>
      <c r="K8" s="38">
        <v>4875.008</v>
      </c>
      <c r="L8" s="38">
        <v>2437.504</v>
      </c>
      <c r="M8" s="38">
        <f>6666.07+(F8*8)</f>
        <v>19440.67</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c r="A10" s="78">
        <v>896997.0</v>
      </c>
      <c r="B10" s="79" t="s">
        <v>22</v>
      </c>
      <c r="C10" s="79" t="s">
        <v>23</v>
      </c>
      <c r="D10" s="80">
        <v>0.0</v>
      </c>
      <c r="E10" s="81">
        <v>0.05</v>
      </c>
      <c r="F10" s="80">
        <f>D10*5%/12</f>
        <v>0</v>
      </c>
      <c r="G10" s="81">
        <v>0.5</v>
      </c>
      <c r="H10" s="80">
        <f t="shared" si="6"/>
        <v>0</v>
      </c>
      <c r="I10" s="82">
        <f t="shared" si="2"/>
        <v>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c r="A11" s="69">
        <v>900332.0</v>
      </c>
      <c r="B11" s="70" t="s">
        <v>24</v>
      </c>
      <c r="C11" s="70" t="s">
        <v>25</v>
      </c>
      <c r="D11" s="38">
        <v>140500.0</v>
      </c>
      <c r="E11" s="72">
        <v>0.1</v>
      </c>
      <c r="F11" s="38">
        <f>D11*10%/12</f>
        <v>1170.833333</v>
      </c>
      <c r="G11" s="72">
        <v>0.5</v>
      </c>
      <c r="H11" s="38">
        <v>0.0</v>
      </c>
      <c r="I11" s="73">
        <f t="shared" si="2"/>
        <v>1170.833333</v>
      </c>
      <c r="J11" s="74"/>
      <c r="K11" s="38">
        <v>2942.5</v>
      </c>
      <c r="L11" s="38">
        <v>1471.25</v>
      </c>
      <c r="M11" s="38">
        <f t="shared" ref="M11:M16" si="7">K11+(F11*8)</f>
        <v>12309.16667</v>
      </c>
      <c r="N11" s="38">
        <f>4398.33+1.67</f>
        <v>4400</v>
      </c>
      <c r="O11" s="74" t="s">
        <v>93</v>
      </c>
      <c r="P11" s="74"/>
      <c r="Q11" s="74"/>
      <c r="R11" s="74"/>
      <c r="S11" s="74"/>
      <c r="T11" s="74"/>
      <c r="U11" s="74"/>
      <c r="V11" s="74"/>
      <c r="W11" s="74"/>
      <c r="X11" s="74"/>
      <c r="Y11" s="74"/>
      <c r="Z11" s="74"/>
      <c r="AA11" s="74"/>
      <c r="AB11" s="74"/>
      <c r="AC11" s="74"/>
      <c r="AD11" s="74"/>
      <c r="AE11" s="74"/>
      <c r="AF11" s="74"/>
      <c r="AG11" s="74"/>
      <c r="AH11" s="74"/>
      <c r="AI11" s="74"/>
    </row>
    <row r="12">
      <c r="A12" s="18" t="s">
        <v>26</v>
      </c>
      <c r="B12" s="11" t="s">
        <v>27</v>
      </c>
      <c r="C12" s="11" t="s">
        <v>28</v>
      </c>
      <c r="D12" s="12">
        <v>54000.0</v>
      </c>
      <c r="E12" s="20" t="s">
        <v>29</v>
      </c>
      <c r="F12" s="12">
        <v>100.0</v>
      </c>
      <c r="G12" s="13">
        <v>0.5</v>
      </c>
      <c r="H12" s="12">
        <f>F12*50%</f>
        <v>50</v>
      </c>
      <c r="I12" s="14">
        <f t="shared" si="2"/>
        <v>150</v>
      </c>
      <c r="J12" s="9"/>
      <c r="K12" s="12">
        <v>300.0</v>
      </c>
      <c r="L12" s="12">
        <v>150.0</v>
      </c>
      <c r="M12" s="12">
        <f t="shared" si="7"/>
        <v>1100</v>
      </c>
      <c r="N12" s="12">
        <f>L12+(H12*8)</f>
        <v>550</v>
      </c>
      <c r="O12" s="9"/>
      <c r="P12" s="9"/>
      <c r="Q12" s="9"/>
      <c r="R12" s="9"/>
      <c r="S12" s="9"/>
      <c r="T12" s="9"/>
      <c r="U12" s="9"/>
      <c r="V12" s="9"/>
      <c r="W12" s="9"/>
      <c r="X12" s="9"/>
      <c r="Y12" s="9"/>
      <c r="Z12" s="9"/>
      <c r="AA12" s="9"/>
      <c r="AB12" s="9"/>
      <c r="AC12" s="9"/>
      <c r="AD12" s="9"/>
      <c r="AE12" s="9"/>
      <c r="AF12" s="9"/>
      <c r="AG12" s="9"/>
      <c r="AH12" s="9"/>
      <c r="AI12" s="9"/>
    </row>
    <row r="13">
      <c r="A13" s="87">
        <v>931165.0</v>
      </c>
      <c r="B13" s="70" t="s">
        <v>30</v>
      </c>
      <c r="C13" s="70" t="s">
        <v>31</v>
      </c>
      <c r="D13" s="84">
        <v>114000.0</v>
      </c>
      <c r="E13" s="85">
        <v>0.1</v>
      </c>
      <c r="F13" s="38">
        <f>SUM(D13*E13)/12</f>
        <v>950</v>
      </c>
      <c r="G13" s="72">
        <v>0.5</v>
      </c>
      <c r="H13" s="38">
        <v>0.0</v>
      </c>
      <c r="I13" s="73">
        <f t="shared" si="2"/>
        <v>950</v>
      </c>
      <c r="J13" s="74"/>
      <c r="K13" s="38">
        <v>2848.3333333333335</v>
      </c>
      <c r="L13" s="38">
        <v>1424.1666666666667</v>
      </c>
      <c r="M13" s="38">
        <f t="shared" si="7"/>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c r="A14" s="83" t="s">
        <v>47</v>
      </c>
      <c r="B14" s="70" t="s">
        <v>48</v>
      </c>
      <c r="C14" s="70" t="s">
        <v>49</v>
      </c>
      <c r="D14" s="84">
        <v>104000.0</v>
      </c>
      <c r="E14" s="85">
        <v>0.1</v>
      </c>
      <c r="F14" s="38">
        <f>D14*E14/12</f>
        <v>866.6666667</v>
      </c>
      <c r="G14" s="72">
        <v>0.5</v>
      </c>
      <c r="H14" s="38">
        <v>0.0</v>
      </c>
      <c r="I14" s="73">
        <f t="shared" si="2"/>
        <v>866.6666667</v>
      </c>
      <c r="J14" s="74"/>
      <c r="K14" s="38">
        <v>4250.0</v>
      </c>
      <c r="L14" s="38">
        <v>1275.0</v>
      </c>
      <c r="M14" s="38">
        <f t="shared" si="7"/>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c r="A15" s="69">
        <v>943285.0</v>
      </c>
      <c r="B15" s="70" t="s">
        <v>51</v>
      </c>
      <c r="C15" s="70" t="s">
        <v>52</v>
      </c>
      <c r="D15" s="84">
        <v>227300.0</v>
      </c>
      <c r="E15" s="85" t="s">
        <v>29</v>
      </c>
      <c r="F15" s="38">
        <v>1000.0</v>
      </c>
      <c r="G15" s="72">
        <v>0.5</v>
      </c>
      <c r="H15" s="38">
        <v>400.0</v>
      </c>
      <c r="I15" s="73">
        <f t="shared" si="2"/>
        <v>1400</v>
      </c>
      <c r="J15" s="74"/>
      <c r="K15" s="38">
        <v>1000.0</v>
      </c>
      <c r="L15" s="38">
        <v>500.0</v>
      </c>
      <c r="M15" s="38">
        <f t="shared" si="7"/>
        <v>9000</v>
      </c>
      <c r="N15" s="38">
        <f>4000+400</f>
        <v>4400</v>
      </c>
      <c r="O15" s="74" t="s">
        <v>93</v>
      </c>
      <c r="P15" s="74"/>
      <c r="Q15" s="74"/>
      <c r="R15" s="74"/>
      <c r="S15" s="74"/>
      <c r="T15" s="74"/>
      <c r="U15" s="74"/>
      <c r="V15" s="74"/>
      <c r="W15" s="74"/>
      <c r="X15" s="74"/>
      <c r="Y15" s="74"/>
      <c r="Z15" s="74"/>
      <c r="AA15" s="74"/>
      <c r="AB15" s="74"/>
      <c r="AC15" s="74"/>
      <c r="AD15" s="74"/>
      <c r="AE15" s="74"/>
      <c r="AF15" s="74"/>
      <c r="AG15" s="74"/>
      <c r="AH15" s="74"/>
      <c r="AI15" s="74"/>
    </row>
    <row r="16">
      <c r="A16" s="10">
        <v>946506.0</v>
      </c>
      <c r="B16" s="11" t="s">
        <v>54</v>
      </c>
      <c r="C16" s="11" t="s">
        <v>55</v>
      </c>
      <c r="D16" s="19">
        <v>124000.0</v>
      </c>
      <c r="E16" s="20" t="s">
        <v>29</v>
      </c>
      <c r="F16" s="12">
        <v>733.0</v>
      </c>
      <c r="G16" s="13">
        <v>0.5</v>
      </c>
      <c r="H16" s="12">
        <f t="shared" ref="H16:H20" si="8">F16/2</f>
        <v>366.5</v>
      </c>
      <c r="I16" s="14">
        <f t="shared" si="2"/>
        <v>1099.5</v>
      </c>
      <c r="J16" s="1"/>
      <c r="K16" s="12">
        <v>733.0</v>
      </c>
      <c r="L16" s="12">
        <v>366.5</v>
      </c>
      <c r="M16" s="12">
        <f t="shared" si="7"/>
        <v>6597</v>
      </c>
      <c r="N16" s="12">
        <f>L16+(H16*8)</f>
        <v>3298.5</v>
      </c>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 t="shared" ref="F17:F20" si="9">D17*E17/12</f>
        <v>150</v>
      </c>
      <c r="G17" s="20">
        <v>0.5</v>
      </c>
      <c r="H17" s="19">
        <f t="shared" si="8"/>
        <v>75</v>
      </c>
      <c r="I17" s="14">
        <f t="shared" si="2"/>
        <v>225</v>
      </c>
      <c r="J17" s="9"/>
      <c r="K17" s="19">
        <v>733.0</v>
      </c>
      <c r="L17" s="19">
        <v>366.5</v>
      </c>
      <c r="M17" s="19">
        <f>F17*7</f>
        <v>1050</v>
      </c>
      <c r="N17" s="19">
        <f>H17*7</f>
        <v>525</v>
      </c>
      <c r="T17" s="9"/>
      <c r="U17" s="9"/>
      <c r="V17" s="9"/>
      <c r="W17" s="9"/>
      <c r="X17" s="9"/>
      <c r="Y17" s="9"/>
      <c r="Z17" s="9"/>
      <c r="AA17" s="9"/>
      <c r="AB17" s="9"/>
      <c r="AC17" s="9"/>
      <c r="AD17" s="9"/>
      <c r="AE17" s="9"/>
      <c r="AF17" s="9"/>
      <c r="AG17" s="9"/>
      <c r="AH17" s="9"/>
      <c r="AI17" s="9"/>
    </row>
    <row r="18">
      <c r="A18" s="100" t="s">
        <v>111</v>
      </c>
      <c r="B18" s="101" t="s">
        <v>102</v>
      </c>
      <c r="C18" s="101" t="s">
        <v>103</v>
      </c>
      <c r="D18" s="102">
        <v>39000.0</v>
      </c>
      <c r="E18" s="103">
        <v>0.1</v>
      </c>
      <c r="F18" s="102">
        <f t="shared" si="9"/>
        <v>325</v>
      </c>
      <c r="G18" s="103">
        <v>0.5</v>
      </c>
      <c r="H18" s="102">
        <f t="shared" si="8"/>
        <v>162.5</v>
      </c>
      <c r="I18" s="104">
        <f t="shared" si="2"/>
        <v>487.5</v>
      </c>
      <c r="J18" s="15"/>
      <c r="K18" s="102"/>
      <c r="L18" s="102"/>
      <c r="M18" s="102">
        <f t="shared" ref="M18:M19" si="10">F18*2</f>
        <v>650</v>
      </c>
      <c r="N18" s="102">
        <f t="shared" ref="N18:N19" si="11">H18*2</f>
        <v>325</v>
      </c>
      <c r="T18" s="15"/>
      <c r="U18" s="15"/>
      <c r="V18" s="15"/>
      <c r="W18" s="15"/>
      <c r="X18" s="15"/>
      <c r="Y18" s="15"/>
      <c r="Z18" s="15"/>
      <c r="AA18" s="15"/>
      <c r="AB18" s="15"/>
      <c r="AC18" s="15"/>
      <c r="AD18" s="15"/>
      <c r="AE18" s="15"/>
      <c r="AF18" s="15"/>
      <c r="AG18" s="15"/>
      <c r="AH18" s="15"/>
      <c r="AI18" s="15"/>
    </row>
    <row r="19">
      <c r="A19" s="47" t="s">
        <v>112</v>
      </c>
      <c r="B19" s="11" t="s">
        <v>105</v>
      </c>
      <c r="C19" s="11" t="s">
        <v>106</v>
      </c>
      <c r="D19" s="19">
        <v>39000.0</v>
      </c>
      <c r="E19" s="20">
        <v>0.03</v>
      </c>
      <c r="F19" s="19">
        <f t="shared" si="9"/>
        <v>97.5</v>
      </c>
      <c r="G19" s="20">
        <v>0.5</v>
      </c>
      <c r="H19" s="19">
        <f t="shared" si="8"/>
        <v>48.75</v>
      </c>
      <c r="I19" s="14">
        <f t="shared" si="2"/>
        <v>146.25</v>
      </c>
      <c r="J19" s="11"/>
      <c r="K19" s="19"/>
      <c r="L19" s="19"/>
      <c r="M19" s="19">
        <f t="shared" si="10"/>
        <v>195</v>
      </c>
      <c r="N19" s="19">
        <f t="shared" si="11"/>
        <v>97.5</v>
      </c>
      <c r="T19" s="15"/>
      <c r="U19" s="15"/>
      <c r="V19" s="15"/>
      <c r="W19" s="15"/>
      <c r="X19" s="15"/>
      <c r="Y19" s="15"/>
      <c r="Z19" s="15"/>
      <c r="AA19" s="15"/>
      <c r="AB19" s="15"/>
      <c r="AC19" s="15"/>
      <c r="AD19" s="15"/>
      <c r="AE19" s="15"/>
      <c r="AF19" s="15"/>
      <c r="AG19" s="15"/>
      <c r="AH19" s="15"/>
      <c r="AI19" s="15"/>
    </row>
    <row r="20">
      <c r="A20" s="47" t="s">
        <v>113</v>
      </c>
      <c r="B20" s="11" t="s">
        <v>54</v>
      </c>
      <c r="C20" s="11" t="s">
        <v>107</v>
      </c>
      <c r="D20" s="19">
        <v>141000.0</v>
      </c>
      <c r="E20" s="105">
        <v>0.0625</v>
      </c>
      <c r="F20" s="19">
        <f t="shared" si="9"/>
        <v>734.375</v>
      </c>
      <c r="G20" s="20">
        <v>0.5</v>
      </c>
      <c r="H20" s="19">
        <f t="shared" si="8"/>
        <v>367.1875</v>
      </c>
      <c r="I20" s="14">
        <f t="shared" si="2"/>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ht="15.75" customHeight="1">
      <c r="A22" s="27"/>
      <c r="D22" s="49"/>
      <c r="E22" s="2"/>
      <c r="F22" s="28">
        <f>SUM(F5:F20)</f>
        <v>9057.95</v>
      </c>
      <c r="H22" s="28">
        <f t="shared" ref="H22:I22" si="12">SUM(H5:H20)</f>
        <v>2136.8125</v>
      </c>
      <c r="I22" s="28">
        <f t="shared" si="12"/>
        <v>11194.7625</v>
      </c>
      <c r="K22" s="24"/>
      <c r="L22" s="28"/>
      <c r="M22" s="28">
        <f t="shared" ref="M22:N22" si="13">SUM(M5:M20)</f>
        <v>97551.88833</v>
      </c>
      <c r="N22" s="28">
        <f t="shared" si="13"/>
        <v>39585.1925</v>
      </c>
    </row>
    <row r="23" ht="15.75" customHeight="1">
      <c r="A23" s="29" t="s">
        <v>32</v>
      </c>
      <c r="B23" s="27"/>
      <c r="C23" s="27"/>
      <c r="D23" s="27"/>
      <c r="E23" s="30"/>
      <c r="F23" s="28"/>
      <c r="G23" s="30"/>
      <c r="H23" s="28"/>
      <c r="I23" s="28"/>
      <c r="K23" s="15"/>
    </row>
    <row r="24"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ht="15.75" customHeight="1">
      <c r="E25" s="2"/>
      <c r="K25" s="15"/>
    </row>
    <row r="26" ht="15.75" customHeight="1">
      <c r="A26" s="35" t="s">
        <v>34</v>
      </c>
      <c r="E26" s="2"/>
      <c r="K26" s="15"/>
    </row>
    <row r="27"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ht="15.75" customHeight="1">
      <c r="A28" s="65" t="s">
        <v>109</v>
      </c>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0.38"/>
    <col customWidth="1" min="6" max="6" width="14.88"/>
    <col customWidth="1" min="7" max="7" width="8.63"/>
    <col customWidth="1" min="8" max="8" width="14.13"/>
    <col customWidth="1" min="9" max="9" width="16.38"/>
    <col customWidth="1" min="10" max="10" width="4.88"/>
    <col customWidth="1" hidden="1" min="11" max="12" width="9.75"/>
    <col customWidth="1" min="13" max="14" width="10.63"/>
    <col customWidth="1" min="15" max="34" width="4.88"/>
  </cols>
  <sheetData>
    <row r="1">
      <c r="A1" s="1" t="s">
        <v>0</v>
      </c>
      <c r="E1" s="2"/>
    </row>
    <row r="2" ht="39.0" customHeight="1">
      <c r="A2" s="3">
        <v>43862.0</v>
      </c>
      <c r="E2" s="2"/>
      <c r="M2" s="4"/>
    </row>
    <row r="3">
      <c r="E3" s="2"/>
      <c r="K3" s="36" t="s">
        <v>35</v>
      </c>
      <c r="L3" s="37"/>
      <c r="M3" s="36" t="s">
        <v>36</v>
      </c>
      <c r="N3" s="37"/>
    </row>
    <row r="4">
      <c r="A4" s="5" t="s">
        <v>1</v>
      </c>
      <c r="B4" s="5" t="s">
        <v>2</v>
      </c>
      <c r="C4" s="5" t="s">
        <v>3</v>
      </c>
      <c r="D4" s="6" t="s">
        <v>4</v>
      </c>
      <c r="E4" s="7" t="s">
        <v>5</v>
      </c>
      <c r="F4" s="7" t="s">
        <v>6</v>
      </c>
      <c r="G4" s="7" t="s">
        <v>7</v>
      </c>
      <c r="H4" s="8" t="s">
        <v>8</v>
      </c>
      <c r="I4" s="8" t="s">
        <v>9</v>
      </c>
      <c r="K4" s="7" t="s">
        <v>10</v>
      </c>
      <c r="L4" s="7" t="s">
        <v>37</v>
      </c>
      <c r="M4" s="7" t="s">
        <v>10</v>
      </c>
      <c r="N4" s="7" t="s">
        <v>38</v>
      </c>
    </row>
    <row r="5">
      <c r="A5" s="10">
        <v>839415.0</v>
      </c>
      <c r="B5" s="11" t="s">
        <v>12</v>
      </c>
      <c r="C5" s="11" t="s">
        <v>13</v>
      </c>
      <c r="D5" s="38">
        <v>53300.0</v>
      </c>
      <c r="E5" s="13">
        <v>0.07</v>
      </c>
      <c r="F5" s="14">
        <f>D5*7%/12</f>
        <v>310.9166667</v>
      </c>
      <c r="G5" s="13">
        <v>0.5</v>
      </c>
      <c r="H5" s="12">
        <f t="shared" ref="H5:H13" si="1">F5*50%</f>
        <v>155.4583333</v>
      </c>
      <c r="I5" s="14">
        <f t="shared" ref="I5:I13" si="2">F5+H5</f>
        <v>466.375</v>
      </c>
      <c r="K5" s="12">
        <v>281.75000000000006</v>
      </c>
      <c r="L5" s="12">
        <v>140.87500000000003</v>
      </c>
      <c r="M5" s="12">
        <f t="shared" ref="M5:M13" si="3">K5+F5</f>
        <v>592.6666667</v>
      </c>
      <c r="N5" s="12">
        <f t="shared" ref="N5:N13" si="4">L5+H5</f>
        <v>296.3333333</v>
      </c>
    </row>
    <row r="6">
      <c r="A6" s="10">
        <v>862567.0</v>
      </c>
      <c r="B6" s="11" t="s">
        <v>14</v>
      </c>
      <c r="C6" s="11" t="s">
        <v>15</v>
      </c>
      <c r="D6" s="12">
        <v>160000.0</v>
      </c>
      <c r="E6" s="13">
        <v>0.05</v>
      </c>
      <c r="F6" s="14">
        <f t="shared" ref="F6:F7" si="5">D6*5%/12</f>
        <v>666.6666667</v>
      </c>
      <c r="G6" s="13">
        <v>0.5</v>
      </c>
      <c r="H6" s="12">
        <f t="shared" si="1"/>
        <v>333.3333333</v>
      </c>
      <c r="I6" s="14">
        <f t="shared" si="2"/>
        <v>1000</v>
      </c>
      <c r="J6" s="1"/>
      <c r="K6" s="12">
        <v>666.6666666666666</v>
      </c>
      <c r="L6" s="12">
        <v>333.3333333333333</v>
      </c>
      <c r="M6" s="12">
        <f t="shared" si="3"/>
        <v>1333.333333</v>
      </c>
      <c r="N6" s="12">
        <f t="shared" si="4"/>
        <v>666.6666667</v>
      </c>
      <c r="O6" s="1"/>
      <c r="P6" s="1"/>
      <c r="Q6" s="1"/>
      <c r="R6" s="1"/>
      <c r="S6" s="1"/>
      <c r="T6" s="1"/>
      <c r="U6" s="1"/>
      <c r="V6" s="1"/>
      <c r="W6" s="1"/>
      <c r="X6" s="1"/>
      <c r="Y6" s="1"/>
      <c r="Z6" s="1"/>
      <c r="AA6" s="1"/>
      <c r="AB6" s="1"/>
      <c r="AC6" s="1"/>
      <c r="AD6" s="1"/>
      <c r="AE6" s="1"/>
      <c r="AF6" s="1"/>
      <c r="AG6" s="1"/>
      <c r="AH6" s="1"/>
    </row>
    <row r="7">
      <c r="A7" s="10">
        <v>881957.0</v>
      </c>
      <c r="B7" s="11" t="s">
        <v>16</v>
      </c>
      <c r="C7" s="11" t="s">
        <v>17</v>
      </c>
      <c r="D7" s="12">
        <v>42600.0</v>
      </c>
      <c r="E7" s="13">
        <v>0.05</v>
      </c>
      <c r="F7" s="14">
        <f t="shared" si="5"/>
        <v>177.5</v>
      </c>
      <c r="G7" s="13">
        <v>0.5</v>
      </c>
      <c r="H7" s="12">
        <f t="shared" si="1"/>
        <v>88.75</v>
      </c>
      <c r="I7" s="14">
        <f t="shared" si="2"/>
        <v>266.25</v>
      </c>
      <c r="J7" s="1"/>
      <c r="K7" s="12">
        <v>177.5</v>
      </c>
      <c r="L7" s="12">
        <v>88.75</v>
      </c>
      <c r="M7" s="12">
        <f t="shared" si="3"/>
        <v>355</v>
      </c>
      <c r="N7" s="12">
        <f t="shared" si="4"/>
        <v>177.5</v>
      </c>
      <c r="O7" s="1"/>
      <c r="P7" s="1"/>
      <c r="Q7" s="1"/>
      <c r="R7" s="1"/>
      <c r="S7" s="1"/>
      <c r="T7" s="1"/>
      <c r="U7" s="1"/>
      <c r="V7" s="1"/>
      <c r="W7" s="1"/>
      <c r="X7" s="1"/>
      <c r="Y7" s="1"/>
      <c r="Z7" s="1"/>
      <c r="AA7" s="1"/>
      <c r="AB7" s="1"/>
      <c r="AC7" s="1"/>
      <c r="AD7" s="1"/>
      <c r="AE7" s="1"/>
      <c r="AF7" s="1"/>
      <c r="AG7" s="1"/>
      <c r="AH7" s="1"/>
    </row>
    <row r="8">
      <c r="A8" s="10">
        <v>886344.0</v>
      </c>
      <c r="B8" s="11" t="s">
        <v>18</v>
      </c>
      <c r="C8" s="11" t="s">
        <v>19</v>
      </c>
      <c r="D8" s="12">
        <v>137000.0</v>
      </c>
      <c r="E8" s="16">
        <v>0.142336</v>
      </c>
      <c r="F8" s="17">
        <f>D8*14.2336%/12</f>
        <v>1625.002667</v>
      </c>
      <c r="G8" s="13">
        <v>0.5</v>
      </c>
      <c r="H8" s="12">
        <f t="shared" si="1"/>
        <v>812.5013333</v>
      </c>
      <c r="I8" s="14">
        <f t="shared" si="2"/>
        <v>2437.504</v>
      </c>
      <c r="J8" s="1"/>
      <c r="K8" s="12">
        <v>1625.0026666666665</v>
      </c>
      <c r="L8" s="12">
        <v>812.5013333333333</v>
      </c>
      <c r="M8" s="12">
        <f t="shared" si="3"/>
        <v>3250.005333</v>
      </c>
      <c r="N8" s="12">
        <f t="shared" si="4"/>
        <v>1625.002667</v>
      </c>
      <c r="O8" s="1"/>
      <c r="P8" s="1"/>
      <c r="Q8" s="1"/>
      <c r="R8" s="1"/>
      <c r="S8" s="1"/>
      <c r="T8" s="1"/>
      <c r="U8" s="1"/>
      <c r="V8" s="1"/>
      <c r="W8" s="1"/>
      <c r="X8" s="1"/>
      <c r="Y8" s="1"/>
      <c r="Z8" s="1"/>
      <c r="AA8" s="1"/>
      <c r="AB8" s="1"/>
      <c r="AC8" s="1"/>
      <c r="AD8" s="1"/>
      <c r="AE8" s="1"/>
      <c r="AF8" s="1"/>
      <c r="AG8" s="1"/>
      <c r="AH8" s="1"/>
    </row>
    <row r="9">
      <c r="A9" s="10">
        <v>896998.0</v>
      </c>
      <c r="B9" s="11" t="s">
        <v>20</v>
      </c>
      <c r="C9" s="11" t="s">
        <v>21</v>
      </c>
      <c r="D9" s="38">
        <v>42600.0</v>
      </c>
      <c r="E9" s="13">
        <v>0.1</v>
      </c>
      <c r="F9" s="14">
        <f>D9*10%/12</f>
        <v>355</v>
      </c>
      <c r="G9" s="13">
        <v>0.5</v>
      </c>
      <c r="H9" s="12">
        <f t="shared" si="1"/>
        <v>177.5</v>
      </c>
      <c r="I9" s="14">
        <f t="shared" si="2"/>
        <v>532.5</v>
      </c>
      <c r="J9" s="1"/>
      <c r="K9" s="12">
        <v>326.6666666666667</v>
      </c>
      <c r="L9" s="12">
        <v>163.33333333333334</v>
      </c>
      <c r="M9" s="12">
        <f t="shared" si="3"/>
        <v>681.6666667</v>
      </c>
      <c r="N9" s="12">
        <f t="shared" si="4"/>
        <v>340.8333333</v>
      </c>
      <c r="O9" s="1"/>
      <c r="P9" s="1"/>
      <c r="Q9" s="1"/>
      <c r="R9" s="1"/>
      <c r="S9" s="1"/>
      <c r="T9" s="1"/>
      <c r="U9" s="1"/>
      <c r="V9" s="1"/>
      <c r="W9" s="1"/>
      <c r="X9" s="1"/>
      <c r="Y9" s="1"/>
      <c r="Z9" s="1"/>
      <c r="AA9" s="1"/>
      <c r="AB9" s="1"/>
      <c r="AC9" s="1"/>
      <c r="AD9" s="1"/>
      <c r="AE9" s="1"/>
      <c r="AF9" s="1"/>
      <c r="AG9" s="1"/>
      <c r="AH9" s="1"/>
    </row>
    <row r="10">
      <c r="A10" s="10">
        <v>896997.0</v>
      </c>
      <c r="B10" s="11" t="s">
        <v>22</v>
      </c>
      <c r="C10" s="11" t="s">
        <v>23</v>
      </c>
      <c r="D10" s="38">
        <v>51500.0</v>
      </c>
      <c r="E10" s="13">
        <v>0.05</v>
      </c>
      <c r="F10" s="14">
        <f>D10*5%/12</f>
        <v>214.5833333</v>
      </c>
      <c r="G10" s="13">
        <v>0.5</v>
      </c>
      <c r="H10" s="12">
        <f t="shared" si="1"/>
        <v>107.2916667</v>
      </c>
      <c r="I10" s="14">
        <f t="shared" si="2"/>
        <v>321.875</v>
      </c>
      <c r="J10" s="1"/>
      <c r="K10" s="12">
        <v>205.41666666666666</v>
      </c>
      <c r="L10" s="12">
        <v>102.70833333333333</v>
      </c>
      <c r="M10" s="12">
        <f t="shared" si="3"/>
        <v>420</v>
      </c>
      <c r="N10" s="12">
        <f t="shared" si="4"/>
        <v>210</v>
      </c>
      <c r="O10" s="1"/>
      <c r="P10" s="1"/>
      <c r="Q10" s="1"/>
      <c r="R10" s="1"/>
      <c r="S10" s="1"/>
      <c r="T10" s="1"/>
      <c r="U10" s="1"/>
      <c r="V10" s="1"/>
      <c r="W10" s="1"/>
      <c r="X10" s="1"/>
      <c r="Y10" s="1"/>
      <c r="Z10" s="1"/>
      <c r="AA10" s="1"/>
      <c r="AB10" s="1"/>
      <c r="AC10" s="1"/>
      <c r="AD10" s="1"/>
      <c r="AE10" s="1"/>
      <c r="AF10" s="1"/>
      <c r="AG10" s="1"/>
      <c r="AH10" s="1"/>
    </row>
    <row r="11">
      <c r="A11" s="10">
        <v>900332.0</v>
      </c>
      <c r="B11" s="11" t="s">
        <v>24</v>
      </c>
      <c r="C11" s="11" t="s">
        <v>25</v>
      </c>
      <c r="D11" s="38">
        <v>121300.0</v>
      </c>
      <c r="E11" s="13">
        <v>0.1</v>
      </c>
      <c r="F11" s="17">
        <f>D11*10%/12</f>
        <v>1010.833333</v>
      </c>
      <c r="G11" s="13">
        <v>0.5</v>
      </c>
      <c r="H11" s="12">
        <f t="shared" si="1"/>
        <v>505.4166667</v>
      </c>
      <c r="I11" s="14">
        <f t="shared" si="2"/>
        <v>1516.25</v>
      </c>
      <c r="J11" s="1"/>
      <c r="K11" s="12">
        <v>920.8333333333334</v>
      </c>
      <c r="L11" s="12">
        <v>460.4166666666667</v>
      </c>
      <c r="M11" s="12">
        <f t="shared" si="3"/>
        <v>1931.666667</v>
      </c>
      <c r="N11" s="12">
        <f t="shared" si="4"/>
        <v>965.8333333</v>
      </c>
      <c r="O11" s="1"/>
      <c r="P11" s="1"/>
      <c r="Q11" s="1"/>
      <c r="R11" s="1"/>
      <c r="S11" s="1"/>
      <c r="T11" s="1"/>
      <c r="U11" s="1"/>
      <c r="V11" s="1"/>
      <c r="W11" s="1"/>
      <c r="X11" s="1"/>
      <c r="Y11" s="1"/>
      <c r="Z11" s="1"/>
      <c r="AA11" s="1"/>
      <c r="AB11" s="1"/>
      <c r="AC11" s="1"/>
      <c r="AD11" s="1"/>
      <c r="AE11" s="1"/>
      <c r="AF11" s="1"/>
      <c r="AG11" s="1"/>
      <c r="AH11" s="1"/>
    </row>
    <row r="12">
      <c r="A12" s="18" t="s">
        <v>26</v>
      </c>
      <c r="B12" s="11" t="s">
        <v>27</v>
      </c>
      <c r="C12" s="11" t="s">
        <v>28</v>
      </c>
      <c r="D12" s="19">
        <v>52000.0</v>
      </c>
      <c r="E12" s="20" t="s">
        <v>29</v>
      </c>
      <c r="F12" s="14">
        <v>100.0</v>
      </c>
      <c r="G12" s="13">
        <v>0.5</v>
      </c>
      <c r="H12" s="12">
        <f t="shared" si="1"/>
        <v>50</v>
      </c>
      <c r="I12" s="14">
        <f t="shared" si="2"/>
        <v>150</v>
      </c>
      <c r="J12" s="9"/>
      <c r="K12" s="12">
        <v>100.0</v>
      </c>
      <c r="L12" s="12">
        <v>50.0</v>
      </c>
      <c r="M12" s="12">
        <f t="shared" si="3"/>
        <v>200</v>
      </c>
      <c r="N12" s="12">
        <f t="shared" si="4"/>
        <v>100</v>
      </c>
      <c r="O12" s="9"/>
      <c r="P12" s="9"/>
      <c r="Q12" s="9"/>
      <c r="R12" s="9"/>
      <c r="S12" s="9"/>
      <c r="T12" s="9"/>
      <c r="U12" s="9"/>
      <c r="V12" s="9"/>
      <c r="W12" s="9"/>
      <c r="X12" s="9"/>
      <c r="Y12" s="9"/>
      <c r="Z12" s="9"/>
      <c r="AA12" s="9"/>
      <c r="AB12" s="9"/>
      <c r="AC12" s="9"/>
      <c r="AD12" s="9"/>
      <c r="AE12" s="9"/>
      <c r="AF12" s="9"/>
      <c r="AG12" s="9"/>
      <c r="AH12" s="9"/>
    </row>
    <row r="13">
      <c r="A13" s="18">
        <v>931165.0</v>
      </c>
      <c r="B13" s="11" t="s">
        <v>30</v>
      </c>
      <c r="C13" s="11" t="s">
        <v>31</v>
      </c>
      <c r="D13" s="19">
        <v>110000.0</v>
      </c>
      <c r="E13" s="20">
        <v>0.1</v>
      </c>
      <c r="F13" s="14">
        <f>D11*10%/12</f>
        <v>1010.833333</v>
      </c>
      <c r="G13" s="13">
        <v>0.5</v>
      </c>
      <c r="H13" s="12">
        <f t="shared" si="1"/>
        <v>505.4166667</v>
      </c>
      <c r="I13" s="21">
        <f t="shared" si="2"/>
        <v>1516.25</v>
      </c>
      <c r="J13" s="1"/>
      <c r="K13" s="12">
        <v>920.8333333333334</v>
      </c>
      <c r="L13" s="12">
        <v>460.4166666666667</v>
      </c>
      <c r="M13" s="12">
        <f t="shared" si="3"/>
        <v>1931.666667</v>
      </c>
      <c r="N13" s="12">
        <f t="shared" si="4"/>
        <v>965.8333333</v>
      </c>
      <c r="O13" s="1"/>
      <c r="P13" s="1"/>
      <c r="Q13" s="1"/>
      <c r="R13" s="1"/>
      <c r="S13" s="1"/>
      <c r="T13" s="1"/>
      <c r="U13" s="1"/>
      <c r="V13" s="1"/>
      <c r="W13" s="1"/>
      <c r="X13" s="1"/>
      <c r="Y13" s="1"/>
      <c r="Z13" s="1"/>
      <c r="AA13" s="1"/>
      <c r="AB13" s="1"/>
      <c r="AC13" s="1"/>
      <c r="AD13" s="1"/>
      <c r="AE13" s="1"/>
      <c r="AF13" s="1"/>
      <c r="AG13" s="1"/>
      <c r="AH13" s="1"/>
    </row>
    <row r="14">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c r="A15" s="27"/>
      <c r="E15" s="2"/>
      <c r="F15" s="28">
        <f>SUM(F5:F13)</f>
        <v>5471.336</v>
      </c>
      <c r="H15" s="28">
        <f t="shared" ref="H15:I15" si="6">SUM(H5:H13)</f>
        <v>2735.668</v>
      </c>
      <c r="I15" s="28">
        <f t="shared" si="6"/>
        <v>8207.004</v>
      </c>
      <c r="K15" s="28">
        <f>SUM(K5:K14)</f>
        <v>5224.669333</v>
      </c>
      <c r="L15" s="28">
        <f t="shared" ref="L15:N15" si="7">SUM(L5:L13)</f>
        <v>2612.334667</v>
      </c>
      <c r="M15" s="28">
        <f t="shared" si="7"/>
        <v>10696.00533</v>
      </c>
      <c r="N15" s="28">
        <f t="shared" si="7"/>
        <v>5348.002667</v>
      </c>
    </row>
    <row r="16">
      <c r="A16" s="29" t="s">
        <v>32</v>
      </c>
      <c r="B16" s="27"/>
      <c r="C16" s="27"/>
      <c r="D16" s="27"/>
      <c r="E16" s="30"/>
      <c r="F16" s="28"/>
      <c r="G16" s="30"/>
      <c r="H16" s="28"/>
      <c r="I16" s="28"/>
    </row>
    <row r="17">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ht="15.75" customHeight="1">
      <c r="E18" s="2"/>
    </row>
    <row r="19" ht="15.75" customHeight="1">
      <c r="A19" s="35" t="s">
        <v>34</v>
      </c>
      <c r="E19" s="2"/>
    </row>
    <row r="20">
      <c r="E20" s="2"/>
    </row>
    <row r="21" ht="15.75" customHeight="1">
      <c r="E21" s="2"/>
    </row>
    <row r="22" ht="15.75" customHeight="1">
      <c r="E22" s="2"/>
    </row>
    <row r="23" ht="15.75" customHeight="1">
      <c r="E23" s="2"/>
    </row>
    <row r="24" ht="15.75" customHeight="1">
      <c r="E24" s="2"/>
    </row>
    <row r="25" ht="15.75" customHeight="1">
      <c r="E25" s="2"/>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scale="70"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75"/>
    <col customWidth="1" min="2" max="2" width="7.63"/>
    <col customWidth="1" min="3" max="3" width="12.88"/>
    <col customWidth="1" min="4" max="4" width="11.75"/>
    <col customWidth="1" min="5" max="5" width="2.75"/>
    <col customWidth="1" min="6" max="6" width="12.38"/>
    <col customWidth="1" min="7" max="7" width="2.0"/>
    <col customWidth="1" min="8" max="11" width="8.13"/>
    <col customWidth="1" min="12" max="12" width="10.13"/>
    <col customWidth="1" min="13" max="13" width="3.5"/>
    <col customWidth="1" min="14" max="14" width="10.13"/>
    <col customWidth="1" min="15" max="26" width="7.63"/>
  </cols>
  <sheetData>
    <row r="1" ht="28.5" customHeight="1">
      <c r="F1" s="39" t="s">
        <v>39</v>
      </c>
      <c r="H1" s="40" t="s">
        <v>40</v>
      </c>
      <c r="I1" s="37"/>
      <c r="J1" s="37"/>
      <c r="K1" s="37"/>
      <c r="L1" s="37"/>
    </row>
    <row r="2">
      <c r="A2" s="41" t="s">
        <v>1</v>
      </c>
      <c r="B2" s="41" t="s">
        <v>2</v>
      </c>
      <c r="C2" s="41" t="s">
        <v>3</v>
      </c>
      <c r="D2" s="7" t="s">
        <v>4</v>
      </c>
      <c r="F2" s="7" t="s">
        <v>41</v>
      </c>
      <c r="H2" s="7" t="s">
        <v>42</v>
      </c>
      <c r="I2" s="7" t="s">
        <v>43</v>
      </c>
      <c r="J2" s="7" t="s">
        <v>44</v>
      </c>
      <c r="K2" s="7" t="s">
        <v>41</v>
      </c>
      <c r="L2" s="7" t="s">
        <v>9</v>
      </c>
      <c r="N2" s="7" t="s">
        <v>45</v>
      </c>
      <c r="O2" s="42"/>
      <c r="P2" s="42"/>
    </row>
    <row r="3">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ref="N3:N6" si="1">F3+L3</f>
        <v>87.5</v>
      </c>
    </row>
    <row r="4">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 t="shared" si="1"/>
        <v>85</v>
      </c>
      <c r="O4" s="1"/>
      <c r="P4" s="1"/>
    </row>
    <row r="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 t="shared" si="1"/>
        <v>27.5</v>
      </c>
      <c r="O5" s="1"/>
      <c r="P5" s="1"/>
    </row>
    <row r="6" ht="12.0" customHeight="1">
      <c r="A6" s="10">
        <v>900332.0</v>
      </c>
      <c r="B6" s="11" t="s">
        <v>24</v>
      </c>
      <c r="C6" s="11" t="s">
        <v>25</v>
      </c>
      <c r="D6" s="38">
        <v>121300.0</v>
      </c>
      <c r="F6" s="14">
        <v>90.0</v>
      </c>
      <c r="H6" s="19">
        <v>0.0</v>
      </c>
      <c r="I6" s="19">
        <v>0.0</v>
      </c>
      <c r="J6" s="19">
        <v>0.0</v>
      </c>
      <c r="K6" s="19">
        <v>45.0</v>
      </c>
      <c r="L6" s="43">
        <f>K6</f>
        <v>45</v>
      </c>
      <c r="N6" s="44">
        <f t="shared" si="1"/>
        <v>135</v>
      </c>
      <c r="P6" s="1"/>
      <c r="Q6" s="1"/>
    </row>
    <row r="9">
      <c r="M9" s="9"/>
      <c r="N9" s="1"/>
      <c r="O9" s="1"/>
      <c r="P9" s="9"/>
      <c r="Q9" s="1"/>
      <c r="R9" s="1"/>
    </row>
    <row r="10">
      <c r="M10" s="9"/>
      <c r="N10" s="45"/>
      <c r="Q10" s="45"/>
    </row>
    <row r="11">
      <c r="M11" s="9"/>
      <c r="N11" s="1"/>
      <c r="O11" s="1"/>
      <c r="P11" s="9"/>
      <c r="Q11" s="1"/>
      <c r="R11" s="1"/>
    </row>
    <row r="12">
      <c r="M12" s="9"/>
      <c r="N12" s="45"/>
      <c r="Q12" s="45"/>
    </row>
    <row r="13">
      <c r="M13" s="9"/>
      <c r="N13" s="1"/>
      <c r="O13" s="1"/>
      <c r="P13" s="9"/>
      <c r="Q13" s="1"/>
      <c r="R13" s="1"/>
    </row>
    <row r="14">
      <c r="M14" s="9"/>
      <c r="N14" s="45"/>
      <c r="Q14" s="45"/>
    </row>
    <row r="15">
      <c r="M15" s="9"/>
      <c r="N15" s="1"/>
      <c r="O15" s="1"/>
      <c r="P15" s="9"/>
      <c r="Q15" s="1"/>
      <c r="R15" s="1"/>
    </row>
    <row r="16">
      <c r="M16" s="9"/>
      <c r="N16" s="45"/>
      <c r="Q16" s="45"/>
    </row>
    <row r="17">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rintOptions/>
  <pageMargins bottom="0.7480314960629921" footer="0.0" header="0.0" left="0.7086614173228347" right="0.7086614173228347" top="0.7480314960629921"/>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0.38"/>
    <col customWidth="1" min="6" max="6" width="14.88"/>
    <col customWidth="1" min="7" max="7" width="8.63"/>
    <col customWidth="1" min="8" max="8" width="14.13"/>
    <col customWidth="1" min="9" max="9" width="16.38"/>
    <col customWidth="1" min="10" max="10" width="4.75"/>
    <col customWidth="1" min="11" max="11" width="12.75"/>
    <col customWidth="1" min="12" max="12" width="9.5"/>
    <col customWidth="1" min="13" max="14" width="10.63"/>
    <col customWidth="1" min="15" max="35" width="4.88"/>
  </cols>
  <sheetData>
    <row r="1">
      <c r="A1" s="1" t="s">
        <v>0</v>
      </c>
      <c r="E1" s="2"/>
    </row>
    <row r="2" ht="39.0" customHeight="1">
      <c r="A2" s="3">
        <v>43891.0</v>
      </c>
      <c r="E2" s="2"/>
      <c r="M2" s="4"/>
    </row>
    <row r="3">
      <c r="E3" s="2"/>
      <c r="K3" s="36" t="s">
        <v>35</v>
      </c>
      <c r="L3" s="37"/>
      <c r="M3" s="36"/>
      <c r="N3" s="37"/>
    </row>
    <row r="4">
      <c r="A4" s="5" t="s">
        <v>1</v>
      </c>
      <c r="B4" s="5" t="s">
        <v>2</v>
      </c>
      <c r="C4" s="5" t="s">
        <v>3</v>
      </c>
      <c r="D4" s="6" t="s">
        <v>4</v>
      </c>
      <c r="E4" s="7" t="s">
        <v>5</v>
      </c>
      <c r="F4" s="7" t="s">
        <v>6</v>
      </c>
      <c r="G4" s="7" t="s">
        <v>7</v>
      </c>
      <c r="H4" s="8" t="s">
        <v>8</v>
      </c>
      <c r="I4" s="8" t="s">
        <v>9</v>
      </c>
      <c r="K4" s="7" t="s">
        <v>10</v>
      </c>
      <c r="L4" s="7" t="s">
        <v>37</v>
      </c>
      <c r="M4" s="7" t="s">
        <v>10</v>
      </c>
      <c r="N4" s="7" t="s">
        <v>46</v>
      </c>
    </row>
    <row r="5">
      <c r="A5" s="10">
        <v>839415.0</v>
      </c>
      <c r="B5" s="11" t="s">
        <v>12</v>
      </c>
      <c r="C5" s="11" t="s">
        <v>13</v>
      </c>
      <c r="D5" s="38">
        <v>53300.0</v>
      </c>
      <c r="E5" s="13">
        <v>0.07</v>
      </c>
      <c r="F5" s="14">
        <f>D5*7%/12</f>
        <v>310.9166667</v>
      </c>
      <c r="G5" s="13">
        <v>0.5</v>
      </c>
      <c r="H5" s="12">
        <f t="shared" ref="H5:H13" si="1">F5*50%</f>
        <v>155.4583333</v>
      </c>
      <c r="I5" s="14">
        <f t="shared" ref="I5:I16" si="2">F5+H5</f>
        <v>466.375</v>
      </c>
      <c r="K5" s="12">
        <v>281.75000000000006</v>
      </c>
      <c r="L5" s="12">
        <v>140.87500000000003</v>
      </c>
      <c r="M5" s="12">
        <f t="shared" ref="M5:M12" si="3">K5+(F5*2)</f>
        <v>903.5833333</v>
      </c>
      <c r="N5" s="12">
        <f t="shared" ref="N5:N12" si="4">L5+(H5*2)</f>
        <v>451.7916667</v>
      </c>
    </row>
    <row r="6">
      <c r="A6" s="10">
        <v>862567.0</v>
      </c>
      <c r="B6" s="11" t="s">
        <v>14</v>
      </c>
      <c r="C6" s="11" t="s">
        <v>15</v>
      </c>
      <c r="D6" s="12">
        <v>160000.0</v>
      </c>
      <c r="E6" s="13">
        <v>0.05</v>
      </c>
      <c r="F6" s="14">
        <f t="shared" ref="F6:F7" si="5">D6*5%/12</f>
        <v>666.6666667</v>
      </c>
      <c r="G6" s="13">
        <v>0.5</v>
      </c>
      <c r="H6" s="12">
        <f t="shared" si="1"/>
        <v>333.3333333</v>
      </c>
      <c r="I6" s="14">
        <f t="shared" si="2"/>
        <v>1000</v>
      </c>
      <c r="J6" s="1"/>
      <c r="K6" s="12">
        <v>666.6666666666666</v>
      </c>
      <c r="L6" s="12">
        <v>333.3333333333333</v>
      </c>
      <c r="M6" s="12">
        <f t="shared" si="3"/>
        <v>2000</v>
      </c>
      <c r="N6" s="12">
        <f t="shared" si="4"/>
        <v>1000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42600.0</v>
      </c>
      <c r="E7" s="13">
        <v>0.05</v>
      </c>
      <c r="F7" s="14">
        <f t="shared" si="5"/>
        <v>177.5</v>
      </c>
      <c r="G7" s="13">
        <v>0.5</v>
      </c>
      <c r="H7" s="12">
        <f t="shared" si="1"/>
        <v>88.75</v>
      </c>
      <c r="I7" s="14">
        <f t="shared" si="2"/>
        <v>266.25</v>
      </c>
      <c r="J7" s="1"/>
      <c r="K7" s="12">
        <v>177.5</v>
      </c>
      <c r="L7" s="12">
        <v>88.75</v>
      </c>
      <c r="M7" s="12">
        <f t="shared" si="3"/>
        <v>532.5</v>
      </c>
      <c r="N7" s="12">
        <f t="shared" si="4"/>
        <v>266.25</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137000.0</v>
      </c>
      <c r="E8" s="16">
        <v>0.142336</v>
      </c>
      <c r="F8" s="17">
        <f>D8*14.2336%/12</f>
        <v>1625.002667</v>
      </c>
      <c r="G8" s="13">
        <v>0.5</v>
      </c>
      <c r="H8" s="12">
        <f t="shared" si="1"/>
        <v>812.5013333</v>
      </c>
      <c r="I8" s="14">
        <f t="shared" si="2"/>
        <v>2437.504</v>
      </c>
      <c r="J8" s="1"/>
      <c r="K8" s="12">
        <v>1625.0026666666665</v>
      </c>
      <c r="L8" s="12">
        <v>812.5013333333333</v>
      </c>
      <c r="M8" s="12">
        <f t="shared" si="3"/>
        <v>4875.008</v>
      </c>
      <c r="N8" s="12">
        <f t="shared" si="4"/>
        <v>2437.504</v>
      </c>
      <c r="O8" s="1"/>
      <c r="P8" s="1"/>
      <c r="Q8" s="1"/>
      <c r="R8" s="1"/>
      <c r="S8" s="1"/>
      <c r="T8" s="1"/>
      <c r="U8" s="1"/>
      <c r="V8" s="1"/>
      <c r="W8" s="1"/>
      <c r="X8" s="1"/>
      <c r="Y8" s="1"/>
      <c r="Z8" s="1"/>
      <c r="AA8" s="1"/>
      <c r="AB8" s="1"/>
      <c r="AC8" s="1"/>
      <c r="AD8" s="1"/>
      <c r="AE8" s="1"/>
      <c r="AF8" s="1"/>
      <c r="AG8" s="1"/>
      <c r="AH8" s="1"/>
      <c r="AI8" s="1"/>
    </row>
    <row r="9">
      <c r="A9" s="10">
        <v>896998.0</v>
      </c>
      <c r="B9" s="11" t="s">
        <v>20</v>
      </c>
      <c r="C9" s="11" t="s">
        <v>21</v>
      </c>
      <c r="D9" s="38">
        <v>42600.0</v>
      </c>
      <c r="E9" s="13">
        <v>0.1</v>
      </c>
      <c r="F9" s="14">
        <f>D9*10%/12</f>
        <v>355</v>
      </c>
      <c r="G9" s="13">
        <v>0.5</v>
      </c>
      <c r="H9" s="12">
        <f t="shared" si="1"/>
        <v>177.5</v>
      </c>
      <c r="I9" s="14">
        <f t="shared" si="2"/>
        <v>532.5</v>
      </c>
      <c r="J9" s="1"/>
      <c r="K9" s="12">
        <v>326.6666666666667</v>
      </c>
      <c r="L9" s="12">
        <v>163.33333333333334</v>
      </c>
      <c r="M9" s="12">
        <f t="shared" si="3"/>
        <v>1036.666667</v>
      </c>
      <c r="N9" s="12">
        <f t="shared" si="4"/>
        <v>518.3333333</v>
      </c>
      <c r="O9" s="1"/>
      <c r="P9" s="1"/>
      <c r="Q9" s="1"/>
      <c r="R9" s="1"/>
      <c r="S9" s="1"/>
      <c r="T9" s="1"/>
      <c r="U9" s="1"/>
      <c r="V9" s="1"/>
      <c r="W9" s="1"/>
      <c r="X9" s="1"/>
      <c r="Y9" s="1"/>
      <c r="Z9" s="1"/>
      <c r="AA9" s="1"/>
      <c r="AB9" s="1"/>
      <c r="AC9" s="1"/>
      <c r="AD9" s="1"/>
      <c r="AE9" s="1"/>
      <c r="AF9" s="1"/>
      <c r="AG9" s="1"/>
      <c r="AH9" s="1"/>
      <c r="AI9" s="1"/>
    </row>
    <row r="10">
      <c r="A10" s="10">
        <v>896997.0</v>
      </c>
      <c r="B10" s="11" t="s">
        <v>22</v>
      </c>
      <c r="C10" s="11" t="s">
        <v>23</v>
      </c>
      <c r="D10" s="38">
        <v>51500.0</v>
      </c>
      <c r="E10" s="13">
        <v>0.05</v>
      </c>
      <c r="F10" s="14">
        <f>D10*5%/12</f>
        <v>214.5833333</v>
      </c>
      <c r="G10" s="13">
        <v>0.5</v>
      </c>
      <c r="H10" s="12">
        <f t="shared" si="1"/>
        <v>107.2916667</v>
      </c>
      <c r="I10" s="14">
        <f t="shared" si="2"/>
        <v>321.875</v>
      </c>
      <c r="J10" s="1"/>
      <c r="K10" s="12">
        <v>205.41666666666666</v>
      </c>
      <c r="L10" s="12">
        <v>102.70833333333333</v>
      </c>
      <c r="M10" s="12">
        <f t="shared" si="3"/>
        <v>634.5833333</v>
      </c>
      <c r="N10" s="12">
        <f t="shared" si="4"/>
        <v>317.2916667</v>
      </c>
      <c r="O10" s="1"/>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38">
        <v>121300.0</v>
      </c>
      <c r="E11" s="13">
        <v>0.1</v>
      </c>
      <c r="F11" s="17">
        <f>D11*10%/12</f>
        <v>1010.833333</v>
      </c>
      <c r="G11" s="13">
        <v>0.5</v>
      </c>
      <c r="H11" s="12">
        <f t="shared" si="1"/>
        <v>505.4166667</v>
      </c>
      <c r="I11" s="14">
        <f t="shared" si="2"/>
        <v>1516.25</v>
      </c>
      <c r="J11" s="1"/>
      <c r="K11" s="12">
        <v>920.8333333333334</v>
      </c>
      <c r="L11" s="12">
        <v>460.4166666666667</v>
      </c>
      <c r="M11" s="12">
        <f t="shared" si="3"/>
        <v>2942.5</v>
      </c>
      <c r="N11" s="12">
        <f t="shared" si="4"/>
        <v>1471.25</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9">
        <v>52000.0</v>
      </c>
      <c r="E12" s="20" t="s">
        <v>29</v>
      </c>
      <c r="F12" s="14">
        <v>100.0</v>
      </c>
      <c r="G12" s="13">
        <v>0.5</v>
      </c>
      <c r="H12" s="12">
        <f t="shared" si="1"/>
        <v>50</v>
      </c>
      <c r="I12" s="14">
        <f t="shared" si="2"/>
        <v>150</v>
      </c>
      <c r="J12" s="9"/>
      <c r="K12" s="12">
        <v>100.0</v>
      </c>
      <c r="L12" s="12">
        <v>50.0</v>
      </c>
      <c r="M12" s="12">
        <f t="shared" si="3"/>
        <v>300</v>
      </c>
      <c r="N12" s="12">
        <f t="shared" si="4"/>
        <v>150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110000.0</v>
      </c>
      <c r="E13" s="20">
        <v>0.1</v>
      </c>
      <c r="F13" s="14">
        <f>D13*10%/12</f>
        <v>916.6666667</v>
      </c>
      <c r="G13" s="13">
        <v>0.5</v>
      </c>
      <c r="H13" s="12">
        <f t="shared" si="1"/>
        <v>458.3333333</v>
      </c>
      <c r="I13" s="14">
        <f t="shared" si="2"/>
        <v>1375</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102000.0</v>
      </c>
      <c r="E14" s="20" t="s">
        <v>29</v>
      </c>
      <c r="F14" s="14">
        <v>4250.0</v>
      </c>
      <c r="G14" s="13">
        <v>0.5</v>
      </c>
      <c r="H14" s="12">
        <f t="shared" ref="H14:H16" si="6">F14/2</f>
        <v>2125</v>
      </c>
      <c r="I14" s="14">
        <f t="shared" si="2"/>
        <v>6375</v>
      </c>
      <c r="J14" s="1"/>
      <c r="K14" s="48"/>
      <c r="L14" s="48"/>
      <c r="M14" s="12">
        <f t="shared" ref="M14:M16" si="7">F14</f>
        <v>4250</v>
      </c>
      <c r="N14" s="12">
        <f>H14-850</f>
        <v>1275</v>
      </c>
      <c r="O14" s="1" t="s">
        <v>50</v>
      </c>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220000.0</v>
      </c>
      <c r="E15" s="20" t="s">
        <v>29</v>
      </c>
      <c r="F15" s="14">
        <v>1000.0</v>
      </c>
      <c r="G15" s="13">
        <v>0.5</v>
      </c>
      <c r="H15" s="12">
        <f t="shared" si="6"/>
        <v>500</v>
      </c>
      <c r="I15" s="14">
        <f t="shared" si="2"/>
        <v>1500</v>
      </c>
      <c r="J15" s="1"/>
      <c r="K15" s="48"/>
      <c r="L15" s="48"/>
      <c r="M15" s="12">
        <f t="shared" si="7"/>
        <v>1000</v>
      </c>
      <c r="N15" s="12">
        <f t="shared" ref="N15:N16" si="8">H15</f>
        <v>500</v>
      </c>
      <c r="O15" s="1" t="s">
        <v>53</v>
      </c>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120000.0</v>
      </c>
      <c r="E16" s="20" t="s">
        <v>29</v>
      </c>
      <c r="F16" s="14">
        <v>733.0</v>
      </c>
      <c r="G16" s="13">
        <v>0.5</v>
      </c>
      <c r="H16" s="12">
        <f t="shared" si="6"/>
        <v>366.5</v>
      </c>
      <c r="I16" s="14">
        <f t="shared" si="2"/>
        <v>1099.5</v>
      </c>
      <c r="J16" s="1"/>
      <c r="K16" s="48"/>
      <c r="L16" s="48"/>
      <c r="M16" s="12">
        <f t="shared" si="7"/>
        <v>733</v>
      </c>
      <c r="N16" s="12">
        <f t="shared" si="8"/>
        <v>366.5</v>
      </c>
      <c r="O16" s="1" t="s">
        <v>53</v>
      </c>
      <c r="P16" s="1"/>
      <c r="Q16" s="1"/>
      <c r="R16" s="1"/>
      <c r="S16" s="1"/>
      <c r="T16" s="1"/>
      <c r="U16" s="1"/>
      <c r="V16" s="1"/>
      <c r="W16" s="1"/>
      <c r="X16" s="1"/>
      <c r="Y16" s="1"/>
      <c r="Z16" s="1"/>
      <c r="AA16" s="1"/>
      <c r="AB16" s="1"/>
      <c r="AC16" s="1"/>
      <c r="AD16" s="1"/>
      <c r="AE16" s="1"/>
      <c r="AF16" s="1"/>
      <c r="AG16" s="1"/>
      <c r="AH16" s="1"/>
      <c r="AI16" s="1"/>
    </row>
    <row r="17">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c r="A18" s="27"/>
      <c r="D18" s="49">
        <f>SUM(D5:D17)</f>
        <v>1212300</v>
      </c>
      <c r="E18" s="2"/>
      <c r="F18" s="28">
        <f>SUM(F5:F16)</f>
        <v>11360.16933</v>
      </c>
      <c r="H18" s="28">
        <f t="shared" ref="H18:I18" si="9">SUM(H5:H16)</f>
        <v>5680.084667</v>
      </c>
      <c r="I18" s="28">
        <f t="shared" si="9"/>
        <v>17040.254</v>
      </c>
      <c r="K18" s="28">
        <f>SUM(K5:K17)</f>
        <v>5224.669333</v>
      </c>
      <c r="L18" s="28">
        <f>SUM(L5:L13)</f>
        <v>2612.334667</v>
      </c>
      <c r="M18" s="28">
        <f t="shared" ref="M18:N18" si="10">SUM(M5:M16)</f>
        <v>22056.17467</v>
      </c>
      <c r="N18" s="28">
        <f t="shared" si="10"/>
        <v>10178.08733</v>
      </c>
    </row>
    <row r="19">
      <c r="A19" s="29" t="s">
        <v>32</v>
      </c>
      <c r="B19" s="27"/>
      <c r="C19" s="27"/>
      <c r="D19" s="27"/>
      <c r="E19" s="30"/>
      <c r="F19" s="28"/>
      <c r="G19" s="30"/>
      <c r="H19" s="28"/>
      <c r="I19" s="28"/>
    </row>
    <row r="20">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ht="15.75" customHeight="1">
      <c r="E21" s="2"/>
    </row>
    <row r="22" ht="15.75" customHeight="1">
      <c r="A22" s="35" t="s">
        <v>34</v>
      </c>
      <c r="E22" s="2"/>
    </row>
    <row r="23"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ht="109.5" customHeight="1">
      <c r="A25" s="54" t="s">
        <v>58</v>
      </c>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4">
    <mergeCell ref="M2:N2"/>
    <mergeCell ref="K3:L3"/>
    <mergeCell ref="M3:N3"/>
    <mergeCell ref="A25:I25"/>
  </mergeCells>
  <hyperlinks>
    <hyperlink r:id="rId1" location="0928091" ref="A12"/>
    <hyperlink r:id="rId2" location="0928091" ref="A13"/>
  </hyperlinks>
  <printOptions/>
  <pageMargins bottom="0.7480314960629921" footer="0.0" header="0.0" left="0.7086614173228347" right="0.7086614173228347" top="0.7480314960629921"/>
  <pageSetup paperSize="9" scale="63"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43922.0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60</v>
      </c>
    </row>
    <row r="5">
      <c r="A5" s="10">
        <v>839415.0</v>
      </c>
      <c r="B5" s="11" t="s">
        <v>12</v>
      </c>
      <c r="C5" s="11" t="s">
        <v>13</v>
      </c>
      <c r="D5" s="12">
        <v>59500.0</v>
      </c>
      <c r="E5" s="13">
        <v>0.07</v>
      </c>
      <c r="F5" s="12">
        <f>D5*7%/12</f>
        <v>347.0833333</v>
      </c>
      <c r="G5" s="13">
        <v>0.5</v>
      </c>
      <c r="H5" s="12">
        <f t="shared" ref="H5:H13" si="1">F5*50%</f>
        <v>173.5416667</v>
      </c>
      <c r="I5" s="14">
        <f t="shared" ref="I5:I16" si="2">F5+H5</f>
        <v>520.625</v>
      </c>
      <c r="K5" s="12">
        <v>903.5833333333335</v>
      </c>
      <c r="L5" s="12">
        <v>451.79166666666674</v>
      </c>
      <c r="M5" s="12">
        <f t="shared" ref="M5:M16" si="3">K5+(F5*1)</f>
        <v>1250.666667</v>
      </c>
      <c r="N5" s="12">
        <f t="shared" ref="N5:N16" si="4">L5+(H5*1)</f>
        <v>625.3333333</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2710</v>
      </c>
      <c r="N6" s="12">
        <f t="shared" si="4"/>
        <v>1355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746.25</v>
      </c>
      <c r="N7" s="12">
        <f t="shared" si="4"/>
        <v>373.125</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151000.0</v>
      </c>
      <c r="E8" s="16">
        <v>0.142336</v>
      </c>
      <c r="F8" s="12">
        <f>D8*14.2336%/12</f>
        <v>1791.061333</v>
      </c>
      <c r="G8" s="13">
        <v>0.5</v>
      </c>
      <c r="H8" s="12">
        <f t="shared" si="1"/>
        <v>895.5306667</v>
      </c>
      <c r="I8" s="14">
        <f t="shared" si="2"/>
        <v>2686.592</v>
      </c>
      <c r="J8" s="1"/>
      <c r="K8" s="12">
        <v>4875.008</v>
      </c>
      <c r="L8" s="12">
        <v>2437.504</v>
      </c>
      <c r="M8" s="12">
        <f t="shared" si="3"/>
        <v>6666.069333</v>
      </c>
      <c r="N8" s="12">
        <f t="shared" si="4"/>
        <v>3333.034667</v>
      </c>
      <c r="O8" s="1"/>
      <c r="P8" s="1"/>
      <c r="Q8" s="1"/>
      <c r="R8" s="1"/>
      <c r="S8" s="1"/>
      <c r="T8" s="1"/>
      <c r="U8" s="1"/>
      <c r="V8" s="1"/>
      <c r="W8" s="1"/>
      <c r="X8" s="1"/>
      <c r="Y8" s="1"/>
      <c r="Z8" s="1"/>
      <c r="AA8" s="1"/>
      <c r="AB8" s="1"/>
      <c r="AC8" s="1"/>
      <c r="AD8" s="1"/>
      <c r="AE8" s="1"/>
      <c r="AF8" s="1"/>
      <c r="AG8" s="1"/>
      <c r="AH8" s="1"/>
      <c r="AI8" s="1"/>
    </row>
    <row r="9">
      <c r="A9" s="10">
        <v>896998.0</v>
      </c>
      <c r="B9" s="11" t="s">
        <v>20</v>
      </c>
      <c r="C9" s="11" t="s">
        <v>21</v>
      </c>
      <c r="D9" s="12">
        <v>49200.0</v>
      </c>
      <c r="E9" s="13">
        <v>0.1</v>
      </c>
      <c r="F9" s="12">
        <f>D9*10%/12</f>
        <v>410</v>
      </c>
      <c r="G9" s="13">
        <v>0.5</v>
      </c>
      <c r="H9" s="12">
        <f t="shared" si="1"/>
        <v>205</v>
      </c>
      <c r="I9" s="14">
        <f t="shared" si="2"/>
        <v>615</v>
      </c>
      <c r="J9" s="1"/>
      <c r="K9" s="12">
        <v>1036.6666666666667</v>
      </c>
      <c r="L9" s="12">
        <v>518.3333333333334</v>
      </c>
      <c r="M9" s="12">
        <f t="shared" si="3"/>
        <v>1446.666667</v>
      </c>
      <c r="N9" s="12">
        <f t="shared" si="4"/>
        <v>723.3333333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61000.0</v>
      </c>
      <c r="E10" s="58">
        <v>0.05</v>
      </c>
      <c r="F10" s="57">
        <f>D10*5%/12</f>
        <v>254.1666667</v>
      </c>
      <c r="G10" s="58">
        <v>0.5</v>
      </c>
      <c r="H10" s="57">
        <f t="shared" si="1"/>
        <v>127.0833333</v>
      </c>
      <c r="I10" s="17">
        <f t="shared" si="2"/>
        <v>381.25</v>
      </c>
      <c r="J10" s="1"/>
      <c r="K10" s="57">
        <v>634.5833333333334</v>
      </c>
      <c r="L10" s="57">
        <v>317.2916666666667</v>
      </c>
      <c r="M10" s="12">
        <f t="shared" si="3"/>
        <v>888.75</v>
      </c>
      <c r="N10" s="12">
        <f t="shared" si="4"/>
        <v>444.375</v>
      </c>
      <c r="O10" s="1" t="s">
        <v>61</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1"/>
        <v>585.4166667</v>
      </c>
      <c r="I11" s="14">
        <f t="shared" si="2"/>
        <v>1756.25</v>
      </c>
      <c r="J11" s="1"/>
      <c r="K11" s="12">
        <v>2942.5</v>
      </c>
      <c r="L11" s="12">
        <v>1471.25</v>
      </c>
      <c r="M11" s="12">
        <f t="shared" si="3"/>
        <v>4113.333333</v>
      </c>
      <c r="N11" s="12">
        <f t="shared" si="4"/>
        <v>2056.666667</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1"/>
        <v>50</v>
      </c>
      <c r="I12" s="14">
        <f t="shared" si="2"/>
        <v>150</v>
      </c>
      <c r="J12" s="9"/>
      <c r="K12" s="12">
        <v>300.0</v>
      </c>
      <c r="L12" s="12">
        <v>150.0</v>
      </c>
      <c r="M12" s="12">
        <f t="shared" si="3"/>
        <v>400</v>
      </c>
      <c r="N12" s="12">
        <f t="shared" si="4"/>
        <v>200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1"/>
        <v>475</v>
      </c>
      <c r="I13" s="14">
        <f t="shared" si="2"/>
        <v>1425</v>
      </c>
      <c r="J13" s="1"/>
      <c r="K13" s="12">
        <v>2848.3333333333335</v>
      </c>
      <c r="L13" s="12">
        <v>1424.1666666666667</v>
      </c>
      <c r="M13" s="12">
        <f t="shared" si="3"/>
        <v>3798.333333</v>
      </c>
      <c r="N13" s="12">
        <f t="shared" si="4"/>
        <v>1899.166667</v>
      </c>
      <c r="O13" s="1"/>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104000.0</v>
      </c>
      <c r="E14" s="20">
        <v>0.1</v>
      </c>
      <c r="F14" s="12">
        <f>D14*E14/12</f>
        <v>866.6666667</v>
      </c>
      <c r="G14" s="13">
        <v>0.5</v>
      </c>
      <c r="H14" s="12">
        <f t="shared" ref="H14:H16" si="6">F14/2</f>
        <v>433.3333333</v>
      </c>
      <c r="I14" s="14">
        <f t="shared" si="2"/>
        <v>1300</v>
      </c>
      <c r="J14" s="1"/>
      <c r="K14" s="12">
        <v>4250.0</v>
      </c>
      <c r="L14" s="12">
        <v>1275.0</v>
      </c>
      <c r="M14" s="12">
        <f t="shared" si="3"/>
        <v>5116.666667</v>
      </c>
      <c r="N14" s="12">
        <f t="shared" si="4"/>
        <v>1708.333333</v>
      </c>
      <c r="O14" s="1"/>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227300.0</v>
      </c>
      <c r="E15" s="20" t="s">
        <v>29</v>
      </c>
      <c r="F15" s="12">
        <v>1000.0</v>
      </c>
      <c r="G15" s="13">
        <v>0.5</v>
      </c>
      <c r="H15" s="12">
        <f t="shared" si="6"/>
        <v>500</v>
      </c>
      <c r="I15" s="14">
        <f t="shared" si="2"/>
        <v>1500</v>
      </c>
      <c r="J15" s="1"/>
      <c r="K15" s="12">
        <v>1000.0</v>
      </c>
      <c r="L15" s="12">
        <v>500.0</v>
      </c>
      <c r="M15" s="12">
        <f t="shared" si="3"/>
        <v>2000</v>
      </c>
      <c r="N15" s="12">
        <f t="shared" si="4"/>
        <v>1000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6"/>
        <v>366.5</v>
      </c>
      <c r="I16" s="14">
        <f t="shared" si="2"/>
        <v>1099.5</v>
      </c>
      <c r="J16" s="1"/>
      <c r="K16" s="12">
        <v>733.0</v>
      </c>
      <c r="L16" s="12">
        <v>366.5</v>
      </c>
      <c r="M16" s="12">
        <f t="shared" si="3"/>
        <v>1466</v>
      </c>
      <c r="N16" s="12">
        <f t="shared" si="4"/>
        <v>733</v>
      </c>
      <c r="O16" s="1"/>
      <c r="P16" s="1"/>
      <c r="Q16" s="1"/>
      <c r="R16" s="1"/>
      <c r="S16" s="1"/>
      <c r="T16" s="1"/>
      <c r="U16" s="1"/>
      <c r="V16" s="1"/>
      <c r="W16" s="1"/>
      <c r="X16" s="1"/>
      <c r="Y16" s="1"/>
      <c r="Z16" s="1"/>
      <c r="AA16" s="1"/>
      <c r="AB16" s="1"/>
      <c r="AC16" s="1"/>
      <c r="AD16" s="1"/>
      <c r="AE16" s="1"/>
      <c r="AF16" s="1"/>
      <c r="AG16" s="1"/>
      <c r="AH16" s="1"/>
      <c r="AI16" s="1"/>
    </row>
    <row r="17">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c r="A18" s="27"/>
      <c r="D18" s="49">
        <f>SUM(D5:D17)</f>
        <v>1306200</v>
      </c>
      <c r="E18" s="2"/>
      <c r="F18" s="28">
        <f>SUM(F5:F16)</f>
        <v>8546.561333</v>
      </c>
      <c r="H18" s="28">
        <f t="shared" ref="H18:I18" si="7">SUM(H5:H16)</f>
        <v>4273.280667</v>
      </c>
      <c r="I18" s="28">
        <f t="shared" si="7"/>
        <v>12819.842</v>
      </c>
      <c r="K18" s="24"/>
      <c r="L18" s="28"/>
      <c r="M18" s="28">
        <f t="shared" ref="M18:N18" si="8">SUM(M5:M16)</f>
        <v>30602.736</v>
      </c>
      <c r="N18" s="28">
        <f t="shared" si="8"/>
        <v>14451.368</v>
      </c>
    </row>
    <row r="19">
      <c r="A19" s="29" t="s">
        <v>32</v>
      </c>
      <c r="B19" s="27"/>
      <c r="C19" s="27"/>
      <c r="D19" s="27"/>
      <c r="E19" s="30"/>
      <c r="F19" s="28"/>
      <c r="G19" s="30"/>
      <c r="H19" s="28"/>
      <c r="I19" s="28"/>
      <c r="K19" s="15"/>
    </row>
    <row r="20">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ht="15.75" customHeight="1">
      <c r="E21" s="2"/>
      <c r="K21" s="15"/>
    </row>
    <row r="22" ht="15.75" customHeight="1">
      <c r="A22" s="35" t="s">
        <v>34</v>
      </c>
      <c r="E22" s="2"/>
      <c r="K22" s="15"/>
    </row>
    <row r="23"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ht="15.75" customHeight="1">
      <c r="A25" s="60" t="s">
        <v>68</v>
      </c>
      <c r="B25" s="60" t="s">
        <v>18</v>
      </c>
      <c r="C25" s="60" t="s">
        <v>19</v>
      </c>
      <c r="D25" s="60" t="s">
        <v>69</v>
      </c>
      <c r="E25" s="62">
        <v>151000.0</v>
      </c>
      <c r="K25" s="15"/>
    </row>
    <row r="26" ht="15.75" customHeight="1">
      <c r="A26" s="60" t="s">
        <v>68</v>
      </c>
      <c r="B26" s="60" t="s">
        <v>54</v>
      </c>
      <c r="C26" s="60" t="s">
        <v>55</v>
      </c>
      <c r="D26" s="60" t="s">
        <v>70</v>
      </c>
      <c r="E26" s="62">
        <v>124000.0</v>
      </c>
      <c r="K26" s="15"/>
    </row>
    <row r="27" ht="15.75" customHeight="1">
      <c r="A27" s="60" t="s">
        <v>68</v>
      </c>
      <c r="B27" s="60" t="s">
        <v>14</v>
      </c>
      <c r="C27" s="60" t="s">
        <v>15</v>
      </c>
      <c r="D27" s="60" t="s">
        <v>71</v>
      </c>
      <c r="E27" s="62">
        <v>170400.0</v>
      </c>
      <c r="K27" s="15"/>
    </row>
    <row r="28" ht="15.75" customHeight="1">
      <c r="A28" s="60" t="s">
        <v>68</v>
      </c>
      <c r="B28" s="60" t="s">
        <v>27</v>
      </c>
      <c r="C28" s="60" t="s">
        <v>28</v>
      </c>
      <c r="D28" s="60" t="s">
        <v>72</v>
      </c>
      <c r="E28" s="62">
        <v>54000.0</v>
      </c>
      <c r="K28" s="15"/>
    </row>
    <row r="29" ht="15.75" customHeight="1">
      <c r="A29" s="60" t="s">
        <v>68</v>
      </c>
      <c r="B29" s="60" t="s">
        <v>73</v>
      </c>
      <c r="C29" s="60" t="s">
        <v>49</v>
      </c>
      <c r="D29" s="60" t="s">
        <v>74</v>
      </c>
      <c r="E29" s="62">
        <v>104000.0</v>
      </c>
      <c r="K29" s="15"/>
    </row>
    <row r="30" ht="15.75" customHeight="1">
      <c r="A30" s="60" t="s">
        <v>68</v>
      </c>
      <c r="B30" s="60" t="s">
        <v>51</v>
      </c>
      <c r="C30" s="60" t="s">
        <v>52</v>
      </c>
      <c r="D30" s="60" t="s">
        <v>75</v>
      </c>
      <c r="E30" s="62">
        <v>227300.0</v>
      </c>
      <c r="K30" s="15"/>
    </row>
    <row r="31" ht="15.75" customHeight="1">
      <c r="A31" s="60" t="s">
        <v>68</v>
      </c>
      <c r="B31" s="60" t="s">
        <v>20</v>
      </c>
      <c r="C31" s="60" t="s">
        <v>21</v>
      </c>
      <c r="D31" s="60" t="s">
        <v>76</v>
      </c>
      <c r="E31" s="62">
        <v>49200.0</v>
      </c>
      <c r="K31" s="15"/>
    </row>
    <row r="32" ht="15.75" customHeight="1">
      <c r="A32" s="60" t="s">
        <v>68</v>
      </c>
      <c r="B32" s="60" t="s">
        <v>24</v>
      </c>
      <c r="C32" s="60" t="s">
        <v>25</v>
      </c>
      <c r="D32" s="60" t="s">
        <v>77</v>
      </c>
      <c r="E32" s="62">
        <v>140500.0</v>
      </c>
      <c r="K32" s="15"/>
    </row>
    <row r="33" ht="15.75" customHeight="1">
      <c r="A33" s="60" t="s">
        <v>68</v>
      </c>
      <c r="B33" s="60" t="s">
        <v>30</v>
      </c>
      <c r="C33" s="60" t="s">
        <v>31</v>
      </c>
      <c r="D33" s="60" t="s">
        <v>78</v>
      </c>
      <c r="E33" s="62">
        <v>114000.0</v>
      </c>
      <c r="K33" s="15"/>
    </row>
    <row r="34" ht="15.75" customHeight="1">
      <c r="A34" s="60" t="s">
        <v>68</v>
      </c>
      <c r="B34" s="60" t="s">
        <v>79</v>
      </c>
      <c r="C34" s="60" t="s">
        <v>17</v>
      </c>
      <c r="D34" s="60" t="s">
        <v>80</v>
      </c>
      <c r="E34" s="62">
        <v>51300.0</v>
      </c>
      <c r="K34" s="15"/>
    </row>
    <row r="35" ht="15.75" customHeight="1">
      <c r="A35" s="60" t="s">
        <v>68</v>
      </c>
      <c r="B35" s="60" t="s">
        <v>81</v>
      </c>
      <c r="C35" s="60" t="s">
        <v>23</v>
      </c>
      <c r="D35" s="60" t="s">
        <v>82</v>
      </c>
      <c r="E35" s="62">
        <v>61000.0</v>
      </c>
      <c r="K35" s="15"/>
    </row>
    <row r="36" ht="15.75" customHeight="1">
      <c r="A36" s="60" t="s">
        <v>68</v>
      </c>
      <c r="B36" s="60" t="s">
        <v>12</v>
      </c>
      <c r="C36" s="60" t="s">
        <v>13</v>
      </c>
      <c r="D36" s="60" t="s">
        <v>83</v>
      </c>
      <c r="E36" s="62">
        <v>59500.0</v>
      </c>
      <c r="K36" s="15"/>
    </row>
    <row r="37" ht="15.75" customHeight="1">
      <c r="E37" s="63">
        <f>SUM(E25:E36)</f>
        <v>1306200</v>
      </c>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scale="63"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43952.0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84</v>
      </c>
    </row>
    <row r="5">
      <c r="A5" s="10">
        <v>839415.0</v>
      </c>
      <c r="B5" s="11" t="s">
        <v>12</v>
      </c>
      <c r="C5" s="11" t="s">
        <v>13</v>
      </c>
      <c r="D5" s="12">
        <v>59500.0</v>
      </c>
      <c r="E5" s="13">
        <v>0.07</v>
      </c>
      <c r="F5" s="12">
        <f>D5*7%/12</f>
        <v>347.0833333</v>
      </c>
      <c r="G5" s="13">
        <v>0.5</v>
      </c>
      <c r="H5" s="12">
        <f t="shared" ref="H5:H13" si="1">F5*50%</f>
        <v>173.5416667</v>
      </c>
      <c r="I5" s="14">
        <f t="shared" ref="I5:I17" si="2">F5+H5</f>
        <v>520.625</v>
      </c>
      <c r="K5" s="12">
        <v>903.5833333333335</v>
      </c>
      <c r="L5" s="12">
        <v>451.79166666666674</v>
      </c>
      <c r="M5" s="12">
        <f t="shared" ref="M5:M7" si="3">K5+(F5*2)</f>
        <v>1597.75</v>
      </c>
      <c r="N5" s="12">
        <f t="shared" ref="N5:N7" si="4">L5+(H5*2)</f>
        <v>798.875</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3420</v>
      </c>
      <c r="N6" s="12">
        <f t="shared" si="4"/>
        <v>1710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960</v>
      </c>
      <c r="N7" s="12">
        <f t="shared" si="4"/>
        <v>480</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151000.0</v>
      </c>
      <c r="E8" s="16">
        <v>0.1269</v>
      </c>
      <c r="F8" s="12">
        <f>D8*12.69%/12</f>
        <v>1596.825</v>
      </c>
      <c r="G8" s="13">
        <v>0.5</v>
      </c>
      <c r="H8" s="12">
        <f t="shared" si="1"/>
        <v>798.4125</v>
      </c>
      <c r="I8" s="14">
        <f t="shared" si="2"/>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c r="A9" s="10">
        <v>896998.0</v>
      </c>
      <c r="B9" s="11" t="s">
        <v>20</v>
      </c>
      <c r="C9" s="11" t="s">
        <v>21</v>
      </c>
      <c r="D9" s="12">
        <v>49200.0</v>
      </c>
      <c r="E9" s="13">
        <v>0.1</v>
      </c>
      <c r="F9" s="12">
        <f>D9*10%/12</f>
        <v>410</v>
      </c>
      <c r="G9" s="13">
        <v>0.5</v>
      </c>
      <c r="H9" s="12">
        <f t="shared" si="1"/>
        <v>205</v>
      </c>
      <c r="I9" s="14">
        <f t="shared" si="2"/>
        <v>615</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0.0</v>
      </c>
      <c r="E10" s="58">
        <v>0.05</v>
      </c>
      <c r="F10" s="57">
        <f>D10*5%/12</f>
        <v>0</v>
      </c>
      <c r="G10" s="58">
        <v>0.5</v>
      </c>
      <c r="H10" s="57">
        <f t="shared" si="1"/>
        <v>0</v>
      </c>
      <c r="I10" s="17">
        <f t="shared" si="2"/>
        <v>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1"/>
        <v>585.4166667</v>
      </c>
      <c r="I11" s="14">
        <f t="shared" si="2"/>
        <v>1756.25</v>
      </c>
      <c r="J11" s="1"/>
      <c r="K11" s="12">
        <v>2942.5</v>
      </c>
      <c r="L11" s="12">
        <v>1471.25</v>
      </c>
      <c r="M11" s="12">
        <f t="shared" ref="M11:M16" si="6">K11+(F11*2)</f>
        <v>5284.166667</v>
      </c>
      <c r="N11" s="12">
        <f t="shared" ref="N11:N16" si="7">L11+(H11*2)</f>
        <v>2642.083333</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1"/>
        <v>50</v>
      </c>
      <c r="I12" s="14">
        <f t="shared" si="2"/>
        <v>150</v>
      </c>
      <c r="J12" s="9"/>
      <c r="K12" s="12">
        <v>300.0</v>
      </c>
      <c r="L12" s="12">
        <v>150.0</v>
      </c>
      <c r="M12" s="12">
        <f t="shared" si="6"/>
        <v>500</v>
      </c>
      <c r="N12" s="12">
        <f t="shared" si="7"/>
        <v>250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1"/>
        <v>475</v>
      </c>
      <c r="I13" s="14">
        <f t="shared" si="2"/>
        <v>1425</v>
      </c>
      <c r="J13" s="1"/>
      <c r="K13" s="12">
        <v>2848.3333333333335</v>
      </c>
      <c r="L13" s="12">
        <v>1424.1666666666667</v>
      </c>
      <c r="M13" s="12">
        <f t="shared" si="6"/>
        <v>4748.333333</v>
      </c>
      <c r="N13" s="12">
        <f t="shared" si="7"/>
        <v>2374.166667</v>
      </c>
      <c r="O13" s="1"/>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104000.0</v>
      </c>
      <c r="E14" s="20">
        <v>0.1</v>
      </c>
      <c r="F14" s="12">
        <f>D14*E14/12</f>
        <v>866.6666667</v>
      </c>
      <c r="G14" s="13">
        <v>0.5</v>
      </c>
      <c r="H14" s="12">
        <f t="shared" ref="H14:H17" si="8">F14/2</f>
        <v>433.3333333</v>
      </c>
      <c r="I14" s="14">
        <f t="shared" si="2"/>
        <v>1300</v>
      </c>
      <c r="J14" s="1"/>
      <c r="K14" s="12">
        <v>4250.0</v>
      </c>
      <c r="L14" s="12">
        <v>1275.0</v>
      </c>
      <c r="M14" s="12">
        <f t="shared" si="6"/>
        <v>5983.333333</v>
      </c>
      <c r="N14" s="12">
        <f t="shared" si="7"/>
        <v>2141.666667</v>
      </c>
      <c r="O14" s="1"/>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227300.0</v>
      </c>
      <c r="E15" s="20" t="s">
        <v>29</v>
      </c>
      <c r="F15" s="12">
        <v>1000.0</v>
      </c>
      <c r="G15" s="13">
        <v>0.5</v>
      </c>
      <c r="H15" s="12">
        <f t="shared" si="8"/>
        <v>500</v>
      </c>
      <c r="I15" s="14">
        <f t="shared" si="2"/>
        <v>1500</v>
      </c>
      <c r="J15" s="1"/>
      <c r="K15" s="12">
        <v>1000.0</v>
      </c>
      <c r="L15" s="12">
        <v>500.0</v>
      </c>
      <c r="M15" s="12">
        <f t="shared" si="6"/>
        <v>3000</v>
      </c>
      <c r="N15" s="12">
        <f t="shared" si="7"/>
        <v>1500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8"/>
        <v>366.5</v>
      </c>
      <c r="I16" s="14">
        <f t="shared" si="2"/>
        <v>1099.5</v>
      </c>
      <c r="J16" s="1"/>
      <c r="K16" s="12">
        <v>733.0</v>
      </c>
      <c r="L16" s="12">
        <v>366.5</v>
      </c>
      <c r="M16" s="12">
        <f t="shared" si="6"/>
        <v>2199</v>
      </c>
      <c r="N16" s="12">
        <f t="shared" si="7"/>
        <v>1099.5</v>
      </c>
      <c r="O16" s="1"/>
      <c r="P16" s="1"/>
      <c r="Q16" s="1"/>
      <c r="R16" s="1"/>
      <c r="S16" s="1"/>
      <c r="T16" s="1"/>
      <c r="U16" s="1"/>
      <c r="V16" s="1"/>
      <c r="W16" s="1"/>
      <c r="X16" s="1"/>
      <c r="Y16" s="1"/>
      <c r="Z16" s="1"/>
      <c r="AA16" s="1"/>
      <c r="AB16" s="1"/>
      <c r="AC16" s="1"/>
      <c r="AD16" s="1"/>
      <c r="AE16" s="1"/>
      <c r="AF16" s="1"/>
      <c r="AG16" s="1"/>
      <c r="AH16" s="1"/>
      <c r="AI16" s="1"/>
    </row>
    <row r="17">
      <c r="A17" s="64" t="s">
        <v>87</v>
      </c>
      <c r="B17" s="56" t="s">
        <v>88</v>
      </c>
      <c r="C17" s="56" t="s">
        <v>89</v>
      </c>
      <c r="D17" s="57">
        <v>60000.0</v>
      </c>
      <c r="E17" s="58">
        <v>0.03</v>
      </c>
      <c r="F17" s="57">
        <f>D17*E17/12</f>
        <v>150</v>
      </c>
      <c r="G17" s="58">
        <v>0.5</v>
      </c>
      <c r="H17" s="57">
        <f t="shared" si="8"/>
        <v>75</v>
      </c>
      <c r="I17" s="17">
        <f t="shared" si="2"/>
        <v>225</v>
      </c>
      <c r="J17" s="1"/>
      <c r="K17" s="57">
        <v>733.0</v>
      </c>
      <c r="L17" s="57">
        <v>366.5</v>
      </c>
      <c r="M17" s="57">
        <f>F17</f>
        <v>150</v>
      </c>
      <c r="N17" s="57">
        <f>H17</f>
        <v>75</v>
      </c>
      <c r="O17" s="1" t="s">
        <v>90</v>
      </c>
      <c r="P17" s="1"/>
      <c r="Q17" s="1"/>
      <c r="R17" s="1"/>
      <c r="S17" s="1"/>
      <c r="T17" s="1"/>
      <c r="U17" s="1"/>
      <c r="V17" s="1"/>
      <c r="W17" s="1"/>
      <c r="X17" s="1"/>
      <c r="Y17" s="1"/>
      <c r="Z17" s="1"/>
      <c r="AA17" s="1"/>
      <c r="AB17" s="1"/>
      <c r="AC17" s="1"/>
      <c r="AD17" s="1"/>
      <c r="AE17" s="1"/>
      <c r="AF17" s="1"/>
      <c r="AG17" s="1"/>
      <c r="AH17" s="1"/>
      <c r="AI17" s="1"/>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49">
        <f>SUM(D5:D18)</f>
        <v>1305200</v>
      </c>
      <c r="E19" s="2"/>
      <c r="F19" s="28">
        <f>SUM(F5:F17)</f>
        <v>8248.158333</v>
      </c>
      <c r="H19" s="28">
        <f t="shared" ref="H19:I19" si="9">SUM(H5:H17)</f>
        <v>4124.079167</v>
      </c>
      <c r="I19" s="28">
        <f t="shared" si="9"/>
        <v>12372.2375</v>
      </c>
      <c r="K19" s="24"/>
      <c r="L19" s="28"/>
      <c r="M19" s="28">
        <f t="shared" ref="M19:N19" si="10">SUM(M5:M17)</f>
        <v>38596.72833</v>
      </c>
      <c r="N19" s="28">
        <f t="shared" si="10"/>
        <v>18448.35917</v>
      </c>
    </row>
    <row r="20">
      <c r="A20" s="29" t="s">
        <v>32</v>
      </c>
      <c r="B20" s="27"/>
      <c r="C20" s="27"/>
      <c r="D20" s="27"/>
      <c r="E20" s="30"/>
      <c r="F20" s="28"/>
      <c r="G20" s="30"/>
      <c r="H20" s="28"/>
      <c r="I20" s="28"/>
      <c r="K20" s="15"/>
    </row>
    <row r="21"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ht="15.75" customHeight="1">
      <c r="E22" s="2"/>
      <c r="K22" s="15"/>
    </row>
    <row r="23" ht="15.75" customHeight="1">
      <c r="A23" s="35" t="s">
        <v>34</v>
      </c>
      <c r="E23" s="2"/>
      <c r="K23" s="15"/>
    </row>
    <row r="24"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ht="15.75" customHeight="1">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43983.0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92</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K5+(F5*3)</f>
        <v>1944.833333</v>
      </c>
      <c r="N5" s="12">
        <f t="shared" ref="N5:N7" si="4">L5+(H5*3)</f>
        <v>972.4166667</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4130</v>
      </c>
      <c r="N6" s="12">
        <f t="shared" si="4"/>
        <v>2065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1173.75</v>
      </c>
      <c r="N7" s="12">
        <f t="shared" si="4"/>
        <v>586.875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268.56</v>
      </c>
      <c r="I8" s="73">
        <f t="shared" si="2"/>
        <v>1865.385</v>
      </c>
      <c r="J8" s="74"/>
      <c r="K8" s="38">
        <v>4875.008</v>
      </c>
      <c r="L8" s="38">
        <v>2437.504</v>
      </c>
      <c r="M8" s="38">
        <f>6666.07+(F8*2)</f>
        <v>9859.72</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0.0</v>
      </c>
      <c r="E10" s="58">
        <v>0.05</v>
      </c>
      <c r="F10" s="57">
        <f>D10*5%/12</f>
        <v>0</v>
      </c>
      <c r="G10" s="58">
        <v>0.5</v>
      </c>
      <c r="H10" s="57">
        <f t="shared" si="6"/>
        <v>0</v>
      </c>
      <c r="I10" s="17">
        <f t="shared" si="2"/>
        <v>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K11+(F11*3)</f>
        <v>6455</v>
      </c>
      <c r="N11" s="12">
        <f t="shared" ref="N11:N16" si="8">L11+(H11*3)</f>
        <v>3227.5</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600</v>
      </c>
      <c r="N12" s="12">
        <f t="shared" si="8"/>
        <v>300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5698.333333</v>
      </c>
      <c r="N13" s="12">
        <f t="shared" si="8"/>
        <v>2849.166667</v>
      </c>
      <c r="O13" s="1"/>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104000.0</v>
      </c>
      <c r="E14" s="20">
        <v>0.1</v>
      </c>
      <c r="F14" s="12">
        <f>D14*E14/12</f>
        <v>866.6666667</v>
      </c>
      <c r="G14" s="13">
        <v>0.5</v>
      </c>
      <c r="H14" s="12">
        <f t="shared" ref="H14:H17" si="9">F14/2</f>
        <v>433.3333333</v>
      </c>
      <c r="I14" s="14">
        <f t="shared" si="2"/>
        <v>1300</v>
      </c>
      <c r="J14" s="1"/>
      <c r="K14" s="12">
        <v>4250.0</v>
      </c>
      <c r="L14" s="12">
        <v>1275.0</v>
      </c>
      <c r="M14" s="12">
        <f t="shared" si="7"/>
        <v>6850</v>
      </c>
      <c r="N14" s="12">
        <f t="shared" si="8"/>
        <v>2575</v>
      </c>
      <c r="O14" s="1"/>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227300.0</v>
      </c>
      <c r="E15" s="20" t="s">
        <v>29</v>
      </c>
      <c r="F15" s="12">
        <v>1000.0</v>
      </c>
      <c r="G15" s="13">
        <v>0.5</v>
      </c>
      <c r="H15" s="12">
        <f t="shared" si="9"/>
        <v>500</v>
      </c>
      <c r="I15" s="14">
        <f t="shared" si="2"/>
        <v>1500</v>
      </c>
      <c r="J15" s="1"/>
      <c r="K15" s="12">
        <v>1000.0</v>
      </c>
      <c r="L15" s="12">
        <v>500.0</v>
      </c>
      <c r="M15" s="12">
        <f t="shared" si="7"/>
        <v>4000</v>
      </c>
      <c r="N15" s="12">
        <f t="shared" si="8"/>
        <v>2000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9"/>
        <v>366.5</v>
      </c>
      <c r="I16" s="14">
        <f t="shared" si="2"/>
        <v>1099.5</v>
      </c>
      <c r="J16" s="1"/>
      <c r="K16" s="12">
        <v>733.0</v>
      </c>
      <c r="L16" s="12">
        <v>366.5</v>
      </c>
      <c r="M16" s="12">
        <f t="shared" si="7"/>
        <v>2932</v>
      </c>
      <c r="N16" s="12">
        <f t="shared" si="8"/>
        <v>1466</v>
      </c>
      <c r="O16" s="1"/>
      <c r="P16" s="1"/>
      <c r="Q16" s="1"/>
      <c r="R16" s="1"/>
      <c r="S16" s="1"/>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D17*E17/12</f>
        <v>150</v>
      </c>
      <c r="G17" s="20">
        <v>0.5</v>
      </c>
      <c r="H17" s="19">
        <f t="shared" si="9"/>
        <v>75</v>
      </c>
      <c r="I17" s="14">
        <f t="shared" si="2"/>
        <v>225</v>
      </c>
      <c r="J17" s="9"/>
      <c r="K17" s="19">
        <v>733.0</v>
      </c>
      <c r="L17" s="19">
        <v>366.5</v>
      </c>
      <c r="M17" s="19">
        <f>F17*2</f>
        <v>300</v>
      </c>
      <c r="N17" s="19">
        <f>H17*2</f>
        <v>150</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49">
        <f>SUM(D5:D18)</f>
        <v>1305200</v>
      </c>
      <c r="E19" s="2"/>
      <c r="F19" s="28">
        <f>SUM(F5:F17)</f>
        <v>8248.158333</v>
      </c>
      <c r="H19" s="28">
        <f t="shared" ref="H19:I19" si="10">SUM(H5:H17)</f>
        <v>3594.226667</v>
      </c>
      <c r="I19" s="28">
        <f t="shared" si="10"/>
        <v>11842.385</v>
      </c>
      <c r="K19" s="24"/>
      <c r="L19" s="28"/>
      <c r="M19" s="28">
        <f t="shared" ref="M19:N19" si="11">SUM(M5:M17)</f>
        <v>46844.88667</v>
      </c>
      <c r="N19" s="28">
        <f t="shared" si="11"/>
        <v>22042.58333</v>
      </c>
    </row>
    <row r="20">
      <c r="A20" s="29" t="s">
        <v>32</v>
      </c>
      <c r="B20" s="27"/>
      <c r="C20" s="27"/>
      <c r="D20" s="27"/>
      <c r="E20" s="30"/>
      <c r="F20" s="28"/>
      <c r="G20" s="30"/>
      <c r="H20" s="28"/>
      <c r="I20" s="28"/>
      <c r="K20" s="15"/>
    </row>
    <row r="21"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ht="15.75" customHeight="1">
      <c r="E22" s="2"/>
      <c r="K22" s="15"/>
    </row>
    <row r="23" ht="15.75" customHeight="1">
      <c r="A23" s="35" t="s">
        <v>34</v>
      </c>
      <c r="E23" s="2"/>
      <c r="K23" s="15"/>
    </row>
    <row r="24"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ht="15.75" customHeight="1">
      <c r="A25" s="65" t="s">
        <v>94</v>
      </c>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44013.0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95</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K5+(F5*4)</f>
        <v>2291.916667</v>
      </c>
      <c r="N5" s="12">
        <f t="shared" ref="N5:N7" si="4">L5+(H5*4)</f>
        <v>1145.958333</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4840</v>
      </c>
      <c r="N6" s="12">
        <f t="shared" si="4"/>
        <v>2420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1387.5</v>
      </c>
      <c r="N7" s="12">
        <f t="shared" si="4"/>
        <v>693.75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0.0</v>
      </c>
      <c r="I8" s="73">
        <f t="shared" si="2"/>
        <v>1596.825</v>
      </c>
      <c r="J8" s="74"/>
      <c r="K8" s="38">
        <v>4875.008</v>
      </c>
      <c r="L8" s="38">
        <v>2437.504</v>
      </c>
      <c r="M8" s="38">
        <f>6666.07+(F8*4)</f>
        <v>13053.37</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0.0</v>
      </c>
      <c r="E10" s="58">
        <v>0.05</v>
      </c>
      <c r="F10" s="57">
        <f>D10*5%/12</f>
        <v>0</v>
      </c>
      <c r="G10" s="58">
        <v>0.5</v>
      </c>
      <c r="H10" s="57">
        <f t="shared" si="6"/>
        <v>0</v>
      </c>
      <c r="I10" s="17">
        <f t="shared" si="2"/>
        <v>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K11+(F11*4)</f>
        <v>7625.833333</v>
      </c>
      <c r="N11" s="12">
        <f t="shared" ref="N11:N16" si="8">L11+(H11*4)</f>
        <v>3812.916667</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700</v>
      </c>
      <c r="N12" s="12">
        <f t="shared" si="8"/>
        <v>350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6648.333333</v>
      </c>
      <c r="N13" s="12">
        <f t="shared" si="8"/>
        <v>3324.166667</v>
      </c>
      <c r="O13" s="1"/>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104000.0</v>
      </c>
      <c r="E14" s="20">
        <v>0.1</v>
      </c>
      <c r="F14" s="12">
        <f>D14*E14/12</f>
        <v>866.6666667</v>
      </c>
      <c r="G14" s="13">
        <v>0.5</v>
      </c>
      <c r="H14" s="12">
        <f t="shared" ref="H14:H17" si="9">F14/2</f>
        <v>433.3333333</v>
      </c>
      <c r="I14" s="14">
        <f t="shared" si="2"/>
        <v>1300</v>
      </c>
      <c r="J14" s="1"/>
      <c r="K14" s="12">
        <v>4250.0</v>
      </c>
      <c r="L14" s="12">
        <v>1275.0</v>
      </c>
      <c r="M14" s="12">
        <f t="shared" si="7"/>
        <v>7716.666667</v>
      </c>
      <c r="N14" s="12">
        <f t="shared" si="8"/>
        <v>3008.333333</v>
      </c>
      <c r="O14" s="1"/>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227300.0</v>
      </c>
      <c r="E15" s="20" t="s">
        <v>29</v>
      </c>
      <c r="F15" s="12">
        <v>1000.0</v>
      </c>
      <c r="G15" s="13">
        <v>0.5</v>
      </c>
      <c r="H15" s="12">
        <f t="shared" si="9"/>
        <v>500</v>
      </c>
      <c r="I15" s="14">
        <f t="shared" si="2"/>
        <v>1500</v>
      </c>
      <c r="J15" s="1"/>
      <c r="K15" s="12">
        <v>1000.0</v>
      </c>
      <c r="L15" s="12">
        <v>500.0</v>
      </c>
      <c r="M15" s="12">
        <f t="shared" si="7"/>
        <v>5000</v>
      </c>
      <c r="N15" s="12">
        <f t="shared" si="8"/>
        <v>2500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9"/>
        <v>366.5</v>
      </c>
      <c r="I16" s="14">
        <f t="shared" si="2"/>
        <v>1099.5</v>
      </c>
      <c r="J16" s="1"/>
      <c r="K16" s="12">
        <v>733.0</v>
      </c>
      <c r="L16" s="12">
        <v>366.5</v>
      </c>
      <c r="M16" s="12">
        <f t="shared" si="7"/>
        <v>3665</v>
      </c>
      <c r="N16" s="12">
        <f t="shared" si="8"/>
        <v>1832.5</v>
      </c>
      <c r="O16" s="1"/>
      <c r="P16" s="1"/>
      <c r="Q16" s="1"/>
      <c r="R16" s="1"/>
      <c r="S16" s="1"/>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D17*E17/12</f>
        <v>150</v>
      </c>
      <c r="G17" s="20">
        <v>0.5</v>
      </c>
      <c r="H17" s="19">
        <f t="shared" si="9"/>
        <v>75</v>
      </c>
      <c r="I17" s="14">
        <f t="shared" si="2"/>
        <v>225</v>
      </c>
      <c r="J17" s="9"/>
      <c r="K17" s="19">
        <v>733.0</v>
      </c>
      <c r="L17" s="19">
        <v>366.5</v>
      </c>
      <c r="M17" s="19">
        <f>F17*3</f>
        <v>450</v>
      </c>
      <c r="N17" s="19">
        <f>H17*3</f>
        <v>225</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49">
        <f>SUM(D5:D18)</f>
        <v>1305200</v>
      </c>
      <c r="E19" s="2"/>
      <c r="F19" s="28">
        <f>SUM(F5:F17)</f>
        <v>8248.158333</v>
      </c>
      <c r="H19" s="28">
        <f t="shared" ref="H19:I19" si="10">SUM(H5:H17)</f>
        <v>3325.666667</v>
      </c>
      <c r="I19" s="28">
        <f t="shared" si="10"/>
        <v>11573.825</v>
      </c>
      <c r="K19" s="24"/>
      <c r="L19" s="28"/>
      <c r="M19" s="28">
        <f t="shared" ref="M19:N19" si="11">SUM(M5:M17)</f>
        <v>56689.87</v>
      </c>
      <c r="N19" s="28">
        <f t="shared" si="11"/>
        <v>25368.25</v>
      </c>
    </row>
    <row r="20">
      <c r="A20" s="29" t="s">
        <v>32</v>
      </c>
      <c r="B20" s="27"/>
      <c r="C20" s="27"/>
      <c r="D20" s="27"/>
      <c r="E20" s="30"/>
      <c r="F20" s="28"/>
      <c r="G20" s="30"/>
      <c r="H20" s="28"/>
      <c r="I20" s="28"/>
      <c r="K20" s="15"/>
    </row>
    <row r="21"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ht="15.75" customHeight="1">
      <c r="E22" s="2"/>
      <c r="K22" s="15"/>
    </row>
    <row r="23" ht="15.75" customHeight="1">
      <c r="A23" s="35" t="s">
        <v>34</v>
      </c>
      <c r="E23" s="2"/>
      <c r="K23" s="15"/>
    </row>
    <row r="24"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ht="15.75" customHeight="1">
      <c r="A25" s="65"/>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44044.0</v>
      </c>
      <c r="E2" s="2"/>
      <c r="K2" s="15"/>
      <c r="M2" s="4"/>
    </row>
    <row r="3">
      <c r="E3" s="2"/>
      <c r="K3" s="36" t="s">
        <v>59</v>
      </c>
      <c r="L3" s="37"/>
      <c r="M3" s="36"/>
      <c r="N3" s="37"/>
    </row>
    <row r="4">
      <c r="A4" s="5" t="s">
        <v>1</v>
      </c>
      <c r="B4" s="5" t="s">
        <v>2</v>
      </c>
      <c r="C4" s="5" t="s">
        <v>3</v>
      </c>
      <c r="D4" s="6" t="s">
        <v>4</v>
      </c>
      <c r="E4" s="7" t="s">
        <v>5</v>
      </c>
      <c r="F4" s="8" t="s">
        <v>6</v>
      </c>
      <c r="G4" s="7" t="s">
        <v>7</v>
      </c>
      <c r="H4" s="8" t="s">
        <v>8</v>
      </c>
      <c r="I4" s="8" t="s">
        <v>9</v>
      </c>
      <c r="K4" s="7" t="s">
        <v>10</v>
      </c>
      <c r="L4" s="7" t="s">
        <v>37</v>
      </c>
      <c r="M4" s="7" t="s">
        <v>10</v>
      </c>
      <c r="N4" s="7" t="s">
        <v>97</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K5+(F5*5)</f>
        <v>2639</v>
      </c>
      <c r="N5" s="12">
        <f t="shared" ref="N5:N7" si="4">L5+(H5*5)</f>
        <v>1319.5</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5550</v>
      </c>
      <c r="N6" s="12">
        <f t="shared" si="4"/>
        <v>2775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1601.25</v>
      </c>
      <c r="N7" s="12">
        <f t="shared" si="4"/>
        <v>800.625</v>
      </c>
      <c r="O7" s="1"/>
      <c r="P7" s="1"/>
      <c r="Q7" s="1"/>
      <c r="R7" s="1"/>
      <c r="S7" s="1"/>
      <c r="T7" s="1"/>
      <c r="U7" s="1"/>
      <c r="V7" s="1"/>
      <c r="W7" s="1"/>
      <c r="X7" s="1"/>
      <c r="Y7" s="1"/>
      <c r="Z7" s="1"/>
      <c r="AA7" s="1"/>
      <c r="AB7" s="1"/>
      <c r="AC7" s="1"/>
      <c r="AD7" s="1"/>
      <c r="AE7" s="1"/>
      <c r="AF7" s="1"/>
      <c r="AG7" s="1"/>
      <c r="AH7" s="1"/>
      <c r="AI7" s="1"/>
    </row>
    <row r="8">
      <c r="A8" s="69">
        <v>886344.0</v>
      </c>
      <c r="B8" s="70" t="s">
        <v>18</v>
      </c>
      <c r="C8" s="70" t="s">
        <v>19</v>
      </c>
      <c r="D8" s="38">
        <v>151000.0</v>
      </c>
      <c r="E8" s="71">
        <v>0.1269</v>
      </c>
      <c r="F8" s="38">
        <f>D8*12.69%/12</f>
        <v>1596.825</v>
      </c>
      <c r="G8" s="72">
        <v>0.5</v>
      </c>
      <c r="H8" s="38">
        <v>0.0</v>
      </c>
      <c r="I8" s="73">
        <f t="shared" si="2"/>
        <v>1596.825</v>
      </c>
      <c r="J8" s="74"/>
      <c r="K8" s="38">
        <v>4875.008</v>
      </c>
      <c r="L8" s="38">
        <v>2437.504</v>
      </c>
      <c r="M8" s="38">
        <f>6666.07+(F8*5)</f>
        <v>14650.195</v>
      </c>
      <c r="N8" s="38">
        <f>4131.44+268.56</f>
        <v>4400</v>
      </c>
      <c r="O8" s="74" t="s">
        <v>93</v>
      </c>
      <c r="P8" s="74"/>
      <c r="Q8" s="74"/>
      <c r="R8" s="74"/>
      <c r="S8" s="74"/>
      <c r="T8" s="74"/>
      <c r="U8" s="74"/>
      <c r="V8" s="74"/>
      <c r="W8" s="74"/>
      <c r="X8" s="74"/>
      <c r="Y8" s="74"/>
      <c r="Z8" s="74"/>
      <c r="AA8" s="74"/>
      <c r="AB8" s="74"/>
      <c r="AC8" s="74"/>
      <c r="AD8" s="74"/>
      <c r="AE8" s="74"/>
      <c r="AF8" s="74"/>
      <c r="AG8" s="74"/>
      <c r="AH8" s="74"/>
      <c r="AI8" s="74"/>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c r="A10" s="55">
        <v>896997.0</v>
      </c>
      <c r="B10" s="56" t="s">
        <v>22</v>
      </c>
      <c r="C10" s="56" t="s">
        <v>23</v>
      </c>
      <c r="D10" s="57">
        <v>0.0</v>
      </c>
      <c r="E10" s="58">
        <v>0.05</v>
      </c>
      <c r="F10" s="57">
        <f>D10*5%/12</f>
        <v>0</v>
      </c>
      <c r="G10" s="58">
        <v>0.5</v>
      </c>
      <c r="H10" s="57">
        <f t="shared" si="6"/>
        <v>0</v>
      </c>
      <c r="I10" s="17">
        <f t="shared" si="2"/>
        <v>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K11+(F11*5)</f>
        <v>8796.666667</v>
      </c>
      <c r="N11" s="38">
        <f t="shared" ref="N11:N16" si="8">L11+(H11*5)</f>
        <v>4398.333333</v>
      </c>
      <c r="O11" s="1" t="s">
        <v>85</v>
      </c>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800</v>
      </c>
      <c r="N12" s="12">
        <f t="shared" si="8"/>
        <v>400</v>
      </c>
      <c r="O12" s="9"/>
      <c r="P12" s="9"/>
      <c r="Q12" s="9"/>
      <c r="R12" s="9"/>
      <c r="S12" s="9"/>
      <c r="T12" s="9"/>
      <c r="U12" s="9"/>
      <c r="V12" s="9"/>
      <c r="W12" s="9"/>
      <c r="X12" s="9"/>
      <c r="Y12" s="9"/>
      <c r="Z12" s="9"/>
      <c r="AA12" s="9"/>
      <c r="AB12" s="9"/>
      <c r="AC12" s="9"/>
      <c r="AD12" s="9"/>
      <c r="AE12" s="9"/>
      <c r="AF12" s="9"/>
      <c r="AG12" s="9"/>
      <c r="AH12" s="9"/>
      <c r="AI12" s="9"/>
    </row>
    <row r="13">
      <c r="A13" s="46">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7598.333333</v>
      </c>
      <c r="N13" s="38">
        <f t="shared" si="8"/>
        <v>3799.166667</v>
      </c>
      <c r="O13" s="1" t="s">
        <v>85</v>
      </c>
      <c r="P13" s="1"/>
      <c r="Q13" s="1"/>
      <c r="R13" s="1"/>
      <c r="S13" s="1"/>
      <c r="T13" s="1"/>
      <c r="U13" s="1"/>
      <c r="V13" s="1"/>
      <c r="W13" s="1"/>
      <c r="X13" s="1"/>
      <c r="Y13" s="1"/>
      <c r="Z13" s="1"/>
      <c r="AA13" s="1"/>
      <c r="AB13" s="1"/>
      <c r="AC13" s="1"/>
      <c r="AD13" s="1"/>
      <c r="AE13" s="1"/>
      <c r="AF13" s="1"/>
      <c r="AG13" s="1"/>
      <c r="AH13" s="1"/>
      <c r="AI13" s="1"/>
    </row>
    <row r="14">
      <c r="A14" s="47" t="s">
        <v>47</v>
      </c>
      <c r="B14" s="11" t="s">
        <v>48</v>
      </c>
      <c r="C14" s="11" t="s">
        <v>49</v>
      </c>
      <c r="D14" s="19">
        <v>104000.0</v>
      </c>
      <c r="E14" s="20">
        <v>0.1</v>
      </c>
      <c r="F14" s="12">
        <f>D14*E14/12</f>
        <v>866.6666667</v>
      </c>
      <c r="G14" s="13">
        <v>0.5</v>
      </c>
      <c r="H14" s="12">
        <f t="shared" ref="H14:H17" si="9">F14/2</f>
        <v>433.3333333</v>
      </c>
      <c r="I14" s="14">
        <f t="shared" si="2"/>
        <v>1300</v>
      </c>
      <c r="J14" s="1"/>
      <c r="K14" s="12">
        <v>4250.0</v>
      </c>
      <c r="L14" s="12">
        <v>1275.0</v>
      </c>
      <c r="M14" s="12">
        <f t="shared" si="7"/>
        <v>8583.333333</v>
      </c>
      <c r="N14" s="12">
        <f t="shared" si="8"/>
        <v>3441.666667</v>
      </c>
      <c r="O14" s="1"/>
      <c r="P14" s="1"/>
      <c r="Q14" s="1"/>
      <c r="R14" s="1"/>
      <c r="S14" s="1"/>
      <c r="T14" s="1"/>
      <c r="U14" s="1"/>
      <c r="V14" s="1"/>
      <c r="W14" s="1"/>
      <c r="X14" s="1"/>
      <c r="Y14" s="1"/>
      <c r="Z14" s="1"/>
      <c r="AA14" s="1"/>
      <c r="AB14" s="1"/>
      <c r="AC14" s="1"/>
      <c r="AD14" s="1"/>
      <c r="AE14" s="1"/>
      <c r="AF14" s="1"/>
      <c r="AG14" s="1"/>
      <c r="AH14" s="1"/>
      <c r="AI14" s="1"/>
    </row>
    <row r="15">
      <c r="A15" s="10">
        <v>943285.0</v>
      </c>
      <c r="B15" s="11" t="s">
        <v>51</v>
      </c>
      <c r="C15" s="11" t="s">
        <v>52</v>
      </c>
      <c r="D15" s="19">
        <v>227300.0</v>
      </c>
      <c r="E15" s="20" t="s">
        <v>29</v>
      </c>
      <c r="F15" s="12">
        <v>1000.0</v>
      </c>
      <c r="G15" s="13">
        <v>0.5</v>
      </c>
      <c r="H15" s="12">
        <f t="shared" si="9"/>
        <v>500</v>
      </c>
      <c r="I15" s="14">
        <f t="shared" si="2"/>
        <v>1500</v>
      </c>
      <c r="J15" s="1"/>
      <c r="K15" s="12">
        <v>1000.0</v>
      </c>
      <c r="L15" s="12">
        <v>500.0</v>
      </c>
      <c r="M15" s="12">
        <f t="shared" si="7"/>
        <v>6000</v>
      </c>
      <c r="N15" s="12">
        <f t="shared" si="8"/>
        <v>3000</v>
      </c>
      <c r="O15" s="1"/>
      <c r="P15" s="1"/>
      <c r="Q15" s="1"/>
      <c r="R15" s="1"/>
      <c r="S15" s="1"/>
      <c r="T15" s="1"/>
      <c r="U15" s="1"/>
      <c r="V15" s="1"/>
      <c r="W15" s="1"/>
      <c r="X15" s="1"/>
      <c r="Y15" s="1"/>
      <c r="Z15" s="1"/>
      <c r="AA15" s="1"/>
      <c r="AB15" s="1"/>
      <c r="AC15" s="1"/>
      <c r="AD15" s="1"/>
      <c r="AE15" s="1"/>
      <c r="AF15" s="1"/>
      <c r="AG15" s="1"/>
      <c r="AH15" s="1"/>
      <c r="AI15" s="1"/>
    </row>
    <row r="16">
      <c r="A16" s="10">
        <v>946506.0</v>
      </c>
      <c r="B16" s="11" t="s">
        <v>54</v>
      </c>
      <c r="C16" s="11" t="s">
        <v>55</v>
      </c>
      <c r="D16" s="19">
        <v>124000.0</v>
      </c>
      <c r="E16" s="20" t="s">
        <v>29</v>
      </c>
      <c r="F16" s="12">
        <v>733.0</v>
      </c>
      <c r="G16" s="13">
        <v>0.5</v>
      </c>
      <c r="H16" s="12">
        <f t="shared" si="9"/>
        <v>366.5</v>
      </c>
      <c r="I16" s="14">
        <f t="shared" si="2"/>
        <v>1099.5</v>
      </c>
      <c r="J16" s="1"/>
      <c r="K16" s="12">
        <v>733.0</v>
      </c>
      <c r="L16" s="12">
        <v>366.5</v>
      </c>
      <c r="M16" s="12">
        <f t="shared" si="7"/>
        <v>4398</v>
      </c>
      <c r="N16" s="12">
        <f t="shared" si="8"/>
        <v>2199</v>
      </c>
      <c r="O16" s="1"/>
      <c r="P16" s="1"/>
      <c r="Q16" s="1"/>
      <c r="R16" s="1"/>
      <c r="S16" s="1"/>
      <c r="T16" s="1"/>
      <c r="U16" s="1"/>
      <c r="V16" s="1"/>
      <c r="W16" s="1"/>
      <c r="X16" s="1"/>
      <c r="Y16" s="1"/>
      <c r="Z16" s="1"/>
      <c r="AA16" s="1"/>
      <c r="AB16" s="1"/>
      <c r="AC16" s="1"/>
      <c r="AD16" s="1"/>
      <c r="AE16" s="1"/>
      <c r="AF16" s="1"/>
      <c r="AG16" s="1"/>
      <c r="AH16" s="1"/>
      <c r="AI16" s="1"/>
    </row>
    <row r="17">
      <c r="A17" s="10">
        <v>962325.0</v>
      </c>
      <c r="B17" s="11" t="s">
        <v>88</v>
      </c>
      <c r="C17" s="11" t="s">
        <v>89</v>
      </c>
      <c r="D17" s="19">
        <v>60000.0</v>
      </c>
      <c r="E17" s="20">
        <v>0.03</v>
      </c>
      <c r="F17" s="19">
        <f>D17*E17/12</f>
        <v>150</v>
      </c>
      <c r="G17" s="20">
        <v>0.5</v>
      </c>
      <c r="H17" s="19">
        <f t="shared" si="9"/>
        <v>75</v>
      </c>
      <c r="I17" s="14">
        <f t="shared" si="2"/>
        <v>225</v>
      </c>
      <c r="J17" s="9"/>
      <c r="K17" s="19">
        <v>733.0</v>
      </c>
      <c r="L17" s="19">
        <v>366.5</v>
      </c>
      <c r="M17" s="19">
        <f>F17*4</f>
        <v>600</v>
      </c>
      <c r="N17" s="19">
        <f>H17*4</f>
        <v>300</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49"/>
      <c r="E19" s="2"/>
      <c r="F19" s="28">
        <f>SUM(F5:F17)</f>
        <v>8248.158333</v>
      </c>
      <c r="H19" s="28">
        <f t="shared" ref="H19:I19" si="10">SUM(H5:H17)</f>
        <v>3325.666667</v>
      </c>
      <c r="I19" s="28">
        <f t="shared" si="10"/>
        <v>11573.825</v>
      </c>
      <c r="K19" s="24"/>
      <c r="L19" s="28"/>
      <c r="M19" s="28">
        <f t="shared" ref="M19:N19" si="11">SUM(M5:M17)</f>
        <v>64938.02833</v>
      </c>
      <c r="N19" s="28">
        <f t="shared" si="11"/>
        <v>28693.91667</v>
      </c>
    </row>
    <row r="20">
      <c r="A20" s="29" t="s">
        <v>32</v>
      </c>
      <c r="B20" s="27"/>
      <c r="C20" s="27"/>
      <c r="D20" s="27"/>
      <c r="E20" s="30"/>
      <c r="F20" s="28"/>
      <c r="G20" s="30"/>
      <c r="H20" s="28"/>
      <c r="I20" s="28"/>
      <c r="K20" s="15"/>
    </row>
    <row r="21"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ht="15.75" customHeight="1">
      <c r="E22" s="2"/>
      <c r="K22" s="15"/>
    </row>
    <row r="23" ht="15.75" customHeight="1">
      <c r="A23" s="35" t="s">
        <v>34</v>
      </c>
      <c r="E23" s="2"/>
      <c r="K23" s="15"/>
    </row>
    <row r="24"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ht="15.75" customHeight="1">
      <c r="A25" s="65"/>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2019-12-05T10:02:32Z</dcterms:created>
  <dc:creator>Julie Anne O'Brien</dc:creator>
</cp:coreProperties>
</file>