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thilvel-a\Documents\_UNC\phython practice\personal files\matlab_bo\project constraints\github repository\Results\"/>
    </mc:Choice>
  </mc:AlternateContent>
  <xr:revisionPtr revIDLastSave="0" documentId="13_ncr:1_{1E12FACF-1872-43D7-B783-8B256E694682}" xr6:coauthVersionLast="36" xr6:coauthVersionMax="36" xr10:uidLastSave="{00000000-0000-0000-0000-000000000000}"/>
  <bookViews>
    <workbookView xWindow="0" yWindow="0" windowWidth="28800" windowHeight="11775" xr2:uid="{A7BD38B4-EA95-4C19-9A02-AB17436FC85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1" l="1"/>
  <c r="R25" i="1"/>
  <c r="S25" i="1"/>
  <c r="T25" i="1"/>
  <c r="U25" i="1"/>
  <c r="Q24" i="1" l="1"/>
  <c r="R24" i="1"/>
  <c r="S24" i="1"/>
  <c r="T24" i="1"/>
  <c r="U24" i="1"/>
  <c r="Q23" i="1"/>
  <c r="R23" i="1"/>
  <c r="S23" i="1"/>
  <c r="T23" i="1"/>
  <c r="U23" i="1"/>
  <c r="Q22" i="1" l="1"/>
  <c r="R22" i="1"/>
  <c r="S22" i="1"/>
  <c r="T22" i="1"/>
  <c r="U22" i="1"/>
  <c r="Q21" i="1"/>
  <c r="R21" i="1"/>
  <c r="S21" i="1"/>
  <c r="T21" i="1"/>
  <c r="U21" i="1"/>
  <c r="Q20" i="1"/>
  <c r="R20" i="1"/>
  <c r="S20" i="1"/>
  <c r="T20" i="1"/>
  <c r="U20" i="1"/>
  <c r="Q19" i="1" l="1"/>
  <c r="R19" i="1"/>
  <c r="S19" i="1"/>
  <c r="T19" i="1"/>
  <c r="U19" i="1"/>
  <c r="Q18" i="1"/>
  <c r="R18" i="1"/>
  <c r="S18" i="1"/>
  <c r="T18" i="1"/>
  <c r="U18" i="1"/>
  <c r="Q8" i="1"/>
  <c r="R8" i="1"/>
  <c r="S8" i="1"/>
  <c r="T8" i="1"/>
  <c r="U8" i="1"/>
  <c r="Q9" i="1"/>
  <c r="R9" i="1"/>
  <c r="S9" i="1"/>
  <c r="T9" i="1"/>
  <c r="U9" i="1"/>
  <c r="Q10" i="1"/>
  <c r="R10" i="1"/>
  <c r="S10" i="1"/>
  <c r="T10" i="1"/>
  <c r="U10" i="1"/>
  <c r="Q11" i="1"/>
  <c r="R11" i="1"/>
  <c r="S11" i="1"/>
  <c r="T11" i="1"/>
  <c r="U11" i="1"/>
  <c r="Q12" i="1"/>
  <c r="R12" i="1"/>
  <c r="S12" i="1"/>
  <c r="T12" i="1"/>
  <c r="U12" i="1"/>
  <c r="Q13" i="1"/>
  <c r="R13" i="1"/>
  <c r="S13" i="1"/>
  <c r="T13" i="1"/>
  <c r="U13" i="1"/>
  <c r="Q14" i="1"/>
  <c r="R14" i="1"/>
  <c r="S14" i="1"/>
  <c r="T14" i="1"/>
  <c r="U14" i="1"/>
  <c r="Q15" i="1"/>
  <c r="R15" i="1"/>
  <c r="S15" i="1"/>
  <c r="T15" i="1"/>
  <c r="U15" i="1"/>
  <c r="Q16" i="1"/>
  <c r="R16" i="1"/>
  <c r="S16" i="1"/>
  <c r="T16" i="1"/>
  <c r="U16" i="1"/>
  <c r="Q17" i="1"/>
  <c r="R17" i="1"/>
  <c r="S17" i="1"/>
  <c r="T17" i="1"/>
  <c r="U17" i="1"/>
  <c r="T9" i="2" l="1"/>
  <c r="T10" i="2"/>
  <c r="T11" i="2"/>
  <c r="T12" i="2"/>
  <c r="T13" i="2"/>
  <c r="T8" i="2"/>
  <c r="T7" i="2"/>
  <c r="T6" i="2"/>
  <c r="T5" i="2"/>
  <c r="R13" i="2"/>
  <c r="R12" i="2"/>
  <c r="R11" i="2"/>
  <c r="R10" i="2"/>
  <c r="R9" i="2"/>
  <c r="R8" i="2"/>
  <c r="R7" i="2"/>
  <c r="R6" i="2"/>
  <c r="R5" i="2"/>
  <c r="T7" i="1" l="1"/>
  <c r="T6" i="1"/>
  <c r="Q7" i="1"/>
  <c r="Q6" i="1"/>
  <c r="S7" i="1"/>
  <c r="R7" i="1"/>
  <c r="R6" i="1"/>
  <c r="S6" i="1"/>
  <c r="U7" i="1"/>
  <c r="U6" i="1"/>
</calcChain>
</file>

<file path=xl/sharedStrings.xml><?xml version="1.0" encoding="utf-8"?>
<sst xmlns="http://schemas.openxmlformats.org/spreadsheetml/2006/main" count="201" uniqueCount="75">
  <si>
    <t>Stage</t>
  </si>
  <si>
    <t xml:space="preserve">Exp. No. </t>
  </si>
  <si>
    <t>Temp.</t>
  </si>
  <si>
    <t>time</t>
  </si>
  <si>
    <t>Time</t>
  </si>
  <si>
    <t>Cat. load.</t>
  </si>
  <si>
    <t xml:space="preserve">Electro. Load. </t>
  </si>
  <si>
    <t>Ligand</t>
  </si>
  <si>
    <t>Base</t>
  </si>
  <si>
    <t>Electrophile</t>
  </si>
  <si>
    <t>Variables</t>
  </si>
  <si>
    <t>Continuous variables</t>
  </si>
  <si>
    <t>Cat load.</t>
  </si>
  <si>
    <t>mol%</t>
  </si>
  <si>
    <t>Discrete numeric</t>
  </si>
  <si>
    <t>cel.</t>
  </si>
  <si>
    <t>hr</t>
  </si>
  <si>
    <t xml:space="preserve">Electrophile stoic. </t>
  </si>
  <si>
    <t xml:space="preserve">eq. </t>
  </si>
  <si>
    <t>Ligands</t>
  </si>
  <si>
    <t>Electrophiles</t>
  </si>
  <si>
    <t>Johnphos</t>
  </si>
  <si>
    <t>KotBu</t>
  </si>
  <si>
    <t>PhBr</t>
  </si>
  <si>
    <t>Cat</t>
  </si>
  <si>
    <t xml:space="preserve">Base </t>
  </si>
  <si>
    <t>mg</t>
  </si>
  <si>
    <t>ml</t>
  </si>
  <si>
    <t>Lim</t>
  </si>
  <si>
    <t>KotBu, Cs2Co3</t>
  </si>
  <si>
    <t>JohnPhos, Xantphos, Pph3</t>
  </si>
  <si>
    <t>Reagents</t>
  </si>
  <si>
    <t>Fluroxitine</t>
  </si>
  <si>
    <t>Pal. Catalyst</t>
  </si>
  <si>
    <t>Xantphos</t>
  </si>
  <si>
    <t>Pph3</t>
  </si>
  <si>
    <t>Cs2Co3</t>
  </si>
  <si>
    <t>Mol weight</t>
  </si>
  <si>
    <t>density</t>
  </si>
  <si>
    <t>g/ml</t>
  </si>
  <si>
    <t>Limiting reagent</t>
  </si>
  <si>
    <t>Catalyst</t>
  </si>
  <si>
    <t>Categorical</t>
  </si>
  <si>
    <t>cel</t>
  </si>
  <si>
    <t>eq.</t>
  </si>
  <si>
    <t>Lim reagent</t>
  </si>
  <si>
    <t>micromol</t>
  </si>
  <si>
    <t>Solvent</t>
  </si>
  <si>
    <t>Toluene</t>
  </si>
  <si>
    <t>3 eq</t>
  </si>
  <si>
    <t>4 cat loading</t>
  </si>
  <si>
    <t>PhBr, PhCl</t>
  </si>
  <si>
    <t>PhCl</t>
  </si>
  <si>
    <t>micro l</t>
  </si>
  <si>
    <t>Yield</t>
  </si>
  <si>
    <t>%</t>
  </si>
  <si>
    <t>Objective</t>
  </si>
  <si>
    <t>Productivity</t>
  </si>
  <si>
    <t>Cost spent</t>
  </si>
  <si>
    <t>Euro</t>
  </si>
  <si>
    <t>g/h</t>
  </si>
  <si>
    <t xml:space="preserve">Reagent  preparation </t>
  </si>
  <si>
    <t>Sampling</t>
  </si>
  <si>
    <t>mg/(h. euro)</t>
  </si>
  <si>
    <t>Cost</t>
  </si>
  <si>
    <t>euro/l</t>
  </si>
  <si>
    <t>euro/g</t>
  </si>
  <si>
    <t>euro/mol</t>
  </si>
  <si>
    <t>The. Obj.</t>
  </si>
  <si>
    <t>Yield = 100 %</t>
  </si>
  <si>
    <t>Yield = 100%</t>
  </si>
  <si>
    <t>Theoretical obj.max</t>
  </si>
  <si>
    <t>g/h.euro</t>
  </si>
  <si>
    <t>Optimization</t>
  </si>
  <si>
    <t>obj. tol.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</si>
</sst>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15" xfId="0" applyBorder="1"/>
    <xf numFmtId="0" fontId="0" fillId="3" borderId="1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3" xfId="0" applyFill="1" applyBorder="1"/>
    <xf numFmtId="0" fontId="0" fillId="3" borderId="0" xfId="0" applyFill="1"/>
    <xf numFmtId="0" fontId="0" fillId="3" borderId="1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4" xfId="0" applyFill="1" applyBorder="1"/>
    <xf numFmtId="0" fontId="0" fillId="3" borderId="1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5" xfId="0" applyFill="1" applyBorder="1"/>
    <xf numFmtId="0" fontId="0" fillId="4" borderId="1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3" xfId="0" applyFill="1" applyBorder="1"/>
    <xf numFmtId="0" fontId="0" fillId="4" borderId="0" xfId="0" applyFill="1"/>
    <xf numFmtId="0" fontId="0" fillId="4" borderId="1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5" xfId="0" applyFill="1" applyBorder="1"/>
    <xf numFmtId="0" fontId="0" fillId="5" borderId="1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3" xfId="0" applyFill="1" applyBorder="1"/>
    <xf numFmtId="0" fontId="0" fillId="5" borderId="0" xfId="0" applyFill="1"/>
    <xf numFmtId="0" fontId="0" fillId="5" borderId="9" xfId="0" applyFill="1" applyBorder="1" applyAlignment="1">
      <alignment horizontal="center"/>
    </xf>
    <xf numFmtId="0" fontId="0" fillId="5" borderId="15" xfId="0" applyFill="1" applyBorder="1"/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8F02-B5E4-4A4B-9A58-CCD414F56636}">
  <dimension ref="A1:U33"/>
  <sheetViews>
    <sheetView tabSelected="1" zoomScale="85" zoomScaleNormal="85" workbookViewId="0">
      <selection activeCell="M32" sqref="M32"/>
    </sheetView>
  </sheetViews>
  <sheetFormatPr defaultRowHeight="15" x14ac:dyDescent="0.25"/>
  <cols>
    <col min="1" max="1" width="13.140625" style="10" bestFit="1" customWidth="1"/>
    <col min="6" max="6" width="13.42578125" bestFit="1" customWidth="1"/>
    <col min="9" max="9" width="11.7109375" bestFit="1" customWidth="1"/>
    <col min="11" max="11" width="11.7109375" bestFit="1" customWidth="1"/>
    <col min="12" max="12" width="12" bestFit="1" customWidth="1"/>
    <col min="13" max="13" width="12.42578125" bestFit="1" customWidth="1"/>
    <col min="14" max="14" width="12.28515625" bestFit="1" customWidth="1"/>
    <col min="17" max="17" width="10.5703125" bestFit="1" customWidth="1"/>
    <col min="20" max="20" width="11.7109375" bestFit="1" customWidth="1"/>
  </cols>
  <sheetData>
    <row r="1" spans="1:21" ht="15.75" thickBot="1" x14ac:dyDescent="0.3"/>
    <row r="2" spans="1:21" ht="15.75" thickBot="1" x14ac:dyDescent="0.3">
      <c r="N2" t="s">
        <v>69</v>
      </c>
      <c r="Q2" s="89" t="s">
        <v>61</v>
      </c>
      <c r="R2" s="90"/>
      <c r="S2" s="90"/>
      <c r="T2" s="90"/>
      <c r="U2" s="91"/>
    </row>
    <row r="3" spans="1:21" ht="15.75" thickBot="1" x14ac:dyDescent="0.3">
      <c r="A3" s="77" t="s">
        <v>0</v>
      </c>
      <c r="B3" s="24" t="s">
        <v>1</v>
      </c>
      <c r="C3" s="13" t="s">
        <v>2</v>
      </c>
      <c r="D3" s="24" t="s">
        <v>4</v>
      </c>
      <c r="E3" s="24" t="s">
        <v>5</v>
      </c>
      <c r="F3" s="24" t="s">
        <v>6</v>
      </c>
      <c r="G3" s="24" t="s">
        <v>7</v>
      </c>
      <c r="H3" s="24" t="s">
        <v>8</v>
      </c>
      <c r="I3" s="14" t="s">
        <v>9</v>
      </c>
      <c r="J3" s="33" t="s">
        <v>54</v>
      </c>
      <c r="K3" s="24" t="s">
        <v>57</v>
      </c>
      <c r="L3" s="24" t="s">
        <v>58</v>
      </c>
      <c r="M3" s="33" t="s">
        <v>56</v>
      </c>
      <c r="N3" s="10" t="s">
        <v>68</v>
      </c>
      <c r="O3" s="10" t="s">
        <v>74</v>
      </c>
      <c r="P3" s="10"/>
      <c r="Q3" s="13" t="s">
        <v>24</v>
      </c>
      <c r="R3" s="24" t="s">
        <v>7</v>
      </c>
      <c r="S3" s="24" t="s">
        <v>25</v>
      </c>
      <c r="T3" s="24" t="s">
        <v>9</v>
      </c>
      <c r="U3" s="14" t="s">
        <v>28</v>
      </c>
    </row>
    <row r="4" spans="1:21" ht="15.75" thickBot="1" x14ac:dyDescent="0.3">
      <c r="A4" s="92" t="s">
        <v>62</v>
      </c>
      <c r="B4" s="19"/>
      <c r="C4" s="19" t="s">
        <v>43</v>
      </c>
      <c r="D4" s="20" t="s">
        <v>16</v>
      </c>
      <c r="E4" s="20" t="s">
        <v>13</v>
      </c>
      <c r="F4" s="20" t="s">
        <v>44</v>
      </c>
      <c r="G4" s="20"/>
      <c r="H4" s="20"/>
      <c r="I4" s="21"/>
      <c r="J4" s="34" t="s">
        <v>55</v>
      </c>
      <c r="K4" s="24" t="s">
        <v>60</v>
      </c>
      <c r="L4" s="24" t="s">
        <v>59</v>
      </c>
      <c r="M4" s="33" t="s">
        <v>63</v>
      </c>
      <c r="N4" s="10"/>
      <c r="O4" s="10"/>
      <c r="P4" s="10"/>
      <c r="Q4" s="13" t="s">
        <v>26</v>
      </c>
      <c r="R4" s="24" t="s">
        <v>26</v>
      </c>
      <c r="S4" s="24" t="s">
        <v>26</v>
      </c>
      <c r="T4" s="24" t="s">
        <v>53</v>
      </c>
      <c r="U4" s="14" t="s">
        <v>26</v>
      </c>
    </row>
    <row r="5" spans="1:21" s="22" customFormat="1" ht="15.75" thickBot="1" x14ac:dyDescent="0.3">
      <c r="A5" s="93"/>
      <c r="B5" s="27"/>
      <c r="C5" s="28"/>
      <c r="D5" s="29"/>
      <c r="E5" s="29"/>
      <c r="F5" s="29"/>
      <c r="G5" s="29"/>
      <c r="H5" s="29"/>
      <c r="I5" s="30"/>
      <c r="J5" s="35"/>
      <c r="K5" s="29"/>
      <c r="L5" s="29"/>
      <c r="M5" s="35"/>
      <c r="N5" s="23"/>
      <c r="O5" s="23"/>
      <c r="P5" s="23"/>
      <c r="Q5" s="27"/>
      <c r="R5" s="36"/>
      <c r="S5" s="36"/>
      <c r="T5" s="36"/>
      <c r="U5" s="37"/>
    </row>
    <row r="6" spans="1:21" x14ac:dyDescent="0.25">
      <c r="A6" s="93"/>
      <c r="B6" s="15">
        <v>1</v>
      </c>
      <c r="C6" s="15">
        <v>80</v>
      </c>
      <c r="D6" s="31">
        <v>4</v>
      </c>
      <c r="E6" s="31">
        <v>2.75</v>
      </c>
      <c r="F6" s="31">
        <v>1.5</v>
      </c>
      <c r="G6" s="31" t="s">
        <v>21</v>
      </c>
      <c r="H6" s="31" t="s">
        <v>22</v>
      </c>
      <c r="I6" s="16" t="s">
        <v>23</v>
      </c>
      <c r="J6" s="74">
        <v>99.4</v>
      </c>
      <c r="K6" s="83">
        <v>47.889677499999998</v>
      </c>
      <c r="L6" s="31">
        <v>0.69591799350000005</v>
      </c>
      <c r="M6" s="71">
        <v>68.815116073011794</v>
      </c>
      <c r="N6" s="72">
        <v>69.230499067416304</v>
      </c>
      <c r="O6" s="10"/>
      <c r="P6" s="10"/>
      <c r="Q6" s="38">
        <f>Sheet2!$E$15*0.001*Sheet2!$P$8*Sheet1!$E6*0.01</f>
        <v>12.591287500000002</v>
      </c>
      <c r="R6" s="39">
        <f>IF(G6="Johnphos",Sheet2!$E$15*0.001*Sheet1!$E6*0.01*Sheet2!$P$9*4,IF(G6="Xantphos",Sheet2!$E$15*0.001*Sheet1!$E6*0.01*Sheet2!$P$10*4,IF(G6="Pph3",Sheet2!$E$15*0.001*Sheet1!$E6*0.01*Sheet2!$P$11*4)))</f>
        <v>16.412550000000003</v>
      </c>
      <c r="S6" s="39">
        <f>IF(H6="KotBu",Sheet2!$E$15*0.001*Sheet2!$P$12*3,IF(H6="Cs2Co3",Sheet2!$E$15*0.001*Sheet2!$P$13*3,""))</f>
        <v>168.315</v>
      </c>
      <c r="T6" s="39">
        <f>IF(I6="PhBr", Sheet2!$E$15*0.001*Sheet2!$P$6*$F6/Sheet2!$Q$6, IF(I6="PhCl", Sheet2!$E$15*0.001*Sheet2!$P$7*$F6/Sheet2!$Q$7, ""))</f>
        <v>78.504999999999995</v>
      </c>
      <c r="U6" s="40">
        <f>Sheet2!$E$15*0.001*Sheet2!$P$5</f>
        <v>172.89500000000001</v>
      </c>
    </row>
    <row r="7" spans="1:21" x14ac:dyDescent="0.25">
      <c r="A7" s="93"/>
      <c r="B7" s="15">
        <v>2</v>
      </c>
      <c r="C7" s="15">
        <v>80</v>
      </c>
      <c r="D7" s="31">
        <v>4</v>
      </c>
      <c r="E7" s="31">
        <v>2.75</v>
      </c>
      <c r="F7" s="31">
        <v>1.5</v>
      </c>
      <c r="G7" s="31" t="s">
        <v>21</v>
      </c>
      <c r="H7" s="31" t="s">
        <v>36</v>
      </c>
      <c r="I7" s="16" t="s">
        <v>23</v>
      </c>
      <c r="J7" s="75">
        <v>1</v>
      </c>
      <c r="K7" s="84">
        <v>0.48178749999999998</v>
      </c>
      <c r="L7" s="31">
        <v>0.92677266150000004</v>
      </c>
      <c r="M7" s="71">
        <v>0.51985510580363603</v>
      </c>
      <c r="N7" s="72">
        <v>51.985510580363602</v>
      </c>
      <c r="O7" s="10"/>
      <c r="P7" s="10"/>
      <c r="Q7" s="38">
        <f>Sheet2!$E$15*0.001*Sheet2!$P$8*Sheet1!$E7*0.01</f>
        <v>12.591287500000002</v>
      </c>
      <c r="R7" s="39">
        <f>IF(G7="Johnphos",Sheet2!$E$15*0.001*Sheet1!$E7*0.01*Sheet2!$P$9*4,IF(G7="Xantphos",Sheet2!$E$15*0.001*Sheet1!$E7*0.01*Sheet2!$P$10*4,IF(G7="Pph3",Sheet2!$E$15*0.001*Sheet1!$E7*0.01*Sheet2!$P$11*4)))</f>
        <v>16.412550000000003</v>
      </c>
      <c r="S7" s="39">
        <f>IF(H7="KotBu",Sheet2!$E$15*0.001*Sheet2!$P$12*3,IF(H7="Cs2Co3",Sheet2!$E$15*0.001*Sheet2!$P$13*3,""))</f>
        <v>488.73</v>
      </c>
      <c r="T7" s="39">
        <f>IF(I7="PhBr", Sheet2!$E$15*0.001*Sheet2!$P$6*$F7/Sheet2!$Q$6, IF(I7="PhCl", Sheet2!$E$15*0.001*Sheet2!$P$7*$F7/Sheet2!$Q$7, ""))</f>
        <v>78.504999999999995</v>
      </c>
      <c r="U7" s="40">
        <f>Sheet2!$E$15*0.001*Sheet2!$P$5</f>
        <v>172.89500000000001</v>
      </c>
    </row>
    <row r="8" spans="1:21" x14ac:dyDescent="0.25">
      <c r="A8" s="93"/>
      <c r="B8" s="15">
        <v>3</v>
      </c>
      <c r="C8" s="15">
        <v>80</v>
      </c>
      <c r="D8" s="31">
        <v>4</v>
      </c>
      <c r="E8" s="31">
        <v>2.75</v>
      </c>
      <c r="F8" s="31">
        <v>1.5</v>
      </c>
      <c r="G8" s="31" t="s">
        <v>34</v>
      </c>
      <c r="H8" s="31" t="s">
        <v>22</v>
      </c>
      <c r="I8" s="16" t="s">
        <v>23</v>
      </c>
      <c r="J8" s="75">
        <v>88.5</v>
      </c>
      <c r="K8" s="84">
        <v>42.638193749999999</v>
      </c>
      <c r="L8" s="31">
        <v>1.2152699035000001</v>
      </c>
      <c r="M8" s="71">
        <v>35.085369618058699</v>
      </c>
      <c r="N8" s="72">
        <v>39.644485444134098</v>
      </c>
      <c r="O8" s="10"/>
      <c r="P8" s="10"/>
      <c r="Q8" s="38">
        <f>Sheet2!$E$15*0.001*Sheet2!$P$8*Sheet1!$E8*0.01</f>
        <v>12.591287500000002</v>
      </c>
      <c r="R8" s="39">
        <f>IF(G8="Johnphos",Sheet2!$E$15*0.001*Sheet1!$E8*0.01*Sheet2!$P$9*4,IF(G8="Xantphos",Sheet2!$E$15*0.001*Sheet1!$E8*0.01*Sheet2!$P$10*4,IF(G8="Pph3",Sheet2!$E$15*0.001*Sheet1!$E8*0.01*Sheet2!$P$11*4)))</f>
        <v>31.824100000000001</v>
      </c>
      <c r="S8" s="39">
        <f>IF(H8="KotBu",Sheet2!$E$15*0.001*Sheet2!$P$12*3,IF(H8="Cs2Co3",Sheet2!$E$15*0.001*Sheet2!$P$13*3,""))</f>
        <v>168.315</v>
      </c>
      <c r="T8" s="39">
        <f>IF(I8="PhBr", Sheet2!$E$15*0.001*Sheet2!$P$6*$F8/Sheet2!$Q$6, IF(I8="PhCl", Sheet2!$E$15*0.001*Sheet2!$P$7*$F8/Sheet2!$Q$7, ""))</f>
        <v>78.504999999999995</v>
      </c>
      <c r="U8" s="40">
        <f>Sheet2!$E$15*0.001*Sheet2!$P$5</f>
        <v>172.89500000000001</v>
      </c>
    </row>
    <row r="9" spans="1:21" x14ac:dyDescent="0.25">
      <c r="A9" s="93"/>
      <c r="B9" s="15">
        <v>4</v>
      </c>
      <c r="C9" s="15">
        <v>80</v>
      </c>
      <c r="D9" s="31">
        <v>4</v>
      </c>
      <c r="E9" s="31">
        <v>2.75</v>
      </c>
      <c r="F9" s="31">
        <v>1.5</v>
      </c>
      <c r="G9" s="31" t="s">
        <v>34</v>
      </c>
      <c r="H9" s="31" t="s">
        <v>36</v>
      </c>
      <c r="I9" s="16" t="s">
        <v>23</v>
      </c>
      <c r="J9" s="75">
        <v>0</v>
      </c>
      <c r="K9" s="84">
        <v>0</v>
      </c>
      <c r="L9" s="31">
        <v>1.4461245715</v>
      </c>
      <c r="M9" s="71">
        <v>0</v>
      </c>
      <c r="N9" s="72">
        <v>33.315767499909299</v>
      </c>
      <c r="O9" s="10"/>
      <c r="P9" s="10"/>
      <c r="Q9" s="38">
        <f>Sheet2!$E$15*0.001*Sheet2!$P$8*Sheet1!$E9*0.01</f>
        <v>12.591287500000002</v>
      </c>
      <c r="R9" s="39">
        <f>IF(G9="Johnphos",Sheet2!$E$15*0.001*Sheet1!$E9*0.01*Sheet2!$P$9*4,IF(G9="Xantphos",Sheet2!$E$15*0.001*Sheet1!$E9*0.01*Sheet2!$P$10*4,IF(G9="Pph3",Sheet2!$E$15*0.001*Sheet1!$E9*0.01*Sheet2!$P$11*4)))</f>
        <v>31.824100000000001</v>
      </c>
      <c r="S9" s="39">
        <f>IF(H9="KotBu",Sheet2!$E$15*0.001*Sheet2!$P$12*3,IF(H9="Cs2Co3",Sheet2!$E$15*0.001*Sheet2!$P$13*3,""))</f>
        <v>488.73</v>
      </c>
      <c r="T9" s="39">
        <f>IF(I9="PhBr", Sheet2!$E$15*0.001*Sheet2!$P$6*$F9/Sheet2!$Q$6, IF(I9="PhCl", Sheet2!$E$15*0.001*Sheet2!$P$7*$F9/Sheet2!$Q$7, ""))</f>
        <v>78.504999999999995</v>
      </c>
      <c r="U9" s="40">
        <f>Sheet2!$E$15*0.001*Sheet2!$P$5</f>
        <v>172.89500000000001</v>
      </c>
    </row>
    <row r="10" spans="1:21" x14ac:dyDescent="0.25">
      <c r="A10" s="93"/>
      <c r="B10" s="15">
        <v>5</v>
      </c>
      <c r="C10" s="15">
        <v>80</v>
      </c>
      <c r="D10" s="31">
        <v>4</v>
      </c>
      <c r="E10" s="31">
        <v>2.75</v>
      </c>
      <c r="F10" s="31">
        <v>1.5</v>
      </c>
      <c r="G10" s="31" t="s">
        <v>35</v>
      </c>
      <c r="H10" s="31" t="s">
        <v>22</v>
      </c>
      <c r="I10" s="16" t="s">
        <v>23</v>
      </c>
      <c r="J10" s="75">
        <v>5.4</v>
      </c>
      <c r="K10" s="84">
        <v>2.6016525000000001</v>
      </c>
      <c r="L10" s="31">
        <v>0.50836748310000002</v>
      </c>
      <c r="M10" s="71">
        <v>5.1176611142302999</v>
      </c>
      <c r="N10" s="72">
        <v>94.771502115375995</v>
      </c>
      <c r="O10" s="10"/>
      <c r="P10" s="10"/>
      <c r="Q10" s="38">
        <f>Sheet2!$E$15*0.001*Sheet2!$P$8*Sheet1!$E10*0.01</f>
        <v>12.591287500000002</v>
      </c>
      <c r="R10" s="39">
        <f>IF(G10="Johnphos",Sheet2!$E$15*0.001*Sheet1!$E10*0.01*Sheet2!$P$9*4,IF(G10="Xantphos",Sheet2!$E$15*0.001*Sheet1!$E10*0.01*Sheet2!$P$10*4,IF(G10="Pph3",Sheet2!$E$15*0.001*Sheet1!$E10*0.01*Sheet2!$P$11*4)))</f>
        <v>14.426059999999998</v>
      </c>
      <c r="S10" s="39">
        <f>IF(H10="KotBu",Sheet2!$E$15*0.001*Sheet2!$P$12*3,IF(H10="Cs2Co3",Sheet2!$E$15*0.001*Sheet2!$P$13*3,""))</f>
        <v>168.315</v>
      </c>
      <c r="T10" s="39">
        <f>IF(I10="PhBr", Sheet2!$E$15*0.001*Sheet2!$P$6*$F10/Sheet2!$Q$6, IF(I10="PhCl", Sheet2!$E$15*0.001*Sheet2!$P$7*$F10/Sheet2!$Q$7, ""))</f>
        <v>78.504999999999995</v>
      </c>
      <c r="U10" s="40">
        <f>Sheet2!$E$15*0.001*Sheet2!$P$5</f>
        <v>172.89500000000001</v>
      </c>
    </row>
    <row r="11" spans="1:21" x14ac:dyDescent="0.25">
      <c r="A11" s="93"/>
      <c r="B11" s="15">
        <v>6</v>
      </c>
      <c r="C11" s="15">
        <v>80</v>
      </c>
      <c r="D11" s="31">
        <v>4</v>
      </c>
      <c r="E11" s="31">
        <v>2.75</v>
      </c>
      <c r="F11" s="31">
        <v>1.5</v>
      </c>
      <c r="G11" s="31" t="s">
        <v>35</v>
      </c>
      <c r="H11" s="31" t="s">
        <v>36</v>
      </c>
      <c r="I11" s="16" t="s">
        <v>23</v>
      </c>
      <c r="J11" s="75">
        <v>0</v>
      </c>
      <c r="K11" s="84">
        <v>0</v>
      </c>
      <c r="L11" s="31">
        <v>0.7392221511</v>
      </c>
      <c r="M11" s="71">
        <v>0</v>
      </c>
      <c r="N11" s="72">
        <v>65.174927358856294</v>
      </c>
      <c r="O11" s="10"/>
      <c r="P11" s="10"/>
      <c r="Q11" s="38">
        <f>Sheet2!$E$15*0.001*Sheet2!$P$8*Sheet1!$E11*0.01</f>
        <v>12.591287500000002</v>
      </c>
      <c r="R11" s="39">
        <f>IF(G11="Johnphos",Sheet2!$E$15*0.001*Sheet1!$E11*0.01*Sheet2!$P$9*4,IF(G11="Xantphos",Sheet2!$E$15*0.001*Sheet1!$E11*0.01*Sheet2!$P$10*4,IF(G11="Pph3",Sheet2!$E$15*0.001*Sheet1!$E11*0.01*Sheet2!$P$11*4)))</f>
        <v>14.426059999999998</v>
      </c>
      <c r="S11" s="39">
        <f>IF(H11="KotBu",Sheet2!$E$15*0.001*Sheet2!$P$12*3,IF(H11="Cs2Co3",Sheet2!$E$15*0.001*Sheet2!$P$13*3,""))</f>
        <v>488.73</v>
      </c>
      <c r="T11" s="39">
        <f>IF(I11="PhBr", Sheet2!$E$15*0.001*Sheet2!$P$6*$F11/Sheet2!$Q$6, IF(I11="PhCl", Sheet2!$E$15*0.001*Sheet2!$P$7*$F11/Sheet2!$Q$7, ""))</f>
        <v>78.504999999999995</v>
      </c>
      <c r="U11" s="40">
        <f>Sheet2!$E$15*0.001*Sheet2!$P$5</f>
        <v>172.89500000000001</v>
      </c>
    </row>
    <row r="12" spans="1:21" x14ac:dyDescent="0.25">
      <c r="A12" s="93"/>
      <c r="B12" s="10">
        <v>7</v>
      </c>
      <c r="C12" s="15">
        <v>80</v>
      </c>
      <c r="D12" s="31">
        <v>4</v>
      </c>
      <c r="E12" s="31">
        <v>2.75</v>
      </c>
      <c r="F12" s="31">
        <v>1.5</v>
      </c>
      <c r="G12" s="31" t="s">
        <v>21</v>
      </c>
      <c r="H12" s="31" t="s">
        <v>22</v>
      </c>
      <c r="I12" s="16" t="s">
        <v>52</v>
      </c>
      <c r="J12" s="75">
        <v>94</v>
      </c>
      <c r="K12" s="84">
        <v>45.288024999999998</v>
      </c>
      <c r="L12" s="31">
        <v>0.68682509755405396</v>
      </c>
      <c r="M12" s="71">
        <v>65.938220896821207</v>
      </c>
      <c r="N12" s="72">
        <v>70.147043507256598</v>
      </c>
      <c r="O12" s="10"/>
      <c r="P12" s="10"/>
      <c r="Q12" s="38">
        <f>Sheet2!$E$15*0.001*Sheet2!$P$8*Sheet1!$E12*0.01</f>
        <v>12.591287500000002</v>
      </c>
      <c r="R12" s="39">
        <f>IF(G12="Johnphos",Sheet2!$E$15*0.001*Sheet1!$E12*0.01*Sheet2!$P$9*4,IF(G12="Xantphos",Sheet2!$E$15*0.001*Sheet1!$E12*0.01*Sheet2!$P$10*4,IF(G12="Pph3",Sheet2!$E$15*0.001*Sheet1!$E12*0.01*Sheet2!$P$11*4)))</f>
        <v>16.412550000000003</v>
      </c>
      <c r="S12" s="39">
        <f>IF(H12="KotBu",Sheet2!$E$15*0.001*Sheet2!$P$12*3,IF(H12="Cs2Co3",Sheet2!$E$15*0.001*Sheet2!$P$13*3,""))</f>
        <v>168.315</v>
      </c>
      <c r="T12" s="39">
        <f>IF(I12="PhBr", Sheet2!$E$15*0.001*Sheet2!$P$6*$F12/Sheet2!$Q$6, IF(I12="PhCl", Sheet2!$E$15*0.001*Sheet2!$P$7*$F12/Sheet2!$Q$7, ""))</f>
        <v>76.054054054054049</v>
      </c>
      <c r="U12" s="40">
        <f>Sheet2!$E$15*0.001*Sheet2!$P$5</f>
        <v>172.89500000000001</v>
      </c>
    </row>
    <row r="13" spans="1:21" x14ac:dyDescent="0.25">
      <c r="A13" s="93"/>
      <c r="B13" s="15">
        <v>8</v>
      </c>
      <c r="C13" s="15">
        <v>80</v>
      </c>
      <c r="D13" s="31">
        <v>4</v>
      </c>
      <c r="E13" s="31">
        <v>2.75</v>
      </c>
      <c r="F13" s="31">
        <v>1.5</v>
      </c>
      <c r="G13" s="31" t="s">
        <v>21</v>
      </c>
      <c r="H13" s="31" t="s">
        <v>36</v>
      </c>
      <c r="I13" s="16" t="s">
        <v>52</v>
      </c>
      <c r="J13" s="75">
        <v>0</v>
      </c>
      <c r="K13" s="84">
        <v>0</v>
      </c>
      <c r="L13" s="31">
        <v>0.91767976555405395</v>
      </c>
      <c r="M13" s="71">
        <v>0</v>
      </c>
      <c r="N13" s="72">
        <v>52.500612750148001</v>
      </c>
      <c r="O13" s="10"/>
      <c r="P13" s="10"/>
      <c r="Q13" s="38">
        <f>Sheet2!$E$15*0.001*Sheet2!$P$8*Sheet1!$E13*0.01</f>
        <v>12.591287500000002</v>
      </c>
      <c r="R13" s="39">
        <f>IF(G13="Johnphos",Sheet2!$E$15*0.001*Sheet1!$E13*0.01*Sheet2!$P$9*4,IF(G13="Xantphos",Sheet2!$E$15*0.001*Sheet1!$E13*0.01*Sheet2!$P$10*4,IF(G13="Pph3",Sheet2!$E$15*0.001*Sheet1!$E13*0.01*Sheet2!$P$11*4)))</f>
        <v>16.412550000000003</v>
      </c>
      <c r="S13" s="39">
        <f>IF(H13="KotBu",Sheet2!$E$15*0.001*Sheet2!$P$12*3,IF(H13="Cs2Co3",Sheet2!$E$15*0.001*Sheet2!$P$13*3,""))</f>
        <v>488.73</v>
      </c>
      <c r="T13" s="39">
        <f>IF(I13="PhBr", Sheet2!$E$15*0.001*Sheet2!$P$6*$F13/Sheet2!$Q$6, IF(I13="PhCl", Sheet2!$E$15*0.001*Sheet2!$P$7*$F13/Sheet2!$Q$7, ""))</f>
        <v>76.054054054054049</v>
      </c>
      <c r="U13" s="40">
        <f>Sheet2!$E$15*0.001*Sheet2!$P$5</f>
        <v>172.89500000000001</v>
      </c>
    </row>
    <row r="14" spans="1:21" x14ac:dyDescent="0.25">
      <c r="A14" s="93"/>
      <c r="B14" s="10">
        <v>9</v>
      </c>
      <c r="C14" s="15">
        <v>80</v>
      </c>
      <c r="D14" s="31">
        <v>4</v>
      </c>
      <c r="E14" s="31">
        <v>2.75</v>
      </c>
      <c r="F14" s="31">
        <v>1.5</v>
      </c>
      <c r="G14" s="31" t="s">
        <v>34</v>
      </c>
      <c r="H14" s="31" t="s">
        <v>22</v>
      </c>
      <c r="I14" s="16" t="s">
        <v>52</v>
      </c>
      <c r="J14" s="75">
        <v>9.4</v>
      </c>
      <c r="K14" s="84">
        <v>4.5288025000000003</v>
      </c>
      <c r="L14" s="31">
        <v>1.2061770075540501</v>
      </c>
      <c r="M14" s="71">
        <v>3.7546748708000401</v>
      </c>
      <c r="N14" s="72">
        <v>39.943349689362201</v>
      </c>
      <c r="O14" s="10"/>
      <c r="P14" s="10"/>
      <c r="Q14" s="38">
        <f>Sheet2!$E$15*0.001*Sheet2!$P$8*Sheet1!$E14*0.01</f>
        <v>12.591287500000002</v>
      </c>
      <c r="R14" s="39">
        <f>IF(G14="Johnphos",Sheet2!$E$15*0.001*Sheet1!$E14*0.01*Sheet2!$P$9*4,IF(G14="Xantphos",Sheet2!$E$15*0.001*Sheet1!$E14*0.01*Sheet2!$P$10*4,IF(G14="Pph3",Sheet2!$E$15*0.001*Sheet1!$E14*0.01*Sheet2!$P$11*4)))</f>
        <v>31.824100000000001</v>
      </c>
      <c r="S14" s="39">
        <f>IF(H14="KotBu",Sheet2!$E$15*0.001*Sheet2!$P$12*3,IF(H14="Cs2Co3",Sheet2!$E$15*0.001*Sheet2!$P$13*3,""))</f>
        <v>168.315</v>
      </c>
      <c r="T14" s="39">
        <f>IF(I14="PhBr", Sheet2!$E$15*0.001*Sheet2!$P$6*$F14/Sheet2!$Q$6, IF(I14="PhCl", Sheet2!$E$15*0.001*Sheet2!$P$7*$F14/Sheet2!$Q$7, ""))</f>
        <v>76.054054054054049</v>
      </c>
      <c r="U14" s="40">
        <f>Sheet2!$E$15*0.001*Sheet2!$P$5</f>
        <v>172.89500000000001</v>
      </c>
    </row>
    <row r="15" spans="1:21" x14ac:dyDescent="0.25">
      <c r="A15" s="93"/>
      <c r="B15" s="15">
        <v>10</v>
      </c>
      <c r="C15" s="15">
        <v>80</v>
      </c>
      <c r="D15" s="31">
        <v>4</v>
      </c>
      <c r="E15" s="31">
        <v>2.75</v>
      </c>
      <c r="F15" s="31">
        <v>1.5</v>
      </c>
      <c r="G15" s="31" t="s">
        <v>34</v>
      </c>
      <c r="H15" s="31" t="s">
        <v>36</v>
      </c>
      <c r="I15" s="16" t="s">
        <v>52</v>
      </c>
      <c r="J15" s="75">
        <v>0</v>
      </c>
      <c r="K15" s="84">
        <v>0</v>
      </c>
      <c r="L15" s="31">
        <v>1.43703167555405</v>
      </c>
      <c r="M15" s="71">
        <v>0</v>
      </c>
      <c r="N15" s="72">
        <v>33.526574827534297</v>
      </c>
      <c r="O15" s="10"/>
      <c r="P15" s="10"/>
      <c r="Q15" s="38">
        <f>Sheet2!$E$15*0.001*Sheet2!$P$8*Sheet1!$E15*0.01</f>
        <v>12.591287500000002</v>
      </c>
      <c r="R15" s="39">
        <f>IF(G15="Johnphos",Sheet2!$E$15*0.001*Sheet1!$E15*0.01*Sheet2!$P$9*4,IF(G15="Xantphos",Sheet2!$E$15*0.001*Sheet1!$E15*0.01*Sheet2!$P$10*4,IF(G15="Pph3",Sheet2!$E$15*0.001*Sheet1!$E15*0.01*Sheet2!$P$11*4)))</f>
        <v>31.824100000000001</v>
      </c>
      <c r="S15" s="39">
        <f>IF(H15="KotBu",Sheet2!$E$15*0.001*Sheet2!$P$12*3,IF(H15="Cs2Co3",Sheet2!$E$15*0.001*Sheet2!$P$13*3,""))</f>
        <v>488.73</v>
      </c>
      <c r="T15" s="39">
        <f>IF(I15="PhBr", Sheet2!$E$15*0.001*Sheet2!$P$6*$F15/Sheet2!$Q$6, IF(I15="PhCl", Sheet2!$E$15*0.001*Sheet2!$P$7*$F15/Sheet2!$Q$7, ""))</f>
        <v>76.054054054054049</v>
      </c>
      <c r="U15" s="40">
        <f>Sheet2!$E$15*0.001*Sheet2!$P$5</f>
        <v>172.89500000000001</v>
      </c>
    </row>
    <row r="16" spans="1:21" x14ac:dyDescent="0.25">
      <c r="A16" s="93"/>
      <c r="B16" s="15">
        <v>11</v>
      </c>
      <c r="C16" s="15">
        <v>80</v>
      </c>
      <c r="D16" s="31">
        <v>4</v>
      </c>
      <c r="E16" s="31">
        <v>2.75</v>
      </c>
      <c r="F16" s="31">
        <v>1.5</v>
      </c>
      <c r="G16" s="31" t="s">
        <v>35</v>
      </c>
      <c r="H16" s="31" t="s">
        <v>22</v>
      </c>
      <c r="I16" s="16" t="s">
        <v>52</v>
      </c>
      <c r="J16" s="75">
        <v>7.9</v>
      </c>
      <c r="K16" s="84">
        <v>3.8061212499999999</v>
      </c>
      <c r="L16" s="31">
        <v>0.49927458715405398</v>
      </c>
      <c r="M16" s="71">
        <v>7.6233025832448398</v>
      </c>
      <c r="N16" s="72">
        <v>96.497501053732094</v>
      </c>
      <c r="O16" s="10"/>
      <c r="P16" s="10"/>
      <c r="Q16" s="38">
        <f>Sheet2!$E$15*0.001*Sheet2!$P$8*Sheet1!$E16*0.01</f>
        <v>12.591287500000002</v>
      </c>
      <c r="R16" s="39">
        <f>IF(G16="Johnphos",Sheet2!$E$15*0.001*Sheet1!$E16*0.01*Sheet2!$P$9*4,IF(G16="Xantphos",Sheet2!$E$15*0.001*Sheet1!$E16*0.01*Sheet2!$P$10*4,IF(G16="Pph3",Sheet2!$E$15*0.001*Sheet1!$E16*0.01*Sheet2!$P$11*4)))</f>
        <v>14.426059999999998</v>
      </c>
      <c r="S16" s="39">
        <f>IF(H16="KotBu",Sheet2!$E$15*0.001*Sheet2!$P$12*3,IF(H16="Cs2Co3",Sheet2!$E$15*0.001*Sheet2!$P$13*3,""))</f>
        <v>168.315</v>
      </c>
      <c r="T16" s="39">
        <f>IF(I16="PhBr", Sheet2!$E$15*0.001*Sheet2!$P$6*$F16/Sheet2!$Q$6, IF(I16="PhCl", Sheet2!$E$15*0.001*Sheet2!$P$7*$F16/Sheet2!$Q$7, ""))</f>
        <v>76.054054054054049</v>
      </c>
      <c r="U16" s="40">
        <f>Sheet2!$E$15*0.001*Sheet2!$P$5</f>
        <v>172.89500000000001</v>
      </c>
    </row>
    <row r="17" spans="1:21" ht="15.75" thickBot="1" x14ac:dyDescent="0.3">
      <c r="A17" s="94"/>
      <c r="B17" s="11">
        <v>12</v>
      </c>
      <c r="C17" s="11">
        <v>80</v>
      </c>
      <c r="D17" s="32">
        <v>4</v>
      </c>
      <c r="E17" s="32">
        <v>2.75</v>
      </c>
      <c r="F17" s="32">
        <v>1.5</v>
      </c>
      <c r="G17" s="32" t="s">
        <v>35</v>
      </c>
      <c r="H17" s="32" t="s">
        <v>36</v>
      </c>
      <c r="I17" s="12" t="s">
        <v>52</v>
      </c>
      <c r="J17" s="76">
        <v>0</v>
      </c>
      <c r="K17" s="85">
        <v>0</v>
      </c>
      <c r="L17" s="32">
        <v>0.73012925515405402</v>
      </c>
      <c r="M17" s="73">
        <v>0</v>
      </c>
      <c r="N17" s="72">
        <v>65.986603960739103</v>
      </c>
      <c r="O17" s="10"/>
      <c r="P17" s="10"/>
      <c r="Q17" s="41">
        <f>Sheet2!$E$15*0.001*Sheet2!$P$8*Sheet1!$E17*0.01</f>
        <v>12.591287500000002</v>
      </c>
      <c r="R17" s="42">
        <f>IF(G17="Johnphos",Sheet2!$E$15*0.001*Sheet1!$E17*0.01*Sheet2!$P$9*4,IF(G17="Xantphos",Sheet2!$E$15*0.001*Sheet1!$E17*0.01*Sheet2!$P$10*4,IF(G17="Pph3",Sheet2!$E$15*0.001*Sheet1!$E17*0.01*Sheet2!$P$11*4)))</f>
        <v>14.426059999999998</v>
      </c>
      <c r="S17" s="42">
        <f>IF(H17="KotBu",Sheet2!$E$15*0.001*Sheet2!$P$12*3,IF(H17="Cs2Co3",Sheet2!$E$15*0.001*Sheet2!$P$13*3,""))</f>
        <v>488.73</v>
      </c>
      <c r="T17" s="42">
        <f>IF(I17="PhBr", Sheet2!$E$15*0.001*Sheet2!$P$6*$F17/Sheet2!$Q$6, IF(I17="PhCl", Sheet2!$E$15*0.001*Sheet2!$P$7*$F17/Sheet2!$Q$7, ""))</f>
        <v>76.054054054054049</v>
      </c>
      <c r="U17" s="43">
        <f>Sheet2!$E$15*0.001*Sheet2!$P$5</f>
        <v>172.89500000000001</v>
      </c>
    </row>
    <row r="18" spans="1:21" x14ac:dyDescent="0.25">
      <c r="A18" s="95" t="s">
        <v>73</v>
      </c>
      <c r="B18" s="81">
        <v>13</v>
      </c>
      <c r="C18" s="79">
        <v>80</v>
      </c>
      <c r="D18" s="79">
        <v>1.5</v>
      </c>
      <c r="E18" s="79">
        <v>2.1854</v>
      </c>
      <c r="F18" s="79">
        <v>1.6</v>
      </c>
      <c r="G18" s="79" t="s">
        <v>21</v>
      </c>
      <c r="H18" s="79" t="s">
        <v>22</v>
      </c>
      <c r="I18" s="79" t="s">
        <v>23</v>
      </c>
      <c r="J18" s="81">
        <v>95</v>
      </c>
      <c r="K18" s="83">
        <v>122.052833333333</v>
      </c>
      <c r="L18" s="74">
        <v>0.56228685773773401</v>
      </c>
      <c r="M18" s="80">
        <v>217.06506501751099</v>
      </c>
      <c r="N18" s="72">
        <v>228.489542123696</v>
      </c>
      <c r="O18" s="88">
        <v>6.5353591119640994E-2</v>
      </c>
      <c r="P18" s="10"/>
      <c r="Q18" s="86">
        <f>Sheet2!$E$15*0.001*Sheet2!$P$8*Sheet1!$E18*0.01</f>
        <v>10.006181710000002</v>
      </c>
      <c r="R18" s="87">
        <f>IF(G18="Johnphos",Sheet2!$E$15*0.001*Sheet1!$E18*0.01*Sheet2!$P$9*4,IF(G18="Xantphos",Sheet2!$E$15*0.001*Sheet1!$E18*0.01*Sheet2!$P$10*4,IF(G18="Pph3",Sheet2!$E$15*0.001*Sheet1!$E18*0.01*Sheet2!$P$11*4)))</f>
        <v>13.042904280000002</v>
      </c>
      <c r="S18" s="87">
        <f>IF(H18="KotBu",Sheet2!$E$15*0.001*Sheet2!$P$12*3,IF(H18="Cs2Co3",Sheet2!$E$15*0.001*Sheet2!$P$13*3,""))</f>
        <v>168.315</v>
      </c>
      <c r="T18" s="87">
        <f>IF(I18="PhBr", Sheet2!$E$15*0.001*Sheet2!$P$6*$F18/Sheet2!$Q$6, IF(I18="PhCl", Sheet2!$E$15*0.001*Sheet2!$P$7*$F18/Sheet2!$Q$7, ""))</f>
        <v>83.738666666666674</v>
      </c>
      <c r="U18" s="80">
        <f>Sheet2!$E$15*0.001*Sheet2!$P$5</f>
        <v>172.89500000000001</v>
      </c>
    </row>
    <row r="19" spans="1:21" x14ac:dyDescent="0.25">
      <c r="A19" s="96"/>
      <c r="B19" s="82">
        <v>14</v>
      </c>
      <c r="C19" s="9">
        <v>100</v>
      </c>
      <c r="D19" s="9">
        <v>1</v>
      </c>
      <c r="E19" s="9">
        <v>1.7104999999999999</v>
      </c>
      <c r="F19" s="9">
        <v>2</v>
      </c>
      <c r="G19" s="9" t="s">
        <v>21</v>
      </c>
      <c r="H19" s="9" t="s">
        <v>22</v>
      </c>
      <c r="I19" s="9" t="s">
        <v>23</v>
      </c>
      <c r="J19" s="82">
        <v>99.9</v>
      </c>
      <c r="K19" s="84">
        <v>192.52228500000001</v>
      </c>
      <c r="L19" s="75">
        <v>0.45210152721966701</v>
      </c>
      <c r="M19" s="40">
        <v>425.83860794271902</v>
      </c>
      <c r="N19" s="72">
        <v>426.26487281553398</v>
      </c>
      <c r="O19" s="78">
        <v>0.205640587911327</v>
      </c>
      <c r="P19" s="10"/>
      <c r="Q19" s="38">
        <f>Sheet2!$E$15*0.001*Sheet2!$P$8*Sheet1!$E19*0.01</f>
        <v>7.8317808250000001</v>
      </c>
      <c r="R19" s="39">
        <f>IF(G19="Johnphos",Sheet2!$E$15*0.001*Sheet1!$E19*0.01*Sheet2!$P$9*4,IF(G19="Xantphos",Sheet2!$E$15*0.001*Sheet1!$E19*0.01*Sheet2!$P$10*4,IF(G19="Pph3",Sheet2!$E$15*0.001*Sheet1!$E19*0.01*Sheet2!$P$11*4)))</f>
        <v>10.208606100000001</v>
      </c>
      <c r="S19" s="39">
        <f>IF(H19="KotBu",Sheet2!$E$15*0.001*Sheet2!$P$12*3,IF(H19="Cs2Co3",Sheet2!$E$15*0.001*Sheet2!$P$13*3,""))</f>
        <v>168.315</v>
      </c>
      <c r="T19" s="39">
        <f>IF(I19="PhBr", Sheet2!$E$15*0.001*Sheet2!$P$6*$F19/Sheet2!$Q$6, IF(I19="PhCl", Sheet2!$E$15*0.001*Sheet2!$P$7*$F19/Sheet2!$Q$7, ""))</f>
        <v>104.67333333333333</v>
      </c>
      <c r="U19" s="40">
        <f>Sheet2!$E$15*0.001*Sheet2!$P$5</f>
        <v>172.89500000000001</v>
      </c>
    </row>
    <row r="20" spans="1:21" ht="14.25" customHeight="1" x14ac:dyDescent="0.25">
      <c r="A20" s="96"/>
      <c r="B20" s="82">
        <v>15</v>
      </c>
      <c r="C20" s="9">
        <v>110</v>
      </c>
      <c r="D20" s="9">
        <v>1</v>
      </c>
      <c r="E20" s="9">
        <v>0.50109999999999999</v>
      </c>
      <c r="F20" s="9">
        <v>1.2</v>
      </c>
      <c r="G20" s="9" t="s">
        <v>21</v>
      </c>
      <c r="H20" s="9" t="s">
        <v>22</v>
      </c>
      <c r="I20" s="9" t="s">
        <v>23</v>
      </c>
      <c r="J20" s="82">
        <v>30.5</v>
      </c>
      <c r="K20" s="84">
        <v>58.778075000000001</v>
      </c>
      <c r="L20" s="75">
        <v>0.15874455848460001</v>
      </c>
      <c r="M20" s="40">
        <v>370.26828233423902</v>
      </c>
      <c r="N20" s="72">
        <v>1213.99436830898</v>
      </c>
      <c r="O20" s="78">
        <v>0.40452536430194203</v>
      </c>
      <c r="P20" s="10"/>
      <c r="Q20" s="38">
        <f>Sheet2!$E$15*0.001*Sheet2!$P$8*Sheet1!$E20*0.01</f>
        <v>2.2943615149999999</v>
      </c>
      <c r="R20" s="39">
        <f>IF(G20="Johnphos",Sheet2!$E$15*0.001*Sheet1!$E20*0.01*Sheet2!$P$9*4,IF(G20="Xantphos",Sheet2!$E$15*0.001*Sheet1!$E20*0.01*Sheet2!$P$10*4,IF(G20="Pph3",Sheet2!$E$15*0.001*Sheet1!$E20*0.01*Sheet2!$P$11*4)))</f>
        <v>2.9906650200000002</v>
      </c>
      <c r="S20" s="39">
        <f>IF(H20="KotBu",Sheet2!$E$15*0.001*Sheet2!$P$12*3,IF(H20="Cs2Co3",Sheet2!$E$15*0.001*Sheet2!$P$13*3,""))</f>
        <v>168.315</v>
      </c>
      <c r="T20" s="39">
        <f>IF(I20="PhBr", Sheet2!$E$15*0.001*Sheet2!$P$6*$F20/Sheet2!$Q$6, IF(I20="PhCl", Sheet2!$E$15*0.001*Sheet2!$P$7*$F20/Sheet2!$Q$7, ""))</f>
        <v>62.803999999999995</v>
      </c>
      <c r="U20" s="40">
        <f>Sheet2!$E$15*0.001*Sheet2!$P$5</f>
        <v>172.89500000000001</v>
      </c>
    </row>
    <row r="21" spans="1:21" x14ac:dyDescent="0.25">
      <c r="A21" s="96"/>
      <c r="B21" s="75">
        <v>16</v>
      </c>
      <c r="C21" s="31">
        <v>110</v>
      </c>
      <c r="D21" s="31">
        <v>0.5</v>
      </c>
      <c r="E21" s="31">
        <v>1.2695000000000001</v>
      </c>
      <c r="F21" s="31">
        <v>1.8</v>
      </c>
      <c r="G21" s="31" t="s">
        <v>21</v>
      </c>
      <c r="H21" s="31" t="s">
        <v>22</v>
      </c>
      <c r="I21" s="31" t="s">
        <v>52</v>
      </c>
      <c r="J21" s="75">
        <v>66.400000000000006</v>
      </c>
      <c r="K21" s="84">
        <v>255.92552000000001</v>
      </c>
      <c r="L21" s="75">
        <v>0.334862510591865</v>
      </c>
      <c r="M21" s="40">
        <v>764.27044504819401</v>
      </c>
      <c r="N21" s="72">
        <v>1151.0097063978801</v>
      </c>
      <c r="O21" s="78">
        <v>0.40452536430194203</v>
      </c>
      <c r="P21" s="10"/>
      <c r="Q21" s="38">
        <f>Sheet2!$E$15*0.001*Sheet2!$P$8*Sheet1!$E21*0.01</f>
        <v>5.8125961750000004</v>
      </c>
      <c r="R21" s="39">
        <f>IF(G21="Johnphos",Sheet2!$E$15*0.001*Sheet1!$E21*0.01*Sheet2!$P$9*4,IF(G21="Xantphos",Sheet2!$E$15*0.001*Sheet1!$E21*0.01*Sheet2!$P$10*4,IF(G21="Pph3",Sheet2!$E$15*0.001*Sheet1!$E21*0.01*Sheet2!$P$11*4)))</f>
        <v>7.5766299000000012</v>
      </c>
      <c r="S21" s="39">
        <f>IF(H21="KotBu",Sheet2!$E$15*0.001*Sheet2!$P$12*3,IF(H21="Cs2Co3",Sheet2!$E$15*0.001*Sheet2!$P$13*3,""))</f>
        <v>168.315</v>
      </c>
      <c r="T21" s="39">
        <f>IF(I21="PhBr", Sheet2!$E$15*0.001*Sheet2!$P$6*$F21/Sheet2!$Q$6, IF(I21="PhCl", Sheet2!$E$15*0.001*Sheet2!$P$7*$F21/Sheet2!$Q$7, ""))</f>
        <v>91.264864864864862</v>
      </c>
      <c r="U21" s="40">
        <f>Sheet2!$E$15*0.001*Sheet2!$P$5</f>
        <v>172.89500000000001</v>
      </c>
    </row>
    <row r="22" spans="1:21" x14ac:dyDescent="0.25">
      <c r="A22" s="96"/>
      <c r="B22" s="75">
        <v>17</v>
      </c>
      <c r="C22" s="31">
        <v>70</v>
      </c>
      <c r="D22" s="31">
        <v>1</v>
      </c>
      <c r="E22" s="31">
        <v>0.50190000000000001</v>
      </c>
      <c r="F22" s="31">
        <v>1.2</v>
      </c>
      <c r="G22" s="31" t="s">
        <v>34</v>
      </c>
      <c r="H22" s="31" t="s">
        <v>22</v>
      </c>
      <c r="I22" s="31" t="s">
        <v>23</v>
      </c>
      <c r="J22" s="75">
        <v>7.2</v>
      </c>
      <c r="K22" s="84">
        <v>13.87548</v>
      </c>
      <c r="L22" s="75">
        <v>0.2537213434294</v>
      </c>
      <c r="M22" s="40">
        <v>54.687870608177498</v>
      </c>
      <c r="N22" s="72">
        <v>759.55375844691002</v>
      </c>
      <c r="O22" s="78">
        <v>0.70671995972830004</v>
      </c>
      <c r="P22" s="10"/>
      <c r="Q22" s="38">
        <f>Sheet2!$E$15*0.001*Sheet2!$P$8*Sheet1!$E22*0.01</f>
        <v>2.2980244350000003</v>
      </c>
      <c r="R22" s="39">
        <f>IF(G22="Johnphos",Sheet2!$E$15*0.001*Sheet1!$E22*0.01*Sheet2!$P$9*4,IF(G22="Xantphos",Sheet2!$E$15*0.001*Sheet1!$E22*0.01*Sheet2!$P$10*4,IF(G22="Pph3",Sheet2!$E$15*0.001*Sheet1!$E22*0.01*Sheet2!$P$11*4)))</f>
        <v>5.8081875600000004</v>
      </c>
      <c r="S22" s="39">
        <f>IF(H22="KotBu",Sheet2!$E$15*0.001*Sheet2!$P$12*3,IF(H22="Cs2Co3",Sheet2!$E$15*0.001*Sheet2!$P$13*3,""))</f>
        <v>168.315</v>
      </c>
      <c r="T22" s="39">
        <f>IF(I22="PhBr", Sheet2!$E$15*0.001*Sheet2!$P$6*$F22/Sheet2!$Q$6, IF(I22="PhCl", Sheet2!$E$15*0.001*Sheet2!$P$7*$F22/Sheet2!$Q$7, ""))</f>
        <v>62.803999999999995</v>
      </c>
      <c r="U22" s="40">
        <f>Sheet2!$E$15*0.001*Sheet2!$P$5</f>
        <v>172.89500000000001</v>
      </c>
    </row>
    <row r="23" spans="1:21" x14ac:dyDescent="0.25">
      <c r="A23" s="96"/>
      <c r="B23" s="75">
        <v>18</v>
      </c>
      <c r="C23" s="31">
        <v>110</v>
      </c>
      <c r="D23" s="31">
        <v>0.5</v>
      </c>
      <c r="E23" s="31">
        <v>1.8499000000000001</v>
      </c>
      <c r="F23" s="31">
        <v>1.3</v>
      </c>
      <c r="G23" s="31" t="s">
        <v>21</v>
      </c>
      <c r="H23" s="31" t="s">
        <v>22</v>
      </c>
      <c r="I23" s="31" t="s">
        <v>52</v>
      </c>
      <c r="J23" s="75">
        <v>75.8</v>
      </c>
      <c r="K23" s="84">
        <v>292.15593999999999</v>
      </c>
      <c r="L23" s="75">
        <v>0.47226444862751399</v>
      </c>
      <c r="M23" s="40">
        <v>618.62784897118195</v>
      </c>
      <c r="N23" s="72">
        <v>816.13172687490999</v>
      </c>
      <c r="O23" s="78">
        <v>0.70671995972830004</v>
      </c>
      <c r="P23" s="10"/>
      <c r="Q23" s="38">
        <f>Sheet2!$E$15*0.001*Sheet2!$P$8*Sheet1!$E23*0.01</f>
        <v>8.4700446350000007</v>
      </c>
      <c r="R23" s="39">
        <f>IF(G23="Johnphos",Sheet2!$E$15*0.001*Sheet1!$E23*0.01*Sheet2!$P$9*4,IF(G23="Xantphos",Sheet2!$E$15*0.001*Sheet1!$E23*0.01*Sheet2!$P$10*4,IF(G23="Pph3",Sheet2!$E$15*0.001*Sheet1!$E23*0.01*Sheet2!$P$11*4)))</f>
        <v>11.040573180000003</v>
      </c>
      <c r="S23" s="39">
        <f>IF(H23="KotBu",Sheet2!$E$15*0.001*Sheet2!$P$12*3,IF(H23="Cs2Co3",Sheet2!$E$15*0.001*Sheet2!$P$13*3,""))</f>
        <v>168.315</v>
      </c>
      <c r="T23" s="39">
        <f>IF(I23="PhBr", Sheet2!$E$15*0.001*Sheet2!$P$6*$F23/Sheet2!$Q$6, IF(I23="PhCl", Sheet2!$E$15*0.001*Sheet2!$P$7*$F23/Sheet2!$Q$7, ""))</f>
        <v>65.913513513513507</v>
      </c>
      <c r="U23" s="40">
        <f>Sheet2!$E$15*0.001*Sheet2!$P$5</f>
        <v>172.89500000000001</v>
      </c>
    </row>
    <row r="24" spans="1:21" x14ac:dyDescent="0.25">
      <c r="A24" s="96"/>
      <c r="B24" s="75">
        <v>19</v>
      </c>
      <c r="C24" s="31">
        <v>50</v>
      </c>
      <c r="D24" s="31">
        <v>0.5</v>
      </c>
      <c r="E24" s="31">
        <v>1.1860999999999999</v>
      </c>
      <c r="F24" s="31">
        <v>1.4</v>
      </c>
      <c r="G24" s="31" t="s">
        <v>21</v>
      </c>
      <c r="H24" s="31" t="s">
        <v>22</v>
      </c>
      <c r="I24" s="31" t="s">
        <v>52</v>
      </c>
      <c r="J24" s="75">
        <v>8.6999999999999993</v>
      </c>
      <c r="K24" s="75">
        <v>33.532409999999999</v>
      </c>
      <c r="L24" s="75">
        <v>0.314639093678384</v>
      </c>
      <c r="M24" s="40">
        <v>106.574200961423</v>
      </c>
      <c r="N24" s="72">
        <v>1224.9908156485401</v>
      </c>
      <c r="O24" s="78">
        <v>0.70671995972830004</v>
      </c>
      <c r="P24" s="10"/>
      <c r="Q24" s="38">
        <f>Sheet2!$E$15*0.001*Sheet2!$P$8*Sheet1!$E24*0.01</f>
        <v>5.4307367650000007</v>
      </c>
      <c r="R24" s="39">
        <f>IF(G24="Johnphos",Sheet2!$E$15*0.001*Sheet1!$E24*0.01*Sheet2!$P$9*4,IF(G24="Xantphos",Sheet2!$E$15*0.001*Sheet1!$E24*0.01*Sheet2!$P$10*4,IF(G24="Pph3",Sheet2!$E$15*0.001*Sheet1!$E24*0.01*Sheet2!$P$11*4)))</f>
        <v>7.0788820200000009</v>
      </c>
      <c r="S24" s="39">
        <f>IF(H24="KotBu",Sheet2!$E$15*0.001*Sheet2!$P$12*3,IF(H24="Cs2Co3",Sheet2!$E$15*0.001*Sheet2!$P$13*3,""))</f>
        <v>168.315</v>
      </c>
      <c r="T24" s="39">
        <f>IF(I24="PhBr", Sheet2!$E$15*0.001*Sheet2!$P$6*$F24/Sheet2!$Q$6, IF(I24="PhCl", Sheet2!$E$15*0.001*Sheet2!$P$7*$F24/Sheet2!$Q$7, ""))</f>
        <v>70.983783783783778</v>
      </c>
      <c r="U24" s="40">
        <f>Sheet2!$E$15*0.001*Sheet2!$P$5</f>
        <v>172.89500000000001</v>
      </c>
    </row>
    <row r="25" spans="1:21" ht="15.75" thickBot="1" x14ac:dyDescent="0.3">
      <c r="A25" s="96"/>
      <c r="B25" s="76">
        <v>20</v>
      </c>
      <c r="C25" s="32">
        <v>110</v>
      </c>
      <c r="D25" s="32">
        <v>0.5</v>
      </c>
      <c r="E25" s="32">
        <v>1.4681999999999999</v>
      </c>
      <c r="F25" s="32">
        <v>1.9</v>
      </c>
      <c r="G25" s="32" t="s">
        <v>21</v>
      </c>
      <c r="H25" s="32" t="s">
        <v>22</v>
      </c>
      <c r="I25" s="32" t="s">
        <v>23</v>
      </c>
      <c r="J25" s="76">
        <v>90.2</v>
      </c>
      <c r="K25" s="76">
        <v>347.65786000000003</v>
      </c>
      <c r="L25" s="76">
        <v>0.39375099177853301</v>
      </c>
      <c r="M25" s="43">
        <v>882.93837287790598</v>
      </c>
      <c r="N25" s="72">
        <v>978.86737569612603</v>
      </c>
      <c r="O25" s="78">
        <v>0.70671995972830004</v>
      </c>
      <c r="P25" s="10"/>
      <c r="Q25" s="41">
        <f>Sheet2!$E$15*0.001*Sheet2!$P$8*Sheet1!$E25*0.01</f>
        <v>6.7223739299999998</v>
      </c>
      <c r="R25" s="42">
        <f>IF(G25="Johnphos",Sheet2!$E$15*0.001*Sheet1!$E25*0.01*Sheet2!$P$9*4,IF(G25="Xantphos",Sheet2!$E$15*0.001*Sheet1!$E25*0.01*Sheet2!$P$10*4,IF(G25="Pph3",Sheet2!$E$15*0.001*Sheet1!$E25*0.01*Sheet2!$P$11*4)))</f>
        <v>8.7625112400000003</v>
      </c>
      <c r="S25" s="42">
        <f>IF(H25="KotBu",Sheet2!$E$15*0.001*Sheet2!$P$12*3,IF(H25="Cs2Co3",Sheet2!$E$15*0.001*Sheet2!$P$13*3,""))</f>
        <v>168.315</v>
      </c>
      <c r="T25" s="42">
        <f>IF(I25="PhBr", Sheet2!$E$15*0.001*Sheet2!$P$6*$F25/Sheet2!$Q$6, IF(I25="PhCl", Sheet2!$E$15*0.001*Sheet2!$P$7*$F25/Sheet2!$Q$7, ""))</f>
        <v>99.439666666666653</v>
      </c>
      <c r="U25" s="43">
        <f>Sheet2!$E$15*0.001*Sheet2!$P$5</f>
        <v>172.89500000000001</v>
      </c>
    </row>
    <row r="26" spans="1:21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78">
        <v>0.83399500409310001</v>
      </c>
      <c r="P26" s="10"/>
      <c r="Q26" s="10"/>
      <c r="R26" s="10"/>
      <c r="S26" s="10"/>
      <c r="T26" s="10"/>
      <c r="U26" s="10"/>
    </row>
    <row r="27" spans="1:21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1:21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1:21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1:21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1:21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1:21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2:21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</sheetData>
  <mergeCells count="3">
    <mergeCell ref="Q2:U2"/>
    <mergeCell ref="A4:A17"/>
    <mergeCell ref="A18:A25"/>
  </mergeCells>
  <conditionalFormatting sqref="M6:M1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:N1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:L1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6:K1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:J7 J9:J11 J13 J15:J2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:J2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:M1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:N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8:K2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9:M2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9:M2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2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2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:K1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:L1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6:M1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:J2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:K2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:J2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:J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:K2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:L2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6:N2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92B0-760A-4527-BA53-70C95C0F73BF}">
  <dimension ref="D2:U16"/>
  <sheetViews>
    <sheetView topLeftCell="E1" workbookViewId="0">
      <selection activeCell="T8" sqref="T8"/>
    </sheetView>
  </sheetViews>
  <sheetFormatPr defaultRowHeight="15" x14ac:dyDescent="0.25"/>
  <cols>
    <col min="4" max="4" width="17.5703125" bestFit="1" customWidth="1"/>
    <col min="15" max="15" width="11.7109375" bestFit="1" customWidth="1"/>
    <col min="16" max="16" width="11" bestFit="1" customWidth="1"/>
    <col min="20" max="20" width="12" bestFit="1" customWidth="1"/>
    <col min="21" max="21" width="11" bestFit="1" customWidth="1"/>
  </cols>
  <sheetData>
    <row r="2" spans="4:21" ht="15.75" thickBot="1" x14ac:dyDescent="0.3"/>
    <row r="3" spans="4:21" ht="15.75" thickBot="1" x14ac:dyDescent="0.3">
      <c r="D3" s="89" t="s">
        <v>10</v>
      </c>
      <c r="E3" s="90"/>
      <c r="F3" s="90"/>
      <c r="G3" s="90"/>
      <c r="H3" s="91"/>
      <c r="O3" s="5" t="s">
        <v>31</v>
      </c>
      <c r="P3" s="5" t="s">
        <v>37</v>
      </c>
      <c r="Q3" s="18" t="s">
        <v>38</v>
      </c>
      <c r="R3" s="44" t="s">
        <v>64</v>
      </c>
    </row>
    <row r="4" spans="4:21" ht="15.75" thickBot="1" x14ac:dyDescent="0.3">
      <c r="D4" s="117" t="s">
        <v>11</v>
      </c>
      <c r="E4" s="118"/>
      <c r="F4" s="118"/>
      <c r="G4" s="118"/>
      <c r="H4" s="119"/>
      <c r="O4" s="8"/>
      <c r="P4" s="8"/>
      <c r="Q4" s="17" t="s">
        <v>39</v>
      </c>
      <c r="R4" s="45"/>
    </row>
    <row r="5" spans="4:21" ht="15.75" thickBot="1" x14ac:dyDescent="0.3">
      <c r="D5" s="7" t="s">
        <v>12</v>
      </c>
      <c r="E5" s="7" t="s">
        <v>13</v>
      </c>
      <c r="F5" s="7">
        <v>0.5</v>
      </c>
      <c r="G5" s="7">
        <v>5</v>
      </c>
      <c r="H5" s="4"/>
      <c r="M5" s="101" t="s">
        <v>40</v>
      </c>
      <c r="N5" s="102"/>
      <c r="O5" s="7" t="s">
        <v>32</v>
      </c>
      <c r="P5" s="7">
        <v>345.79</v>
      </c>
      <c r="Q5" s="21"/>
      <c r="R5" s="34">
        <f>564/(50*0.001)</f>
        <v>11280</v>
      </c>
      <c r="S5" t="s">
        <v>66</v>
      </c>
      <c r="T5">
        <f>R5*P5</f>
        <v>3900511.2</v>
      </c>
      <c r="U5" t="s">
        <v>67</v>
      </c>
    </row>
    <row r="6" spans="4:21" ht="15.75" thickBot="1" x14ac:dyDescent="0.3">
      <c r="D6" s="117" t="s">
        <v>14</v>
      </c>
      <c r="E6" s="118"/>
      <c r="F6" s="118"/>
      <c r="G6" s="118"/>
      <c r="H6" s="119"/>
      <c r="M6" s="97" t="s">
        <v>20</v>
      </c>
      <c r="N6" s="98"/>
      <c r="O6" s="65" t="s">
        <v>23</v>
      </c>
      <c r="P6" s="65">
        <v>157.01</v>
      </c>
      <c r="Q6" s="66">
        <v>1.5</v>
      </c>
      <c r="R6" s="67">
        <f>134</f>
        <v>134</v>
      </c>
      <c r="S6" s="68" t="s">
        <v>65</v>
      </c>
      <c r="T6" s="67">
        <f>R6*P6*0.001/Q6</f>
        <v>14.026226666666666</v>
      </c>
      <c r="U6" s="68" t="s">
        <v>67</v>
      </c>
    </row>
    <row r="7" spans="4:21" ht="15.75" thickBot="1" x14ac:dyDescent="0.3">
      <c r="D7" s="5" t="s">
        <v>2</v>
      </c>
      <c r="E7" s="5" t="s">
        <v>15</v>
      </c>
      <c r="F7" s="5">
        <v>50</v>
      </c>
      <c r="G7" s="5">
        <v>10</v>
      </c>
      <c r="H7" s="1">
        <v>110</v>
      </c>
      <c r="M7" s="99"/>
      <c r="N7" s="100"/>
      <c r="O7" s="64" t="s">
        <v>52</v>
      </c>
      <c r="P7" s="64">
        <v>112.56</v>
      </c>
      <c r="Q7" s="69">
        <v>1.1100000000000001</v>
      </c>
      <c r="R7" s="70">
        <f>469/25</f>
        <v>18.760000000000002</v>
      </c>
      <c r="S7" s="68" t="s">
        <v>65</v>
      </c>
      <c r="T7" s="70">
        <f>R7*P7*0.001/Q7</f>
        <v>1.9023654054054056</v>
      </c>
      <c r="U7" s="68" t="s">
        <v>67</v>
      </c>
    </row>
    <row r="8" spans="4:21" ht="15.75" thickBot="1" x14ac:dyDescent="0.3">
      <c r="D8" s="6" t="s">
        <v>3</v>
      </c>
      <c r="E8" s="6" t="s">
        <v>16</v>
      </c>
      <c r="F8" s="6">
        <v>0.5</v>
      </c>
      <c r="G8" s="6">
        <v>0.5</v>
      </c>
      <c r="H8" s="2">
        <v>8</v>
      </c>
      <c r="M8" s="101" t="s">
        <v>41</v>
      </c>
      <c r="N8" s="102"/>
      <c r="O8" s="7" t="s">
        <v>33</v>
      </c>
      <c r="P8" s="7">
        <v>915.73</v>
      </c>
      <c r="Q8" s="21"/>
      <c r="R8" s="34">
        <f>1850/50</f>
        <v>37</v>
      </c>
      <c r="S8" t="s">
        <v>66</v>
      </c>
      <c r="T8">
        <f>R8*P8</f>
        <v>33882.01</v>
      </c>
      <c r="U8" t="s">
        <v>67</v>
      </c>
    </row>
    <row r="9" spans="4:21" ht="15.75" thickBot="1" x14ac:dyDescent="0.3">
      <c r="D9" s="8" t="s">
        <v>17</v>
      </c>
      <c r="E9" s="8" t="s">
        <v>18</v>
      </c>
      <c r="F9" s="8">
        <v>1</v>
      </c>
      <c r="G9" s="8">
        <v>0.1</v>
      </c>
      <c r="H9" s="3">
        <v>2</v>
      </c>
      <c r="M9" s="103" t="s">
        <v>7</v>
      </c>
      <c r="N9" s="104"/>
      <c r="O9" s="46" t="s">
        <v>21</v>
      </c>
      <c r="P9" s="46">
        <v>298.41000000000003</v>
      </c>
      <c r="Q9" s="47"/>
      <c r="R9" s="48">
        <f>287/25</f>
        <v>11.48</v>
      </c>
      <c r="S9" s="49" t="s">
        <v>66</v>
      </c>
      <c r="T9" s="48">
        <f t="shared" ref="T9:T13" si="0">R9*P9</f>
        <v>3425.7468000000003</v>
      </c>
      <c r="U9" s="49" t="s">
        <v>67</v>
      </c>
    </row>
    <row r="10" spans="4:21" ht="15.75" thickBot="1" x14ac:dyDescent="0.3">
      <c r="D10" s="117" t="s">
        <v>42</v>
      </c>
      <c r="E10" s="118"/>
      <c r="F10" s="118"/>
      <c r="G10" s="118"/>
      <c r="H10" s="119"/>
      <c r="M10" s="103"/>
      <c r="N10" s="104"/>
      <c r="O10" s="50" t="s">
        <v>34</v>
      </c>
      <c r="P10" s="50">
        <v>578.62</v>
      </c>
      <c r="Q10" s="51"/>
      <c r="R10" s="52">
        <f>556/25</f>
        <v>22.24</v>
      </c>
      <c r="S10" s="49" t="s">
        <v>66</v>
      </c>
      <c r="T10" s="52">
        <f t="shared" si="0"/>
        <v>12868.5088</v>
      </c>
      <c r="U10" s="49" t="s">
        <v>67</v>
      </c>
    </row>
    <row r="11" spans="4:21" ht="15.75" thickBot="1" x14ac:dyDescent="0.3">
      <c r="D11" s="57" t="s">
        <v>8</v>
      </c>
      <c r="E11" s="114" t="s">
        <v>29</v>
      </c>
      <c r="F11" s="115"/>
      <c r="G11" s="115"/>
      <c r="H11" s="116"/>
      <c r="I11" t="s">
        <v>49</v>
      </c>
      <c r="M11" s="105"/>
      <c r="N11" s="106"/>
      <c r="O11" s="53" t="s">
        <v>35</v>
      </c>
      <c r="P11" s="53">
        <v>262.29199999999997</v>
      </c>
      <c r="Q11" s="54"/>
      <c r="R11" s="55">
        <f>1500/(25*1000)</f>
        <v>0.06</v>
      </c>
      <c r="S11" s="49" t="s">
        <v>66</v>
      </c>
      <c r="T11" s="55">
        <f t="shared" si="0"/>
        <v>15.737519999999998</v>
      </c>
      <c r="U11" s="49" t="s">
        <v>67</v>
      </c>
    </row>
    <row r="12" spans="4:21" x14ac:dyDescent="0.25">
      <c r="D12" s="50" t="s">
        <v>19</v>
      </c>
      <c r="E12" s="120" t="s">
        <v>30</v>
      </c>
      <c r="F12" s="121"/>
      <c r="G12" s="121"/>
      <c r="H12" s="122"/>
      <c r="I12" t="s">
        <v>50</v>
      </c>
      <c r="M12" s="107" t="s">
        <v>8</v>
      </c>
      <c r="N12" s="108"/>
      <c r="O12" s="56" t="s">
        <v>22</v>
      </c>
      <c r="P12" s="57">
        <v>112.21</v>
      </c>
      <c r="Q12" s="58"/>
      <c r="R12" s="59">
        <f>462/(2.5*1000)</f>
        <v>0.18479999999999999</v>
      </c>
      <c r="S12" s="60" t="s">
        <v>66</v>
      </c>
      <c r="T12" s="59">
        <f t="shared" si="0"/>
        <v>20.736407999999997</v>
      </c>
      <c r="U12" s="60" t="s">
        <v>67</v>
      </c>
    </row>
    <row r="13" spans="4:21" ht="15.75" thickBot="1" x14ac:dyDescent="0.3">
      <c r="D13" s="64" t="s">
        <v>20</v>
      </c>
      <c r="E13" s="111" t="s">
        <v>51</v>
      </c>
      <c r="F13" s="112"/>
      <c r="G13" s="112"/>
      <c r="H13" s="113"/>
      <c r="M13" s="109"/>
      <c r="N13" s="110"/>
      <c r="O13" s="61" t="s">
        <v>36</v>
      </c>
      <c r="P13" s="61">
        <v>325.82</v>
      </c>
      <c r="Q13" s="62"/>
      <c r="R13" s="63">
        <f>268/500</f>
        <v>0.53600000000000003</v>
      </c>
      <c r="S13" s="60" t="s">
        <v>66</v>
      </c>
      <c r="T13" s="63">
        <f t="shared" si="0"/>
        <v>174.63952</v>
      </c>
      <c r="U13" s="60" t="s">
        <v>67</v>
      </c>
    </row>
    <row r="15" spans="4:21" x14ac:dyDescent="0.25">
      <c r="D15" s="9" t="s">
        <v>45</v>
      </c>
      <c r="E15" s="10">
        <v>500</v>
      </c>
      <c r="F15" s="10" t="s">
        <v>46</v>
      </c>
      <c r="G15" s="10"/>
    </row>
    <row r="16" spans="4:21" x14ac:dyDescent="0.25">
      <c r="D16" s="9" t="s">
        <v>47</v>
      </c>
      <c r="E16" s="10">
        <v>2</v>
      </c>
      <c r="F16" s="10" t="s">
        <v>27</v>
      </c>
      <c r="G16" s="10" t="s">
        <v>48</v>
      </c>
    </row>
  </sheetData>
  <mergeCells count="12">
    <mergeCell ref="E13:H13"/>
    <mergeCell ref="E11:H11"/>
    <mergeCell ref="D3:H3"/>
    <mergeCell ref="D6:H6"/>
    <mergeCell ref="D4:H4"/>
    <mergeCell ref="D10:H10"/>
    <mergeCell ref="E12:H12"/>
    <mergeCell ref="M6:N7"/>
    <mergeCell ref="M8:N8"/>
    <mergeCell ref="M9:N11"/>
    <mergeCell ref="M12:N13"/>
    <mergeCell ref="M5:N5"/>
  </mergeCells>
  <conditionalFormatting sqref="T6:T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:T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:T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887A4-D768-4803-8F0B-8E4A2F053A3A}">
  <dimension ref="D2:H16"/>
  <sheetViews>
    <sheetView workbookViewId="0">
      <selection activeCell="K21" sqref="K21"/>
    </sheetView>
  </sheetViews>
  <sheetFormatPr defaultRowHeight="15" x14ac:dyDescent="0.25"/>
  <cols>
    <col min="6" max="6" width="11.7109375" bestFit="1" customWidth="1"/>
    <col min="7" max="7" width="18.85546875" style="10" bestFit="1" customWidth="1"/>
  </cols>
  <sheetData>
    <row r="2" spans="4:8" ht="15.75" thickBot="1" x14ac:dyDescent="0.3">
      <c r="D2" s="10"/>
      <c r="E2" s="10"/>
      <c r="F2" s="10"/>
      <c r="G2" s="10" t="s">
        <v>70</v>
      </c>
    </row>
    <row r="3" spans="4:8" x14ac:dyDescent="0.25">
      <c r="D3" s="92" t="s">
        <v>7</v>
      </c>
      <c r="E3" s="92" t="s">
        <v>25</v>
      </c>
      <c r="F3" s="92" t="s">
        <v>9</v>
      </c>
      <c r="G3" s="92" t="s">
        <v>71</v>
      </c>
    </row>
    <row r="4" spans="4:8" ht="15.75" thickBot="1" x14ac:dyDescent="0.3">
      <c r="D4" s="94"/>
      <c r="E4" s="94"/>
      <c r="F4" s="94"/>
      <c r="G4" s="94"/>
      <c r="H4" t="s">
        <v>72</v>
      </c>
    </row>
    <row r="5" spans="4:8" x14ac:dyDescent="0.25">
      <c r="D5" s="25" t="s">
        <v>21</v>
      </c>
      <c r="E5" s="25" t="s">
        <v>22</v>
      </c>
      <c r="F5" s="25" t="s">
        <v>23</v>
      </c>
      <c r="G5" s="25">
        <v>2.4537144402364901</v>
      </c>
    </row>
    <row r="6" spans="4:8" x14ac:dyDescent="0.25">
      <c r="D6" s="25" t="s">
        <v>21</v>
      </c>
      <c r="E6" s="25" t="s">
        <v>36</v>
      </c>
      <c r="F6" s="25" t="s">
        <v>23</v>
      </c>
      <c r="G6" s="25">
        <v>0.99354302378677795</v>
      </c>
    </row>
    <row r="7" spans="4:8" x14ac:dyDescent="0.25">
      <c r="D7" s="25" t="s">
        <v>34</v>
      </c>
      <c r="E7" s="25" t="s">
        <v>22</v>
      </c>
      <c r="F7" s="25" t="s">
        <v>23</v>
      </c>
      <c r="G7" s="25">
        <v>1.5324770891998001</v>
      </c>
    </row>
    <row r="8" spans="4:8" x14ac:dyDescent="0.25">
      <c r="D8" s="25" t="s">
        <v>34</v>
      </c>
      <c r="E8" s="25" t="s">
        <v>36</v>
      </c>
      <c r="F8" s="25" t="s">
        <v>23</v>
      </c>
      <c r="G8" s="25">
        <v>0.799046349870425</v>
      </c>
    </row>
    <row r="9" spans="4:8" x14ac:dyDescent="0.25">
      <c r="D9" s="25" t="s">
        <v>35</v>
      </c>
      <c r="E9" s="25" t="s">
        <v>22</v>
      </c>
      <c r="F9" s="25" t="s">
        <v>23</v>
      </c>
      <c r="G9" s="25">
        <v>3.1340836442350999</v>
      </c>
    </row>
    <row r="10" spans="4:8" x14ac:dyDescent="0.25">
      <c r="D10" s="25" t="s">
        <v>35</v>
      </c>
      <c r="E10" s="25" t="s">
        <v>36</v>
      </c>
      <c r="F10" s="25" t="s">
        <v>23</v>
      </c>
      <c r="G10" s="25">
        <v>1.0892936676779601</v>
      </c>
    </row>
    <row r="11" spans="4:8" x14ac:dyDescent="0.25">
      <c r="D11" s="25" t="s">
        <v>21</v>
      </c>
      <c r="E11" s="25" t="s">
        <v>22</v>
      </c>
      <c r="F11" s="25" t="s">
        <v>52</v>
      </c>
      <c r="G11" s="25">
        <v>2.5522074568794202</v>
      </c>
    </row>
    <row r="12" spans="4:8" x14ac:dyDescent="0.25">
      <c r="D12" s="25" t="s">
        <v>21</v>
      </c>
      <c r="E12" s="25" t="s">
        <v>36</v>
      </c>
      <c r="F12" s="25" t="s">
        <v>52</v>
      </c>
      <c r="G12" s="25">
        <v>1.00931473214895</v>
      </c>
    </row>
    <row r="13" spans="4:8" x14ac:dyDescent="0.25">
      <c r="D13" s="25" t="s">
        <v>34</v>
      </c>
      <c r="E13" s="25" t="s">
        <v>22</v>
      </c>
      <c r="F13" s="25" t="s">
        <v>52</v>
      </c>
      <c r="G13" s="25">
        <v>1.57032563144974</v>
      </c>
    </row>
    <row r="14" spans="4:8" x14ac:dyDescent="0.25">
      <c r="D14" s="25" t="s">
        <v>34</v>
      </c>
      <c r="E14" s="25" t="s">
        <v>36</v>
      </c>
      <c r="F14" s="25" t="s">
        <v>52</v>
      </c>
      <c r="G14" s="25">
        <v>0.809215902020193</v>
      </c>
    </row>
    <row r="15" spans="4:8" x14ac:dyDescent="0.25">
      <c r="D15" s="25" t="s">
        <v>35</v>
      </c>
      <c r="E15" s="25" t="s">
        <v>22</v>
      </c>
      <c r="F15" s="25" t="s">
        <v>52</v>
      </c>
      <c r="G15" s="25">
        <v>3.2965784352105998</v>
      </c>
    </row>
    <row r="16" spans="4:8" ht="15.75" thickBot="1" x14ac:dyDescent="0.3">
      <c r="D16" s="26" t="s">
        <v>35</v>
      </c>
      <c r="E16" s="26" t="s">
        <v>36</v>
      </c>
      <c r="F16" s="26" t="s">
        <v>52</v>
      </c>
      <c r="G16" s="26">
        <v>1.1082808381970599</v>
      </c>
    </row>
  </sheetData>
  <mergeCells count="4">
    <mergeCell ref="G3:G4"/>
    <mergeCell ref="D3:D4"/>
    <mergeCell ref="E3:E4"/>
    <mergeCell ref="F3:F4"/>
  </mergeCells>
  <conditionalFormatting sqref="G5:G1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F1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senthilvel-a</dc:creator>
  <cp:lastModifiedBy>senthilvel-a</cp:lastModifiedBy>
  <dcterms:created xsi:type="dcterms:W3CDTF">2024-10-10T17:20:46Z</dcterms:created>
  <dcterms:modified xsi:type="dcterms:W3CDTF">2025-01-17T14:22:26Z</dcterms:modified>
</cp:coreProperties>
</file>