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MASTER_THESIS\My documents\"/>
    </mc:Choice>
  </mc:AlternateContent>
  <xr:revisionPtr revIDLastSave="0" documentId="13_ncr:1_{AA531B4D-C791-4326-AE70-4596130EB6D4}" xr6:coauthVersionLast="47" xr6:coauthVersionMax="47" xr10:uidLastSave="{00000000-0000-0000-0000-000000000000}"/>
  <bookViews>
    <workbookView xWindow="28680" yWindow="-120" windowWidth="57840" windowHeight="23520" activeTab="1" xr2:uid="{C7C3D9FF-2483-4A8F-A6D4-B200CEC5D749}"/>
  </bookViews>
  <sheets>
    <sheet name="scenario" sheetId="1" r:id="rId1"/>
    <sheet name="TDMA" sheetId="2" r:id="rId2"/>
    <sheet name="Calcu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1" i="2" l="1"/>
  <c r="A153" i="2" s="1"/>
  <c r="C143" i="2"/>
  <c r="E18" i="2"/>
  <c r="C18" i="2"/>
  <c r="C19" i="2" s="1"/>
  <c r="C99" i="1"/>
  <c r="J37" i="1"/>
  <c r="J38" i="1"/>
  <c r="J39" i="1"/>
  <c r="J40" i="1"/>
  <c r="J41" i="1"/>
  <c r="J36" i="1"/>
  <c r="I37" i="1"/>
  <c r="I38" i="1"/>
  <c r="I39" i="1"/>
  <c r="I40" i="1"/>
  <c r="I41" i="1"/>
  <c r="I36" i="1"/>
  <c r="H37" i="1"/>
  <c r="H38" i="1"/>
  <c r="H39" i="1"/>
  <c r="H40" i="1"/>
  <c r="H41" i="1"/>
  <c r="H36" i="1"/>
  <c r="E37" i="1"/>
  <c r="A20" i="3"/>
  <c r="A22" i="3" s="1"/>
  <c r="A24" i="3" s="1"/>
  <c r="A26" i="3" s="1"/>
  <c r="C27" i="2"/>
  <c r="Y164" i="2"/>
  <c r="B12" i="3"/>
  <c r="B28" i="3"/>
  <c r="C104" i="2"/>
  <c r="C105" i="2" s="1"/>
  <c r="A167" i="2"/>
  <c r="A168" i="2" s="1"/>
  <c r="C36" i="2"/>
  <c r="C31" i="2"/>
  <c r="A124" i="2"/>
  <c r="A125" i="2" s="1"/>
  <c r="C80" i="2"/>
  <c r="D50" i="2"/>
  <c r="C30" i="2"/>
  <c r="C29" i="2"/>
  <c r="C28" i="2"/>
  <c r="C34" i="2"/>
  <c r="C35" i="2"/>
  <c r="C33" i="2"/>
  <c r="D40" i="1"/>
  <c r="C74" i="1"/>
  <c r="C108" i="1" s="1"/>
  <c r="C109" i="1" s="1"/>
  <c r="C110" i="1" s="1"/>
  <c r="C111" i="1" s="1"/>
  <c r="A13" i="1"/>
  <c r="E6" i="1"/>
  <c r="E7" i="1"/>
  <c r="E8" i="1"/>
  <c r="E9" i="1"/>
  <c r="E10" i="1"/>
  <c r="E5" i="1"/>
  <c r="D6" i="1"/>
  <c r="D7" i="1"/>
  <c r="D15" i="1" s="1"/>
  <c r="D8" i="1"/>
  <c r="D9" i="1"/>
  <c r="D10" i="1"/>
  <c r="D5" i="1"/>
  <c r="C6" i="1"/>
  <c r="C7" i="1"/>
  <c r="C8" i="1"/>
  <c r="C9" i="1"/>
  <c r="C17" i="1" s="1"/>
  <c r="C10" i="1"/>
  <c r="C5" i="1"/>
  <c r="M5" i="3"/>
  <c r="D33" i="2" l="1"/>
  <c r="C106" i="2" s="1"/>
  <c r="E119" i="2" s="1"/>
  <c r="D35" i="2"/>
  <c r="D34" i="2"/>
  <c r="C82" i="2" s="1"/>
  <c r="D31" i="2"/>
  <c r="C98" i="1"/>
  <c r="C100" i="1" s="1"/>
  <c r="C101" i="1" s="1"/>
  <c r="C14" i="1"/>
  <c r="D41" i="1"/>
  <c r="B30" i="3"/>
  <c r="D36" i="2"/>
  <c r="D30" i="2"/>
  <c r="D28" i="2"/>
  <c r="D29" i="2"/>
  <c r="C81" i="2"/>
  <c r="A87" i="2" s="1"/>
  <c r="A91" i="2" s="1"/>
  <c r="D27" i="2"/>
  <c r="E41" i="1"/>
  <c r="D38" i="1"/>
  <c r="H48" i="1" s="1"/>
  <c r="E40" i="1"/>
  <c r="E36" i="1"/>
  <c r="C37" i="1"/>
  <c r="D39" i="1"/>
  <c r="E39" i="1"/>
  <c r="E38" i="1"/>
  <c r="C36" i="1"/>
  <c r="D37" i="1"/>
  <c r="D36" i="1"/>
  <c r="C41" i="1"/>
  <c r="C40" i="1"/>
  <c r="G50" i="1" s="1"/>
  <c r="C39" i="1"/>
  <c r="C38" i="1"/>
  <c r="C13" i="1"/>
  <c r="D17" i="1"/>
  <c r="H50" i="1" s="1"/>
  <c r="C18" i="1"/>
  <c r="C16" i="1"/>
  <c r="G49" i="1" s="1"/>
  <c r="D16" i="1"/>
  <c r="H49" i="1" s="1"/>
  <c r="D13" i="1"/>
  <c r="C15" i="1"/>
  <c r="G48" i="1" s="1"/>
  <c r="E14" i="1"/>
  <c r="I47" i="1" s="1"/>
  <c r="D14" i="1"/>
  <c r="E17" i="1"/>
  <c r="D18" i="1"/>
  <c r="H51" i="1" s="1"/>
  <c r="E18" i="1"/>
  <c r="I51" i="1" s="1"/>
  <c r="E13" i="1"/>
  <c r="E16" i="1"/>
  <c r="I49" i="1" s="1"/>
  <c r="E15" i="1"/>
  <c r="I48" i="1" s="1"/>
  <c r="J127" i="2" l="1"/>
  <c r="F128" i="2"/>
  <c r="L128" i="2" s="1"/>
  <c r="C141" i="2"/>
  <c r="E138" i="2"/>
  <c r="F154" i="2" s="1"/>
  <c r="C140" i="2"/>
  <c r="A138" i="2"/>
  <c r="D154" i="2" s="1"/>
  <c r="C130" i="2"/>
  <c r="A113" i="2"/>
  <c r="A117" i="2" s="1"/>
  <c r="B119" i="2" s="1"/>
  <c r="E92" i="2"/>
  <c r="G51" i="1"/>
  <c r="G46" i="1"/>
  <c r="H47" i="1"/>
  <c r="G47" i="1"/>
  <c r="I50" i="1"/>
  <c r="I46" i="1"/>
  <c r="C82" i="1" s="1"/>
  <c r="H46" i="1"/>
  <c r="F53" i="2"/>
  <c r="A55" i="2" s="1"/>
  <c r="A59" i="2" s="1"/>
  <c r="A61" i="2" s="1"/>
  <c r="E70" i="2" s="1"/>
  <c r="C88" i="1" l="1"/>
  <c r="C90" i="1" s="1"/>
  <c r="C84" i="1"/>
  <c r="C86" i="1" s="1"/>
  <c r="A147" i="2"/>
  <c r="A148" i="2" s="1"/>
  <c r="I130" i="2"/>
  <c r="A95" i="2"/>
  <c r="D95" i="2" s="1"/>
  <c r="E174" i="2"/>
</calcChain>
</file>

<file path=xl/sharedStrings.xml><?xml version="1.0" encoding="utf-8"?>
<sst xmlns="http://schemas.openxmlformats.org/spreadsheetml/2006/main" count="267" uniqueCount="232">
  <si>
    <t>Bytes Generated By Device:</t>
  </si>
  <si>
    <t xml:space="preserve">Symbol Duration: </t>
  </si>
  <si>
    <t>SF/BW</t>
  </si>
  <si>
    <t>src</t>
  </si>
  <si>
    <t>https://www.openhacks.com/uploadsproductos/loradesignguide_std.pdf</t>
  </si>
  <si>
    <t>duration of the preamble for Npre=8</t>
  </si>
  <si>
    <t>Parameters for number of symbol that makes a packet</t>
  </si>
  <si>
    <t>H</t>
  </si>
  <si>
    <t xml:space="preserve">Header Enabled </t>
  </si>
  <si>
    <t>DE</t>
  </si>
  <si>
    <t>Data Rate Optimization enabled (=1) if Tsymbol &gt;16ms</t>
  </si>
  <si>
    <t>CR</t>
  </si>
  <si>
    <t>Coding Rate 1 equals 4/5 (I think)</t>
  </si>
  <si>
    <t>Number of Symbols Packet</t>
  </si>
  <si>
    <t>Let's say we take SF=12, BW=500 kHz</t>
  </si>
  <si>
    <t>SCENARIO 2:</t>
  </si>
  <si>
    <t>The strength of our protocol is that it just need a basic tranceiver to work,</t>
  </si>
  <si>
    <t>making it very cheap.</t>
  </si>
  <si>
    <t>NEED TO CHECK SOURCES FOR THE DISTANCEEEE</t>
  </si>
  <si>
    <t>Scenario 1:</t>
  </si>
  <si>
    <t>Scenario 2:</t>
  </si>
  <si>
    <t>Scenario 3:</t>
  </si>
  <si>
    <t xml:space="preserve">The limitation is on the Relays, as they need to </t>
  </si>
  <si>
    <t xml:space="preserve">transmit their own data, the data of their C1 childs, </t>
  </si>
  <si>
    <t>and the data of the cluster further in the network!</t>
  </si>
  <si>
    <t>Hypothesis:</t>
  </si>
  <si>
    <t>Every Relay has 8 child sending data at max rate</t>
  </si>
  <si>
    <t>We want the maximum distance for relays</t>
  </si>
  <si>
    <t>Time to transmit data of all the cluster (8 child + relay):</t>
  </si>
  <si>
    <t>Interferences (need for restransmission)</t>
  </si>
  <si>
    <t>&lt;- average time it takes to send the data of the day of the cluster by the relay</t>
  </si>
  <si>
    <t>Constants:</t>
  </si>
  <si>
    <t>Hours dedicated to RCC uplink</t>
  </si>
  <si>
    <t>Max transmission time per hour (s)</t>
  </si>
  <si>
    <t>Max transmission time per day for RCC uplink (s)</t>
  </si>
  <si>
    <t>Nbr of clusters that can be supported without bottleneck:</t>
  </si>
  <si>
    <t>Let's do it the other way around</t>
  </si>
  <si>
    <t>Number of Nodes that can be supported without bottleneck:</t>
  </si>
  <si>
    <t xml:space="preserve">Max time is the same, so Inteference time should be </t>
  </si>
  <si>
    <t>which gives us a time to transmit data of all the cluster</t>
  </si>
  <si>
    <t>SCENARIO 3:</t>
  </si>
  <si>
    <t>Same reasoning than in Scenario 2</t>
  </si>
  <si>
    <t>SCENARIO 1: (change B33 to match scenario)</t>
  </si>
  <si>
    <t>The only set is : (7,500)</t>
  </si>
  <si>
    <t>Voc:</t>
  </si>
  <si>
    <t>Communication Period: a timeframe dedicated to one mode (certain event and activities are expected to occur).</t>
  </si>
  <si>
    <t>Communication Window: A collection of uplink and dowlink windows that can be separated by periods of sleep. Serves a specific task for a mode (ex: transmit data, broadcast beacon)</t>
  </si>
  <si>
    <t>We want our relay to forward correctly 30 cluster</t>
  </si>
  <si>
    <t>Maximum time to transmit all data from a cluster, including retransmissions</t>
  </si>
  <si>
    <t>The sets of parameters giving us a time inferior or equal to the value above are (SF, BW)=(7,125),(8,250),(9,500) and more !</t>
  </si>
  <si>
    <t>Beacon</t>
  </si>
  <si>
    <t>ACK</t>
  </si>
  <si>
    <t>Flooding Packet</t>
  </si>
  <si>
    <t>DATA</t>
  </si>
  <si>
    <t>Data</t>
  </si>
  <si>
    <t>Nb of Bits</t>
  </si>
  <si>
    <t>Global ID</t>
  </si>
  <si>
    <t>Local ID</t>
  </si>
  <si>
    <t>TimeStamp</t>
  </si>
  <si>
    <t>Hash Function</t>
  </si>
  <si>
    <t>Type</t>
  </si>
  <si>
    <t>Global Id Packet</t>
  </si>
  <si>
    <t>Local Id Packet</t>
  </si>
  <si>
    <t>Cost Function</t>
  </si>
  <si>
    <t>Hop Count</t>
  </si>
  <si>
    <t>Sensor Data</t>
  </si>
  <si>
    <t>Bits</t>
  </si>
  <si>
    <t>bytes</t>
  </si>
  <si>
    <t>Communication Periods:</t>
  </si>
  <si>
    <t>Unit Time</t>
  </si>
  <si>
    <t>s</t>
  </si>
  <si>
    <t>Beacon RRC</t>
  </si>
  <si>
    <t>Beacon ENC</t>
  </si>
  <si>
    <t>&lt;- must be equal to zero !</t>
  </si>
  <si>
    <t>Guard Time</t>
  </si>
  <si>
    <t>Duty Cycle:</t>
  </si>
  <si>
    <t>s of transmission per hour</t>
  </si>
  <si>
    <t>Transmission Window: A collection of frames (beacon, ack, data..) that constitutes a downlink&amp;uplink windo</t>
  </si>
  <si>
    <t>MESH</t>
  </si>
  <si>
    <t>Up ENC</t>
  </si>
  <si>
    <t>Down ENC</t>
  </si>
  <si>
    <t>Flood  RRC</t>
  </si>
  <si>
    <t>Frame Time Transmission(s)</t>
  </si>
  <si>
    <t>bits</t>
  </si>
  <si>
    <t>&lt;- this is a reference value that I use to calculate the transmission time of others frames that are not equl to 60 bytes</t>
  </si>
  <si>
    <t xml:space="preserve">We want maximum data rate. </t>
  </si>
  <si>
    <t>Transmitting is roughly equal to 20 times the energy consumption of listening</t>
  </si>
  <si>
    <t xml:space="preserve">The number of couple of uplink/dowlink transmission windows possible in one hour </t>
  </si>
  <si>
    <t>So we will have ten times the number of minimal slots to avoid interferences</t>
  </si>
  <si>
    <t>multiplicator of the possible slots for communication</t>
  </si>
  <si>
    <t>&lt;-we multiply by two because there are even and odd nodes.</t>
  </si>
  <si>
    <t>&lt;- a node is supposed to be able to ack every packets it transmits (approximation, since some packets are generated on premises)</t>
  </si>
  <si>
    <t>Time dedicated for flooding:</t>
  </si>
  <si>
    <t>Duty Cycle consideration:</t>
  </si>
  <si>
    <t>Beacon  RRC</t>
  </si>
  <si>
    <t>Node can choose to send between a and b times the slots, 0&lt;=a&lt;b&lt;=n</t>
  </si>
  <si>
    <t>n is the total number of slots available for transmission</t>
  </si>
  <si>
    <t>n</t>
  </si>
  <si>
    <t>a</t>
  </si>
  <si>
    <t>b</t>
  </si>
  <si>
    <t>In this scenario, what's is the proba they decide to choose the same slots, among the n possible?</t>
  </si>
  <si>
    <t>x</t>
  </si>
  <si>
    <t>&lt;- number chosen</t>
  </si>
  <si>
    <t>Decomposition:</t>
  </si>
  <si>
    <t>Proba they decide to transmit at the same time, for a particular slot</t>
  </si>
  <si>
    <t>Proba they never transmit at the same slots</t>
  </si>
  <si>
    <t>Proba they transmit at least during one slot together</t>
  </si>
  <si>
    <t>Final:</t>
  </si>
  <si>
    <t>So what is the proba they transmit every time together?</t>
  </si>
  <si>
    <t xml:space="preserve">is it </t>
  </si>
  <si>
    <t>chance that when two nodes receive a message at the same time, they are not able to forward the data because of interference</t>
  </si>
  <si>
    <t>same than flooding</t>
  </si>
  <si>
    <t>Beacon  ENC</t>
  </si>
  <si>
    <t>s, the time allowed for beacon usages during one day</t>
  </si>
  <si>
    <t>s, the maximumt amount of time nodes are allowed to transmit beacon information</t>
  </si>
  <si>
    <t>UP  ENC</t>
  </si>
  <si>
    <t>Down  ENC</t>
  </si>
  <si>
    <t>There is 8 child nodes maximum in the cluster.</t>
  </si>
  <si>
    <t>s, the communication period length</t>
  </si>
  <si>
    <t>the communication period length (specific to a C1 node)</t>
  </si>
  <si>
    <t>We don't care about delay, even if it could be easily introduced as it's the same procedure as for UP ENC.</t>
  </si>
  <si>
    <t>Actually, we should reduce this communication period length, but let's stay simple.</t>
  </si>
  <si>
    <t>Time Dedicated for beacon</t>
  </si>
  <si>
    <t>Duty Cycle</t>
  </si>
  <si>
    <t>Length Beacon:</t>
  </si>
  <si>
    <t>A node has the choice to send during these transmission window or not</t>
  </si>
  <si>
    <t>Maximum number of slots possible:</t>
  </si>
  <si>
    <t>Nodes send approximately three times the beacon. There should be for this three times 10 possible slots.(see calcul of proba above, this setup gives us a 1%chance of interference)</t>
  </si>
  <si>
    <t>There is a tradeoff between the latency of the system, and the energy consumpttion but from now on, we will consider</t>
  </si>
  <si>
    <t>Consequently, the number of transmission slots (where a node should listen if not in emitting mode) is:</t>
  </si>
  <si>
    <t xml:space="preserve">So every </t>
  </si>
  <si>
    <t>s,</t>
  </si>
  <si>
    <t>a frame of length</t>
  </si>
  <si>
    <t>There is only one type of packet ( NO ACK)</t>
  </si>
  <si>
    <t xml:space="preserve">In the case the total number of transmission exceeds the duty cycle limit, </t>
  </si>
  <si>
    <t>(slots), it will simply stop transmitting for the rest of the communication window.</t>
  </si>
  <si>
    <t>This scenario can happen when C3 is spamming flood packet</t>
  </si>
  <si>
    <t>Variables</t>
  </si>
  <si>
    <t>UTILITIES</t>
  </si>
  <si>
    <t>Probabiity&gt;</t>
  </si>
  <si>
    <t>1)</t>
  </si>
  <si>
    <t>How Many concurrent nodes?</t>
  </si>
  <si>
    <t>diff¡</t>
  </si>
  <si>
    <t>avg number of emission</t>
  </si>
  <si>
    <t>possible slots for a flood pack</t>
  </si>
  <si>
    <t>Interval between slots:</t>
  </si>
  <si>
    <t xml:space="preserve">s, can start. </t>
  </si>
  <si>
    <t>Time Data Frame</t>
  </si>
  <si>
    <t>Time ACK</t>
  </si>
  <si>
    <t>So at i*37,5, theith C1 child will wake-up, and listen until it receives nothing .If it received a data packet, After a small delay, it will reply by an ack and will go to sleep.</t>
  </si>
  <si>
    <t xml:space="preserve">This process repeat every 5 s for two other times  between </t>
  </si>
  <si>
    <t>Let's consider C2 is having at most  three message per node.</t>
  </si>
  <si>
    <t xml:space="preserve">s, </t>
  </si>
  <si>
    <t xml:space="preserve">Every 5, for three times, there is communication  during </t>
  </si>
  <si>
    <t>and then sleep.</t>
  </si>
  <si>
    <t>The C1 child will stop listening when it doesn't receive anymore</t>
  </si>
  <si>
    <t>Random Delay</t>
  </si>
  <si>
    <t>Proba at least two noodes choose the same number</t>
  </si>
  <si>
    <t xml:space="preserve">&lt;-- is is true? Check with other </t>
  </si>
  <si>
    <t>Proba the three of them are not transmitting at the same (but two can still do be transmitting)</t>
  </si>
  <si>
    <t>After reading again all this calculus, I realized I should have made them per node, and not per cluster, but it's more or less the same</t>
  </si>
  <si>
    <t>DONT FORGET TO TAKE INTO ACCOUNT THE ACKNOWLEDGEMENT OF THE PACKETS IN RRC UPLINK MODE (a packet emitted, is rougly equal to one packet acknowledged)</t>
  </si>
  <si>
    <t>(Payload + Header ) (see TDMA page for calcul length packets)</t>
  </si>
  <si>
    <t>Time on air packet (s) (we calculate DATA+ACK as approx every DATA will be acknowledged</t>
  </si>
  <si>
    <t>We adopt scenario 3</t>
  </si>
  <si>
    <t>Enter below the value of interest found in Scenario.</t>
  </si>
  <si>
    <t>36 second of transmission per hour per device ! (1%)</t>
  </si>
  <si>
    <t>Due to interferences, we send RRC packets three times on average.  (probably less but we think worst case here). The simulation will be useful to verify these hyphotesis.</t>
  </si>
  <si>
    <t>max number of nodes in a cluster</t>
  </si>
  <si>
    <t>Time to transmit data of one node</t>
  </si>
  <si>
    <t>which gives a time to send all the packets for a node (data +ack) * 6</t>
  </si>
  <si>
    <t>which gives a time (data +ack) *24</t>
  </si>
  <si>
    <t>In scenario 3, we send data every  hours (24 times a day), so we have per hour a max TOA of</t>
  </si>
  <si>
    <t>In scenario 2, we send data every four hours (6 times a day),, so we have per hour a max TOA of</t>
  </si>
  <si>
    <t>TOA for (DATA +ACK)</t>
  </si>
  <si>
    <t>RRC UPLINK</t>
  </si>
  <si>
    <t>How long are the fields (in bits)?</t>
  </si>
  <si>
    <t>ENC FRAMES</t>
  </si>
  <si>
    <t>RRC FRAMES</t>
  </si>
  <si>
    <t>See report or Miro for pictures of the frames</t>
  </si>
  <si>
    <t>The number of transmission slots, odd and even. Nodes will choose 10% of these slots to respect regulations, at the beginning of every hour (or every predefined unit of time)</t>
  </si>
  <si>
    <t xml:space="preserve">interval between two Uplink Window. </t>
  </si>
  <si>
    <t>In this interval, there must be a Data Packet, sleep, ack packet, sleep</t>
  </si>
  <si>
    <t>Duration of the sleep (we consider the two periods of sleep as equal):</t>
  </si>
  <si>
    <t>Flood packet Duration length</t>
  </si>
  <si>
    <t>NB:</t>
  </si>
  <si>
    <t>Guard time is never counted in this calculus because it doesn-t count in the transmission. The guard time happens only in the receiver side (receiver wake up a bit before and sleep a bit later)</t>
  </si>
  <si>
    <t>THIS HAS NOT BEEN CORRECTED AND IS NOT INCLUDED IN THE REPORT, so consider it as a bonus, jus to illustrate that randomness is somehow efficient</t>
  </si>
  <si>
    <t>Nodes send approximately three times the flood packet. There should be for this three times 10 possible slots.(see calcul of proba in next page)</t>
  </si>
  <si>
    <t>Maximum number of times a node can transmit its flood packet</t>
  </si>
  <si>
    <t>Flooding RRC (downlink)</t>
  </si>
  <si>
    <t>Consequently, the number of potential transmission slots are:</t>
  </si>
  <si>
    <t>s, which makes a period of sleep:</t>
  </si>
  <si>
    <t>The number of following pair of (join request, join accepted) following a beacon</t>
  </si>
  <si>
    <t xml:space="preserve">Since the procedure of joining is happening a few times accross the span of months, we neglect it. However, between two beacons, there must be a minimum </t>
  </si>
  <si>
    <t>Minimum processing time</t>
  </si>
  <si>
    <t>As highlighted in the report, the number of different communication period during a day for ENC beacon is variable and depends of the clock synchronization.</t>
  </si>
  <si>
    <t>Remember that this communication period is not continous but splitted during the day</t>
  </si>
  <si>
    <t>But we want to have a random initial shift, considering the duration of the beacon ENC frame</t>
  </si>
  <si>
    <t xml:space="preserve">s, it would be nice to have 40 time this duration, so the max random shift is: </t>
  </si>
  <si>
    <t>s of time</t>
  </si>
  <si>
    <t xml:space="preserve">We can send a maximum of </t>
  </si>
  <si>
    <t>beacons in a day,</t>
  </si>
  <si>
    <t xml:space="preserve">and there is enough time for the next 4 (join request/accept) as </t>
  </si>
  <si>
    <t xml:space="preserve"> is way superior. (the duty cycle is always the limit).</t>
  </si>
  <si>
    <t>The number of communication periods in a day depends of the clock synchronization frequency desired mainly. We know that a maximum of 432 is possible regarding the TOA of the beacon ENC packet.</t>
  </si>
  <si>
    <t>Number of packets to send (scenario 3)</t>
  </si>
  <si>
    <t>plus a litle extra to be safe -&gt;</t>
  </si>
  <si>
    <t>s,to send all the data from a C1</t>
  </si>
  <si>
    <t>s, to reply ACK from a C2</t>
  </si>
  <si>
    <t>The pattern is :</t>
  </si>
  <si>
    <t>s, the time it take to converse with ONE NODE</t>
  </si>
  <si>
    <t>s, the time it take to converse with all the nodes</t>
  </si>
  <si>
    <t>Time allowed to the UP ENC MODE</t>
  </si>
  <si>
    <t>Effective time For Transmission</t>
  </si>
  <si>
    <t>Every node respect this, as a C1 transmit for a maximum of</t>
  </si>
  <si>
    <t>s and a C2 speaks for</t>
  </si>
  <si>
    <t>We should decrease the time dedicated to this mode.</t>
  </si>
  <si>
    <t xml:space="preserve">Processing Time </t>
  </si>
  <si>
    <t>The same pattern as Uplink ENC but reversed (sender becomes receiver..)</t>
  </si>
  <si>
    <t>Not 28 messages but three max</t>
  </si>
  <si>
    <t>Random Delay+Data+PT+ACK…..(X28)</t>
  </si>
  <si>
    <t>Max Random Delay</t>
  </si>
  <si>
    <t>?</t>
  </si>
  <si>
    <t>&lt;- this is an approximation as the time for a data frame doesn't follow this rule of three (fixed preamble duration)</t>
  </si>
  <si>
    <t>&lt;-- not sure it is correct</t>
  </si>
  <si>
    <t>Data is gathered once a day</t>
  </si>
  <si>
    <t>Data is gathered every four hour</t>
  </si>
  <si>
    <t>Data is gathered every hour</t>
  </si>
  <si>
    <t>Join Request</t>
  </si>
  <si>
    <t xml:space="preserve">Join Accepted </t>
  </si>
  <si>
    <t>SF/BW(Hz)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</si>
</sst>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FFFF00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10" borderId="0" xfId="0" applyFill="1"/>
    <xf numFmtId="0" fontId="16" fillId="0" borderId="0" xfId="0" applyFont="1"/>
    <xf numFmtId="0" fontId="17" fillId="0" borderId="0" xfId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242887</xdr:colOff>
      <xdr:row>22</xdr:row>
      <xdr:rowOff>90185</xdr:rowOff>
    </xdr:from>
    <xdr:to>
      <xdr:col>15</xdr:col>
      <xdr:colOff>430867</xdr:colOff>
      <xdr:row>25</xdr:row>
      <xdr:rowOff>61611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852FFF-4905-B1A9-D5A5-8E213EFC5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5084" y="4111852"/>
          <a:ext cx="5508510" cy="519835"/>
        </a:xfrm>
        <a:prstGeom prst="rect">
          <a:avLst/>
        </a:prstGeom>
      </xdr:spPr>
    </xdr:pic>
    <xdr:clientData/>
  </xdr:twoCellAnchor>
  <xdr:twoCellAnchor editAs="oneCell">
    <xdr:from>
      <xdr:col>5</xdr:col>
      <xdr:colOff>8504</xdr:colOff>
      <xdr:row>12</xdr:row>
      <xdr:rowOff>76200</xdr:rowOff>
    </xdr:from>
    <xdr:to>
      <xdr:col>11</xdr:col>
      <xdr:colOff>304358</xdr:colOff>
      <xdr:row>16</xdr:row>
      <xdr:rowOff>104880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5FA3A7-FBB9-8B7B-3888-21310BDB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1837" y="2269836"/>
          <a:ext cx="5144945" cy="759892"/>
        </a:xfrm>
        <a:prstGeom prst="rect">
          <a:avLst/>
        </a:prstGeom>
      </xdr:spPr>
    </xdr:pic>
    <xdr:clientData/>
  </xdr:twoCellAnchor>
  <xdr:twoCellAnchor editAs="oneCell">
    <xdr:from>
      <xdr:col>5</xdr:col>
      <xdr:colOff>640329</xdr:colOff>
      <xdr:row>2</xdr:row>
      <xdr:rowOff>171450</xdr:rowOff>
    </xdr:from>
    <xdr:to>
      <xdr:col>7</xdr:col>
      <xdr:colOff>647759</xdr:colOff>
      <xdr:row>8</xdr:row>
      <xdr:rowOff>82690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A3BC42-516C-8E9F-1648-43A129A90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5754" y="533400"/>
          <a:ext cx="1810003" cy="1000265"/>
        </a:xfrm>
        <a:prstGeom prst="rect">
          <a:avLst/>
        </a:prstGeom>
      </xdr:spPr>
    </xdr:pic>
    <xdr:clientData/>
  </xdr:twoCellAnchor>
  <xdr:twoCellAnchor editAs="oneCell">
    <xdr:from>
      <xdr:col>12</xdr:col>
      <xdr:colOff>99406</xdr:colOff>
      <xdr:row>72</xdr:row>
      <xdr:rowOff>148852</xdr:rowOff>
    </xdr:from>
    <xdr:to>
      <xdr:col>19</xdr:col>
      <xdr:colOff>739523</xdr:colOff>
      <xdr:row>101</xdr:row>
      <xdr:rowOff>48989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C58AB0-247F-D442-221B-779D45873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906" y="13628170"/>
          <a:ext cx="5960647" cy="5432334"/>
        </a:xfrm>
        <a:prstGeom prst="rect">
          <a:avLst/>
        </a:prstGeom>
      </xdr:spPr>
    </xdr:pic>
    <xdr:clientData/>
  </xdr:twoCellAnchor>
  <xdr:twoCellAnchor editAs="oneCell">
    <xdr:from>
      <xdr:col>1</xdr:col>
      <xdr:colOff>741208</xdr:colOff>
      <xdr:row>53</xdr:row>
      <xdr:rowOff>99782</xdr:rowOff>
    </xdr:from>
    <xdr:to>
      <xdr:col>15</xdr:col>
      <xdr:colOff>219306</xdr:colOff>
      <xdr:row>63</xdr:row>
      <xdr:rowOff>17083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827C06-42F6-5919-93DA-D7506151A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88110" y="9365950"/>
          <a:ext cx="10493969" cy="1801595"/>
        </a:xfrm>
        <a:prstGeom prst="rect">
          <a:avLst/>
        </a:prstGeom>
      </xdr:spPr>
    </xdr:pic>
    <xdr:clientData/>
  </xdr:twoCellAnchor>
  <xdr:twoCellAnchor editAs="oneCell">
    <xdr:from>
      <xdr:col>0</xdr:col>
      <xdr:colOff>327742</xdr:colOff>
      <xdr:row>45</xdr:row>
      <xdr:rowOff>174113</xdr:rowOff>
    </xdr:from>
    <xdr:to>
      <xdr:col>0</xdr:col>
      <xdr:colOff>2324919</xdr:colOff>
      <xdr:row>47</xdr:row>
      <xdr:rowOff>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06CA21-CE9C-30B2-C05A-3D8894A8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7742" y="8480323"/>
          <a:ext cx="1997177" cy="297016"/>
        </a:xfrm>
        <a:prstGeom prst="rect">
          <a:avLst/>
        </a:prstGeom>
      </xdr:spPr>
    </xdr:pic>
    <xdr:clientData/>
  </xdr:twoCellAnchor>
  <xdr:twoCellAnchor editAs="oneCell">
    <xdr:from>
      <xdr:col>0</xdr:col>
      <xdr:colOff>307259</xdr:colOff>
      <xdr:row>47</xdr:row>
      <xdr:rowOff>174114</xdr:rowOff>
    </xdr:from>
    <xdr:to>
      <xdr:col>0</xdr:col>
      <xdr:colOff>2212259</xdr:colOff>
      <xdr:row>49</xdr:row>
      <xdr:rowOff>6045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762088-5E1C-DDC0-9F80-DD791AF2C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7259" y="8849033"/>
          <a:ext cx="1905000" cy="317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244929</xdr:colOff>
      <xdr:row>1</xdr:row>
      <xdr:rowOff>117928</xdr:rowOff>
    </xdr:from>
    <xdr:to>
      <xdr:col>22</xdr:col>
      <xdr:colOff>67733</xdr:colOff>
      <xdr:row>17</xdr:row>
      <xdr:rowOff>45809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081D4F-9257-D6BC-A0D2-6D5C9F32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0" y="299357"/>
          <a:ext cx="7821116" cy="3238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180553</xdr:colOff>
      <xdr:row>5</xdr:row>
      <xdr:rowOff>69850</xdr:rowOff>
    </xdr:from>
    <xdr:to>
      <xdr:col>11</xdr:col>
      <xdr:colOff>264585</xdr:colOff>
      <xdr:row>14</xdr:row>
      <xdr:rowOff>172189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D0AF23-9B88-1757-2B9E-8A5CCD472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7753" y="1073150"/>
          <a:ext cx="2522432" cy="1759689"/>
        </a:xfrm>
        <a:prstGeom prst="rect">
          <a:avLst/>
        </a:prstGeom>
      </xdr:spPr>
    </xdr:pic>
    <xdr:clientData/>
  </xdr:twoCellAnchor>
  <xdr:twoCellAnchor editAs="oneCell">
    <xdr:from>
      <xdr:col>12</xdr:col>
      <xdr:colOff>107950</xdr:colOff>
      <xdr:row>5</xdr:row>
      <xdr:rowOff>57617</xdr:rowOff>
    </xdr:from>
    <xdr:to>
      <xdr:col>17</xdr:col>
      <xdr:colOff>80315</xdr:colOff>
      <xdr:row>15</xdr:row>
      <xdr:rowOff>95835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1A1E7B-CF5F-A188-3441-2BDC07F29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3150" y="1060917"/>
          <a:ext cx="3020365" cy="1879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penhacks.com/uploadsproductos/loradesignguide_std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7E8-F67B-4D4D-9020-F9056F4A067C}">
  <dimension ref="A1:R123"/>
  <sheetViews>
    <sheetView topLeftCell="A10" zoomScale="78" zoomScaleNormal="55" workbookViewId="0">
      <selection activeCell="A13" sqref="A13"/>
    </sheetView>
  </sheetViews>
  <sheetFormatPr defaultColWidth="10.90625" defaultRowHeight="14.5" x14ac:dyDescent="0.35"/>
  <cols>
    <col min="1" max="1" width="71.36328125" customWidth="1"/>
    <col min="5" max="5" width="11.1796875" customWidth="1"/>
    <col min="7" max="7" width="15" customWidth="1"/>
  </cols>
  <sheetData>
    <row r="1" spans="1:6" x14ac:dyDescent="0.35">
      <c r="C1" s="1"/>
      <c r="E1" s="1" t="s">
        <v>3</v>
      </c>
      <c r="F1" s="27" t="s">
        <v>4</v>
      </c>
    </row>
    <row r="4" spans="1:6" x14ac:dyDescent="0.35">
      <c r="A4" s="1" t="s">
        <v>1</v>
      </c>
      <c r="B4" s="2" t="s">
        <v>231</v>
      </c>
      <c r="C4" s="3">
        <v>125000</v>
      </c>
      <c r="D4" s="3">
        <v>250000</v>
      </c>
      <c r="E4" s="3">
        <v>500000</v>
      </c>
    </row>
    <row r="5" spans="1:6" x14ac:dyDescent="0.35">
      <c r="B5" s="3">
        <v>12</v>
      </c>
      <c r="C5">
        <f t="shared" ref="C5:C10" si="0">2^(B5)/$C$4</f>
        <v>3.2767999999999999E-2</v>
      </c>
      <c r="D5">
        <f t="shared" ref="D5:D10" si="1">2^(B5)/$D$4</f>
        <v>1.6383999999999999E-2</v>
      </c>
      <c r="E5">
        <f t="shared" ref="E5:E10" si="2">2^(B5)/$E$4</f>
        <v>8.1919999999999996E-3</v>
      </c>
    </row>
    <row r="6" spans="1:6" x14ac:dyDescent="0.35">
      <c r="B6" s="3">
        <v>11</v>
      </c>
      <c r="C6">
        <f t="shared" si="0"/>
        <v>1.6383999999999999E-2</v>
      </c>
      <c r="D6">
        <f t="shared" si="1"/>
        <v>8.1919999999999996E-3</v>
      </c>
      <c r="E6">
        <f t="shared" si="2"/>
        <v>4.0959999999999998E-3</v>
      </c>
    </row>
    <row r="7" spans="1:6" x14ac:dyDescent="0.35">
      <c r="B7" s="3">
        <v>10</v>
      </c>
      <c r="C7">
        <f t="shared" si="0"/>
        <v>8.1919999999999996E-3</v>
      </c>
      <c r="D7">
        <f t="shared" si="1"/>
        <v>4.0959999999999998E-3</v>
      </c>
      <c r="E7">
        <f t="shared" si="2"/>
        <v>2.0479999999999999E-3</v>
      </c>
    </row>
    <row r="8" spans="1:6" x14ac:dyDescent="0.35">
      <c r="B8" s="3">
        <v>9</v>
      </c>
      <c r="C8">
        <f t="shared" si="0"/>
        <v>4.0959999999999998E-3</v>
      </c>
      <c r="D8">
        <f t="shared" si="1"/>
        <v>2.0479999999999999E-3</v>
      </c>
      <c r="E8">
        <f t="shared" si="2"/>
        <v>1.024E-3</v>
      </c>
    </row>
    <row r="9" spans="1:6" x14ac:dyDescent="0.35">
      <c r="B9" s="3">
        <v>8</v>
      </c>
      <c r="C9">
        <f t="shared" si="0"/>
        <v>2.0479999999999999E-3</v>
      </c>
      <c r="D9">
        <f t="shared" si="1"/>
        <v>1.024E-3</v>
      </c>
      <c r="E9">
        <f t="shared" si="2"/>
        <v>5.1199999999999998E-4</v>
      </c>
    </row>
    <row r="10" spans="1:6" x14ac:dyDescent="0.35">
      <c r="B10" s="3">
        <v>7</v>
      </c>
      <c r="C10">
        <f t="shared" si="0"/>
        <v>1.024E-3</v>
      </c>
      <c r="D10">
        <f t="shared" si="1"/>
        <v>5.1199999999999998E-4</v>
      </c>
      <c r="E10">
        <f t="shared" si="2"/>
        <v>2.5599999999999999E-4</v>
      </c>
    </row>
    <row r="12" spans="1:6" x14ac:dyDescent="0.35">
      <c r="A12" s="1" t="s">
        <v>5</v>
      </c>
      <c r="B12" s="2" t="s">
        <v>231</v>
      </c>
      <c r="C12" s="3">
        <v>125000</v>
      </c>
      <c r="D12" s="3">
        <v>250000</v>
      </c>
      <c r="E12" s="3">
        <v>500000</v>
      </c>
    </row>
    <row r="13" spans="1:6" x14ac:dyDescent="0.35">
      <c r="A13">
        <f>4.25+8</f>
        <v>12.25</v>
      </c>
      <c r="B13" s="3">
        <v>12</v>
      </c>
      <c r="C13">
        <f t="shared" ref="C13:D18" si="3">C5*$A$13</f>
        <v>0.40140799999999999</v>
      </c>
      <c r="D13">
        <f t="shared" si="3"/>
        <v>0.20070399999999999</v>
      </c>
      <c r="E13">
        <f t="shared" ref="E13:E18" si="4">$A$13*E5</f>
        <v>0.100352</v>
      </c>
    </row>
    <row r="14" spans="1:6" x14ac:dyDescent="0.35">
      <c r="B14" s="3">
        <v>11</v>
      </c>
      <c r="C14">
        <f t="shared" si="3"/>
        <v>0.20070399999999999</v>
      </c>
      <c r="D14">
        <f t="shared" si="3"/>
        <v>0.100352</v>
      </c>
      <c r="E14">
        <f t="shared" si="4"/>
        <v>5.0175999999999998E-2</v>
      </c>
    </row>
    <row r="15" spans="1:6" x14ac:dyDescent="0.35">
      <c r="B15" s="3">
        <v>10</v>
      </c>
      <c r="C15">
        <f t="shared" si="3"/>
        <v>0.100352</v>
      </c>
      <c r="D15">
        <f t="shared" si="3"/>
        <v>5.0175999999999998E-2</v>
      </c>
      <c r="E15">
        <f t="shared" si="4"/>
        <v>2.5087999999999999E-2</v>
      </c>
    </row>
    <row r="16" spans="1:6" x14ac:dyDescent="0.35">
      <c r="B16" s="3">
        <v>9</v>
      </c>
      <c r="C16">
        <f t="shared" si="3"/>
        <v>5.0175999999999998E-2</v>
      </c>
      <c r="D16">
        <f t="shared" si="3"/>
        <v>2.5087999999999999E-2</v>
      </c>
      <c r="E16">
        <f t="shared" si="4"/>
        <v>1.2544E-2</v>
      </c>
    </row>
    <row r="17" spans="1:5" x14ac:dyDescent="0.35">
      <c r="B17" s="3">
        <v>8</v>
      </c>
      <c r="C17">
        <f t="shared" si="3"/>
        <v>2.5087999999999999E-2</v>
      </c>
      <c r="D17">
        <f t="shared" si="3"/>
        <v>1.2544E-2</v>
      </c>
      <c r="E17">
        <f t="shared" si="4"/>
        <v>6.2719999999999998E-3</v>
      </c>
    </row>
    <row r="18" spans="1:5" x14ac:dyDescent="0.35">
      <c r="B18" s="3">
        <v>7</v>
      </c>
      <c r="C18">
        <f t="shared" si="3"/>
        <v>1.2544E-2</v>
      </c>
      <c r="D18">
        <f t="shared" si="3"/>
        <v>6.2719999999999998E-3</v>
      </c>
      <c r="E18">
        <f t="shared" si="4"/>
        <v>3.1359999999999999E-3</v>
      </c>
    </row>
    <row r="21" spans="1:5" x14ac:dyDescent="0.35">
      <c r="A21" t="s">
        <v>6</v>
      </c>
    </row>
    <row r="23" spans="1:5" x14ac:dyDescent="0.35">
      <c r="B23" t="s">
        <v>7</v>
      </c>
      <c r="C23">
        <v>0</v>
      </c>
      <c r="D23" t="s">
        <v>8</v>
      </c>
    </row>
    <row r="24" spans="1:5" x14ac:dyDescent="0.35">
      <c r="B24" t="s">
        <v>9</v>
      </c>
      <c r="C24">
        <v>1</v>
      </c>
      <c r="D24">
        <v>0</v>
      </c>
      <c r="E24" t="s">
        <v>10</v>
      </c>
    </row>
    <row r="25" spans="1:5" x14ac:dyDescent="0.35">
      <c r="B25" t="s">
        <v>11</v>
      </c>
      <c r="C25">
        <v>1</v>
      </c>
      <c r="D25" t="s">
        <v>12</v>
      </c>
    </row>
    <row r="31" spans="1:5" ht="21" x14ac:dyDescent="0.5">
      <c r="A31" s="4" t="s">
        <v>0</v>
      </c>
      <c r="B31" s="1"/>
    </row>
    <row r="32" spans="1:5" x14ac:dyDescent="0.35">
      <c r="A32" s="8" t="s">
        <v>162</v>
      </c>
      <c r="B32" t="s">
        <v>53</v>
      </c>
      <c r="C32">
        <v>48.25</v>
      </c>
      <c r="D32" t="s">
        <v>51</v>
      </c>
      <c r="E32">
        <v>8.25</v>
      </c>
    </row>
    <row r="34" spans="1:18" x14ac:dyDescent="0.35">
      <c r="B34" s="1" t="s">
        <v>53</v>
      </c>
      <c r="G34" s="1" t="s">
        <v>51</v>
      </c>
    </row>
    <row r="35" spans="1:18" x14ac:dyDescent="0.35">
      <c r="A35" t="s">
        <v>13</v>
      </c>
      <c r="B35" s="2" t="s">
        <v>2</v>
      </c>
      <c r="C35" s="3">
        <v>125000</v>
      </c>
      <c r="D35" s="3">
        <v>250000</v>
      </c>
      <c r="E35" s="3">
        <v>500000</v>
      </c>
      <c r="G35" s="2" t="s">
        <v>2</v>
      </c>
      <c r="H35" s="3">
        <v>125000</v>
      </c>
      <c r="I35" s="3">
        <v>250000</v>
      </c>
      <c r="J35" s="3">
        <v>500000</v>
      </c>
    </row>
    <row r="36" spans="1:18" x14ac:dyDescent="0.35">
      <c r="B36" s="3">
        <v>12</v>
      </c>
      <c r="C36">
        <f>8+MAX(CEILING((8*$C$32-4*B36+28+16-20*$C$23)*($C$25+4)/(4*(B36-2*$C$24)),1),0)</f>
        <v>56</v>
      </c>
      <c r="D36">
        <f>8+MAX(CEILING((8*$C$32-4*B36+28+16-20*$C$23)*($C$25+4)/(4*(B36-2*$C$24)),1),0)</f>
        <v>56</v>
      </c>
      <c r="E36">
        <f t="shared" ref="E36:E41" si="5">8+MAX(CEILING((8*$C$32-4*B36+28+16-20*$C$23)*($C$25+4)/(4*(B36-2*$D$24)),1),0)</f>
        <v>48</v>
      </c>
      <c r="G36" s="3">
        <v>12</v>
      </c>
      <c r="H36">
        <f>8+MAX(CEILING((8*$E$32-4*G36+28+16-20*$C$23)*($C$25+4)/(4*(G36-2*$C$24)),1),0)</f>
        <v>16</v>
      </c>
      <c r="I36">
        <f>8+MAX(CEILING((8*$E$32-4*G36+28+16-20*$C$23)*($C$25+4)/(4*(G36-2*$C$24)),1),0)</f>
        <v>16</v>
      </c>
      <c r="J36">
        <f>8+MAX(CEILING((8*$E$32-4*G36+28+16-20*$C$23)*($C$25+4)/(4*(G36-2*$D$24)),1),0)</f>
        <v>15</v>
      </c>
    </row>
    <row r="37" spans="1:18" x14ac:dyDescent="0.35">
      <c r="B37" s="3">
        <v>11</v>
      </c>
      <c r="C37">
        <f>8+MAX(CEILING((8*$C$32-4*B37+28+16-20*$C$23)*($C$25+4)/(4*(B37-2*$C$24)),1),0)</f>
        <v>62</v>
      </c>
      <c r="D37">
        <f>8+MAX(CEILING((8*$C$32-4*B37+28+16-20*$C$23)*($C$25+4)/(4*(B37-2*$D$24)),1),0)</f>
        <v>52</v>
      </c>
      <c r="E37">
        <f t="shared" si="5"/>
        <v>52</v>
      </c>
      <c r="G37" s="3">
        <v>11</v>
      </c>
      <c r="H37">
        <f t="shared" ref="H37:H41" si="6">8+MAX(CEILING((8*$E$32-4*G37+28+16-20*$C$23)*($C$25+4)/(4*(G37-2*$C$24)),1),0)</f>
        <v>18</v>
      </c>
      <c r="I37">
        <f t="shared" ref="I37:I41" si="7">8+MAX(CEILING((8*$E$32-4*G37+28+16-20*$C$23)*($C$25+4)/(4*(G37-2*$C$24)),1),0)</f>
        <v>18</v>
      </c>
      <c r="J37">
        <f t="shared" ref="J37:J41" si="8">8+MAX(CEILING((8*$E$32-4*G37+28+16-20*$C$23)*($C$25+4)/(4*(G37-2*$D$24)),1),0)</f>
        <v>16</v>
      </c>
    </row>
    <row r="38" spans="1:18" x14ac:dyDescent="0.35">
      <c r="B38" s="3">
        <v>10</v>
      </c>
      <c r="C38">
        <f>8+MAX(CEILING((8*$C$32-4*B38+28+16-20*$C$23)*($C$25+4)/(4*(B38-2*$D$24)),1),0)</f>
        <v>57</v>
      </c>
      <c r="D38">
        <f>8+MAX(CEILING((8*$C$32-4*B38+28+16-20*$C$23)*($C$25+4)/(4*(B38-2*$D$24)),1),0)</f>
        <v>57</v>
      </c>
      <c r="E38">
        <f t="shared" si="5"/>
        <v>57</v>
      </c>
      <c r="G38" s="3">
        <v>10</v>
      </c>
      <c r="H38">
        <f t="shared" si="6"/>
        <v>19</v>
      </c>
      <c r="I38">
        <f t="shared" si="7"/>
        <v>19</v>
      </c>
      <c r="J38">
        <f t="shared" si="8"/>
        <v>17</v>
      </c>
    </row>
    <row r="39" spans="1:18" x14ac:dyDescent="0.35">
      <c r="B39" s="3">
        <v>9</v>
      </c>
      <c r="C39">
        <f>8+MAX(CEILING((8*$C$32-4*B39+28+16-20*$C$23)*($C$25+4)/(4*(B39-2*$D$24)),1),0)</f>
        <v>63</v>
      </c>
      <c r="D39">
        <f>8+MAX(CEILING((8*$C$32-4*B39+28+16-20*$C$23)*($C$25+4)/(4*(B39-2*$D$24)),1),0)</f>
        <v>63</v>
      </c>
      <c r="E39">
        <f t="shared" si="5"/>
        <v>63</v>
      </c>
      <c r="G39" s="3">
        <v>9</v>
      </c>
      <c r="H39">
        <f t="shared" si="6"/>
        <v>22</v>
      </c>
      <c r="I39">
        <f t="shared" si="7"/>
        <v>22</v>
      </c>
      <c r="J39">
        <f t="shared" si="8"/>
        <v>19</v>
      </c>
    </row>
    <row r="40" spans="1:18" x14ac:dyDescent="0.35">
      <c r="B40" s="3">
        <v>8</v>
      </c>
      <c r="C40">
        <f>8+MAX(CEILING((8*$C$32-4*B40+28+16-20*$C$23)*($C$25+4)/(4*(B40-2*$D$24)),1),0)</f>
        <v>71</v>
      </c>
      <c r="D40">
        <f>8+MAX(CEILING((8*$C$32-4*B40+28+16-20*$C$23)*($C$25+4)/(4*(B40-2*$D$24)),1),0)</f>
        <v>71</v>
      </c>
      <c r="E40">
        <f t="shared" si="5"/>
        <v>71</v>
      </c>
      <c r="G40" s="3">
        <v>8</v>
      </c>
      <c r="H40">
        <f t="shared" si="6"/>
        <v>25</v>
      </c>
      <c r="I40">
        <f t="shared" si="7"/>
        <v>25</v>
      </c>
      <c r="J40">
        <f t="shared" si="8"/>
        <v>21</v>
      </c>
    </row>
    <row r="41" spans="1:18" x14ac:dyDescent="0.35">
      <c r="B41" s="3">
        <v>7</v>
      </c>
      <c r="C41">
        <f>8+MAX(CEILING((8*$C$32-4*B41+28+16-20*$C$23)*($C$25+4)/(4*(B41-2*$D$24)),1),0)</f>
        <v>80</v>
      </c>
      <c r="D41">
        <f>8+MAX(CEILING((8*$C$32-4*B41+28+16-20*$C$23)*($C$25+4)/(4*(B41-2*$D$24)),1),0)</f>
        <v>80</v>
      </c>
      <c r="E41">
        <f t="shared" si="5"/>
        <v>80</v>
      </c>
      <c r="G41" s="3">
        <v>7</v>
      </c>
      <c r="H41">
        <f t="shared" si="6"/>
        <v>29</v>
      </c>
      <c r="I41">
        <f t="shared" si="7"/>
        <v>29</v>
      </c>
      <c r="J41">
        <f t="shared" si="8"/>
        <v>23</v>
      </c>
    </row>
    <row r="42" spans="1:18" x14ac:dyDescent="0.35">
      <c r="R42" t="s">
        <v>16</v>
      </c>
    </row>
    <row r="44" spans="1:18" ht="15.5" x14ac:dyDescent="0.35">
      <c r="G44" s="7"/>
      <c r="I44" s="7"/>
      <c r="K44" s="7"/>
      <c r="R44" t="s">
        <v>17</v>
      </c>
    </row>
    <row r="45" spans="1:18" ht="19" customHeight="1" x14ac:dyDescent="0.35">
      <c r="A45" t="s">
        <v>163</v>
      </c>
      <c r="F45" s="28" t="s">
        <v>2</v>
      </c>
      <c r="G45" s="34">
        <v>125000</v>
      </c>
      <c r="H45" s="34">
        <v>250000</v>
      </c>
      <c r="I45" s="34">
        <v>500000</v>
      </c>
    </row>
    <row r="46" spans="1:18" ht="19" customHeight="1" x14ac:dyDescent="0.35">
      <c r="F46" s="34">
        <v>12</v>
      </c>
      <c r="G46" s="29">
        <f t="shared" ref="G46:G51" si="9">((C36+H36)*C5+2*C13)</f>
        <v>3.162112</v>
      </c>
      <c r="H46" s="29">
        <f t="shared" ref="H46:I51" si="10">((I36+D36)*D5+2*D13)</f>
        <v>1.581056</v>
      </c>
      <c r="I46" s="30">
        <f t="shared" si="10"/>
        <v>0.71679999999999999</v>
      </c>
      <c r="K46" s="32" t="s">
        <v>19</v>
      </c>
      <c r="L46" s="13" t="s">
        <v>226</v>
      </c>
      <c r="M46" s="13"/>
      <c r="N46" s="13"/>
    </row>
    <row r="47" spans="1:18" ht="19" customHeight="1" x14ac:dyDescent="0.35">
      <c r="F47" s="34">
        <v>11</v>
      </c>
      <c r="G47" s="29">
        <f t="shared" si="9"/>
        <v>1.7121279999999999</v>
      </c>
      <c r="H47" s="30">
        <f t="shared" si="10"/>
        <v>0.77414399999999994</v>
      </c>
      <c r="I47" s="29">
        <f t="shared" si="10"/>
        <v>0.37887999999999999</v>
      </c>
      <c r="K47" s="33" t="s">
        <v>20</v>
      </c>
      <c r="L47" s="14" t="s">
        <v>227</v>
      </c>
      <c r="M47" s="14"/>
      <c r="N47" s="14"/>
    </row>
    <row r="48" spans="1:18" ht="19" customHeight="1" x14ac:dyDescent="0.35">
      <c r="F48" s="34">
        <v>10</v>
      </c>
      <c r="G48" s="29">
        <f t="shared" si="9"/>
        <v>0.82329599999999992</v>
      </c>
      <c r="H48" s="29">
        <f t="shared" si="10"/>
        <v>0.41164799999999996</v>
      </c>
      <c r="I48" s="29">
        <f t="shared" si="10"/>
        <v>0.20172799999999999</v>
      </c>
      <c r="K48" s="35" t="s">
        <v>21</v>
      </c>
      <c r="L48" s="24" t="s">
        <v>228</v>
      </c>
      <c r="M48" s="24"/>
      <c r="N48" s="24"/>
    </row>
    <row r="49" spans="1:9" ht="19" customHeight="1" x14ac:dyDescent="0.35">
      <c r="F49" s="34">
        <v>9</v>
      </c>
      <c r="G49" s="29">
        <f t="shared" si="9"/>
        <v>0.44851199999999997</v>
      </c>
      <c r="H49" s="29">
        <f t="shared" si="10"/>
        <v>0.22425599999999998</v>
      </c>
      <c r="I49" s="31">
        <f t="shared" si="10"/>
        <v>0.109056</v>
      </c>
    </row>
    <row r="50" spans="1:9" ht="19" customHeight="1" x14ac:dyDescent="0.35">
      <c r="F50" s="34">
        <v>8</v>
      </c>
      <c r="G50" s="29">
        <f t="shared" si="9"/>
        <v>0.246784</v>
      </c>
      <c r="H50" s="31">
        <f t="shared" si="10"/>
        <v>0.123392</v>
      </c>
      <c r="I50" s="29">
        <f t="shared" si="10"/>
        <v>5.9648E-2</v>
      </c>
    </row>
    <row r="51" spans="1:9" ht="19" customHeight="1" x14ac:dyDescent="0.35">
      <c r="F51" s="34">
        <v>7</v>
      </c>
      <c r="G51" s="31">
        <f t="shared" si="9"/>
        <v>0.13670399999999999</v>
      </c>
      <c r="H51" s="29">
        <f t="shared" si="10"/>
        <v>6.8351999999999996E-2</v>
      </c>
      <c r="I51" s="36">
        <f t="shared" si="10"/>
        <v>3.2640000000000002E-2</v>
      </c>
    </row>
    <row r="52" spans="1:9" ht="15.5" x14ac:dyDescent="0.35">
      <c r="D52" s="9"/>
    </row>
    <row r="54" spans="1:9" ht="23.5" x14ac:dyDescent="0.55000000000000004">
      <c r="A54" s="5"/>
    </row>
    <row r="55" spans="1:9" x14ac:dyDescent="0.35">
      <c r="A55" s="1"/>
    </row>
    <row r="58" spans="1:9" x14ac:dyDescent="0.35">
      <c r="A58" s="1" t="s">
        <v>166</v>
      </c>
      <c r="G58" s="10"/>
    </row>
    <row r="59" spans="1:9" x14ac:dyDescent="0.35">
      <c r="A59" s="1" t="s">
        <v>22</v>
      </c>
    </row>
    <row r="60" spans="1:9" x14ac:dyDescent="0.35">
      <c r="A60" t="s">
        <v>23</v>
      </c>
    </row>
    <row r="61" spans="1:9" x14ac:dyDescent="0.35">
      <c r="A61" t="s">
        <v>24</v>
      </c>
    </row>
    <row r="66" spans="1:9" ht="18.5" x14ac:dyDescent="0.45">
      <c r="A66" s="6" t="s">
        <v>25</v>
      </c>
    </row>
    <row r="67" spans="1:9" x14ac:dyDescent="0.35">
      <c r="A67" t="s">
        <v>167</v>
      </c>
      <c r="I67">
        <v>3</v>
      </c>
    </row>
    <row r="69" spans="1:9" x14ac:dyDescent="0.35">
      <c r="A69" t="s">
        <v>161</v>
      </c>
    </row>
    <row r="70" spans="1:9" ht="18.5" x14ac:dyDescent="0.45">
      <c r="A70" s="6" t="s">
        <v>31</v>
      </c>
    </row>
    <row r="71" spans="1:9" x14ac:dyDescent="0.35">
      <c r="A71" t="s">
        <v>26</v>
      </c>
      <c r="C71">
        <v>9</v>
      </c>
      <c r="D71" t="s">
        <v>168</v>
      </c>
    </row>
    <row r="72" spans="1:9" x14ac:dyDescent="0.35">
      <c r="A72" t="s">
        <v>32</v>
      </c>
      <c r="C72">
        <v>22</v>
      </c>
    </row>
    <row r="73" spans="1:9" x14ac:dyDescent="0.35">
      <c r="A73" t="s">
        <v>33</v>
      </c>
      <c r="C73">
        <v>36</v>
      </c>
    </row>
    <row r="74" spans="1:9" x14ac:dyDescent="0.35">
      <c r="A74" t="s">
        <v>34</v>
      </c>
      <c r="C74">
        <f>C73*C72</f>
        <v>792</v>
      </c>
    </row>
    <row r="78" spans="1:9" ht="23.5" x14ac:dyDescent="0.55000000000000004">
      <c r="A78" s="5" t="s">
        <v>42</v>
      </c>
      <c r="C78" t="s">
        <v>160</v>
      </c>
    </row>
    <row r="79" spans="1:9" x14ac:dyDescent="0.35">
      <c r="A79" t="s">
        <v>27</v>
      </c>
    </row>
    <row r="80" spans="1:9" x14ac:dyDescent="0.35">
      <c r="A80" s="13" t="s">
        <v>14</v>
      </c>
    </row>
    <row r="82" spans="1:4" x14ac:dyDescent="0.35">
      <c r="A82" t="s">
        <v>169</v>
      </c>
      <c r="C82">
        <f>I46</f>
        <v>0.71679999999999999</v>
      </c>
    </row>
    <row r="84" spans="1:4" x14ac:dyDescent="0.35">
      <c r="A84" t="s">
        <v>28</v>
      </c>
      <c r="C84">
        <f>C71*C82</f>
        <v>6.4512</v>
      </c>
    </row>
    <row r="86" spans="1:4" x14ac:dyDescent="0.35">
      <c r="A86" t="s">
        <v>29</v>
      </c>
      <c r="C86">
        <f>C84*I67</f>
        <v>19.3536</v>
      </c>
      <c r="D86" t="s">
        <v>30</v>
      </c>
    </row>
    <row r="88" spans="1:4" x14ac:dyDescent="0.35">
      <c r="A88" t="s">
        <v>35</v>
      </c>
      <c r="C88">
        <f>C74/C86</f>
        <v>40.922619047619044</v>
      </c>
    </row>
    <row r="90" spans="1:4" x14ac:dyDescent="0.35">
      <c r="A90" t="s">
        <v>37</v>
      </c>
      <c r="C90">
        <f>C88*9</f>
        <v>368.30357142857139</v>
      </c>
    </row>
    <row r="94" spans="1:4" ht="23.5" x14ac:dyDescent="0.55000000000000004">
      <c r="A94" s="5" t="s">
        <v>15</v>
      </c>
    </row>
    <row r="96" spans="1:4" x14ac:dyDescent="0.35">
      <c r="A96" t="s">
        <v>36</v>
      </c>
    </row>
    <row r="97" spans="1:10" x14ac:dyDescent="0.35">
      <c r="A97" t="s">
        <v>47</v>
      </c>
      <c r="C97">
        <v>30</v>
      </c>
    </row>
    <row r="98" spans="1:10" x14ac:dyDescent="0.35">
      <c r="A98" t="s">
        <v>48</v>
      </c>
      <c r="C98">
        <f>C74/C97</f>
        <v>26.4</v>
      </c>
    </row>
    <row r="99" spans="1:10" x14ac:dyDescent="0.35">
      <c r="A99" t="s">
        <v>39</v>
      </c>
      <c r="C99">
        <f>C98/I67</f>
        <v>8.7999999999999989</v>
      </c>
    </row>
    <row r="100" spans="1:10" x14ac:dyDescent="0.35">
      <c r="A100" t="s">
        <v>170</v>
      </c>
      <c r="C100">
        <f>C99/9</f>
        <v>0.97777777777777763</v>
      </c>
    </row>
    <row r="101" spans="1:10" x14ac:dyDescent="0.35">
      <c r="A101" t="s">
        <v>173</v>
      </c>
      <c r="C101" s="14">
        <f>C100/6</f>
        <v>0.16296296296296295</v>
      </c>
    </row>
    <row r="102" spans="1:10" x14ac:dyDescent="0.35">
      <c r="A102" t="s">
        <v>49</v>
      </c>
    </row>
    <row r="103" spans="1:10" ht="23.5" x14ac:dyDescent="0.55000000000000004">
      <c r="J103" s="5" t="s">
        <v>18</v>
      </c>
    </row>
    <row r="104" spans="1:10" ht="23.5" x14ac:dyDescent="0.55000000000000004">
      <c r="A104" s="5" t="s">
        <v>40</v>
      </c>
    </row>
    <row r="105" spans="1:10" ht="28.5" x14ac:dyDescent="0.65">
      <c r="G105" s="12"/>
    </row>
    <row r="106" spans="1:10" x14ac:dyDescent="0.35">
      <c r="A106" t="s">
        <v>41</v>
      </c>
    </row>
    <row r="107" spans="1:10" x14ac:dyDescent="0.35">
      <c r="A107" t="s">
        <v>47</v>
      </c>
      <c r="C107">
        <v>30</v>
      </c>
    </row>
    <row r="108" spans="1:10" x14ac:dyDescent="0.35">
      <c r="A108" t="s">
        <v>38</v>
      </c>
      <c r="C108">
        <f>C74/C107</f>
        <v>26.4</v>
      </c>
    </row>
    <row r="109" spans="1:10" x14ac:dyDescent="0.35">
      <c r="A109" t="s">
        <v>39</v>
      </c>
      <c r="C109">
        <f>C108/4</f>
        <v>6.6</v>
      </c>
    </row>
    <row r="110" spans="1:10" x14ac:dyDescent="0.35">
      <c r="A110" t="s">
        <v>171</v>
      </c>
      <c r="C110">
        <f>C109/9</f>
        <v>0.73333333333333328</v>
      </c>
    </row>
    <row r="111" spans="1:10" x14ac:dyDescent="0.35">
      <c r="A111" t="s">
        <v>172</v>
      </c>
      <c r="C111" s="15">
        <f>C110/24</f>
        <v>3.0555555555555555E-2</v>
      </c>
    </row>
    <row r="112" spans="1:10" x14ac:dyDescent="0.35">
      <c r="A112" t="s">
        <v>43</v>
      </c>
    </row>
    <row r="122" spans="1:1" ht="23.5" x14ac:dyDescent="0.55000000000000004">
      <c r="A122" s="5"/>
    </row>
    <row r="123" spans="1:1" x14ac:dyDescent="0.35">
      <c r="A123" s="1"/>
    </row>
  </sheetData>
  <hyperlinks>
    <hyperlink ref="F1" r:id="rId1" xr:uid="{F4F29E7E-D16F-45ED-9856-0A03346E4BF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E1C5-9AF3-42D7-9A9C-F61F7BBC589B}">
  <dimension ref="A3:Y206"/>
  <sheetViews>
    <sheetView tabSelected="1" topLeftCell="A120" zoomScale="70" zoomScaleNormal="145" workbookViewId="0">
      <selection activeCell="J221" sqref="J221"/>
    </sheetView>
  </sheetViews>
  <sheetFormatPr defaultRowHeight="14.5" x14ac:dyDescent="0.35"/>
  <cols>
    <col min="1" max="1" width="19.36328125" customWidth="1"/>
    <col min="2" max="2" width="16" customWidth="1"/>
    <col min="3" max="3" width="12.1796875" customWidth="1"/>
    <col min="4" max="4" width="17" customWidth="1"/>
    <col min="5" max="5" width="18.26953125" customWidth="1"/>
    <col min="7" max="7" width="14.08984375" customWidth="1"/>
    <col min="8" max="8" width="13.453125" customWidth="1"/>
    <col min="9" max="9" width="16.1796875" customWidth="1"/>
    <col min="10" max="11" width="13.54296875" customWidth="1"/>
    <col min="12" max="12" width="9.6328125" customWidth="1"/>
    <col min="13" max="13" width="13.1796875" customWidth="1"/>
  </cols>
  <sheetData>
    <row r="3" spans="1:9" ht="28.5" x14ac:dyDescent="0.65">
      <c r="I3" s="12"/>
    </row>
    <row r="5" spans="1:9" ht="26" x14ac:dyDescent="0.6">
      <c r="A5" s="19" t="s">
        <v>44</v>
      </c>
    </row>
    <row r="6" spans="1:9" x14ac:dyDescent="0.35">
      <c r="A6" t="s">
        <v>45</v>
      </c>
    </row>
    <row r="7" spans="1:9" x14ac:dyDescent="0.35">
      <c r="A7" t="s">
        <v>46</v>
      </c>
    </row>
    <row r="8" spans="1:9" x14ac:dyDescent="0.35">
      <c r="A8" t="s">
        <v>77</v>
      </c>
    </row>
    <row r="16" spans="1:9" ht="21" x14ac:dyDescent="0.5">
      <c r="A16" s="18" t="s">
        <v>164</v>
      </c>
    </row>
    <row r="17" spans="1:13" x14ac:dyDescent="0.35">
      <c r="E17" t="s">
        <v>165</v>
      </c>
    </row>
    <row r="18" spans="1:13" x14ac:dyDescent="0.35">
      <c r="A18" t="s">
        <v>174</v>
      </c>
      <c r="C18">
        <f>scenario!C32+scenario!E32</f>
        <v>56.5</v>
      </c>
      <c r="D18" t="s">
        <v>67</v>
      </c>
      <c r="E18">
        <f>scenario!I51</f>
        <v>3.2640000000000002E-2</v>
      </c>
      <c r="F18" t="s">
        <v>70</v>
      </c>
      <c r="G18" t="s">
        <v>84</v>
      </c>
    </row>
    <row r="19" spans="1:13" x14ac:dyDescent="0.35">
      <c r="C19">
        <f>C18*8</f>
        <v>452</v>
      </c>
      <c r="D19" t="s">
        <v>83</v>
      </c>
      <c r="G19" t="s">
        <v>224</v>
      </c>
    </row>
    <row r="20" spans="1:13" x14ac:dyDescent="0.35">
      <c r="A20" s="11" t="s">
        <v>176</v>
      </c>
    </row>
    <row r="22" spans="1:13" x14ac:dyDescent="0.35">
      <c r="B22" s="20" t="s">
        <v>137</v>
      </c>
      <c r="C22" s="20" t="s">
        <v>60</v>
      </c>
      <c r="D22" s="20" t="s">
        <v>56</v>
      </c>
      <c r="E22" s="20" t="s">
        <v>57</v>
      </c>
      <c r="F22" s="20" t="s">
        <v>58</v>
      </c>
      <c r="G22" s="20" t="s">
        <v>65</v>
      </c>
      <c r="H22" s="20" t="s">
        <v>59</v>
      </c>
      <c r="I22" s="20" t="s">
        <v>61</v>
      </c>
      <c r="J22" s="20" t="s">
        <v>62</v>
      </c>
      <c r="K22" s="20" t="s">
        <v>63</v>
      </c>
      <c r="L22" s="20" t="s">
        <v>64</v>
      </c>
      <c r="M22" s="20" t="s">
        <v>156</v>
      </c>
    </row>
    <row r="23" spans="1:13" x14ac:dyDescent="0.35">
      <c r="B23" s="21" t="s">
        <v>55</v>
      </c>
      <c r="C23" s="21">
        <v>4</v>
      </c>
      <c r="D23" s="21">
        <v>10</v>
      </c>
      <c r="E23" s="21">
        <v>3</v>
      </c>
      <c r="F23" s="21">
        <v>32</v>
      </c>
      <c r="G23" s="21">
        <v>320</v>
      </c>
      <c r="H23" s="21">
        <v>32</v>
      </c>
      <c r="I23" s="21">
        <v>10</v>
      </c>
      <c r="J23" s="21">
        <v>10</v>
      </c>
      <c r="K23" s="21">
        <v>12</v>
      </c>
      <c r="L23" s="21">
        <v>10</v>
      </c>
      <c r="M23" s="21">
        <v>8</v>
      </c>
    </row>
    <row r="25" spans="1:13" x14ac:dyDescent="0.35">
      <c r="C25" s="23" t="s">
        <v>66</v>
      </c>
      <c r="D25" s="24" t="s">
        <v>82</v>
      </c>
    </row>
    <row r="26" spans="1:13" ht="18.5" x14ac:dyDescent="0.45">
      <c r="A26" s="17" t="s">
        <v>177</v>
      </c>
    </row>
    <row r="27" spans="1:13" x14ac:dyDescent="0.35">
      <c r="A27" s="22" t="s">
        <v>50</v>
      </c>
      <c r="B27" s="22"/>
      <c r="C27" s="22">
        <f>C23+F23+D23+I23+M23+H23</f>
        <v>96</v>
      </c>
      <c r="D27" s="22">
        <f>C27*$E$18/$C$19</f>
        <v>6.9323893805309737E-3</v>
      </c>
    </row>
    <row r="28" spans="1:13" x14ac:dyDescent="0.35">
      <c r="A28" s="22" t="s">
        <v>229</v>
      </c>
      <c r="B28" s="22"/>
      <c r="C28" s="22">
        <f>C23+D23+D23+H23</f>
        <v>56</v>
      </c>
      <c r="D28" s="22">
        <f t="shared" ref="D28:D31" si="0">C28*$E$18/$C$19</f>
        <v>4.0438938053097345E-3</v>
      </c>
    </row>
    <row r="29" spans="1:13" x14ac:dyDescent="0.35">
      <c r="A29" s="22" t="s">
        <v>51</v>
      </c>
      <c r="B29" s="22"/>
      <c r="C29" s="22">
        <f>C23+D23+E23+J23+H23</f>
        <v>59</v>
      </c>
      <c r="D29" s="22">
        <f t="shared" si="0"/>
        <v>4.2605309734513276E-3</v>
      </c>
    </row>
    <row r="30" spans="1:13" x14ac:dyDescent="0.35">
      <c r="A30" s="22" t="s">
        <v>54</v>
      </c>
      <c r="B30" s="22"/>
      <c r="C30" s="22">
        <f>C23+D23+E23+J23+G23+H23</f>
        <v>379</v>
      </c>
      <c r="D30" s="22">
        <f t="shared" si="0"/>
        <v>2.7368495575221242E-2</v>
      </c>
    </row>
    <row r="31" spans="1:13" x14ac:dyDescent="0.35">
      <c r="A31" s="22" t="s">
        <v>230</v>
      </c>
      <c r="B31" s="22"/>
      <c r="C31" s="22">
        <f>C23+D23+E23+D23+H23</f>
        <v>59</v>
      </c>
      <c r="D31" s="22">
        <f t="shared" si="0"/>
        <v>4.2605309734513276E-3</v>
      </c>
      <c r="G31" t="s">
        <v>179</v>
      </c>
    </row>
    <row r="32" spans="1:13" ht="18.5" x14ac:dyDescent="0.45">
      <c r="A32" s="17" t="s">
        <v>178</v>
      </c>
      <c r="M32" s="11"/>
    </row>
    <row r="33" spans="1:5" x14ac:dyDescent="0.35">
      <c r="A33" s="21" t="s">
        <v>50</v>
      </c>
      <c r="B33" s="21"/>
      <c r="C33" s="21">
        <f>C23+F23+K23+L23+I23+D23+H23</f>
        <v>110</v>
      </c>
      <c r="D33" s="21">
        <f>C33*$E$18/$C$19</f>
        <v>7.9433628318584075E-3</v>
      </c>
    </row>
    <row r="34" spans="1:5" x14ac:dyDescent="0.35">
      <c r="A34" s="21" t="s">
        <v>52</v>
      </c>
      <c r="B34" s="21"/>
      <c r="C34" s="21">
        <f>C23+D23+D23+I23+M23+H23</f>
        <v>74</v>
      </c>
      <c r="D34" s="21">
        <f>C34*$E$18/$C$19</f>
        <v>5.3437168141592922E-3</v>
      </c>
    </row>
    <row r="35" spans="1:5" x14ac:dyDescent="0.35">
      <c r="A35" s="21" t="s">
        <v>51</v>
      </c>
      <c r="B35" s="21"/>
      <c r="C35" s="21">
        <f>C23+D23+D23+J23+H23</f>
        <v>66</v>
      </c>
      <c r="D35" s="21">
        <f>C35*$E$18/$C$19</f>
        <v>4.7660176991150445E-3</v>
      </c>
    </row>
    <row r="36" spans="1:5" x14ac:dyDescent="0.35">
      <c r="A36" s="21" t="s">
        <v>53</v>
      </c>
      <c r="B36" s="21"/>
      <c r="C36" s="21">
        <f>C23+D23+D23+J23+G23+H23</f>
        <v>386</v>
      </c>
      <c r="D36" s="21">
        <f>C36*$E$18/$C$19</f>
        <v>2.7873982300884958E-2</v>
      </c>
    </row>
    <row r="37" spans="1:5" ht="18.5" x14ac:dyDescent="0.45">
      <c r="A37" s="17" t="s">
        <v>138</v>
      </c>
    </row>
    <row r="38" spans="1:5" x14ac:dyDescent="0.35">
      <c r="A38" s="21" t="s">
        <v>195</v>
      </c>
      <c r="D38">
        <v>0.04</v>
      </c>
    </row>
    <row r="39" spans="1:5" x14ac:dyDescent="0.35">
      <c r="A39" t="s">
        <v>74</v>
      </c>
      <c r="D39">
        <v>0.01</v>
      </c>
    </row>
    <row r="41" spans="1:5" ht="21" x14ac:dyDescent="0.5">
      <c r="A41" s="18" t="s">
        <v>68</v>
      </c>
    </row>
    <row r="42" spans="1:5" x14ac:dyDescent="0.35">
      <c r="A42" s="11" t="s">
        <v>69</v>
      </c>
      <c r="B42">
        <v>24</v>
      </c>
      <c r="C42" t="s">
        <v>7</v>
      </c>
      <c r="D42">
        <v>86400</v>
      </c>
      <c r="E42" t="s">
        <v>70</v>
      </c>
    </row>
    <row r="43" spans="1:5" x14ac:dyDescent="0.35">
      <c r="A43" t="s">
        <v>78</v>
      </c>
      <c r="B43">
        <v>22</v>
      </c>
      <c r="C43" t="s">
        <v>7</v>
      </c>
      <c r="D43">
        <v>79200</v>
      </c>
      <c r="E43" t="s">
        <v>70</v>
      </c>
    </row>
    <row r="44" spans="1:5" x14ac:dyDescent="0.35">
      <c r="A44" t="s">
        <v>79</v>
      </c>
      <c r="B44">
        <v>0.85</v>
      </c>
      <c r="C44" t="s">
        <v>7</v>
      </c>
      <c r="D44">
        <v>3000</v>
      </c>
      <c r="E44" t="s">
        <v>70</v>
      </c>
    </row>
    <row r="45" spans="1:5" x14ac:dyDescent="0.35">
      <c r="A45" t="s">
        <v>81</v>
      </c>
      <c r="B45">
        <v>0.5</v>
      </c>
      <c r="C45" t="s">
        <v>7</v>
      </c>
      <c r="D45">
        <v>1800</v>
      </c>
      <c r="E45" t="s">
        <v>70</v>
      </c>
    </row>
    <row r="46" spans="1:5" x14ac:dyDescent="0.35">
      <c r="A46" t="s">
        <v>80</v>
      </c>
      <c r="D46">
        <v>300</v>
      </c>
      <c r="E46" t="s">
        <v>70</v>
      </c>
    </row>
    <row r="47" spans="1:5" x14ac:dyDescent="0.35">
      <c r="A47" t="s">
        <v>71</v>
      </c>
      <c r="D47">
        <v>1800</v>
      </c>
      <c r="E47" t="s">
        <v>70</v>
      </c>
    </row>
    <row r="48" spans="1:5" x14ac:dyDescent="0.35">
      <c r="A48" t="s">
        <v>72</v>
      </c>
      <c r="D48">
        <v>300</v>
      </c>
      <c r="E48" t="s">
        <v>70</v>
      </c>
    </row>
    <row r="49" spans="1:8" x14ac:dyDescent="0.35">
      <c r="H49" s="1" t="s">
        <v>185</v>
      </c>
    </row>
    <row r="50" spans="1:8" x14ac:dyDescent="0.35">
      <c r="D50">
        <f>D42-SUM(D43:D48)</f>
        <v>0</v>
      </c>
      <c r="E50" t="s">
        <v>73</v>
      </c>
      <c r="H50" t="s">
        <v>186</v>
      </c>
    </row>
    <row r="51" spans="1:8" ht="21" x14ac:dyDescent="0.5">
      <c r="A51" s="16" t="s">
        <v>175</v>
      </c>
    </row>
    <row r="52" spans="1:8" x14ac:dyDescent="0.35">
      <c r="A52" t="s">
        <v>75</v>
      </c>
      <c r="F52">
        <v>36</v>
      </c>
      <c r="G52" t="s">
        <v>76</v>
      </c>
    </row>
    <row r="53" spans="1:8" x14ac:dyDescent="0.35">
      <c r="A53" t="s">
        <v>87</v>
      </c>
      <c r="F53">
        <f>INT(F52/(D36+D35))</f>
        <v>1102</v>
      </c>
      <c r="G53" t="s">
        <v>91</v>
      </c>
    </row>
    <row r="54" spans="1:8" x14ac:dyDescent="0.35">
      <c r="A54" t="s">
        <v>85</v>
      </c>
    </row>
    <row r="55" spans="1:8" x14ac:dyDescent="0.35">
      <c r="A55">
        <f>F53*2</f>
        <v>2204</v>
      </c>
      <c r="C55" t="s">
        <v>90</v>
      </c>
    </row>
    <row r="56" spans="1:8" x14ac:dyDescent="0.35">
      <c r="A56" t="s">
        <v>86</v>
      </c>
    </row>
    <row r="57" spans="1:8" x14ac:dyDescent="0.35">
      <c r="A57" t="s">
        <v>88</v>
      </c>
    </row>
    <row r="58" spans="1:8" x14ac:dyDescent="0.35">
      <c r="A58">
        <v>10</v>
      </c>
      <c r="B58" t="s">
        <v>89</v>
      </c>
    </row>
    <row r="59" spans="1:8" x14ac:dyDescent="0.35">
      <c r="A59">
        <f>A58*A55</f>
        <v>22040</v>
      </c>
      <c r="B59" t="s">
        <v>180</v>
      </c>
    </row>
    <row r="60" spans="1:8" x14ac:dyDescent="0.35">
      <c r="A60" s="11" t="s">
        <v>181</v>
      </c>
    </row>
    <row r="61" spans="1:8" x14ac:dyDescent="0.35">
      <c r="A61" s="24">
        <f>3600/A59</f>
        <v>0.16333938294010888</v>
      </c>
      <c r="B61" s="24" t="s">
        <v>70</v>
      </c>
    </row>
    <row r="62" spans="1:8" x14ac:dyDescent="0.35">
      <c r="A62" t="s">
        <v>182</v>
      </c>
    </row>
    <row r="63" spans="1:8" ht="8" customHeight="1" x14ac:dyDescent="0.45">
      <c r="G63" s="26"/>
    </row>
    <row r="64" spans="1:8" ht="30" hidden="1" x14ac:dyDescent="0.35">
      <c r="A64" s="11"/>
      <c r="B64" s="11"/>
    </row>
    <row r="65" spans="1:8" ht="30" hidden="1" x14ac:dyDescent="0.35"/>
    <row r="66" spans="1:8" ht="30" hidden="1" x14ac:dyDescent="0.35"/>
    <row r="67" spans="1:8" ht="30" hidden="1" x14ac:dyDescent="0.35"/>
    <row r="68" spans="1:8" ht="30" hidden="1" x14ac:dyDescent="0.35"/>
    <row r="69" spans="1:8" ht="30" hidden="1" x14ac:dyDescent="0.35">
      <c r="A69" s="24"/>
      <c r="B69" s="24"/>
      <c r="C69" s="24"/>
    </row>
    <row r="70" spans="1:8" x14ac:dyDescent="0.35">
      <c r="A70" s="24" t="s">
        <v>183</v>
      </c>
      <c r="B70" s="24"/>
      <c r="C70" s="24"/>
      <c r="E70">
        <f>(A61-D30-D29)/2</f>
        <v>6.585517819571815E-2</v>
      </c>
      <c r="F70" t="s">
        <v>70</v>
      </c>
    </row>
    <row r="71" spans="1:8" ht="30" hidden="1" x14ac:dyDescent="0.35"/>
    <row r="72" spans="1:8" ht="9.5" customHeight="1" x14ac:dyDescent="0.35"/>
    <row r="73" spans="1:8" ht="30" hidden="1" x14ac:dyDescent="0.35"/>
    <row r="74" spans="1:8" ht="30" hidden="1" x14ac:dyDescent="0.35">
      <c r="A74" s="24"/>
      <c r="B74" s="24"/>
      <c r="C74" s="24"/>
      <c r="D74" s="24"/>
      <c r="E74" s="24"/>
      <c r="F74" s="24"/>
      <c r="G74" s="24"/>
      <c r="H74" s="24"/>
    </row>
    <row r="75" spans="1:8" ht="30" hidden="1" x14ac:dyDescent="0.35"/>
    <row r="76" spans="1:8" ht="30" hidden="1" x14ac:dyDescent="0.35">
      <c r="A76" s="24"/>
      <c r="B76" s="24"/>
      <c r="C76" s="24"/>
      <c r="D76" s="24"/>
      <c r="E76" s="24"/>
    </row>
    <row r="77" spans="1:8" ht="30" hidden="1" x14ac:dyDescent="0.35"/>
    <row r="79" spans="1:8" ht="21" x14ac:dyDescent="0.5">
      <c r="A79" s="16" t="s">
        <v>190</v>
      </c>
    </row>
    <row r="80" spans="1:8" x14ac:dyDescent="0.35">
      <c r="A80" t="s">
        <v>92</v>
      </c>
      <c r="C80">
        <f>D45</f>
        <v>1800</v>
      </c>
      <c r="D80" t="s">
        <v>70</v>
      </c>
    </row>
    <row r="81" spans="1:9" x14ac:dyDescent="0.35">
      <c r="A81" t="s">
        <v>93</v>
      </c>
      <c r="C81">
        <f>0.01*C80</f>
        <v>18</v>
      </c>
      <c r="D81" t="s">
        <v>70</v>
      </c>
    </row>
    <row r="82" spans="1:9" x14ac:dyDescent="0.35">
      <c r="A82" t="s">
        <v>184</v>
      </c>
      <c r="C82">
        <f>D34</f>
        <v>5.3437168141592922E-3</v>
      </c>
      <c r="D82" t="s">
        <v>70</v>
      </c>
    </row>
    <row r="84" spans="1:9" x14ac:dyDescent="0.35">
      <c r="A84" t="s">
        <v>133</v>
      </c>
    </row>
    <row r="86" spans="1:9" x14ac:dyDescent="0.35">
      <c r="A86" t="s">
        <v>189</v>
      </c>
    </row>
    <row r="87" spans="1:9" x14ac:dyDescent="0.35">
      <c r="A87">
        <f>INT(C81/(C82))</f>
        <v>3368</v>
      </c>
    </row>
    <row r="88" spans="1:9" x14ac:dyDescent="0.35">
      <c r="A88" t="s">
        <v>188</v>
      </c>
    </row>
    <row r="89" spans="1:9" x14ac:dyDescent="0.35">
      <c r="A89">
        <v>3</v>
      </c>
      <c r="B89" t="s">
        <v>143</v>
      </c>
      <c r="D89">
        <v>10</v>
      </c>
      <c r="E89" t="s">
        <v>144</v>
      </c>
    </row>
    <row r="90" spans="1:9" x14ac:dyDescent="0.35">
      <c r="A90" t="s">
        <v>191</v>
      </c>
    </row>
    <row r="91" spans="1:9" x14ac:dyDescent="0.35">
      <c r="A91">
        <f>INT(A87*D89/A89)</f>
        <v>11226</v>
      </c>
    </row>
    <row r="92" spans="1:9" x14ac:dyDescent="0.35">
      <c r="A92" t="s">
        <v>134</v>
      </c>
      <c r="E92">
        <f>A87</f>
        <v>3368</v>
      </c>
      <c r="F92" t="s">
        <v>135</v>
      </c>
    </row>
    <row r="93" spans="1:9" x14ac:dyDescent="0.35">
      <c r="A93" t="s">
        <v>136</v>
      </c>
    </row>
    <row r="94" spans="1:9" x14ac:dyDescent="0.35">
      <c r="A94" t="s">
        <v>145</v>
      </c>
    </row>
    <row r="95" spans="1:9" x14ac:dyDescent="0.35">
      <c r="A95" s="24">
        <f>C80/A91</f>
        <v>0.16034206306787813</v>
      </c>
      <c r="B95" s="24" t="s">
        <v>192</v>
      </c>
      <c r="C95" s="24"/>
      <c r="D95" s="24">
        <f>A95-C82</f>
        <v>0.15499834625371883</v>
      </c>
      <c r="E95" s="24" t="s">
        <v>70</v>
      </c>
      <c r="F95" s="24"/>
      <c r="G95" s="24"/>
      <c r="H95" s="24"/>
      <c r="I95" s="24"/>
    </row>
    <row r="101" spans="1:4" ht="21" x14ac:dyDescent="0.5">
      <c r="A101" s="16" t="s">
        <v>94</v>
      </c>
    </row>
    <row r="103" spans="1:4" x14ac:dyDescent="0.35">
      <c r="A103" t="s">
        <v>111</v>
      </c>
    </row>
    <row r="104" spans="1:4" x14ac:dyDescent="0.35">
      <c r="A104" t="s">
        <v>122</v>
      </c>
      <c r="C104">
        <f>D47</f>
        <v>1800</v>
      </c>
      <c r="D104" t="s">
        <v>70</v>
      </c>
    </row>
    <row r="105" spans="1:4" x14ac:dyDescent="0.35">
      <c r="A105" t="s">
        <v>123</v>
      </c>
      <c r="C105">
        <f>C104/100</f>
        <v>18</v>
      </c>
      <c r="D105" t="s">
        <v>70</v>
      </c>
    </row>
    <row r="106" spans="1:4" x14ac:dyDescent="0.35">
      <c r="A106" t="s">
        <v>124</v>
      </c>
      <c r="C106">
        <f>D33</f>
        <v>7.9433628318584075E-3</v>
      </c>
      <c r="D106" t="s">
        <v>70</v>
      </c>
    </row>
    <row r="110" spans="1:4" x14ac:dyDescent="0.35">
      <c r="A110" t="s">
        <v>125</v>
      </c>
    </row>
    <row r="111" spans="1:4" x14ac:dyDescent="0.35">
      <c r="A111" t="s">
        <v>128</v>
      </c>
    </row>
    <row r="112" spans="1:4" x14ac:dyDescent="0.35">
      <c r="A112" t="s">
        <v>126</v>
      </c>
    </row>
    <row r="113" spans="1:13" x14ac:dyDescent="0.35">
      <c r="A113" s="24">
        <f>INT(C105/(C106))</f>
        <v>2266</v>
      </c>
    </row>
    <row r="114" spans="1:13" x14ac:dyDescent="0.35">
      <c r="A114" t="s">
        <v>127</v>
      </c>
    </row>
    <row r="115" spans="1:13" x14ac:dyDescent="0.35">
      <c r="A115">
        <v>10</v>
      </c>
      <c r="B115">
        <v>3</v>
      </c>
    </row>
    <row r="116" spans="1:13" x14ac:dyDescent="0.35">
      <c r="A116" t="s">
        <v>129</v>
      </c>
    </row>
    <row r="117" spans="1:13" x14ac:dyDescent="0.35">
      <c r="A117" s="24">
        <f>INT(A113*A115/B115)</f>
        <v>7553</v>
      </c>
    </row>
    <row r="119" spans="1:13" x14ac:dyDescent="0.35">
      <c r="A119" s="24" t="s">
        <v>130</v>
      </c>
      <c r="B119" s="24">
        <f>C104/A117</f>
        <v>0.23831590096650337</v>
      </c>
      <c r="C119" s="24" t="s">
        <v>131</v>
      </c>
      <c r="D119" s="24" t="s">
        <v>132</v>
      </c>
      <c r="E119" s="24">
        <f>C106</f>
        <v>7.9433628318584075E-3</v>
      </c>
      <c r="F119" s="24" t="s">
        <v>146</v>
      </c>
      <c r="G119" s="24"/>
    </row>
    <row r="120" spans="1:13" x14ac:dyDescent="0.35">
      <c r="A120" t="s">
        <v>197</v>
      </c>
    </row>
    <row r="123" spans="1:13" ht="21" x14ac:dyDescent="0.5">
      <c r="A123" s="16" t="s">
        <v>112</v>
      </c>
    </row>
    <row r="124" spans="1:13" x14ac:dyDescent="0.35">
      <c r="A124">
        <f>D48</f>
        <v>300</v>
      </c>
      <c r="B124" t="s">
        <v>113</v>
      </c>
    </row>
    <row r="125" spans="1:13" x14ac:dyDescent="0.35">
      <c r="A125">
        <f>A124*0.01</f>
        <v>3</v>
      </c>
      <c r="B125" t="s">
        <v>114</v>
      </c>
    </row>
    <row r="126" spans="1:13" x14ac:dyDescent="0.35">
      <c r="A126">
        <v>4</v>
      </c>
      <c r="B126" t="s">
        <v>193</v>
      </c>
    </row>
    <row r="127" spans="1:13" x14ac:dyDescent="0.35">
      <c r="A127" t="s">
        <v>194</v>
      </c>
      <c r="J127">
        <f>(D27+D38+D28+D38+D31+D38)*4</f>
        <v>0.54094725663716814</v>
      </c>
      <c r="K127" t="s">
        <v>200</v>
      </c>
    </row>
    <row r="128" spans="1:13" x14ac:dyDescent="0.35">
      <c r="A128" t="s">
        <v>198</v>
      </c>
      <c r="F128">
        <f>D27</f>
        <v>6.9323893805309737E-3</v>
      </c>
      <c r="G128" t="s">
        <v>199</v>
      </c>
      <c r="L128">
        <f>F128*40</f>
        <v>0.27729557522123893</v>
      </c>
      <c r="M128" t="s">
        <v>152</v>
      </c>
    </row>
    <row r="129" spans="1:10" x14ac:dyDescent="0.35">
      <c r="A129" t="s">
        <v>196</v>
      </c>
    </row>
    <row r="130" spans="1:10" x14ac:dyDescent="0.35">
      <c r="A130" t="s">
        <v>201</v>
      </c>
      <c r="C130">
        <f>INT(A125/D27)</f>
        <v>432</v>
      </c>
      <c r="D130" t="s">
        <v>202</v>
      </c>
      <c r="E130" t="s">
        <v>203</v>
      </c>
      <c r="I130">
        <f>A124/(L128+J127)</f>
        <v>366.63932553938162</v>
      </c>
      <c r="J130" t="s">
        <v>204</v>
      </c>
    </row>
    <row r="131" spans="1:10" x14ac:dyDescent="0.35">
      <c r="A131" t="s">
        <v>205</v>
      </c>
    </row>
    <row r="134" spans="1:10" ht="26" x14ac:dyDescent="0.6">
      <c r="A134" s="19"/>
    </row>
    <row r="135" spans="1:10" ht="21" x14ac:dyDescent="0.5">
      <c r="A135" s="16" t="s">
        <v>115</v>
      </c>
    </row>
    <row r="137" spans="1:10" x14ac:dyDescent="0.35">
      <c r="A137" t="s">
        <v>206</v>
      </c>
      <c r="E137">
        <v>24</v>
      </c>
      <c r="F137" t="s">
        <v>207</v>
      </c>
      <c r="I137">
        <v>28</v>
      </c>
    </row>
    <row r="138" spans="1:10" x14ac:dyDescent="0.35">
      <c r="A138" s="25">
        <f>D30*I137</f>
        <v>0.76631787610619473</v>
      </c>
      <c r="B138" s="25" t="s">
        <v>208</v>
      </c>
      <c r="C138" s="25"/>
      <c r="D138" s="25"/>
      <c r="E138" s="25">
        <f>I137*D29</f>
        <v>0.11929486725663717</v>
      </c>
      <c r="F138" s="25" t="s">
        <v>209</v>
      </c>
    </row>
    <row r="140" spans="1:10" x14ac:dyDescent="0.35">
      <c r="A140" t="s">
        <v>147</v>
      </c>
      <c r="C140">
        <f>D30</f>
        <v>2.7368495575221242E-2</v>
      </c>
    </row>
    <row r="141" spans="1:10" x14ac:dyDescent="0.35">
      <c r="A141" t="s">
        <v>148</v>
      </c>
      <c r="C141">
        <f>D29</f>
        <v>4.2605309734513276E-3</v>
      </c>
    </row>
    <row r="142" spans="1:10" x14ac:dyDescent="0.35">
      <c r="A142" t="s">
        <v>222</v>
      </c>
      <c r="C142" t="s">
        <v>223</v>
      </c>
    </row>
    <row r="143" spans="1:10" x14ac:dyDescent="0.35">
      <c r="A143" t="s">
        <v>218</v>
      </c>
      <c r="C143">
        <f>D38</f>
        <v>0.04</v>
      </c>
    </row>
    <row r="144" spans="1:10" x14ac:dyDescent="0.35">
      <c r="A144" t="s">
        <v>117</v>
      </c>
    </row>
    <row r="145" spans="1:7" x14ac:dyDescent="0.35">
      <c r="A145" t="s">
        <v>210</v>
      </c>
    </row>
    <row r="146" spans="1:7" x14ac:dyDescent="0.35">
      <c r="A146" t="s">
        <v>221</v>
      </c>
    </row>
    <row r="147" spans="1:7" x14ac:dyDescent="0.35">
      <c r="A147">
        <f>(C140+C143+C141)*I137</f>
        <v>2.0056127433628324</v>
      </c>
      <c r="B147" t="s">
        <v>211</v>
      </c>
    </row>
    <row r="148" spans="1:7" x14ac:dyDescent="0.35">
      <c r="A148">
        <f>A147*8</f>
        <v>16.044901946902659</v>
      </c>
      <c r="B148" t="s">
        <v>212</v>
      </c>
    </row>
    <row r="150" spans="1:7" x14ac:dyDescent="0.35">
      <c r="A150" t="s">
        <v>213</v>
      </c>
    </row>
    <row r="151" spans="1:7" x14ac:dyDescent="0.35">
      <c r="A151">
        <f>D44</f>
        <v>3000</v>
      </c>
      <c r="B151" t="s">
        <v>70</v>
      </c>
    </row>
    <row r="152" spans="1:7" x14ac:dyDescent="0.35">
      <c r="A152" t="s">
        <v>214</v>
      </c>
    </row>
    <row r="153" spans="1:7" x14ac:dyDescent="0.35">
      <c r="A153">
        <f>0.01*A151</f>
        <v>30</v>
      </c>
      <c r="B153" t="s">
        <v>70</v>
      </c>
    </row>
    <row r="154" spans="1:7" x14ac:dyDescent="0.35">
      <c r="A154" t="s">
        <v>215</v>
      </c>
      <c r="D154">
        <f>A138</f>
        <v>0.76631787610619473</v>
      </c>
      <c r="E154" t="s">
        <v>216</v>
      </c>
      <c r="F154">
        <f>E138*8</f>
        <v>0.95435893805309735</v>
      </c>
      <c r="G154" t="s">
        <v>70</v>
      </c>
    </row>
    <row r="155" spans="1:7" x14ac:dyDescent="0.35">
      <c r="A155" s="11" t="s">
        <v>217</v>
      </c>
    </row>
    <row r="158" spans="1:7" ht="21" x14ac:dyDescent="0.5">
      <c r="A158" s="16" t="s">
        <v>116</v>
      </c>
    </row>
    <row r="160" spans="1:7" x14ac:dyDescent="0.35">
      <c r="A160" t="s">
        <v>219</v>
      </c>
    </row>
    <row r="161" spans="1:25" x14ac:dyDescent="0.35">
      <c r="A161" t="s">
        <v>220</v>
      </c>
    </row>
    <row r="164" spans="1:25" x14ac:dyDescent="0.35">
      <c r="A164" t="s">
        <v>151</v>
      </c>
      <c r="Y164">
        <f>0</f>
        <v>0</v>
      </c>
    </row>
    <row r="165" spans="1:25" x14ac:dyDescent="0.35">
      <c r="A165" t="s">
        <v>155</v>
      </c>
    </row>
    <row r="167" spans="1:25" x14ac:dyDescent="0.35">
      <c r="A167">
        <f>D46</f>
        <v>300</v>
      </c>
      <c r="B167" t="s">
        <v>118</v>
      </c>
    </row>
    <row r="168" spans="1:25" x14ac:dyDescent="0.35">
      <c r="A168">
        <f>A167/8</f>
        <v>37.5</v>
      </c>
      <c r="B168" t="s">
        <v>119</v>
      </c>
    </row>
    <row r="169" spans="1:25" x14ac:dyDescent="0.35">
      <c r="A169" t="s">
        <v>120</v>
      </c>
    </row>
    <row r="170" spans="1:25" x14ac:dyDescent="0.35">
      <c r="A170" t="s">
        <v>121</v>
      </c>
    </row>
    <row r="171" spans="1:25" x14ac:dyDescent="0.35">
      <c r="A171" s="24" t="s">
        <v>149</v>
      </c>
      <c r="B171" s="24"/>
      <c r="C171" s="24"/>
      <c r="D171" s="24"/>
    </row>
    <row r="172" spans="1:25" x14ac:dyDescent="0.35">
      <c r="A172" s="24" t="s">
        <v>150</v>
      </c>
      <c r="B172" s="24"/>
      <c r="C172" s="24"/>
      <c r="D172" s="24"/>
    </row>
    <row r="174" spans="1:25" x14ac:dyDescent="0.35">
      <c r="A174" t="s">
        <v>153</v>
      </c>
      <c r="E174">
        <f>J143</f>
        <v>0</v>
      </c>
      <c r="F174" t="s">
        <v>152</v>
      </c>
      <c r="G174" t="s">
        <v>154</v>
      </c>
    </row>
    <row r="195" spans="1:17" x14ac:dyDescent="0.35">
      <c r="P195" s="24"/>
      <c r="Q195" s="24"/>
    </row>
    <row r="202" spans="1:17" x14ac:dyDescent="0.35">
      <c r="A202" s="24"/>
      <c r="B202" s="24"/>
      <c r="C202" s="24"/>
    </row>
    <row r="204" spans="1:17" x14ac:dyDescent="0.35">
      <c r="A204" s="24"/>
    </row>
    <row r="206" spans="1:17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6DA2-C34D-4892-B4CE-8EE5266B067D}">
  <dimension ref="A2:O30"/>
  <sheetViews>
    <sheetView topLeftCell="A13" zoomScale="87" zoomScaleNormal="100" workbookViewId="0">
      <selection activeCell="L28" sqref="L28"/>
    </sheetView>
  </sheetViews>
  <sheetFormatPr defaultRowHeight="14.5" x14ac:dyDescent="0.35"/>
  <cols>
    <col min="12" max="12" width="17.90625" customWidth="1"/>
  </cols>
  <sheetData>
    <row r="2" spans="1:15" ht="21" x14ac:dyDescent="0.5">
      <c r="A2" s="18" t="s">
        <v>139</v>
      </c>
      <c r="D2" t="s">
        <v>187</v>
      </c>
    </row>
    <row r="4" spans="1:15" x14ac:dyDescent="0.35">
      <c r="A4" s="11" t="s">
        <v>140</v>
      </c>
    </row>
    <row r="5" spans="1:15" x14ac:dyDescent="0.35">
      <c r="I5" t="s">
        <v>157</v>
      </c>
      <c r="M5">
        <f ca="1">IF(B12 &gt; F13 + 1, 1, 1 - PRODUCT(F13 - ROW(INDIRECT("1:" &amp; B12 - 1)) + 1) / (F13 + 1)^B12)</f>
        <v>0.953125</v>
      </c>
      <c r="O5" t="s">
        <v>158</v>
      </c>
    </row>
    <row r="6" spans="1:15" x14ac:dyDescent="0.35">
      <c r="A6" s="11"/>
    </row>
    <row r="7" spans="1:15" x14ac:dyDescent="0.35">
      <c r="A7" t="s">
        <v>95</v>
      </c>
    </row>
    <row r="8" spans="1:15" x14ac:dyDescent="0.35">
      <c r="A8" t="s">
        <v>96</v>
      </c>
    </row>
    <row r="9" spans="1:15" x14ac:dyDescent="0.35">
      <c r="A9" t="s">
        <v>97</v>
      </c>
      <c r="B9">
        <v>10</v>
      </c>
    </row>
    <row r="10" spans="1:15" x14ac:dyDescent="0.35">
      <c r="A10" t="s">
        <v>98</v>
      </c>
      <c r="B10">
        <v>1</v>
      </c>
    </row>
    <row r="11" spans="1:15" x14ac:dyDescent="0.35">
      <c r="A11" t="s">
        <v>99</v>
      </c>
      <c r="B11">
        <v>4</v>
      </c>
    </row>
    <row r="12" spans="1:15" x14ac:dyDescent="0.35">
      <c r="A12" t="s">
        <v>142</v>
      </c>
      <c r="B12">
        <f>B11-B10</f>
        <v>3</v>
      </c>
    </row>
    <row r="13" spans="1:15" x14ac:dyDescent="0.35">
      <c r="A13" t="s">
        <v>141</v>
      </c>
      <c r="F13">
        <v>3</v>
      </c>
    </row>
    <row r="14" spans="1:15" x14ac:dyDescent="0.35">
      <c r="F14" s="11"/>
    </row>
    <row r="16" spans="1:15" x14ac:dyDescent="0.35">
      <c r="A16" t="s">
        <v>100</v>
      </c>
    </row>
    <row r="17" spans="1:4" x14ac:dyDescent="0.35">
      <c r="A17" t="s">
        <v>101</v>
      </c>
      <c r="B17">
        <v>3</v>
      </c>
      <c r="C17" t="s">
        <v>102</v>
      </c>
    </row>
    <row r="18" spans="1:4" x14ac:dyDescent="0.35">
      <c r="A18" t="s">
        <v>103</v>
      </c>
    </row>
    <row r="19" spans="1:4" x14ac:dyDescent="0.35">
      <c r="A19" t="s">
        <v>104</v>
      </c>
    </row>
    <row r="20" spans="1:4" x14ac:dyDescent="0.35">
      <c r="A20">
        <f>(B17)^F13/B9^F13</f>
        <v>2.7E-2</v>
      </c>
    </row>
    <row r="21" spans="1:4" x14ac:dyDescent="0.35">
      <c r="A21" t="s">
        <v>159</v>
      </c>
    </row>
    <row r="22" spans="1:4" x14ac:dyDescent="0.35">
      <c r="A22">
        <f>1-A20</f>
        <v>0.97299999999999998</v>
      </c>
    </row>
    <row r="23" spans="1:4" x14ac:dyDescent="0.35">
      <c r="A23" t="s">
        <v>105</v>
      </c>
    </row>
    <row r="24" spans="1:4" x14ac:dyDescent="0.35">
      <c r="A24">
        <f>A22^B9</f>
        <v>0.76055110680112936</v>
      </c>
    </row>
    <row r="25" spans="1:4" x14ac:dyDescent="0.35">
      <c r="A25" t="s">
        <v>106</v>
      </c>
    </row>
    <row r="26" spans="1:4" x14ac:dyDescent="0.35">
      <c r="A26">
        <f>1-A24</f>
        <v>0.23944889319887064</v>
      </c>
    </row>
    <row r="27" spans="1:4" x14ac:dyDescent="0.35">
      <c r="A27" t="s">
        <v>108</v>
      </c>
    </row>
    <row r="28" spans="1:4" x14ac:dyDescent="0.35">
      <c r="A28" t="s">
        <v>109</v>
      </c>
      <c r="B28">
        <f>B17*B17/B9^2</f>
        <v>0.09</v>
      </c>
      <c r="D28" t="s">
        <v>225</v>
      </c>
    </row>
    <row r="30" spans="1:4" x14ac:dyDescent="0.35">
      <c r="A30" t="s">
        <v>107</v>
      </c>
      <c r="B30">
        <f ca="1">B28*M5</f>
        <v>8.5781250000000003E-2</v>
      </c>
      <c r="C30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</vt:lpstr>
      <vt:lpstr>TDMA</vt:lpstr>
      <vt:lpstr>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Remy Claude Langlais</dc:creator>
  <cp:lastModifiedBy>Simon Remy Claude Langlais</cp:lastModifiedBy>
  <dcterms:created xsi:type="dcterms:W3CDTF">2024-10-16T08:45:32Z</dcterms:created>
  <dcterms:modified xsi:type="dcterms:W3CDTF">2025-02-01T17:32:00Z</dcterms:modified>
</cp:coreProperties>
</file>