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<sst xmlns="http://schemas.openxmlformats.org/spreadsheetml/2006/main" count="1339" uniqueCount="1134">
  <si>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</si>
  <si>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</si>
  <si>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</si>
  <si>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</si>
  <si>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</si>
  <si>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</si>
  <si>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</si>
  <si>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</si>
  <si>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</si>
  <si>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</si>
  <si>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</si>
  <si>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</si>
  <si>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</si>
  <si>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</si>
  <si>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</si>
  <si>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</si>
  <si>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</si>
  <si>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</si>
  <si>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</si>
  <si>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</si>
  <si>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</si>
  <si>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</si>
  <si>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</si>
  <si>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</si>
  <si>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</si>
  <si>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</si>
  <si>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</si>
  <si>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</si>
  <si>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</si>
  <si>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</si>
  <si>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</si>
  <si>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</si>
  <si>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</si>
  <si>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</si>
  <si>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</si>
  <si>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</si>
  <si>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</si>
  <si>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</si>
  <si>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</si>
  <si>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</si>
  <si>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</si>
  <si>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</si>
  <si>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</si>
  <si>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</si>
  <si>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</si>
  <si>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</si>
  <si>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</si>
  <si>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</si>
  <si>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</si>
  <si>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</si>
  <si>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</si>
  <si>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</si>
  <si>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</si>
  <si>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</si>
  <si>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</si>
  <si>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</si>
  <si>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</si>
  <si>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</si>
  <si>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</si>
  <si>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</si>
  <si>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</si>
  <si>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</si>
  <si>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</si>
  <si>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</si>
  <si>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</si>
  <si>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</si>
  <si>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</si>
  <si>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</si>
  <si>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</si>
  <si>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</si>
  <si>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</si>
  <si>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</si>
  <si>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</si>
  <si>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</si>
  <si>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</si>
  <si>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</si>
  <si>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</si>
  <si>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</si>
  <si>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</si>
  <si>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</si>
  <si>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</si>
  <si>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</si>
  <si>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</si>
  <si>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</si>
  <si>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</si>
  <si>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</si>
  <si>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</si>
  <si>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</si>
  <si>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</si>
  <si>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</si>
  <si>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</si>
  <si>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</si>
  <si>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</si>
  <si>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</si>
  <si>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</si>
  <si>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</si>
  <si>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</si>
  <si>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</si>
  <si>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</si>
  <si>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</si>
  <si>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</si>
  <si>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</si>
  <si>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</si>
  <si>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</si>
  <si>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</si>
  <si>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</si>
  <si>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</si>
  <si>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</si>
  <si>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</si>
  <si>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</si>
  <si>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</si>
  <si>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</si>
  <si>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</si>
  <si>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</si>
  <si>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</si>
  <si>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</si>
  <si>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</si>
  <si>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</si>
  <si>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</si>
  <si>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</si>
  <si>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</si>
  <si>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</si>
  <si>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</si>
  <si>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</si>
  <si>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</si>
  <si>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</si>
  <si>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</si>
  <si>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</si>
  <si>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</si>
  <si>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Glory tooltip</t>
  </si>
  <si>
    <t>Glory: Your score, used to enter harder dungeons. You get glory from doing most things, such as completing quests, killing monsters and other players, gathering, crafting, and clearing dungeons.</t>
  </si>
  <si>
    <t>Defence tooltip</t>
  </si>
  <si>
    <t>Defence: Reduces the amount of damage you take. Increase your defence points by using certain clothing items, potions, and enchantments.</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</si>
  <si>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</si>
  <si>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</si>
  <si>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</si>
  <si>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</si>
  <si>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</si>
  <si>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</si>
  <si>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</si>
  <si>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</si>
  <si>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</si>
  <si>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</si>
  <si>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</si>
  <si>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</si>
  <si>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</si>
  <si>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</si>
  <si>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</si>
  <si>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Inventory tooltip</t>
  </si>
  <si>
    <t>Inventory</t>
  </si>
  <si>
    <t>Combat tooltip</t>
  </si>
  <si>
    <t>Combat: You will lose your items if you close the game while in combat.</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</si>
  <si>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</si>
  <si>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</si>
  <si>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</si>
  <si>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</si>
  <si>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</si>
  <si>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</si>
  <si>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</si>
  <si>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</si>
  <si>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</si>
  <si>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</si>
  <si>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</si>
  <si>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</si>
  <si>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</si>
  <si>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</si>
  <si>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</si>
  <si>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</si>
  <si>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</si>
  <si>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</si>
  <si>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</si>
  <si>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</si>
  <si>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</si>
  <si>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</si>
  <si>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</si>
  <si>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</si>
  <si>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</si>
  <si>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</si>
  <si>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</si>
  <si>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</si>
  <si>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</si>
  <si>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</si>
  <si>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</si>
  <si>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</si>
  <si>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</si>
  <si>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</si>
  <si>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</si>
  <si>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</si>
  <si>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</si>
  <si>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</si>
  <si>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</si>
  <si>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</si>
  <si>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</si>
  <si>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</si>
  <si>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</si>
  <si>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</si>
  <si>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</si>
  <si>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</si>
  <si>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</si>
  <si>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</si>
  <si>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</si>
  <si>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</si>
  <si>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</si>
  <si>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</si>
  <si>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</si>
  <si>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</si>
  <si>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</si>
  <si>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</si>
  <si>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</si>
  <si>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</si>
  <si>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</si>
  <si>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</si>
  <si>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</si>
  <si>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</si>
  <si>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</si>
  <si>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</si>
  <si>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</si>
  <si>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</si>
  <si>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</si>
  <si>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</si>
  <si>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</si>
  <si>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</si>
  <si>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</si>
  <si>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</si>
  <si>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</si>
  <si>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</si>
  <si>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</si>
  <si>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</si>
  <si>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</si>
  <si>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</si>
  <si>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</si>
  <si>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</si>
  <si>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</si>
  <si>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</si>
  <si>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</si>
  <si>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</si>
  <si>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</si>
  <si>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</si>
  <si>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</si>
  <si>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</si>
  <si>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</si>
  <si>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</si>
  <si>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</si>
  <si>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</si>
  <si>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</si>
  <si>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</si>
  <si>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</si>
  <si>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</si>
  <si>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</si>
  <si>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</si>
  <si>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</si>
  <si>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</si>
  <si>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</si>
  <si>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</si>
  <si>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</si>
  <si>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</si>
  <si>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</si>
  <si>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</si>
  <si>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</si>
  <si>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</si>
  <si>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</si>
  <si>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</si>
  <si>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</si>
  <si>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</si>
  <si>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</si>
  <si>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</si>
  <si>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</si>
  <si>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</si>
  <si>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</si>
  <si>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</si>
  <si>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</si>
  <si>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</si>
  <si>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</si>
  <si>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</si>
  <si>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</si>
  <si>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</si>
  <si>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</si>
  <si>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</si>
  <si>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</si>
  <si>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</si>
  <si>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</si>
  <si>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</si>
  <si>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</si>
  <si>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</si>
  <si>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</si>
  <si>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</si>
  <si>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</si>
  <si>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</si>
  <si>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</si>
  <si>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</si>
  <si>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</si>
  <si>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</si>
  <si>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</si>
  <si>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</si>
  <si>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</si>
  <si>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</si>
  <si>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</si>
  <si>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</si>
  <si>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</si>
  <si>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</si>
  <si>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</si>
  <si>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</si>
  <si>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</si>
  <si>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</si>
  <si>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</si>
  <si>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</si>
  <si>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</si>
  <si>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</si>
  <si>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</si>
  <si>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</si>
  <si>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</si>
  <si>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</si>
  <si>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</si>
  <si>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</si>
  <si>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</si>
  <si>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</si>
  <si>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</si>
  <si>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</si>
  <si>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</si>
  <si>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</si>
  <si>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</si>
  <si>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</si>
  <si>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</si>
  <si>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</si>
  <si>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</si>
  <si>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</si>
  <si>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</si>
  <si>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</si>
  <si>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</si>
  <si>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</si>
  <si>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</si>
  <si>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</si>
  <si>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</si>
  <si>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</si>
  <si>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</si>
  <si>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</si>
  <si>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</si>
  <si>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</si>
  <si>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</si>
  <si>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</si>
  <si>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</si>
  <si>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</si>
  <si>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</si>
  <si>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</si>
  <si>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</si>
  <si>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</si>
  <si>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</si>
  <si>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</si>
  <si>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</si>
  <si>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</si>
  <si>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</si>
  <si>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</si>
  <si>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</si>
  <si>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</si>
  <si>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</si>
  <si>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</si>
  <si>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</si>
  <si>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</si>
  <si>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</si>
  <si>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</si>
  <si>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</si>
  <si>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</si>
  <si>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</si>
  <si>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</si>
  <si>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</si>
  <si>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</si>
  <si>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</si>
  <si>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</si>
  <si>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</si>
  <si>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</si>
  <si>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</si>
  <si>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</si>
  <si>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</si>
  <si>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</si>
  <si>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</si>
  <si>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</si>
  <si>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</si>
  <si>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</si>
  <si>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</si>
  <si>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</si>
  <si>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</si>
  <si>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</si>
  <si>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</si>
  <si>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</si>
  <si>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</si>
  <si>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</si>
  <si>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</si>
  <si>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</si>
  <si>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</si>
  <si>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</si>
  <si>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</si>
  <si>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</si>
  <si>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</si>
  <si>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</si>
  <si>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</si>
  <si>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</si>
  <si>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</si>
  <si>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</si>
  <si>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</si>
  <si>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</si>
  <si>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</si>
  <si>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</si>
  <si>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</si>
  <si>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</si>
  <si>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</si>
  <si>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</si>
  <si>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</si>
  <si>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</si>
  <si>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</si>
  <si>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</si>
  <si>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</si>
  <si>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</si>
  <si>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</si>
  <si>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</si>
  <si>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</si>
  <si>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</si>
  <si>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</si>
  <si>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</si>
  <si>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</si>
  <si>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</si>
  <si>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</si>
  <si>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</si>
  <si>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</si>
  <si>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</si>
  <si>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</si>
  <si>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</si>
  <si>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</si>
  <si>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</si>
  <si>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</si>
  <si>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</si>
  <si>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</si>
  <si>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</si>
  <si>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</si>
  <si>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</si>
  <si>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</si>
  <si>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</si>
  <si>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</si>
  <si>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</si>
  <si>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</si>
  <si>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</si>
  <si>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</si>
  <si>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</si>
  <si>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</si>
  <si>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</si>
  <si>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</si>
  <si>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</si>
  <si>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</si>
  <si>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</si>
  <si>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</si>
  <si>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</si>
  <si>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</si>
  <si>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</si>
  <si>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</si>
  <si>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</si>
  <si>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</si>
  <si>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</si>
  <si>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</si>
  <si>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</si>
  <si>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</si>
  <si>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</si>
  <si>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</si>
  <si>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</si>
  <si>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</si>
  <si>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</si>
  <si>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</si>
  <si>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</si>
  <si>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</si>
  <si>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</si>
  <si>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</si>
  <si>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</si>
  <si>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</si>
  <si>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</si>
  <si>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</si>
  <si>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</si>
  <si>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</si>
  <si>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</si>
  <si>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</si>
  <si>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</si>
  <si>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</si>
  <si>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</si>
  <si>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</si>
  <si>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</si>
  <si>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</si>
  <si>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</si>
  <si>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</si>
  <si>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</si>
  <si>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</si>
  <si>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</si>
  <si>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</si>
  <si>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</si>
  <si>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</si>
  <si>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</si>
  <si>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</si>
  <si>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</si>
  <si>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</si>
  <si>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</si>
  <si>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</si>
  <si>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</si>
  <si>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</si>
  <si>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</si>
  <si>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</si>
  <si>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</si>
  <si>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</si>
  <si>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</si>
  <si>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</si>
  <si>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</si>
  <si>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</si>
  <si>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</si>
  <si>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</si>
  <si>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</si>
  <si>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</si>
  <si>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</si>
  <si>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</si>
  <si>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</si>
  <si>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</si>
  <si>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</si>
  <si>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</si>
  <si>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</si>
  <si>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</si>
  <si>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</si>
  <si>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</si>
  <si>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</si>
  <si>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</si>
  <si>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</si>
  <si>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</si>
  <si>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</si>
  <si>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</si>
  <si>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</si>
  <si>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</si>
  <si>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</si>
  <si>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</si>
  <si>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</si>
  <si>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</si>
  <si>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</si>
  <si>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</si>
  <si>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</si>
  <si>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</si>
  <si>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</si>
  <si>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</si>
  <si>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</si>
  <si>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</si>
  <si>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</si>
  <si>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</si>
  <si>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</si>
  <si>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</si>
  <si>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</si>
  <si>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</si>
  <si>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</si>
  <si>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</si>
  <si>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</si>
  <si>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</si>
  <si>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</si>
  <si>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</si>
  <si>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</si>
  <si>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</si>
  <si>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</si>
  <si>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</si>
  <si>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</si>
  <si>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</si>
  <si>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</si>
  <si>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</si>
  <si>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</si>
  <si>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</si>
  <si>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</si>
  <si>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</si>
  <si>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</si>
  <si>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</si>
  <si>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</si>
  <si>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</si>
  <si>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</si>
  <si>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</si>
  <si>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</si>
  <si>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</si>
  <si>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</si>
  <si>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</si>
  <si>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</si>
  <si>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</si>
  <si>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</si>
  <si>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</si>
  <si>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</si>
  <si>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</si>
  <si>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</si>
  <si>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</si>
  <si>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</si>
  <si>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</si>
  <si>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</si>
  <si>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</si>
  <si>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</si>
  <si>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</si>
  <si>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</si>
  <si>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</si>
  <si>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</si>
  <si>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</si>
  <si>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</si>
  <si>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</si>
  <si>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</si>
  <si>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</si>
  <si>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</si>
  <si>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</si>
  <si>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</si>
  <si>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</si>
  <si>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</si>
  <si>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</si>
  <si>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</si>
  <si>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</si>
  <si>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</si>
  <si>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</si>
  <si>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</si>
  <si>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</si>
  <si>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</si>
  <si>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</si>
  <si>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</si>
  <si>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</si>
  <si>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</si>
  <si>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</si>
  <si>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</si>
  <si>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</si>
  <si>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</si>
  <si>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</si>
  <si>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</si>
  <si>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</si>
  <si>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</si>
  <si>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</si>
  <si>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</si>
  <si>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</si>
  <si>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</si>
  <si>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</si>
  <si>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</si>
  <si>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</si>
  <si>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</si>
  <si>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</si>
  <si>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</si>
  <si>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</si>
  <si>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</si>
  <si>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</si>
  <si>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</si>
  <si>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</si>
  <si>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</si>
  <si>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</si>
  <si>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</si>
  <si>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</si>
  <si>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</si>
  <si>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</si>
  <si>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</si>
  <si>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</si>
  <si>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</si>
  <si>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</si>
  <si>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</si>
  <si>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</si>
  <si>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</si>
  <si>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</si>
  <si>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</si>
  <si>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</si>
  <si>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</si>
  <si>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</si>
  <si>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</si>
  <si>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</si>
  <si>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</si>
  <si>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</si>
  <si>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</si>
  <si>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</si>
  <si>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</si>
  <si>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</si>
  <si>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</si>
  <si>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</si>
  <si>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</si>
  <si>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</si>
  <si>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</si>
  <si>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</si>
  <si>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</si>
  <si>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</si>
  <si>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</si>
  <si>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</si>
  <si>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</si>
  <si>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</si>
  <si>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</si>
  <si>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</si>
  <si>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</si>
  <si>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</si>
  <si>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</si>
  <si>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</si>
  <si>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</si>
  <si>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</si>
  <si>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</si>
  <si>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Ice arrows</t>
  </si>
  <si>
    <t>Ice arrows</t>
  </si>
  <si>
    <t>Item description: Ice arrows</t>
  </si>
  <si>
    <t>Used as ammunition for a bow. Applies chill when it hits.</t>
  </si>
  <si>
    <t>Item name: Poison arrows</t>
  </si>
  <si>
    <t>Poison arrows</t>
  </si>
  <si>
    <t>Item description: Poison arrows</t>
  </si>
  <si>
    <t>Used as ammunition for a bow. Applies poison when it hits.</t>
  </si>
  <si>
    <t>Item name: Explosive arrows</t>
  </si>
  <si>
    <t>Explosive arrows</t>
  </si>
  <si>
    <t>Item description: Explosive arrows</t>
  </si>
  <si>
    <t>Used as ammunition for a bow. Deals damage and burns in an area when it hits.</t>
  </si>
  <si>
    <t>Item name: Shuriken</t>
  </si>
  <si>
    <t>Shuriken</t>
  </si>
  <si>
    <t>Item description: Shuriken</t>
  </si>
  <si>
    <t>A fast moving medium ranged weapon.</t>
  </si>
  <si>
    <t>Item name: Bomb</t>
  </si>
  <si>
    <t>Bomb</t>
  </si>
  <si>
    <t>Item description: Bomb</t>
  </si>
  <si>
    <t>Creates an explosion that damages and burns anything nearby after a short delay.</t>
  </si>
  <si>
    <t>Item name: Trap</t>
  </si>
  <si>
    <t>Trap</t>
  </si>
  <si>
    <t>Item description: Trap</t>
  </si>
  <si>
    <t>Damages anything that steps on it.</t>
  </si>
  <si>
    <t>Item name: Ice shard</t>
  </si>
  <si>
    <t>Ice shard</t>
  </si>
  <si>
    <t>Item description: Ice shard</t>
  </si>
  <si>
    <t>A chunk of ice. Used to craft items with a chill effect.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</si>
  <si>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</si>
  <si>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</si>
  <si>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</si>
  <si>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</si>
  <si>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</si>
  <si>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</si>
  <si>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</si>
  <si>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</si>
  <si>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</si>
  <si>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</si>
  <si>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</si>
  <si>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</si>
  <si>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</si>
  <si>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</si>
  <si>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</si>
  <si>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</si>
  <si>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</si>
  <si>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</si>
  <si>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</si>
  <si>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</si>
  <si>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</si>
  <si>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</si>
  <si>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</si>
  <si>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</si>
  <si>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</si>
  <si>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</si>
  <si>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</si>
  <si>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</si>
  <si>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</si>
  <si>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</si>
  <si>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</si>
  <si>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</si>
  <si>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</si>
  <si>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</si>
  <si>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</si>
  <si>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</si>
  <si>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</si>
  <si>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</si>
  <si>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</si>
  <si>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</si>
  <si>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</si>
  <si>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</si>
  <si>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</si>
  <si>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</si>
  <si>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</si>
  <si>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</si>
  <si>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</si>
  <si>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</si>
  <si>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</si>
  <si>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</si>
  <si>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</si>
  <si>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</si>
  <si>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</si>
  <si>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</si>
  <si>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</si>
  <si>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</si>
  <si>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</si>
  <si>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</si>
  <si>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</si>
  <si>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</si>
  <si>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</si>
  <si>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</si>
  <si>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</si>
  <si>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</si>
  <si>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</si>
  <si>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</si>
  <si>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</si>
  <si>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</si>
  <si>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</si>
  <si>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</si>
  <si>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</si>
  <si>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</si>
  <si>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</si>
  <si>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</si>
  <si>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</si>
  <si>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</si>
  <si>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</si>
  <si>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</si>
  <si>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</si>
  <si>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</si>
  <si>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</si>
  <si>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</si>
  <si>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</si>
  <si>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</si>
  <si>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</si>
  <si>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</si>
  <si>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</si>
  <si>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</si>
  <si>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</si>
  <si>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</si>
  <si>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</si>
  <si>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</si>
  <si>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</si>
  <si>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</si>
  <si>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</si>
  <si>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</si>
  <si>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</si>
  <si>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</si>
  <si>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</si>
  <si>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</si>
  <si>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</si>
  <si>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</si>
  <si>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</si>
  <si>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</si>
  <si>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</si>
  <si>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</si>
  <si>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</si>
  <si>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</si>
  <si>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</si>
  <si>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</si>
  <si>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</si>
  <si>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</si>
  <si>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</si>
  <si>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</si>
  <si>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</si>
  <si>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</si>
  <si>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</si>
  <si>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</si>
  <si>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</si>
  <si>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</si>
  <si>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</si>
  <si>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</si>
  <si>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</si>
  <si>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</si>
  <si>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</si>
  <si>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</si>
  <si>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</si>
  <si>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</si>
  <si>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</si>
  <si>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</si>
  <si>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</si>
  <si>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</si>
  <si>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</si>
  <si>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</si>
  <si>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</si>
  <si>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</si>
  <si>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</si>
  <si>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</si>
  <si>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</si>
  <si>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</si>
  <si>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</si>
  <si>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</si>
  <si>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</si>
  <si>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</si>
  <si>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</si>
  <si>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</si>
  <si>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</si>
  <si>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</si>
  <si>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</si>
  <si>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</si>
  <si>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</si>
  <si>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</si>
  <si>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</si>
  <si>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</si>
  <si>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</si>
  <si>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</si>
  <si>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</si>
  <si>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</si>
  <si>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</si>
  <si>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</si>
  <si>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</si>
  <si>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</si>
  <si>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</si>
  <si>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</si>
  <si>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</si>
  <si>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</si>
  <si>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</si>
  <si>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</si>
  <si>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</si>
  <si>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</si>
  <si>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</si>
  <si>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</si>
  <si>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</si>
  <si>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</si>
  <si>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</si>
  <si>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</si>
  <si>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</si>
  <si>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</si>
  <si>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</si>
  <si>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</si>
  <si>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</si>
  <si>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</si>
  <si>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</si>
  <si>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</si>
  <si>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</si>
  <si>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</si>
  <si>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</si>
  <si>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</si>
  <si>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</si>
  <si>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</si>
  <si>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</si>
  <si>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</si>
  <si>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</si>
  <si>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</si>
  <si>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</si>
  <si>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</si>
  <si>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</si>
  <si>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</si>
  <si>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</si>
  <si>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</si>
  <si>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</si>
  <si>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</si>
  <si>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</si>
  <si>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</si>
  <si>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</si>
  <si>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</si>
  <si>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</si>
  <si>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</si>
  <si>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</si>
  <si>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</si>
  <si>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</si>
  <si>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</si>
  <si>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</si>
  <si>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</si>
  <si>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</si>
  <si>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</si>
  <si>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</si>
  <si>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</si>
  <si>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</si>
  <si>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</si>
  <si>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</si>
  <si>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</si>
  <si>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</si>
  <si>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</si>
  <si>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</si>
  <si>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</si>
  <si>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</si>
  <si>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</si>
  <si>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</si>
  <si>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</si>
  <si>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</si>
  <si>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</si>
  <si>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</si>
  <si>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</si>
  <si>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</si>
  <si>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</si>
  <si>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</si>
  <si>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</si>
  <si>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</si>
  <si>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</si>
  <si>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</si>
  <si>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</si>
  <si>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</si>
  <si>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</si>
  <si>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</si>
  <si>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</si>
  <si>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</si>
  <si>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</si>
  <si>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</si>
  <si>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</si>
  <si>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</si>
  <si>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</si>
  <si>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</si>
  <si>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</si>
  <si>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</si>
  <si>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</si>
  <si>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</si>
  <si>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</si>
  <si>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</si>
  <si>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</si>
  <si>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</si>
  <si>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</si>
  <si>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</si>
  <si>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</si>
  <si>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</si>
  <si>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</si>
  <si>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</si>
  <si>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</si>
  <si>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</si>
  <si>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</si>
  <si>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</si>
  <si>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</si>
  <si>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</si>
  <si>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</si>
  <si>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</si>
  <si>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</si>
  <si>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</si>
  <si>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</si>
  <si>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</si>
  <si>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</si>
  <si>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</si>
  <si>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</si>
  <si>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</si>
  <si>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</si>
  <si>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</si>
  <si>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</si>
  <si>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</si>
  <si>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</si>
  <si>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</si>
  <si>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</si>
  <si>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</si>
  <si>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</si>
  <si>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</si>
  <si>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Dungium golem</t>
  </si>
  <si>
    <t>Dungium golem</t>
  </si>
  <si>
    <t>Mob name: Agonite golem</t>
  </si>
  <si>
    <t>Agonite golem</t>
  </si>
  <si>
    <t>Mob name: Noctis golem</t>
  </si>
  <si>
    <t>Noctis golem</t>
  </si>
  <si>
    <t>Mob name: Adumbral</t>
  </si>
  <si>
    <t>Adumbral</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</si>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</sst>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3" fillId="4" fontId="9"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118</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119</v>
      </c>
      <c r="B47" s="22" t="s">
        <v>119</v>
      </c>
      <c r="C47" s="23" t="s">
        <v>120</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121</v>
      </c>
      <c r="B48" s="22" t="s">
        <v>121</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122</v>
      </c>
      <c r="B49" s="22" t="s">
        <v>123</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124</v>
      </c>
      <c r="B50" s="22" t="s">
        <v>125</v>
      </c>
      <c r="C50" s="23" t="s">
        <v>126</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127</v>
      </c>
      <c r="B51" s="22" t="s">
        <v>128</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52" s="23" t="str">
        <f>IFERROR(__xludf.DUMMYFUNCTION("GOOGLETRANSLATE(B52,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52" s="23" t="str">
        <f>IFERROR(__xludf.DUMMYFUNCTION("GOOGLETRANSLATE(B52,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52" s="23" t="str">
        <f>IFERROR(__xludf.DUMMYFUNCTION("GOOGLETRANSLATE(B52,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52" s="23" t="str">
        <f>IFERROR(__xludf.DUMMYFUNCTION("GOOGLETRANSLATE(B52,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52" s="24" t="str">
        <f>IFERROR(__xludf.DUMMYFUNCTION("GOOGLETRANSLATE(B52,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52" s="23" t="str">
        <f>IFERROR(__xludf.DUMMYFUNCTION("GOOGLETRANSLATE(B52,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52" s="25" t="str">
        <f>IFERROR(__xludf.DUMMYFUNCTION("GOOGLETRANSLATE(B52,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52" s="25" t="str">
        <f>IFERROR(__xludf.DUMMYFUNCTION("GOOGLETRANSLATE(B52,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52" s="26" t="str">
        <f>IFERROR(__xludf.DUMMYFUNCTION("GOOGLETRANSLATE(B52,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52" s="28"/>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53" s="23" t="str">
        <f>IFERROR(__xludf.DUMMYFUNCTION("GOOGLETRANSLATE(B53,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53" s="23" t="str">
        <f>IFERROR(__xludf.DUMMYFUNCTION("GOOGLETRANSLATE(B53,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53" s="23" t="str">
        <f>IFERROR(__xludf.DUMMYFUNCTION("GOOGLETRANSLATE(B53,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53" s="23" t="str">
        <f>IFERROR(__xludf.DUMMYFUNCTION("GOOGLETRANSLATE(B53,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53" s="24" t="str">
        <f>IFERROR(__xludf.DUMMYFUNCTION("GOOGLETRANSLATE(B53,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53" s="23" t="str">
        <f>IFERROR(__xludf.DUMMYFUNCTION("GOOGLETRANSLATE(B53, ""en"", ""pl"")"),"Obrona: zmniejsza ilość obrażeń. Zwiększ punkty obrony, używając niektórych przedmiotów odzieżowych, mikstur i zaklęć.")</f>
        <v>Obrona: zmniejsza ilość obrażeń. Zwiększ punkty obrony, używając niektórych przedmiotów odzieżowych, mikstur i zaklęć.</v>
      </c>
      <c r="J53" s="25" t="str">
        <f>IFERROR(__xludf.DUMMYFUNCTION("GOOGLETRANSLATE(B53, ""en"", ""zh"")"),"防御：减少您采取的损害量。通过使用某些衣物，魔药和魅力增加您的防御点。")</f>
        <v>防御：减少您采取的损害量。通过使用某些衣物，魔药和魅力增加您的防御点。</v>
      </c>
      <c r="K53" s="25" t="str">
        <f>IFERROR(__xludf.DUMMYFUNCTION("GOOGLETRANSLATE(B53,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53" s="26" t="str">
        <f>IFERROR(__xludf.DUMMYFUNCTION("GOOGLETRANSLATE(B53,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""fr"")"),"Statistiques")</f>
        <v>Statistiques</v>
      </c>
      <c r="D54" s="23" t="str">
        <f>IFERROR(__xludf.DUMMYFUNCTION("GOOGLETRANSLATE(B54, ""en"", ""es"")"),"Estadísticas")</f>
        <v>Estadísticas</v>
      </c>
      <c r="E54" s="23" t="str">
        <f>IFERROR(__xludf.DUMMYFUNCTION("GOOGLETRANSLATE(B54, ""en"", ""ru"")"),"Статистика")</f>
        <v>Статистика</v>
      </c>
      <c r="F54" s="23" t="str">
        <f>IFERROR(__xludf.DUMMYFUNCTION("GOOGLETRANSLATE(B54, ""en"", ""tr"")"),"İstatistikler")</f>
        <v>İstatistikler</v>
      </c>
      <c r="G54" s="23" t="str">
        <f>IFERROR(__xludf.DUMMYFUNCTION("GOOGLETRANSLATE(B54, ""en"", ""pt"")"),"Estatísticas")</f>
        <v>Estatísticas</v>
      </c>
      <c r="H54" s="24" t="str">
        <f>IFERROR(__xludf.DUMMYFUNCTION("GOOGLETRANSLATE(B54, ""en"", ""de"")"),"Statistiken")</f>
        <v>Statistiken</v>
      </c>
      <c r="I54" s="23" t="str">
        <f>IFERROR(__xludf.DUMMYFUNCTION("GOOGLETRANSLATE(B54, ""en"", ""pl"")"),"Statystyki")</f>
        <v>Statystyki</v>
      </c>
      <c r="J54" s="25" t="str">
        <f>IFERROR(__xludf.DUMMYFUNCTION("GOOGLETRANSLATE(B54, ""en"", ""zh"")"),"统计")</f>
        <v>统计</v>
      </c>
      <c r="K54" s="25" t="str">
        <f>IFERROR(__xludf.DUMMYFUNCTION("GOOGLETRANSLATE(B54, ""en"", ""vi"")"),"Số liệu thống kê")</f>
        <v>Số liệu thống kê</v>
      </c>
      <c r="L54" s="26" t="str">
        <f>IFERROR(__xludf.DUMMYFUNCTION("GOOGLETRANSLATE(B54, ""en"", ""hr"")"),"Statistika")</f>
        <v>Statistika</v>
      </c>
      <c r="M54" s="28"/>
      <c r="N54" s="28"/>
      <c r="O54" s="28"/>
      <c r="P54" s="28"/>
      <c r="Q54" s="28"/>
      <c r="R54" s="28"/>
      <c r="S54" s="28"/>
      <c r="T54" s="28"/>
      <c r="U54" s="28"/>
      <c r="V54" s="28"/>
      <c r="W54" s="28"/>
      <c r="X54" s="28"/>
      <c r="Y54" s="28"/>
      <c r="Z54" s="28"/>
      <c r="AA54" s="28"/>
      <c r="AB54" s="28"/>
    </row>
    <row r="55">
      <c r="A55" s="21" t="s">
        <v>135</v>
      </c>
      <c r="B55" s="22" t="s">
        <v>136</v>
      </c>
      <c r="C55" s="23" t="str">
        <f>IFERROR(__xludf.DUMMYFUNCTION("GOOGLETRANSLATE(B55, ""en"", ""fr"")"),"Tâches")</f>
        <v>Tâches</v>
      </c>
      <c r="D55" s="23" t="str">
        <f>IFERROR(__xludf.DUMMYFUNCTION("GOOGLETRANSLATE(B55, ""en"", ""es"")"),"Tareas")</f>
        <v>Tareas</v>
      </c>
      <c r="E55" s="23" t="str">
        <f>IFERROR(__xludf.DUMMYFUNCTION("GOOGLETRANSLATE(B55, ""en"", ""ru"")"),"Задания")</f>
        <v>Задания</v>
      </c>
      <c r="F55" s="23" t="str">
        <f>IFERROR(__xludf.DUMMYFUNCTION("GOOGLETRANSLATE(B55, ""en"", ""tr"")"),"Görevler")</f>
        <v>Görevler</v>
      </c>
      <c r="G55" s="23" t="str">
        <f>IFERROR(__xludf.DUMMYFUNCTION("GOOGLETRANSLATE(B55, ""en"", ""pt"")"),"Tarefas")</f>
        <v>Tarefas</v>
      </c>
      <c r="H55" s="24" t="str">
        <f>IFERROR(__xludf.DUMMYFUNCTION("GOOGLETRANSLATE(B55, ""en"", ""de"")"),"Aufgaben")</f>
        <v>Aufgaben</v>
      </c>
      <c r="I55" s="23" t="str">
        <f>IFERROR(__xludf.DUMMYFUNCTION("GOOGLETRANSLATE(B55, ""en"", ""pl"")"),"Zadania")</f>
        <v>Zadania</v>
      </c>
      <c r="J55" s="25" t="str">
        <f>IFERROR(__xludf.DUMMYFUNCTION("GOOGLETRANSLATE(B55, ""en"", ""zh"")"),"任务")</f>
        <v>任务</v>
      </c>
      <c r="K55" s="25" t="str">
        <f>IFERROR(__xludf.DUMMYFUNCTION("GOOGLETRANSLATE(B55, ""en"", ""vi"")"),"Nhiệm vụ")</f>
        <v>Nhiệm vụ</v>
      </c>
      <c r="L55" s="26" t="str">
        <f>IFERROR(__xludf.DUMMYFUNCTION("GOOGLETRANSLATE(B55, ""en"", ""hr"")"),"Zadatke")</f>
        <v>Zadatke</v>
      </c>
      <c r="M55" s="28"/>
      <c r="N55" s="28"/>
      <c r="O55" s="28"/>
      <c r="P55" s="28"/>
      <c r="Q55" s="28"/>
      <c r="R55" s="28"/>
      <c r="S55" s="28"/>
      <c r="T55" s="28"/>
      <c r="U55" s="28"/>
      <c r="V55" s="28"/>
      <c r="W55" s="28"/>
      <c r="X55" s="28"/>
      <c r="Y55" s="28"/>
      <c r="Z55" s="28"/>
      <c r="AA55" s="28"/>
      <c r="AB55" s="28"/>
    </row>
    <row r="56">
      <c r="A56" s="21" t="s">
        <v>137</v>
      </c>
      <c r="B56" s="22" t="s">
        <v>138</v>
      </c>
      <c r="C56" s="23" t="str">
        <f>IFERROR(__xludf.DUMMYFUNCTION("GOOGLETRANSLATE(B56, ""en"", ""fr"")"),"Carte du monde")</f>
        <v>Carte du monde</v>
      </c>
      <c r="D56" s="23" t="str">
        <f>IFERROR(__xludf.DUMMYFUNCTION("GOOGLETRANSLATE(B56, ""en"", ""es"")"),"Mapa del mundo")</f>
        <v>Mapa del mundo</v>
      </c>
      <c r="E56" s="23" t="str">
        <f>IFERROR(__xludf.DUMMYFUNCTION("GOOGLETRANSLATE(B56, ""en"", ""ru"")"),"Карта мира")</f>
        <v>Карта мира</v>
      </c>
      <c r="F56" s="23" t="str">
        <f>IFERROR(__xludf.DUMMYFUNCTION("GOOGLETRANSLATE(B56, ""en"", ""tr"")"),"Dünya haritası")</f>
        <v>Dünya haritası</v>
      </c>
      <c r="G56" s="23" t="str">
        <f>IFERROR(__xludf.DUMMYFUNCTION("GOOGLETRANSLATE(B56, ""en"", ""pt"")"),"Mapa mundial")</f>
        <v>Mapa mundial</v>
      </c>
      <c r="H56" s="24" t="str">
        <f>IFERROR(__xludf.DUMMYFUNCTION("GOOGLETRANSLATE(B56, ""en"", ""de"")"),"Weltkarte")</f>
        <v>Weltkarte</v>
      </c>
      <c r="I56" s="23" t="str">
        <f>IFERROR(__xludf.DUMMYFUNCTION("GOOGLETRANSLATE(B56, ""en"", ""pl"")"),"Mapa świata")</f>
        <v>Mapa świata</v>
      </c>
      <c r="J56" s="25" t="str">
        <f>IFERROR(__xludf.DUMMYFUNCTION("GOOGLETRANSLATE(B56, ""en"", ""zh"")"),"世界地图")</f>
        <v>世界地图</v>
      </c>
      <c r="K56" s="25" t="str">
        <f>IFERROR(__xludf.DUMMYFUNCTION("GOOGLETRANSLATE(B56, ""en"", ""vi"")"),"Bản đồ thế giới")</f>
        <v>Bản đồ thế giới</v>
      </c>
      <c r="L56" s="26" t="str">
        <f>IFERROR(__xludf.DUMMYFUNCTION("GOOGLETRANSLATE(B56, ""en"", ""hr"")"),"Karta svijeta")</f>
        <v>Karta svijeta</v>
      </c>
      <c r="M56" s="28"/>
      <c r="N56" s="28"/>
      <c r="O56" s="28"/>
      <c r="P56" s="28"/>
      <c r="Q56" s="28"/>
      <c r="R56" s="28"/>
      <c r="S56" s="28"/>
      <c r="T56" s="28"/>
      <c r="U56" s="28"/>
      <c r="V56" s="28"/>
      <c r="W56" s="28"/>
      <c r="X56" s="28"/>
      <c r="Y56" s="28"/>
      <c r="Z56" s="28"/>
      <c r="AA56" s="28"/>
      <c r="AB56" s="28"/>
    </row>
    <row r="57">
      <c r="A57" s="21" t="s">
        <v>139</v>
      </c>
      <c r="B57" s="22" t="s">
        <v>140</v>
      </c>
      <c r="C57" s="23" t="s">
        <v>141</v>
      </c>
      <c r="D57" s="23" t="str">
        <f>IFERROR(__xludf.DUMMYFUNCTION("GOOGLETRANSLATE(B57, ""en"", ""es"")"),"Modo de chat: presione para configurar si el cuadro de chat debe permanecer abierto después de enviar un mensaje.")</f>
        <v>Modo de chat: presione para configurar si el cuadro de chat debe permanecer abierto después de enviar un mensaje.</v>
      </c>
      <c r="E57" s="23" t="str">
        <f>IFERROR(__xludf.DUMMYFUNCTION("GOOGLETRANSLATE(B57,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7" s="23" t="str">
        <f>IFERROR(__xludf.DUMMYFUNCTION("GOOGLETRANSLATE(B57, ""en"", ""tr"")"),"Sohbet modu: Bir mesaj gönderdikten sonra sohbet kutusunun açık olup olmadığını ayarlamak için basın.")</f>
        <v>Sohbet modu: Bir mesaj gönderdikten sonra sohbet kutusunun açık olup olmadığını ayarlamak için basın.</v>
      </c>
      <c r="G57" s="23" t="str">
        <f>IFERROR(__xludf.DUMMYFUNCTION("GOOGLETRANSLATE(B57, ""en"", ""pt"")"),"Modo de bate-papo: Pressione para definir se a caixa de bate-papo deve ficar aberta depois de enviar uma mensagem.")</f>
        <v>Modo de bate-papo: Pressione para definir se a caixa de bate-papo deve ficar aberta depois de enviar uma mensagem.</v>
      </c>
      <c r="H57" s="24" t="str">
        <f>IFERROR(__xludf.DUMMYFUNCTION("GOOGLETRANSLATE(B57, ""en"", ""de"")"),"Chat-Modus: Drücken Sie, um festzulegen, ob das Chat-Feld nach dem Senden einer Nachricht geöffnet bleibt.")</f>
        <v>Chat-Modus: Drücken Sie, um festzulegen, ob das Chat-Feld nach dem Senden einer Nachricht geöffnet bleibt.</v>
      </c>
      <c r="I57" s="23" t="str">
        <f>IFERROR(__xludf.DUMMYFUNCTION("GOOGLETRANSLATE(B57, ""en"", ""pl"")"),"Tryb czatu: Naciśnij, aby ustawić, czy pole czatu powinno pozostać otwarte po wysłaniu wiadomości.")</f>
        <v>Tryb czatu: Naciśnij, aby ustawić, czy pole czatu powinno pozostać otwarte po wysłaniu wiadomości.</v>
      </c>
      <c r="J57" s="25" t="str">
        <f>IFERROR(__xludf.DUMMYFUNCTION("GOOGLETRANSLATE(B57, ""en"", ""zh"")"),"聊天模式：按可在发送消息后设置聊天框是否应保持打开状态。")</f>
        <v>聊天模式：按可在发送消息后设置聊天框是否应保持打开状态。</v>
      </c>
      <c r="K57" s="25" t="str">
        <f>IFERROR(__xludf.DUMMYFUNCTION("GOOGLETRANSLATE(B57, ""en"", ""vi"")"),"Chế độ trò chuyện: Nhấn để đặt xem hộp trò chuyện có được mở sau khi gửi tin nhắn hay không.")</f>
        <v>Chế độ trò chuyện: Nhấn để đặt xem hộp trò chuyện có được mở sau khi gửi tin nhắn hay không.</v>
      </c>
      <c r="L57" s="26" t="str">
        <f>IFERROR(__xludf.DUMMYFUNCTION("GOOGLETRANSLATE(B57, ""en"", ""hr"")"),"Način chat: Pritisnite za podešavanje hoće li se razgovor ostati otvoren nakon slanja poruke.")</f>
        <v>Način chat: Pritisnite za podešavanje hoće li se razgovor ostati otvoren nakon slanja poruke.</v>
      </c>
      <c r="M57" s="28"/>
      <c r="N57" s="28"/>
      <c r="O57" s="28"/>
      <c r="P57" s="28"/>
      <c r="Q57" s="28"/>
      <c r="R57" s="28"/>
      <c r="S57" s="28"/>
      <c r="T57" s="28"/>
      <c r="U57" s="28"/>
      <c r="V57" s="28"/>
      <c r="W57" s="28"/>
      <c r="X57" s="28"/>
      <c r="Y57" s="28"/>
      <c r="Z57" s="28"/>
      <c r="AA57" s="28"/>
      <c r="AB57" s="28"/>
    </row>
    <row r="58">
      <c r="A58" s="21" t="s">
        <v>142</v>
      </c>
      <c r="B58" s="22" t="s">
        <v>143</v>
      </c>
      <c r="C58" s="23" t="str">
        <f>IFERROR(__xludf.DUMMYFUNCTION("GOOGLETRANSLATE(B58, ""en"", ""fr"")"),"Clan")</f>
        <v>Clan</v>
      </c>
      <c r="D58" s="23" t="str">
        <f>IFERROR(__xludf.DUMMYFUNCTION("GOOGLETRANSLATE(B58, ""en"", ""es"")"),"Clan")</f>
        <v>Clan</v>
      </c>
      <c r="E58" s="23" t="str">
        <f>IFERROR(__xludf.DUMMYFUNCTION("GOOGLETRANSLATE(B58, ""en"", ""ru"")"),"Клан")</f>
        <v>Клан</v>
      </c>
      <c r="F58" s="23" t="str">
        <f>IFERROR(__xludf.DUMMYFUNCTION("GOOGLETRANSLATE(B58, ""en"", ""tr"")"),"Klan")</f>
        <v>Klan</v>
      </c>
      <c r="G58" s="23" t="str">
        <f>IFERROR(__xludf.DUMMYFUNCTION("GOOGLETRANSLATE(B58, ""en"", ""pt"")"),"Clã")</f>
        <v>Clã</v>
      </c>
      <c r="H58" s="24" t="str">
        <f>IFERROR(__xludf.DUMMYFUNCTION("GOOGLETRANSLATE(B58, ""en"", ""de"")"),"Clan")</f>
        <v>Clan</v>
      </c>
      <c r="I58" s="23" t="str">
        <f>IFERROR(__xludf.DUMMYFUNCTION("GOOGLETRANSLATE(B58, ""en"", ""pl"")"),"Klan")</f>
        <v>Klan</v>
      </c>
      <c r="J58" s="25" t="str">
        <f>IFERROR(__xludf.DUMMYFUNCTION("GOOGLETRANSLATE(B58, ""en"", ""zh"")"),"氏族")</f>
        <v>氏族</v>
      </c>
      <c r="K58" s="25" t="str">
        <f>IFERROR(__xludf.DUMMYFUNCTION("GOOGLETRANSLATE(B58, ""en"", ""vi"")"),"Gia tộc")</f>
        <v>Gia tộc</v>
      </c>
      <c r="L58" s="26" t="str">
        <f>IFERROR(__xludf.DUMMYFUNCTION("GOOGLETRANSLATE(B58, ""en"", ""hr"")"),"Klan")</f>
        <v>Klan</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59" s="23" t="str">
        <f>IFERROR(__xludf.DUMMYFUNCTION("GOOGLETRANSLATE(B59, ""en"", ""es"")"),"Hitpoints: cuánto daño puedes tomar antes de morir. Recupere los puntos de golpe más rápido usando ciertos pociones y hechizos.")</f>
        <v>Hitpoints: cuánto daño puedes tomar antes de morir. Recupere los puntos de golpe más rápido usando ciertos pociones y hechizos.</v>
      </c>
      <c r="E59" s="23" t="str">
        <f>IFERROR(__xludf.DUMMYFUNCTION("GOOGLETRANSLATE(B59,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59" s="23" t="str">
        <f>IFERROR(__xludf.DUMMYFUNCTION("GOOGLETRANSLATE(B59, ""en"", ""tr"")"),"Hitpoints: Ölmeden önce ne kadar zarar alabilirsiniz. Bazı iksirleri ve büyüleri kullanarak hitportları daha hızlı kurtarın.")</f>
        <v>Hitpoints: Ölmeden önce ne kadar zarar alabilirsiniz. Bazı iksirleri ve büyüleri kullanarak hitportları daha hızlı kurtarın.</v>
      </c>
      <c r="G59" s="23" t="str">
        <f>IFERROR(__xludf.DUMMYFUNCTION("GOOGLETRANSLATE(B59, ""en"", ""pt"")"),"HITPOINTS: Quanto dano você pode levar antes de morrer. Recupere Hitpoints mais rápido usando certas poções e feitiços.")</f>
        <v>HITPOINTS: Quanto dano você pode levar antes de morrer. Recupere Hitpoints mais rápido usando certas poções e feitiços.</v>
      </c>
      <c r="H59" s="24" t="str">
        <f>IFERROR(__xludf.DUMMYFUNCTION("GOOGLETRANSLATE(B59,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59" s="23" t="str">
        <f>IFERROR(__xludf.DUMMYFUNCTION("GOOGLETRANSLATE(B59, ""en"", ""pl"")"),"Hitpoints: Ile szkód możesz wziąć przed śmiercią. Odzyskaj punkty Hit szybciej, używając określonych mikstur i zaklęć.")</f>
        <v>Hitpoints: Ile szkód możesz wziąć przed śmiercią. Odzyskaj punkty Hit szybciej, używając określonych mikstur i zaklęć.</v>
      </c>
      <c r="J59" s="25" t="str">
        <f>IFERROR(__xludf.DUMMYFUNCTION("GOOGLETRANSLATE(B59, ""en"", ""zh"")"),"杀点：在你死之前可以伤害多少伤害。通过使用某些药物和法术恢复Hitpoints。")</f>
        <v>杀点：在你死之前可以伤害多少伤害。通过使用某些药物和法术恢复Hitpoints。</v>
      </c>
      <c r="K59" s="25" t="str">
        <f>IFERROR(__xludf.DUMMYFUNCTION("GOOGLETRANSLATE(B59,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59" s="26" t="str">
        <f>IFERROR(__xludf.DUMMYFUNCTION("GOOGLETRANSLATE(B59, ""en"", ""hr"")"),"Hitpoints: koliko štete možete uzeti prije nego umrete. Obnovite hitpoints brže pomoću određenih napitaka i čarolija.")</f>
        <v>Hitpoints: koliko štete možete uzeti prije nego umrete. Obnovite hitpoints brže pomoću određenih napitaka i čarolija.</v>
      </c>
      <c r="M59" s="28"/>
      <c r="N59" s="28"/>
      <c r="O59" s="28"/>
      <c r="P59" s="28"/>
      <c r="Q59" s="28"/>
      <c r="R59" s="28"/>
      <c r="S59" s="28"/>
      <c r="T59" s="28"/>
      <c r="U59" s="28"/>
      <c r="V59" s="28"/>
      <c r="W59" s="28"/>
      <c r="X59" s="28"/>
      <c r="Y59" s="28"/>
      <c r="Z59" s="28"/>
      <c r="AA59" s="28"/>
      <c r="AB59" s="28"/>
    </row>
    <row r="60">
      <c r="A60" s="21" t="s">
        <v>146</v>
      </c>
      <c r="B60" s="22" t="s">
        <v>147</v>
      </c>
      <c r="C60" s="23" t="str">
        <f>IFERROR(__xludf.DUMMYFUNCTION("GOOGLETRANSLATE(B60,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60" s="23" t="str">
        <f>IFERROR(__xludf.DUMMYFUNCTION("GOOGLETRANSLATE(B60,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60" s="23" t="str">
        <f>IFERROR(__xludf.DUMMYFUNCTION("GOOGLETRANSLATE(B60,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60" s="23" t="str">
        <f>IFERROR(__xludf.DUMMYFUNCTION("GOOGLETRANSLATE(B60, ""en"", ""tr"")"),"Enerji: Çoğu eylemi yapmak için kullanılır. Yavaşça yenilenir. Enerji iksirleri içtikten daha hızlı enerjiyi kurtarın.")</f>
        <v>Enerji: Çoğu eylemi yapmak için kullanılır. Yavaşça yenilenir. Enerji iksirleri içtikten daha hızlı enerjiyi kurtarın.</v>
      </c>
      <c r="G60" s="23" t="str">
        <f>IFERROR(__xludf.DUMMYFUNCTION("GOOGLETRANSLATE(B60, ""en"", ""pt"")"),"Energia: usada para fazer a maioria das ações. Regenera lentamente. Recuperar energia mais rápido bebendo poções de energia.")</f>
        <v>Energia: usada para fazer a maioria das ações. Regenera lentamente. Recuperar energia mais rápido bebendo poções de energia.</v>
      </c>
      <c r="H60" s="24" t="str">
        <f>IFERROR(__xludf.DUMMYFUNCTION("GOOGLETRANSLATE(B60,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60" s="23" t="str">
        <f>IFERROR(__xludf.DUMMYFUNCTION("GOOGLETRANSLATE(B60,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60" s="25" t="str">
        <f>IFERROR(__xludf.DUMMYFUNCTION("GOOGLETRANSLATE(B60, ""en"", ""zh"")"),"能量：曾经做过大多数行动。慢慢再生。通过饮用能量药水更快地恢复能量。")</f>
        <v>能量：曾经做过大多数行动。慢慢再生。通过饮用能量药水更快地恢复能量。</v>
      </c>
      <c r="K60" s="25" t="str">
        <f>IFERROR(__xludf.DUMMYFUNCTION("GOOGLETRANSLATE(B60,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60" s="26" t="str">
        <f>IFERROR(__xludf.DUMMYFUNCTION("GOOGLETRANSLATE(B60, ""en"", ""hr"")"),"Energija: koristi se za većinu radnji. Polako regenerira. Oporaviti energiju brže pitkom energetske napitaka.")</f>
        <v>Energija: koristi se za većinu radnji. Polako regenerira. Oporaviti energiju brže pitkom energetske napitaka.</v>
      </c>
      <c r="M60" s="28"/>
      <c r="N60" s="28"/>
      <c r="O60" s="28"/>
      <c r="P60" s="28"/>
      <c r="Q60" s="28"/>
      <c r="R60" s="28"/>
      <c r="S60" s="28"/>
      <c r="T60" s="28"/>
      <c r="U60" s="28"/>
      <c r="V60" s="28"/>
      <c r="W60" s="28"/>
      <c r="X60" s="28"/>
      <c r="Y60" s="28"/>
      <c r="Z60" s="28"/>
      <c r="AA60" s="28"/>
      <c r="AB60" s="28"/>
    </row>
    <row r="61">
      <c r="A61" s="21" t="s">
        <v>148</v>
      </c>
      <c r="B61" s="22" t="s">
        <v>149</v>
      </c>
      <c r="C61" s="23" t="str">
        <f>IFERROR(__xludf.DUMMYFUNCTION("GOOGLETRANSLATE(B61, ""en"", ""fr"")"),"Inventaire")</f>
        <v>Inventaire</v>
      </c>
      <c r="D61" s="23" t="str">
        <f>IFERROR(__xludf.DUMMYFUNCTION("GOOGLETRANSLATE(B61, ""en"", ""es"")"),"Inventario")</f>
        <v>Inventario</v>
      </c>
      <c r="E61" s="23" t="str">
        <f>IFERROR(__xludf.DUMMYFUNCTION("GOOGLETRANSLATE(B61, ""en"", ""ru"")"),"Инвентарь")</f>
        <v>Инвентарь</v>
      </c>
      <c r="F61" s="23" t="str">
        <f>IFERROR(__xludf.DUMMYFUNCTION("GOOGLETRANSLATE(B61, ""en"", ""tr"")"),"Envanter")</f>
        <v>Envanter</v>
      </c>
      <c r="G61" s="23" t="str">
        <f>IFERROR(__xludf.DUMMYFUNCTION("GOOGLETRANSLATE(B61, ""en"", ""pt"")"),"Inventário")</f>
        <v>Inventário</v>
      </c>
      <c r="H61" s="24" t="str">
        <f>IFERROR(__xludf.DUMMYFUNCTION("GOOGLETRANSLATE(B61, ""en"", ""de"")"),"Inventar")</f>
        <v>Inventar</v>
      </c>
      <c r="I61" s="23" t="str">
        <f>IFERROR(__xludf.DUMMYFUNCTION("GOOGLETRANSLATE(B61, ""en"", ""pl"")"),"Spis")</f>
        <v>Spis</v>
      </c>
      <c r="J61" s="25" t="str">
        <f>IFERROR(__xludf.DUMMYFUNCTION("GOOGLETRANSLATE(B61, ""en"", ""zh"")"),"存货")</f>
        <v>存货</v>
      </c>
      <c r="K61" s="25" t="str">
        <f>IFERROR(__xludf.DUMMYFUNCTION("GOOGLETRANSLATE(B61, ""en"", ""vi"")"),"Kiểm kê")</f>
        <v>Kiểm kê</v>
      </c>
      <c r="L61" s="26" t="str">
        <f>IFERROR(__xludf.DUMMYFUNCTION("GOOGLETRANSLATE(B61, ""en"", ""hr"")"),"Inventar")</f>
        <v>Inventar</v>
      </c>
      <c r="M61" s="28"/>
      <c r="N61" s="28"/>
      <c r="O61" s="28"/>
      <c r="P61" s="28"/>
      <c r="Q61" s="28"/>
      <c r="R61" s="28"/>
      <c r="S61" s="28"/>
      <c r="T61" s="28"/>
      <c r="U61" s="28"/>
      <c r="V61" s="28"/>
      <c r="W61" s="28"/>
      <c r="X61" s="28"/>
      <c r="Y61" s="28"/>
      <c r="Z61" s="28"/>
      <c r="AA61" s="28"/>
      <c r="AB61" s="28"/>
    </row>
    <row r="62">
      <c r="A62" s="21" t="s">
        <v>150</v>
      </c>
      <c r="B62" s="22" t="s">
        <v>151</v>
      </c>
      <c r="C62" s="23" t="str">
        <f>IFERROR(__xludf.DUMMYFUNCTION("GOOGLETRANSLATE(B62, ""en"", ""fr"")"),"Combat: Vous perdrez vos articles si vous fermez le jeu en combat.")</f>
        <v>Combat: Vous perdrez vos articles si vous fermez le jeu en combat.</v>
      </c>
      <c r="D62" s="23" t="str">
        <f>IFERROR(__xludf.DUMMYFUNCTION("GOOGLETRANSLATE(B62, ""en"", ""es"")"),"Combat: perderás tus artículos si cierras el juego mientras estás en combate.")</f>
        <v>Combat: perderás tus artículos si cierras el juego mientras estás en combate.</v>
      </c>
      <c r="E62" s="23" t="str">
        <f>IFERROR(__xludf.DUMMYFUNCTION("GOOGLETRANSLATE(B62, ""en"", ""ru"")"),"Бой: Вы потеряете свои товары, если вы закрываете игру во время боя.")</f>
        <v>Бой: Вы потеряете свои товары, если вы закрываете игру во время боя.</v>
      </c>
      <c r="F62" s="23" t="str">
        <f>IFERROR(__xludf.DUMMYFUNCTION("GOOGLETRANSLATE(B62, ""en"", ""tr"")"),"Savaş: Eğer mücadeledeyken oyunu kapatırsanız eşyalarınızı kaybedersiniz.")</f>
        <v>Savaş: Eğer mücadeledeyken oyunu kapatırsanız eşyalarınızı kaybedersiniz.</v>
      </c>
      <c r="G62" s="23" t="str">
        <f>IFERROR(__xludf.DUMMYFUNCTION("GOOGLETRANSLATE(B62, ""en"", ""pt"")"),"Combate: Você perderá seus itens se você fechar o jogo enquanto estiver em combate.")</f>
        <v>Combate: Você perderá seus itens se você fechar o jogo enquanto estiver em combate.</v>
      </c>
      <c r="H62" s="24" t="str">
        <f>IFERROR(__xludf.DUMMYFUNCTION("GOOGLETRANSLATE(B62, ""en"", ""de"")"),"Kampf: Sie verlieren Ihre Artikel, wenn Sie das Spiel während des Kampfes schließen.")</f>
        <v>Kampf: Sie verlieren Ihre Artikel, wenn Sie das Spiel während des Kampfes schließen.</v>
      </c>
      <c r="I62" s="23" t="str">
        <f>IFERROR(__xludf.DUMMYFUNCTION("GOOGLETRANSLATE(B62, ""en"", ""pl"")"),"Walka: stracisz swoje przedmioty, jeśli zamkniesz grę podczas walki.")</f>
        <v>Walka: stracisz swoje przedmioty, jeśli zamkniesz grę podczas walki.</v>
      </c>
      <c r="J62" s="25" t="str">
        <f>IFERROR(__xludf.DUMMYFUNCTION("GOOGLETRANSLATE(B62, ""en"", ""zh"")"),"战斗：如果在战斗中关闭游戏，您将丢失您的物品。")</f>
        <v>战斗：如果在战斗中关闭游戏，您将丢失您的物品。</v>
      </c>
      <c r="K62" s="25" t="str">
        <f>IFERROR(__xludf.DUMMYFUNCTION("GOOGLETRANSLATE(B62, ""en"", ""vi"")"),"Chiến đấu: Bạn sẽ mất các mặt hàng của mình nếu bạn đóng trò chơi trong khi chiến đấu.")</f>
        <v>Chiến đấu: Bạn sẽ mất các mặt hàng của mình nếu bạn đóng trò chơi trong khi chiến đấu.</v>
      </c>
      <c r="L62" s="26" t="str">
        <f>IFERROR(__xludf.DUMMYFUNCTION("GOOGLETRANSLATE(B62, ""en"", ""hr"")"),"Borba: izgubit ćete stavke ako zatvorite igru ​​dok ste u borbi.")</f>
        <v>Borba: izgubit ćete stavke ako zatvorite igru ​​dok ste u borbi.</v>
      </c>
      <c r="M62" s="28"/>
      <c r="N62" s="28"/>
      <c r="O62" s="28"/>
      <c r="P62" s="28"/>
      <c r="Q62" s="28"/>
      <c r="R62" s="28"/>
      <c r="S62" s="28"/>
      <c r="T62" s="28"/>
      <c r="U62" s="28"/>
      <c r="V62" s="28"/>
      <c r="W62" s="28"/>
      <c r="X62" s="28"/>
      <c r="Y62" s="28"/>
      <c r="Z62" s="28"/>
      <c r="AA62" s="28"/>
      <c r="AB62" s="28"/>
    </row>
    <row r="63">
      <c r="A63" s="21" t="s">
        <v>152</v>
      </c>
      <c r="B63" s="22" t="s">
        <v>153</v>
      </c>
      <c r="C63" s="23" t="str">
        <f>IFERROR(__xludf.DUMMYFUNCTION("GOOGLETRANSLATE(B63, ""en"", ""fr"")"),"Compte: Définissez un nom d'utilisateur et un mot de passe pour ce personnage pour enregistrer vos progrès.")</f>
        <v>Compte: Définissez un nom d'utilisateur et un mot de passe pour ce personnage pour enregistrer vos progrès.</v>
      </c>
      <c r="D63" s="23" t="str">
        <f>IFERROR(__xludf.DUMMYFUNCTION("GOOGLETRANSLATE(B63, ""en"", ""es"")"),"Cuenta: Establezca un nombre de usuario y contraseña para que este personaje guarde su progreso.")</f>
        <v>Cuenta: Establezca un nombre de usuario y contraseña para que este personaje guarde su progreso.</v>
      </c>
      <c r="E63" s="23" t="str">
        <f>IFERROR(__xludf.DUMMYFUNCTION("GOOGLETRANSLATE(B63,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63" s="23" t="str">
        <f>IFERROR(__xludf.DUMMYFUNCTION("GOOGLETRANSLATE(B63, ""en"", ""tr"")"),"Hesap: İlerlemenizi kaydetmek için bu karakter için bir kullanıcı adı ve şifre ayarlayın.")</f>
        <v>Hesap: İlerlemenizi kaydetmek için bu karakter için bir kullanıcı adı ve şifre ayarlayın.</v>
      </c>
      <c r="G63" s="23" t="str">
        <f>IFERROR(__xludf.DUMMYFUNCTION("GOOGLETRANSLATE(B63, ""en"", ""pt"")"),"Conta: Defina um nome de usuário e senha para este caractere para salvar seu progresso.")</f>
        <v>Conta: Defina um nome de usuário e senha para este caractere para salvar seu progresso.</v>
      </c>
      <c r="H63" s="24" t="str">
        <f>IFERROR(__xludf.DUMMYFUNCTION("GOOGLETRANSLATE(B63, ""en"", ""de"")"),"Konto: Legen Sie einen Benutzernamen und ein Kennwort für dieses Zeichen fest, um Ihren Fortschritt zu speichern.")</f>
        <v>Konto: Legen Sie einen Benutzernamen und ein Kennwort für dieses Zeichen fest, um Ihren Fortschritt zu speichern.</v>
      </c>
      <c r="I63" s="23" t="str">
        <f>IFERROR(__xludf.DUMMYFUNCTION("GOOGLETRANSLATE(B63, ""en"", ""pl"")"),"Konto: Ustaw nazwę użytkownika i hasło do tej postaci, aby zapisać swoje postępy.")</f>
        <v>Konto: Ustaw nazwę użytkownika i hasło do tej postaci, aby zapisać swoje postępy.</v>
      </c>
      <c r="J63" s="25" t="str">
        <f>IFERROR(__xludf.DUMMYFUNCTION("GOOGLETRANSLATE(B63, ""en"", ""zh"")"),"帐户：为此字符设置用户名和密码以保存您的进度。")</f>
        <v>帐户：为此字符设置用户名和密码以保存您的进度。</v>
      </c>
      <c r="K63" s="25" t="str">
        <f>IFERROR(__xludf.DUMMYFUNCTION("GOOGLETRANSLATE(B63, ""en"", ""vi"")"),"Tài khoản: Đặt tên người dùng và mật khẩu cho nhân vật này để lưu tiến trình của bạn.")</f>
        <v>Tài khoản: Đặt tên người dùng và mật khẩu cho nhân vật này để lưu tiến trình của bạn.</v>
      </c>
      <c r="L63" s="26" t="str">
        <f>IFERROR(__xludf.DUMMYFUNCTION("GOOGLETRANSLATE(B63, ""en"", ""hr"")"),"Račun: Postavite korisničko ime i lozinku za ovaj znak za spremanje vašeg napretka.")</f>
        <v>Račun: Postavite korisničko ime i lozinku za ovaj znak za spremanje vašeg napretka.</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""fr"")"),"Paramètres: Appuyez sur pour afficher / masquer plus d'options.")</f>
        <v>Paramètres: Appuyez sur pour afficher / masquer plus d'options.</v>
      </c>
      <c r="D64" s="23" t="str">
        <f>IFERROR(__xludf.DUMMYFUNCTION("GOOGLETRANSLATE(B64, ""en"", ""es"")"),"Configuración: Presione para mostrar / ocultar más opciones.")</f>
        <v>Configuración: Presione para mostrar / ocultar más opciones.</v>
      </c>
      <c r="E64" s="23" t="str">
        <f>IFERROR(__xludf.DUMMYFUNCTION("GOOGLETRANSLATE(B64, ""en"", ""ru"")"),"Настройки: нажмите, чтобы показать / скрыть больше вариантов.")</f>
        <v>Настройки: нажмите, чтобы показать / скрыть больше вариантов.</v>
      </c>
      <c r="F64" s="23" t="str">
        <f>IFERROR(__xludf.DUMMYFUNCTION("GOOGLETRANSLATE(B64, ""en"", ""tr"")"),"Ayarlar: Daha fazla seçenek göstermek / gizlemek için tuşuna basın.")</f>
        <v>Ayarlar: Daha fazla seçenek göstermek / gizlemek için tuşuna basın.</v>
      </c>
      <c r="G64" s="23" t="str">
        <f>IFERROR(__xludf.DUMMYFUNCTION("GOOGLETRANSLATE(B64, ""en"", ""pt"")"),"Configurações: Pressione para mostrar / ocultar mais opções.")</f>
        <v>Configurações: Pressione para mostrar / ocultar mais opções.</v>
      </c>
      <c r="H64" s="24" t="str">
        <f>IFERROR(__xludf.DUMMYFUNCTION("GOOGLETRANSLATE(B64, ""en"", ""de"")"),"Einstellungen: Drücken Sie, um weitere Optionen anzuzeigen / auszublenden.")</f>
        <v>Einstellungen: Drücken Sie, um weitere Optionen anzuzeigen / auszublenden.</v>
      </c>
      <c r="I64" s="23" t="str">
        <f>IFERROR(__xludf.DUMMYFUNCTION("GOOGLETRANSLATE(B64, ""en"", ""pl"")"),"Ustawienia: Naciśnij, aby pokazać / ukryć więcej opcji.")</f>
        <v>Ustawienia: Naciśnij, aby pokazać / ukryć więcej opcji.</v>
      </c>
      <c r="J64" s="25" t="str">
        <f>IFERROR(__xludf.DUMMYFUNCTION("GOOGLETRANSLATE(B64, ""en"", ""zh"")"),"设置：按下以显示/隐藏更多选项。")</f>
        <v>设置：按下以显示/隐藏更多选项。</v>
      </c>
      <c r="K64" s="25" t="str">
        <f>IFERROR(__xludf.DUMMYFUNCTION("GOOGLETRANSLATE(B64, ""en"", ""vi"")"),"Cài đặt: Nhấn để hiển thị / ẩn nhiều tùy chọn hơn.")</f>
        <v>Cài đặt: Nhấn để hiển thị / ẩn nhiều tùy chọn hơn.</v>
      </c>
      <c r="L64" s="26" t="str">
        <f>IFERROR(__xludf.DUMMYFUNCTION("GOOGLETRANSLATE(B64, ""en"", ""hr"")"),"Postavke: Pritisnite za prikaz / skrivanje više opcija.")</f>
        <v>Postavke: Pritisnite za prikaz / skrivanje više opcija.</v>
      </c>
      <c r="M64" s="28"/>
      <c r="N64" s="28"/>
      <c r="O64" s="28"/>
      <c r="P64" s="28"/>
      <c r="Q64" s="28"/>
      <c r="R64" s="28"/>
      <c r="S64" s="28"/>
      <c r="T64" s="28"/>
      <c r="U64" s="28"/>
      <c r="V64" s="28"/>
      <c r="W64" s="28"/>
      <c r="X64" s="28"/>
      <c r="Y64" s="28"/>
      <c r="Z64" s="28"/>
      <c r="AA64" s="28"/>
      <c r="AB64" s="28"/>
    </row>
    <row r="65">
      <c r="A65" s="21" t="s">
        <v>156</v>
      </c>
      <c r="B65" s="22" t="s">
        <v>156</v>
      </c>
      <c r="C65" s="23" t="str">
        <f>IFERROR(__xludf.DUMMYFUNCTION("GOOGLETRANSLATE(B65, ""en"", ""fr"")"),"Paramètres")</f>
        <v>Paramètres</v>
      </c>
      <c r="D65" s="23" t="str">
        <f>IFERROR(__xludf.DUMMYFUNCTION("GOOGLETRANSLATE(B65, ""en"", ""es"")"),"Ajustes")</f>
        <v>Ajustes</v>
      </c>
      <c r="E65" s="23" t="str">
        <f>IFERROR(__xludf.DUMMYFUNCTION("GOOGLETRANSLATE(B65, ""en"", ""ru"")"),"Настройки")</f>
        <v>Настройки</v>
      </c>
      <c r="F65" s="23" t="str">
        <f>IFERROR(__xludf.DUMMYFUNCTION("GOOGLETRANSLATE(B65, ""en"", ""tr"")"),"Ayarlar")</f>
        <v>Ayarlar</v>
      </c>
      <c r="G65" s="23" t="str">
        <f>IFERROR(__xludf.DUMMYFUNCTION("GOOGLETRANSLATE(B65, ""en"", ""pt"")"),"Definições")</f>
        <v>Definições</v>
      </c>
      <c r="H65" s="24" t="str">
        <f>IFERROR(__xludf.DUMMYFUNCTION("GOOGLETRANSLATE(B65, ""en"", ""de"")"),"Einstellungen")</f>
        <v>Einstellungen</v>
      </c>
      <c r="I65" s="23" t="str">
        <f>IFERROR(__xludf.DUMMYFUNCTION("GOOGLETRANSLATE(B65, ""en"", ""pl"")"),"Ustawienia")</f>
        <v>Ustawienia</v>
      </c>
      <c r="J65" s="25" t="str">
        <f>IFERROR(__xludf.DUMMYFUNCTION("GOOGLETRANSLATE(B65, ""en"", ""zh"")"),"设置")</f>
        <v>设置</v>
      </c>
      <c r="K65" s="25" t="str">
        <f>IFERROR(__xludf.DUMMYFUNCTION("GOOGLETRANSLATE(B65, ""en"", ""vi"")"),"Cài đặt")</f>
        <v>Cài đặt</v>
      </c>
      <c r="L65" s="26" t="str">
        <f>IFERROR(__xludf.DUMMYFUNCTION("GOOGLETRANSLATE(B65, ""en"", ""hr"")"),"Postavke")</f>
        <v>Postavke</v>
      </c>
      <c r="M65" s="28"/>
      <c r="N65" s="28"/>
      <c r="O65" s="28"/>
      <c r="P65" s="28"/>
      <c r="Q65" s="28"/>
      <c r="R65" s="28"/>
      <c r="S65" s="28"/>
      <c r="T65" s="28"/>
      <c r="U65" s="28"/>
      <c r="V65" s="28"/>
      <c r="W65" s="28"/>
      <c r="X65" s="28"/>
      <c r="Y65" s="28"/>
      <c r="Z65" s="28"/>
      <c r="AA65" s="28"/>
      <c r="AB65" s="28"/>
    </row>
    <row r="66">
      <c r="A66" s="21" t="s">
        <v>157</v>
      </c>
      <c r="B66" s="22" t="s">
        <v>158</v>
      </c>
      <c r="C66" s="23" t="str">
        <f>IFERROR(__xludf.DUMMYFUNCTION("GOOGLETRANSLATE(B66, ""en"", ""fr"")"),"Plein écran")</f>
        <v>Plein écran</v>
      </c>
      <c r="D66" s="23" t="str">
        <f>IFERROR(__xludf.DUMMYFUNCTION("GOOGLETRANSLATE(B66, ""en"", ""es"")"),"Pantalla completa")</f>
        <v>Pantalla completa</v>
      </c>
      <c r="E66" s="23" t="str">
        <f>IFERROR(__xludf.DUMMYFUNCTION("GOOGLETRANSLATE(B66, ""en"", ""ru"")"),"Полноэкранный")</f>
        <v>Полноэкранный</v>
      </c>
      <c r="F66" s="23" t="str">
        <f>IFERROR(__xludf.DUMMYFUNCTION("GOOGLETRANSLATE(B66, ""en"", ""tr"")"),"Tam ekran")</f>
        <v>Tam ekran</v>
      </c>
      <c r="G66" s="23" t="str">
        <f>IFERROR(__xludf.DUMMYFUNCTION("GOOGLETRANSLATE(B66, ""en"", ""pt"")"),"Tela cheia")</f>
        <v>Tela cheia</v>
      </c>
      <c r="H66" s="24" t="str">
        <f>IFERROR(__xludf.DUMMYFUNCTION("GOOGLETRANSLATE(B66, ""en"", ""de"")"),"Vollbildschirm")</f>
        <v>Vollbildschirm</v>
      </c>
      <c r="I66" s="23" t="str">
        <f>IFERROR(__xludf.DUMMYFUNCTION("GOOGLETRANSLATE(B66, ""en"", ""pl"")"),"Pełny ekran")</f>
        <v>Pełny ekran</v>
      </c>
      <c r="J66" s="25" t="str">
        <f>IFERROR(__xludf.DUMMYFUNCTION("GOOGLETRANSLATE(B66, ""en"", ""zh"")"),"全屏")</f>
        <v>全屏</v>
      </c>
      <c r="K66" s="25" t="str">
        <f>IFERROR(__xludf.DUMMYFUNCTION("GOOGLETRANSLATE(B66, ""en"", ""vi"")"),"Toàn màn hình")</f>
        <v>Toàn màn hình</v>
      </c>
      <c r="L66" s="26" t="str">
        <f>IFERROR(__xludf.DUMMYFUNCTION("GOOGLETRANSLATE(B66, ""en"", ""hr"")"),"Puni zaslon")</f>
        <v>Puni zaslon</v>
      </c>
      <c r="M66" s="28"/>
      <c r="N66" s="28"/>
      <c r="O66" s="28"/>
      <c r="P66" s="28"/>
      <c r="Q66" s="28"/>
      <c r="R66" s="28"/>
      <c r="S66" s="28"/>
      <c r="T66" s="28"/>
      <c r="U66" s="28"/>
      <c r="V66" s="28"/>
      <c r="W66" s="28"/>
      <c r="X66" s="28"/>
      <c r="Y66" s="28"/>
      <c r="Z66" s="28"/>
      <c r="AA66" s="28"/>
      <c r="AB66" s="28"/>
    </row>
    <row r="67">
      <c r="A67" s="21" t="s">
        <v>159</v>
      </c>
      <c r="B67" s="22" t="s">
        <v>160</v>
      </c>
      <c r="C67" s="23" t="str">
        <f>IFERROR(__xludf.DUMMYFUNCTION("GOOGLETRANSLATE(B67, ""en"", ""fr"")"),"Volume de la musique")</f>
        <v>Volume de la musique</v>
      </c>
      <c r="D67" s="23" t="str">
        <f>IFERROR(__xludf.DUMMYFUNCTION("GOOGLETRANSLATE(B67, ""en"", ""es"")"),"Volumen de la música")</f>
        <v>Volumen de la música</v>
      </c>
      <c r="E67" s="23" t="str">
        <f>IFERROR(__xludf.DUMMYFUNCTION("GOOGLETRANSLATE(B67, ""en"", ""ru"")"),"Объем музыки")</f>
        <v>Объем музыки</v>
      </c>
      <c r="F67" s="23" t="str">
        <f>IFERROR(__xludf.DUMMYFUNCTION("GOOGLETRANSLATE(B67, ""en"", ""tr"")"),"Müzik sesi")</f>
        <v>Müzik sesi</v>
      </c>
      <c r="G67" s="23" t="str">
        <f>IFERROR(__xludf.DUMMYFUNCTION("GOOGLETRANSLATE(B67, ""en"", ""pt"")"),"Volume da música")</f>
        <v>Volume da música</v>
      </c>
      <c r="H67" s="24" t="str">
        <f>IFERROR(__xludf.DUMMYFUNCTION("GOOGLETRANSLATE(B67, ""en"", ""de"")"),"Musiklautstärke")</f>
        <v>Musiklautstärke</v>
      </c>
      <c r="I67" s="23" t="str">
        <f>IFERROR(__xludf.DUMMYFUNCTION("GOOGLETRANSLATE(B67, ""en"", ""pl"")"),"Głośność muzyki")</f>
        <v>Głośność muzyki</v>
      </c>
      <c r="J67" s="25" t="str">
        <f>IFERROR(__xludf.DUMMYFUNCTION("GOOGLETRANSLATE(B67, ""en"", ""zh"")"),"音乐卷")</f>
        <v>音乐卷</v>
      </c>
      <c r="K67" s="25" t="str">
        <f>IFERROR(__xludf.DUMMYFUNCTION("GOOGLETRANSLATE(B67, ""en"", ""vi"")"),"Âm lượng nhạc")</f>
        <v>Âm lượng nhạc</v>
      </c>
      <c r="L67" s="26" t="str">
        <f>IFERROR(__xludf.DUMMYFUNCTION("GOOGLETRANSLATE(B67, ""en"", ""hr"")"),"Glasnoća glazbe")</f>
        <v>Glasnoća glazbe</v>
      </c>
      <c r="M67" s="28"/>
      <c r="N67" s="28"/>
      <c r="O67" s="28"/>
      <c r="P67" s="28"/>
      <c r="Q67" s="28"/>
      <c r="R67" s="28"/>
      <c r="S67" s="28"/>
      <c r="T67" s="28"/>
      <c r="U67" s="28"/>
      <c r="V67" s="28"/>
      <c r="W67" s="28"/>
      <c r="X67" s="28"/>
      <c r="Y67" s="28"/>
      <c r="Z67" s="28"/>
      <c r="AA67" s="28"/>
      <c r="AB67" s="28"/>
    </row>
    <row r="68">
      <c r="A68" s="21" t="s">
        <v>161</v>
      </c>
      <c r="B68" s="22" t="s">
        <v>162</v>
      </c>
      <c r="C68" s="23" t="s">
        <v>163</v>
      </c>
      <c r="D68" s="23" t="str">
        <f>IFERROR(__xludf.DUMMYFUNCTION("GOOGLETRANSLATE(B68, ""en"", ""es"")"),"Volumen de los efectos")</f>
        <v>Volumen de los efectos</v>
      </c>
      <c r="E68" s="23" t="str">
        <f>IFERROR(__xludf.DUMMYFUNCTION("GOOGLETRANSLATE(B68, ""en"", ""ru"")"),"Влияние тома")</f>
        <v>Влияние тома</v>
      </c>
      <c r="F68" s="23" t="str">
        <f>IFERROR(__xludf.DUMMYFUNCTION("GOOGLETRANSLATE(B68, ""en"", ""tr"")"),"Efekt Hacmi")</f>
        <v>Efekt Hacmi</v>
      </c>
      <c r="G68" s="23" t="str">
        <f>IFERROR(__xludf.DUMMYFUNCTION("GOOGLETRANSLATE(B68, ""en"", ""pt"")"),"Volume de efeitos.")</f>
        <v>Volume de efeitos.</v>
      </c>
      <c r="H68" s="24" t="str">
        <f>IFERROR(__xludf.DUMMYFUNCTION("GOOGLETRANSLATE(B68, ""en"", ""de"")"),"Effektvolumen")</f>
        <v>Effektvolumen</v>
      </c>
      <c r="I68" s="23" t="str">
        <f>IFERROR(__xludf.DUMMYFUNCTION("GOOGLETRANSLATE(B68, ""en"", ""pl"")"),"Wolumin efekty.")</f>
        <v>Wolumin efekty.</v>
      </c>
      <c r="J68" s="25" t="str">
        <f>IFERROR(__xludf.DUMMYFUNCTION("GOOGLETRANSLATE(B68, ""en"", ""zh"")"),"效果卷")</f>
        <v>效果卷</v>
      </c>
      <c r="K68" s="25" t="str">
        <f>IFERROR(__xludf.DUMMYFUNCTION("GOOGLETRANSLATE(B68, ""en"", ""vi"")"),"Hiệu ứng Tập")</f>
        <v>Hiệu ứng Tập</v>
      </c>
      <c r="L68" s="26" t="str">
        <f>IFERROR(__xludf.DUMMYFUNCTION("GOOGLETRANSLATE(B68, ""en"", ""hr"")"),"Glasnoća učinaka")</f>
        <v>Glasnoća učinaka</v>
      </c>
      <c r="M68" s="28"/>
      <c r="N68" s="28"/>
      <c r="O68" s="28"/>
      <c r="P68" s="28"/>
      <c r="Q68" s="28"/>
      <c r="R68" s="28"/>
      <c r="S68" s="28"/>
      <c r="T68" s="28"/>
      <c r="U68" s="28"/>
      <c r="V68" s="28"/>
      <c r="W68" s="28"/>
      <c r="X68" s="28"/>
      <c r="Y68" s="28"/>
      <c r="Z68" s="28"/>
      <c r="AA68" s="28"/>
      <c r="AB68" s="28"/>
    </row>
    <row r="69">
      <c r="A69" s="21" t="s">
        <v>164</v>
      </c>
      <c r="B69" s="22" t="s">
        <v>165</v>
      </c>
      <c r="C69" s="23" t="str">
        <f>IFERROR(__xludf.DUMMYFUNCTION("GOOGLETRANSLATE(B69, ""en"", ""fr"")"),"Échelle de l'interface graphique")</f>
        <v>Échelle de l'interface graphique</v>
      </c>
      <c r="D69" s="23" t="str">
        <f>IFERROR(__xludf.DUMMYFUNCTION("GOOGLETRANSLATE(B69, ""en"", ""es"")"),"Escala de GUI")</f>
        <v>Escala de GUI</v>
      </c>
      <c r="E69" s="23" t="str">
        <f>IFERROR(__xludf.DUMMYFUNCTION("GOOGLETRANSLATE(B69, ""en"", ""ru"")"),"Шкала GUI")</f>
        <v>Шкала GUI</v>
      </c>
      <c r="F69" s="23" t="str">
        <f>IFERROR(__xludf.DUMMYFUNCTION("GOOGLETRANSLATE(B69, ""en"", ""tr"")"),"Gui ölçeği")</f>
        <v>Gui ölçeği</v>
      </c>
      <c r="G69" s="23" t="str">
        <f>IFERROR(__xludf.DUMMYFUNCTION("GOOGLETRANSLATE(B69, ""en"", ""pt"")"),"Escala da GUI.")</f>
        <v>Escala da GUI.</v>
      </c>
      <c r="H69" s="24" t="str">
        <f>IFERROR(__xludf.DUMMYFUNCTION("GOOGLETRANSLATE(B69, ""en"", ""de"")"),"GUI-Skala")</f>
        <v>GUI-Skala</v>
      </c>
      <c r="I69" s="23" t="str">
        <f>IFERROR(__xludf.DUMMYFUNCTION("GOOGLETRANSLATE(B69, ""en"", ""pl"")"),"Skala GUI.")</f>
        <v>Skala GUI.</v>
      </c>
      <c r="J69" s="25" t="str">
        <f>IFERROR(__xludf.DUMMYFUNCTION("GOOGLETRANSLATE(B69, ""en"", ""zh"")"),"GUI规模")</f>
        <v>GUI规模</v>
      </c>
      <c r="K69" s="25" t="str">
        <f>IFERROR(__xludf.DUMMYFUNCTION("GOOGLETRANSLATE(B69, ""en"", ""vi"")"),"Quy mô GUI.")</f>
        <v>Quy mô GUI.</v>
      </c>
      <c r="L69" s="26" t="str">
        <f>IFERROR(__xludf.DUMMYFUNCTION("GOOGLETRANSLATE(B69, ""en"", ""hr"")"),"GUI ljestvica")</f>
        <v>GUI ljestvica</v>
      </c>
      <c r="M69" s="28"/>
      <c r="N69" s="28"/>
      <c r="O69" s="28"/>
      <c r="P69" s="28"/>
      <c r="Q69" s="28"/>
      <c r="R69" s="28"/>
      <c r="S69" s="28"/>
      <c r="T69" s="28"/>
      <c r="U69" s="28"/>
      <c r="V69" s="28"/>
      <c r="W69" s="28"/>
      <c r="X69" s="28"/>
      <c r="Y69" s="28"/>
      <c r="Z69" s="28"/>
      <c r="AA69" s="28"/>
      <c r="AB69" s="28"/>
    </row>
    <row r="70">
      <c r="A70" s="21" t="s">
        <v>166</v>
      </c>
      <c r="B70" s="22" t="s">
        <v>167</v>
      </c>
      <c r="C70" s="23" t="str">
        <f>IFERROR(__xludf.DUMMYFUNCTION("GOOGLETRANSLATE(B70, ""en"", ""fr"")"),"Montrer le virtuel d-pad")</f>
        <v>Montrer le virtuel d-pad</v>
      </c>
      <c r="D70" s="23" t="str">
        <f>IFERROR(__xludf.DUMMYFUNCTION("GOOGLETRANSLATE(B70, ""en"", ""es"")"),"Mostrar el D-Pad virtual")</f>
        <v>Mostrar el D-Pad virtual</v>
      </c>
      <c r="E70" s="23" t="str">
        <f>IFERROR(__xludf.DUMMYFUNCTION("GOOGLETRANSLATE(B70, ""en"", ""ru"")"),"Показать виртуальную D-Pad")</f>
        <v>Показать виртуальную D-Pad</v>
      </c>
      <c r="F70" s="23" t="str">
        <f>IFERROR(__xludf.DUMMYFUNCTION("GOOGLETRANSLATE(B70, ""en"", ""tr"")"),"Sanal D-Pad'i göster")</f>
        <v>Sanal D-Pad'i göster</v>
      </c>
      <c r="G70" s="23" t="str">
        <f>IFERROR(__xludf.DUMMYFUNCTION("GOOGLETRANSLATE(B70, ""en"", ""pt"")"),"Mostrar o D-Pad virtual")</f>
        <v>Mostrar o D-Pad virtual</v>
      </c>
      <c r="H70" s="24" t="str">
        <f>IFERROR(__xludf.DUMMYFUNCTION("GOOGLETRANSLATE(B70, ""en"", ""de"")"),"Zeigen Sie das virtuelle D-Pad")</f>
        <v>Zeigen Sie das virtuelle D-Pad</v>
      </c>
      <c r="I70" s="23" t="str">
        <f>IFERROR(__xludf.DUMMYFUNCTION("GOOGLETRANSLATE(B70, ""en"", ""pl"")"),"Pokaż wirtualny D-pad")</f>
        <v>Pokaż wirtualny D-pad</v>
      </c>
      <c r="J70" s="25" t="str">
        <f>IFERROR(__xludf.DUMMYFUNCTION("GOOGLETRANSLATE(B70, ""en"", ""zh"")"),"显示虚拟D-PAD")</f>
        <v>显示虚拟D-PAD</v>
      </c>
      <c r="K70" s="25" t="str">
        <f>IFERROR(__xludf.DUMMYFUNCTION("GOOGLETRANSLATE(B70, ""en"", ""vi"")"),"Hiển thị d-pad ảo")</f>
        <v>Hiển thị d-pad ảo</v>
      </c>
      <c r="L70" s="26" t="str">
        <f>IFERROR(__xludf.DUMMYFUNCTION("GOOGLETRANSLATE(B70, ""en"", ""hr"")"),"Prikaži virtualni D-Pad")</f>
        <v>Prikaži virtualni D-Pad</v>
      </c>
      <c r="M70" s="28"/>
      <c r="N70" s="28"/>
      <c r="O70" s="28"/>
      <c r="P70" s="28"/>
      <c r="Q70" s="28"/>
      <c r="R70" s="28"/>
      <c r="S70" s="28"/>
      <c r="T70" s="28"/>
      <c r="U70" s="28"/>
      <c r="V70" s="28"/>
      <c r="W70" s="28"/>
      <c r="X70" s="28"/>
      <c r="Y70" s="28"/>
      <c r="Z70" s="28"/>
      <c r="AA70" s="28"/>
      <c r="AB70" s="28"/>
    </row>
    <row r="71">
      <c r="A71" s="21" t="s">
        <v>168</v>
      </c>
      <c r="B71" s="22" t="s">
        <v>169</v>
      </c>
      <c r="C71" s="23" t="s">
        <v>170</v>
      </c>
      <c r="D71" s="23" t="str">
        <f>IFERROR(__xludf.DUMMYFUNCTION("GOOGLETRANSLATE(B71, ""en"", ""es"")"),"Añadir artículos recogidos a Hotbar")</f>
        <v>Añadir artículos recogidos a Hotbar</v>
      </c>
      <c r="E71" s="23" t="str">
        <f>IFERROR(__xludf.DUMMYFUNCTION("GOOGLETRANSLATE(B71, ""en"", ""ru"")"),"Добавьте подобранные предметы на hotbar")</f>
        <v>Добавьте подобранные предметы на hotbar</v>
      </c>
      <c r="F71" s="23" t="str">
        <f>IFERROR(__xludf.DUMMYFUNCTION("GOOGLETRANSLATE(B71, ""en"", ""tr"")"),"Hotbar'a Toplanan Öğeleri Ekle")</f>
        <v>Hotbar'a Toplanan Öğeleri Ekle</v>
      </c>
      <c r="G71" s="23" t="str">
        <f>IFERROR(__xludf.DUMMYFUNCTION("GOOGLETRANSLATE(B71, ""en"", ""pt"")"),"Adicionar itens pegos para o Hotbar")</f>
        <v>Adicionar itens pegos para o Hotbar</v>
      </c>
      <c r="H71" s="24" t="str">
        <f>IFERROR(__xludf.DUMMYFUNCTION("GOOGLETRANSLATE(B71, ""en"", ""de"")"),"Add Avimed Up-Elemente zu Hotbar")</f>
        <v>Add Avimed Up-Elemente zu Hotbar</v>
      </c>
      <c r="I71" s="23" t="str">
        <f>IFERROR(__xludf.DUMMYFUNCTION("GOOGLETRANSLATE(B71, ""en"", ""pl"")"),"Dodaj wybrane elementy do Hotbar")</f>
        <v>Dodaj wybrane elementy do Hotbar</v>
      </c>
      <c r="J71" s="25" t="str">
        <f>IFERROR(__xludf.DUMMYFUNCTION("GOOGLETRANSLATE(B71, ""en"", ""zh"")"),"将拾取的项目添加到HotBar")</f>
        <v>将拾取的项目添加到HotBar</v>
      </c>
      <c r="K71" s="25" t="str">
        <f>IFERROR(__xludf.DUMMYFUNCTION("GOOGLETRANSLATE(B71, ""en"", ""vi"")"),"Thêm các mục được chọn vào Hotbar")</f>
        <v>Thêm các mục được chọn vào Hotbar</v>
      </c>
      <c r="L71" s="26" t="str">
        <f>IFERROR(__xludf.DUMMYFUNCTION("GOOGLETRANSLATE(B71, ""en"", ""hr"")"),"Dodajte pokupljene stavke na Hotbar")</f>
        <v>Dodajte pokupljene stavke na Hotbar</v>
      </c>
      <c r="M71" s="28"/>
      <c r="N71" s="28"/>
      <c r="O71" s="28"/>
      <c r="P71" s="28"/>
      <c r="Q71" s="28"/>
      <c r="R71" s="28"/>
      <c r="S71" s="28"/>
      <c r="T71" s="28"/>
      <c r="U71" s="28"/>
      <c r="V71" s="28"/>
      <c r="W71" s="28"/>
      <c r="X71" s="28"/>
      <c r="Y71" s="28"/>
      <c r="Z71" s="28"/>
      <c r="AA71" s="28"/>
      <c r="AB71" s="28"/>
    </row>
    <row r="72">
      <c r="A72" s="21" t="s">
        <v>171</v>
      </c>
      <c r="B72" s="22" t="s">
        <v>172</v>
      </c>
      <c r="C72" s="23" t="str">
        <f>IFERROR(__xludf.DUMMYFUNCTION("GOOGLETRANSLATE(B72, ""en"", ""fr"")"),"Filtre de profanation de chat")</f>
        <v>Filtre de profanation de chat</v>
      </c>
      <c r="D72" s="23" t="str">
        <f>IFERROR(__xludf.DUMMYFUNCTION("GOOGLETRANSLATE(B72, ""en"", ""es"")"),"Filtro de profanidad de chat")</f>
        <v>Filtro de profanidad de chat</v>
      </c>
      <c r="E72" s="23" t="str">
        <f>IFERROR(__xludf.DUMMYFUNCTION("GOOGLETRANSLATE(B72, ""en"", ""ru"")"),"Фильтр масштабирования чата")</f>
        <v>Фильтр масштабирования чата</v>
      </c>
      <c r="F72" s="23" t="str">
        <f>IFERROR(__xludf.DUMMYFUNCTION("GOOGLETRANSLATE(B72, ""en"", ""tr"")"),"Sohbet Küfür Filtresi")</f>
        <v>Sohbet Küfür Filtresi</v>
      </c>
      <c r="G72" s="23" t="str">
        <f>IFERROR(__xludf.DUMMYFUNCTION("GOOGLETRANSLATE(B72, ""en"", ""pt"")"),"Filtro de profanidade de bate-papo.")</f>
        <v>Filtro de profanidade de bate-papo.</v>
      </c>
      <c r="H72" s="24" t="str">
        <f>IFERROR(__xludf.DUMMYFUNCTION("GOOGLETRANSLATE(B72, ""en"", ""de"")"),"Chat-Profanity-Filter.")</f>
        <v>Chat-Profanity-Filter.</v>
      </c>
      <c r="I72" s="23" t="str">
        <f>IFERROR(__xludf.DUMMYFUNCTION("GOOGLETRANSLATE(B72, ""en"", ""pl"")"),"Filtr wielofunkcyjny czatu.")</f>
        <v>Filtr wielofunkcyjny czatu.</v>
      </c>
      <c r="J72" s="25" t="str">
        <f>IFERROR(__xludf.DUMMYFUNCTION("GOOGLETRANSLATE(B72, ""en"", ""zh"")"),"聊天亵渎过滤器")</f>
        <v>聊天亵渎过滤器</v>
      </c>
      <c r="K72" s="25" t="str">
        <f>IFERROR(__xludf.DUMMYFUNCTION("GOOGLETRANSLATE(B72, ""en"", ""vi"")"),"Trò chuyện Bộ lọc thô tục")</f>
        <v>Trò chuyện Bộ lọc thô tục</v>
      </c>
      <c r="L72" s="26" t="str">
        <f>IFERROR(__xludf.DUMMYFUNCTION("GOOGLETRANSLATE(B72, ""en"", ""hr"")"),"Filtar za razgovor")</f>
        <v>Filtar za razgovor</v>
      </c>
      <c r="M72" s="28"/>
      <c r="N72" s="28"/>
      <c r="O72" s="28"/>
      <c r="P72" s="28"/>
      <c r="Q72" s="28"/>
      <c r="R72" s="28"/>
      <c r="S72" s="28"/>
      <c r="T72" s="28"/>
      <c r="U72" s="28"/>
      <c r="V72" s="28"/>
      <c r="W72" s="28"/>
      <c r="X72" s="28"/>
      <c r="Y72" s="28"/>
      <c r="Z72" s="28"/>
      <c r="AA72" s="28"/>
      <c r="AB72" s="28"/>
    </row>
    <row r="73">
      <c r="A73" s="21" t="s">
        <v>173</v>
      </c>
      <c r="B73" s="22" t="s">
        <v>174</v>
      </c>
      <c r="C73" s="23" t="str">
        <f>IFERROR(__xludf.DUMMYFUNCTION("GOOGLETRANSLATE(B73, ""en"", ""fr"")"),"Clignotant")</f>
        <v>Clignotant</v>
      </c>
      <c r="D73" s="23" t="str">
        <f>IFERROR(__xludf.DUMMYFUNCTION("GOOGLETRANSLATE(B73, ""en"", ""es"")"),"Parpadeo ligero")</f>
        <v>Parpadeo ligero</v>
      </c>
      <c r="E73" s="23" t="str">
        <f>IFERROR(__xludf.DUMMYFUNCTION("GOOGLETRANSLATE(B73, ""en"", ""ru"")"),"Легкий мерцание")</f>
        <v>Легкий мерцание</v>
      </c>
      <c r="F73" s="23" t="str">
        <f>IFERROR(__xludf.DUMMYFUNCTION("GOOGLETRANSLATE(B73, ""en"", ""tr"")"),"Hafif titreme")</f>
        <v>Hafif titreme</v>
      </c>
      <c r="G73" s="23" t="str">
        <f>IFERROR(__xludf.DUMMYFUNCTION("GOOGLETRANSLATE(B73, ""en"", ""pt"")"),"Cintilação leve")</f>
        <v>Cintilação leve</v>
      </c>
      <c r="H73" s="24" t="str">
        <f>IFERROR(__xludf.DUMMYFUNCTION("GOOGLETRANSLATE(B73, ""en"", ""de"")"),"Leichter Flimmern")</f>
        <v>Leichter Flimmern</v>
      </c>
      <c r="I73" s="23" t="str">
        <f>IFERROR(__xludf.DUMMYFUNCTION("GOOGLETRANSLATE(B73, ""en"", ""pl"")"),"Lekki migotanie")</f>
        <v>Lekki migotanie</v>
      </c>
      <c r="J73" s="25" t="str">
        <f>IFERROR(__xludf.DUMMYFUNCTION("GOOGLETRANSLATE(B73, ""en"", ""zh"")"),"轻闪烁")</f>
        <v>轻闪烁</v>
      </c>
      <c r="K73" s="25" t="str">
        <f>IFERROR(__xludf.DUMMYFUNCTION("GOOGLETRANSLATE(B73, ""en"", ""vi"")"),"Ánh sáng nhấp nháy")</f>
        <v>Ánh sáng nhấp nháy</v>
      </c>
      <c r="L73" s="26" t="str">
        <f>IFERROR(__xludf.DUMMYFUNCTION("GOOGLETRANSLATE(B73, ""en"", ""hr"")"),"Treperenje")</f>
        <v>Treperenje</v>
      </c>
      <c r="M73" s="28"/>
      <c r="N73" s="28"/>
      <c r="O73" s="28"/>
      <c r="P73" s="28"/>
      <c r="Q73" s="28"/>
      <c r="R73" s="28"/>
      <c r="S73" s="28"/>
      <c r="T73" s="28"/>
      <c r="U73" s="28"/>
      <c r="V73" s="28"/>
      <c r="W73" s="28"/>
      <c r="X73" s="28"/>
      <c r="Y73" s="28"/>
      <c r="Z73" s="28"/>
      <c r="AA73" s="28"/>
      <c r="AB73" s="28"/>
    </row>
    <row r="74">
      <c r="A74" s="21" t="s">
        <v>175</v>
      </c>
      <c r="B74" s="22" t="s">
        <v>176</v>
      </c>
      <c r="C74" s="23" t="str">
        <f>IFERROR(__xludf.DUMMYFUNCTION("GOOGLETRANSLATE(B74, ""en"", ""fr"")"),"Afficher le comptoir FPS")</f>
        <v>Afficher le comptoir FPS</v>
      </c>
      <c r="D74" s="23" t="str">
        <f>IFERROR(__xludf.DUMMYFUNCTION("GOOGLETRANSLATE(B74, ""en"", ""es"")"),"Mostrar el contador de fps")</f>
        <v>Mostrar el contador de fps</v>
      </c>
      <c r="E74" s="23" t="str">
        <f>IFERROR(__xludf.DUMMYFUNCTION("GOOGLETRANSLATE(B74, ""en"", ""ru"")"),"Показать счетчик FPS")</f>
        <v>Показать счетчик FPS</v>
      </c>
      <c r="F74" s="23" t="str">
        <f>IFERROR(__xludf.DUMMYFUNCTION("GOOGLETRANSLATE(B74, ""en"", ""tr"")"),"Fps sayacı göster")</f>
        <v>Fps sayacı göster</v>
      </c>
      <c r="G74" s="23" t="str">
        <f>IFERROR(__xludf.DUMMYFUNCTION("GOOGLETRANSLATE(B74, ""en"", ""pt"")"),"Mostrar contador de fps.")</f>
        <v>Mostrar contador de fps.</v>
      </c>
      <c r="H74" s="24" t="str">
        <f>IFERROR(__xludf.DUMMYFUNCTION("GOOGLETRANSLATE(B74, ""en"", ""de"")"),"FPS-Zähler anzeigen.")</f>
        <v>FPS-Zähler anzeigen.</v>
      </c>
      <c r="I74" s="23" t="str">
        <f>IFERROR(__xludf.DUMMYFUNCTION("GOOGLETRANSLATE(B74, ""en"", ""pl"")"),"Pokaż Counter FPS.")</f>
        <v>Pokaż Counter FPS.</v>
      </c>
      <c r="J74" s="25" t="str">
        <f>IFERROR(__xludf.DUMMYFUNCTION("GOOGLETRANSLATE(B74, ""en"", ""zh"")"),"显示FPS柜台")</f>
        <v>显示FPS柜台</v>
      </c>
      <c r="K74" s="25" t="str">
        <f>IFERROR(__xludf.DUMMYFUNCTION("GOOGLETRANSLATE(B74, ""en"", ""vi"")"),"Hiển thị Quầy FPS")</f>
        <v>Hiển thị Quầy FPS</v>
      </c>
      <c r="L74" s="26" t="str">
        <f>IFERROR(__xludf.DUMMYFUNCTION("GOOGLETRANSLATE(B74, ""en"", ""hr"")"),"Prikaži fps brojač")</f>
        <v>Prikaži fps brojač</v>
      </c>
      <c r="M74" s="28"/>
      <c r="N74" s="28"/>
      <c r="O74" s="28"/>
      <c r="P74" s="28"/>
      <c r="Q74" s="28"/>
      <c r="R74" s="28"/>
      <c r="S74" s="28"/>
      <c r="T74" s="28"/>
      <c r="U74" s="28"/>
      <c r="V74" s="28"/>
      <c r="W74" s="28"/>
      <c r="X74" s="28"/>
      <c r="Y74" s="28"/>
      <c r="Z74" s="28"/>
      <c r="AA74" s="28"/>
      <c r="AB74" s="28"/>
    </row>
    <row r="75">
      <c r="A75" s="21" t="s">
        <v>177</v>
      </c>
      <c r="B75" s="22" t="s">
        <v>178</v>
      </c>
      <c r="C75" s="23" t="str">
        <f>IFERROR(__xludf.DUMMYFUNCTION("GOOGLETRANSLATE(B75, ""en"", ""fr"")"),"Créer un compte")</f>
        <v>Créer un compte</v>
      </c>
      <c r="D75" s="23" t="str">
        <f>IFERROR(__xludf.DUMMYFUNCTION("GOOGLETRANSLATE(B75, ""en"", ""es"")"),"Crear una cuenta")</f>
        <v>Crear una cuenta</v>
      </c>
      <c r="E75" s="23" t="str">
        <f>IFERROR(__xludf.DUMMYFUNCTION("GOOGLETRANSLATE(B75, ""en"", ""ru"")"),"Создать аккаунт")</f>
        <v>Создать аккаунт</v>
      </c>
      <c r="F75" s="23" t="str">
        <f>IFERROR(__xludf.DUMMYFUNCTION("GOOGLETRANSLATE(B75, ""en"", ""tr"")"),"Hesap oluşturmak")</f>
        <v>Hesap oluşturmak</v>
      </c>
      <c r="G75" s="23" t="str">
        <f>IFERROR(__xludf.DUMMYFUNCTION("GOOGLETRANSLATE(B75, ""en"", ""pt"")"),"Criar Conta")</f>
        <v>Criar Conta</v>
      </c>
      <c r="H75" s="24" t="str">
        <f>IFERROR(__xludf.DUMMYFUNCTION("GOOGLETRANSLATE(B75, ""en"", ""de"")"),"Benutzerkonto erstellen")</f>
        <v>Benutzerkonto erstellen</v>
      </c>
      <c r="I75" s="23" t="str">
        <f>IFERROR(__xludf.DUMMYFUNCTION("GOOGLETRANSLATE(B75, ""en"", ""pl"")"),"Utwórz konto")</f>
        <v>Utwórz konto</v>
      </c>
      <c r="J75" s="25" t="str">
        <f>IFERROR(__xludf.DUMMYFUNCTION("GOOGLETRANSLATE(B75, ""en"", ""zh"")"),"创建账户")</f>
        <v>创建账户</v>
      </c>
      <c r="K75" s="25" t="str">
        <f>IFERROR(__xludf.DUMMYFUNCTION("GOOGLETRANSLATE(B75, ""en"", ""vi"")"),"Tạo tài khoản")</f>
        <v>Tạo tài khoản</v>
      </c>
      <c r="L75" s="26" t="str">
        <f>IFERROR(__xludf.DUMMYFUNCTION("GOOGLETRANSLATE(B75, ""en"", ""hr"")"),"Stvoriti račun")</f>
        <v>Stvoriti račun</v>
      </c>
      <c r="M75" s="28"/>
      <c r="N75" s="28"/>
      <c r="O75" s="28"/>
      <c r="P75" s="28"/>
      <c r="Q75" s="28"/>
      <c r="R75" s="28"/>
      <c r="S75" s="28"/>
      <c r="T75" s="28"/>
      <c r="U75" s="28"/>
      <c r="V75" s="28"/>
      <c r="W75" s="28"/>
      <c r="X75" s="28"/>
      <c r="Y75" s="28"/>
      <c r="Z75" s="28"/>
      <c r="AA75" s="28"/>
      <c r="AB75" s="28"/>
    </row>
    <row r="76">
      <c r="A76" s="21" t="s">
        <v>179</v>
      </c>
      <c r="B76" s="22" t="s">
        <v>180</v>
      </c>
      <c r="C76" s="23" t="s">
        <v>181</v>
      </c>
      <c r="D76" s="23" t="str">
        <f>IFERROR(__xludf.DUMMYFUNCTION("GOOGLETRANSLATE(B76, ""en"", ""es"")"),"Elija un nombre de usuario y contraseña para guardar este carácter para que pueda iniciar sesión más tarde.")</f>
        <v>Elija un nombre de usuario y contraseña para guardar este carácter para que pueda iniciar sesión más tarde.</v>
      </c>
      <c r="E76" s="23" t="str">
        <f>IFERROR(__xludf.DUMMYFUNCTION("GOOGLETRANSLATE(B76,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6" s="23" t="str">
        <f>IFERROR(__xludf.DUMMYFUNCTION("GOOGLETRANSLATE(B76, ""en"", ""tr"")"),"Bu karakteri kaydetmek için bir kullanıcı adı ve şifre seçin, böylece daha sonra giriş yapabilirsiniz.")</f>
        <v>Bu karakteri kaydetmek için bir kullanıcı adı ve şifre seçin, böylece daha sonra giriş yapabilirsiniz.</v>
      </c>
      <c r="G76" s="23" t="str">
        <f>IFERROR(__xludf.DUMMYFUNCTION("GOOGLETRANSLATE(B76, ""en"", ""pt"")"),"Escolha um nome de usuário e senha para salvar este caractere para que você possa efetuar login mais tarde.")</f>
        <v>Escolha um nome de usuário e senha para salvar este caractere para que você possa efetuar login mais tarde.</v>
      </c>
      <c r="H76" s="24" t="str">
        <f>IFERROR(__xludf.DUMMYFUNCTION("GOOGLETRANSLATE(B76, ""en"", ""de"")"),"Wählen Sie einen Benutzernamen und ein Kennwort, um dieses Zeichen zu speichern, damit Sie sich später anmelden können.")</f>
        <v>Wählen Sie einen Benutzernamen und ein Kennwort, um dieses Zeichen zu speichern, damit Sie sich später anmelden können.</v>
      </c>
      <c r="I76" s="23" t="str">
        <f>IFERROR(__xludf.DUMMYFUNCTION("GOOGLETRANSLATE(B76, ""en"", ""pl"")"),"Wybierz nazwę użytkownika i hasło, aby zapisać tę znak, dzięki czemu możesz się zalogować później.")</f>
        <v>Wybierz nazwę użytkownika i hasło, aby zapisać tę znak, dzięki czemu możesz się zalogować później.</v>
      </c>
      <c r="J76" s="25" t="str">
        <f>IFERROR(__xludf.DUMMYFUNCTION("GOOGLETRANSLATE(B76, ""en"", ""zh"")"),"选择用户名和密码以保存此字符，以便稍后登录。")</f>
        <v>选择用户名和密码以保存此字符，以便稍后登录。</v>
      </c>
      <c r="K76" s="25" t="str">
        <f>IFERROR(__xludf.DUMMYFUNCTION("GOOGLETRANSLATE(B76, ""en"", ""vi"")"),"Chọn tên người dùng và mật khẩu để lưu ký tự này để bạn có thể đăng nhập sau.")</f>
        <v>Chọn tên người dùng và mật khẩu để lưu ký tự này để bạn có thể đăng nhập sau.</v>
      </c>
      <c r="L76" s="26" t="str">
        <f>IFERROR(__xludf.DUMMYFUNCTION("GOOGLETRANSLATE(B76, ""en"", ""hr"")"),"Odaberite korisničko ime i lozinku za spremanje ovog znaka tako da se možete prijaviti kasnije.")</f>
        <v>Odaberite korisničko ime i lozinku za spremanje ovog znaka tako da se možete prijaviti kasnije.</v>
      </c>
      <c r="M76" s="28"/>
      <c r="N76" s="28"/>
      <c r="O76" s="28"/>
      <c r="P76" s="28"/>
      <c r="Q76" s="28"/>
      <c r="R76" s="28"/>
      <c r="S76" s="28"/>
      <c r="T76" s="28"/>
      <c r="U76" s="28"/>
      <c r="V76" s="28"/>
      <c r="W76" s="28"/>
      <c r="X76" s="28"/>
      <c r="Y76" s="28"/>
      <c r="Z76" s="28"/>
      <c r="AA76" s="28"/>
      <c r="AB76" s="28"/>
    </row>
    <row r="77">
      <c r="A77" s="21" t="s">
        <v>182</v>
      </c>
      <c r="B77" s="22" t="s">
        <v>183</v>
      </c>
      <c r="C77" s="23" t="str">
        <f>IFERROR(__xludf.DUMMYFUNCTION("GOOGLETRANSLATE(B77, ""en"", ""fr"")"),"Entrez un nom d'utilisateur")</f>
        <v>Entrez un nom d'utilisateur</v>
      </c>
      <c r="D77" s="23" t="str">
        <f>IFERROR(__xludf.DUMMYFUNCTION("GOOGLETRANSLATE(B77, ""en"", ""es"")"),"Introduzca un nombre de usuario")</f>
        <v>Introduzca un nombre de usuario</v>
      </c>
      <c r="E77" s="23" t="str">
        <f>IFERROR(__xludf.DUMMYFUNCTION("GOOGLETRANSLATE(B77, ""en"", ""ru"")"),"Введите имя пользователя")</f>
        <v>Введите имя пользователя</v>
      </c>
      <c r="F77" s="23" t="str">
        <f>IFERROR(__xludf.DUMMYFUNCTION("GOOGLETRANSLATE(B77, ""en"", ""tr"")"),"Bir kullanıcı adı girin")</f>
        <v>Bir kullanıcı adı girin</v>
      </c>
      <c r="G77" s="23" t="str">
        <f>IFERROR(__xludf.DUMMYFUNCTION("GOOGLETRANSLATE(B77, ""en"", ""pt"")"),"Digite um nome de usuário")</f>
        <v>Digite um nome de usuário</v>
      </c>
      <c r="H77" s="24" t="str">
        <f>IFERROR(__xludf.DUMMYFUNCTION("GOOGLETRANSLATE(B77, ""en"", ""de"")"),"Gebe einen Benutzernamen ein")</f>
        <v>Gebe einen Benutzernamen ein</v>
      </c>
      <c r="I77" s="23" t="str">
        <f>IFERROR(__xludf.DUMMYFUNCTION("GOOGLETRANSLATE(B77, ""en"", ""pl"")"),"Wpisz nazwę użytkownika")</f>
        <v>Wpisz nazwę użytkownika</v>
      </c>
      <c r="J77" s="25" t="str">
        <f>IFERROR(__xludf.DUMMYFUNCTION("GOOGLETRANSLATE(B77, ""en"", ""zh"")"),"输入用户名")</f>
        <v>输入用户名</v>
      </c>
      <c r="K77" s="25" t="str">
        <f>IFERROR(__xludf.DUMMYFUNCTION("GOOGLETRANSLATE(B77, ""en"", ""vi"")"),"Nhập tên người sử dụng")</f>
        <v>Nhập tên người sử dụng</v>
      </c>
      <c r="L77" s="26" t="str">
        <f>IFERROR(__xludf.DUMMYFUNCTION("GOOGLETRANSLATE(B77, ""en"", ""hr"")"),"Unesite korisničko ime")</f>
        <v>Unesite korisničko ime</v>
      </c>
      <c r="M77" s="28"/>
      <c r="N77" s="28"/>
      <c r="O77" s="28"/>
      <c r="P77" s="28"/>
      <c r="Q77" s="28"/>
      <c r="R77" s="28"/>
      <c r="S77" s="28"/>
      <c r="T77" s="28"/>
      <c r="U77" s="28"/>
      <c r="V77" s="28"/>
      <c r="W77" s="28"/>
      <c r="X77" s="28"/>
      <c r="Y77" s="28"/>
      <c r="Z77" s="28"/>
      <c r="AA77" s="28"/>
      <c r="AB77" s="28"/>
    </row>
    <row r="78">
      <c r="A78" s="21" t="s">
        <v>184</v>
      </c>
      <c r="B78" s="22" t="s">
        <v>185</v>
      </c>
      <c r="C78" s="23" t="str">
        <f>IFERROR(__xludf.DUMMYFUNCTION("GOOGLETRANSLATE(B78, ""en"", ""fr"")"),"Entrer un mot de passe")</f>
        <v>Entrer un mot de passe</v>
      </c>
      <c r="D78" s="23" t="str">
        <f>IFERROR(__xludf.DUMMYFUNCTION("GOOGLETRANSLATE(B78, ""en"", ""es"")"),"Ingrese una contraseña")</f>
        <v>Ingrese una contraseña</v>
      </c>
      <c r="E78" s="23" t="str">
        <f>IFERROR(__xludf.DUMMYFUNCTION("GOOGLETRANSLATE(B78, ""en"", ""ru"")"),"введите пароль")</f>
        <v>введите пароль</v>
      </c>
      <c r="F78" s="23" t="str">
        <f>IFERROR(__xludf.DUMMYFUNCTION("GOOGLETRANSLATE(B78, ""en"", ""tr"")"),"Bir parola girin")</f>
        <v>Bir parola girin</v>
      </c>
      <c r="G78" s="23" t="str">
        <f>IFERROR(__xludf.DUMMYFUNCTION("GOOGLETRANSLATE(B78, ""en"", ""pt"")"),"insira uma senha")</f>
        <v>insira uma senha</v>
      </c>
      <c r="H78" s="24" t="str">
        <f>IFERROR(__xludf.DUMMYFUNCTION("GOOGLETRANSLATE(B78, ""en"", ""de"")"),"Geben Sie ein Passwort ein")</f>
        <v>Geben Sie ein Passwort ein</v>
      </c>
      <c r="I78" s="23" t="str">
        <f>IFERROR(__xludf.DUMMYFUNCTION("GOOGLETRANSLATE(B78, ""en"", ""pl"")"),"Wpisz hasło")</f>
        <v>Wpisz hasło</v>
      </c>
      <c r="J78" s="25" t="str">
        <f>IFERROR(__xludf.DUMMYFUNCTION("GOOGLETRANSLATE(B78, ""en"", ""zh"")"),"输入密码")</f>
        <v>输入密码</v>
      </c>
      <c r="K78" s="25" t="str">
        <f>IFERROR(__xludf.DUMMYFUNCTION("GOOGLETRANSLATE(B78, ""en"", ""vi"")"),"nhập mật khẩu")</f>
        <v>nhập mật khẩu</v>
      </c>
      <c r="L78" s="26" t="str">
        <f>IFERROR(__xludf.DUMMYFUNCTION("GOOGLETRANSLATE(B78, ""en"", ""hr"")"),"Unesite lozinku")</f>
        <v>Unesite lozinku</v>
      </c>
      <c r="M78" s="28"/>
      <c r="N78" s="28"/>
      <c r="O78" s="28"/>
      <c r="P78" s="28"/>
      <c r="Q78" s="28"/>
      <c r="R78" s="28"/>
      <c r="S78" s="28"/>
      <c r="T78" s="28"/>
      <c r="U78" s="28"/>
      <c r="V78" s="28"/>
      <c r="W78" s="28"/>
      <c r="X78" s="28"/>
      <c r="Y78" s="28"/>
      <c r="Z78" s="28"/>
      <c r="AA78" s="28"/>
      <c r="AB78" s="28"/>
    </row>
    <row r="79">
      <c r="A79" s="21" t="s">
        <v>178</v>
      </c>
      <c r="B79" s="22" t="s">
        <v>178</v>
      </c>
      <c r="C79" s="23" t="str">
        <f>IFERROR(__xludf.DUMMYFUNCTION("GOOGLETRANSLATE(B79, ""en"", ""fr"")"),"Créer un compte")</f>
        <v>Créer un compte</v>
      </c>
      <c r="D79" s="23" t="str">
        <f>IFERROR(__xludf.DUMMYFUNCTION("GOOGLETRANSLATE(B79, ""en"", ""es"")"),"Crear una cuenta")</f>
        <v>Crear una cuenta</v>
      </c>
      <c r="E79" s="23" t="str">
        <f>IFERROR(__xludf.DUMMYFUNCTION("GOOGLETRANSLATE(B79, ""en"", ""ru"")"),"Создать аккаунт")</f>
        <v>Создать аккаунт</v>
      </c>
      <c r="F79" s="23" t="str">
        <f>IFERROR(__xludf.DUMMYFUNCTION("GOOGLETRANSLATE(B79, ""en"", ""tr"")"),"Hesap oluşturmak")</f>
        <v>Hesap oluşturmak</v>
      </c>
      <c r="G79" s="23" t="str">
        <f>IFERROR(__xludf.DUMMYFUNCTION("GOOGLETRANSLATE(B79, ""en"", ""pt"")"),"Criar Conta")</f>
        <v>Criar Conta</v>
      </c>
      <c r="H79" s="24" t="str">
        <f>IFERROR(__xludf.DUMMYFUNCTION("GOOGLETRANSLATE(B79, ""en"", ""de"")"),"Benutzerkonto erstellen")</f>
        <v>Benutzerkonto erstellen</v>
      </c>
      <c r="I79" s="23" t="str">
        <f>IFERROR(__xludf.DUMMYFUNCTION("GOOGLETRANSLATE(B79, ""en"", ""pl"")"),"Utwórz konto")</f>
        <v>Utwórz konto</v>
      </c>
      <c r="J79" s="25" t="str">
        <f>IFERROR(__xludf.DUMMYFUNCTION("GOOGLETRANSLATE(B79, ""en"", ""zh"")"),"创建账户")</f>
        <v>创建账户</v>
      </c>
      <c r="K79" s="25" t="str">
        <f>IFERROR(__xludf.DUMMYFUNCTION("GOOGLETRANSLATE(B79, ""en"", ""vi"")"),"Tạo tài khoản")</f>
        <v>Tạo tài khoản</v>
      </c>
      <c r="L79" s="26" t="str">
        <f>IFERROR(__xludf.DUMMYFUNCTION("GOOGLETRANSLATE(B79, ""en"", ""hr"")"),"Stvoriti račun")</f>
        <v>Stvoriti račun</v>
      </c>
      <c r="M79" s="28"/>
      <c r="N79" s="28"/>
      <c r="O79" s="28"/>
      <c r="P79" s="28"/>
      <c r="Q79" s="28"/>
      <c r="R79" s="28"/>
      <c r="S79" s="28"/>
      <c r="T79" s="28"/>
      <c r="U79" s="28"/>
      <c r="V79" s="28"/>
      <c r="W79" s="28"/>
      <c r="X79" s="28"/>
      <c r="Y79" s="28"/>
      <c r="Z79" s="28"/>
      <c r="AA79" s="28"/>
      <c r="AB79" s="28"/>
    </row>
    <row r="80">
      <c r="A80" s="21" t="s">
        <v>186</v>
      </c>
      <c r="B80" s="22" t="s">
        <v>186</v>
      </c>
      <c r="C80" s="23" t="s">
        <v>187</v>
      </c>
      <c r="D80" s="23" t="str">
        <f>IFERROR(__xludf.DUMMYFUNCTION("GOOGLETRANSLATE(B80, ""en"", ""es"")"),"Nombre de usuario tomado")</f>
        <v>Nombre de usuario tomado</v>
      </c>
      <c r="E80" s="23" t="str">
        <f>IFERROR(__xludf.DUMMYFUNCTION("GOOGLETRANSLATE(B80, ""en"", ""ru"")"),"Имя пользователя принято")</f>
        <v>Имя пользователя принято</v>
      </c>
      <c r="F80" s="23" t="str">
        <f>IFERROR(__xludf.DUMMYFUNCTION("GOOGLETRANSLATE(B80, ""en"", ""tr"")"),"Kullanıcı adı alınmış")</f>
        <v>Kullanıcı adı alınmış</v>
      </c>
      <c r="G80" s="23" t="str">
        <f>IFERROR(__xludf.DUMMYFUNCTION("GOOGLETRANSLATE(B80, ""en"", ""pt"")"),"Nome de usuário já utilizado")</f>
        <v>Nome de usuário já utilizado</v>
      </c>
      <c r="H80" s="24" t="str">
        <f>IFERROR(__xludf.DUMMYFUNCTION("GOOGLETRANSLATE(B80, ""en"", ""de"")"),"Benutzername vergeben")</f>
        <v>Benutzername vergeben</v>
      </c>
      <c r="I80" s="23" t="str">
        <f>IFERROR(__xludf.DUMMYFUNCTION("GOOGLETRANSLATE(B80, ""en"", ""pl"")"),"Nazwa użytkownika zajęta")</f>
        <v>Nazwa użytkownika zajęta</v>
      </c>
      <c r="J80" s="25" t="str">
        <f>IFERROR(__xludf.DUMMYFUNCTION("GOOGLETRANSLATE(B80, ""en"", ""zh"")"),"用户名已被使用")</f>
        <v>用户名已被使用</v>
      </c>
      <c r="K80" s="25" t="str">
        <f>IFERROR(__xludf.DUMMYFUNCTION("GOOGLETRANSLATE(B80, ""en"", ""vi"")"),"Tên này đã dc sử dụng")</f>
        <v>Tên này đã dc sử dụng</v>
      </c>
      <c r="L80" s="26" t="str">
        <f>IFERROR(__xludf.DUMMYFUNCTION("GOOGLETRANSLATE(B80, ""en"", ""hr"")"),"Korisničko ime zauzeto")</f>
        <v>Korisničko ime zauzeto</v>
      </c>
      <c r="M80" s="28"/>
      <c r="N80" s="28"/>
      <c r="O80" s="28"/>
      <c r="P80" s="28"/>
      <c r="Q80" s="28"/>
      <c r="R80" s="28"/>
      <c r="S80" s="28"/>
      <c r="T80" s="28"/>
      <c r="U80" s="28"/>
      <c r="V80" s="28"/>
      <c r="W80" s="28"/>
      <c r="X80" s="28"/>
      <c r="Y80" s="28"/>
      <c r="Z80" s="28"/>
      <c r="AA80" s="28"/>
      <c r="AB80" s="28"/>
    </row>
    <row r="81">
      <c r="A81" s="21" t="s">
        <v>188</v>
      </c>
      <c r="B81" s="22" t="s">
        <v>189</v>
      </c>
      <c r="C81" s="23" t="str">
        <f>IFERROR(__xludf.DUMMYFUNCTION("GOOGLETRANSLATE(B81, ""en"", ""fr"")"),"Compte")</f>
        <v>Compte</v>
      </c>
      <c r="D81" s="23" t="str">
        <f>IFERROR(__xludf.DUMMYFUNCTION("GOOGLETRANSLATE(B81, ""en"", ""es"")"),"Cuenta")</f>
        <v>Cuenta</v>
      </c>
      <c r="E81" s="23" t="str">
        <f>IFERROR(__xludf.DUMMYFUNCTION("GOOGLETRANSLATE(B81, ""en"", ""ru"")"),"Счет")</f>
        <v>Счет</v>
      </c>
      <c r="F81" s="23" t="str">
        <f>IFERROR(__xludf.DUMMYFUNCTION("GOOGLETRANSLATE(B81, ""en"", ""tr"")"),"Hesap")</f>
        <v>Hesap</v>
      </c>
      <c r="G81" s="23" t="str">
        <f>IFERROR(__xludf.DUMMYFUNCTION("GOOGLETRANSLATE(B81, ""en"", ""pt"")"),"Conta")</f>
        <v>Conta</v>
      </c>
      <c r="H81" s="24" t="str">
        <f>IFERROR(__xludf.DUMMYFUNCTION("GOOGLETRANSLATE(B81, ""en"", ""de"")"),"Konto")</f>
        <v>Konto</v>
      </c>
      <c r="I81" s="23" t="str">
        <f>IFERROR(__xludf.DUMMYFUNCTION("GOOGLETRANSLATE(B81, ""en"", ""pl"")"),"Konto")</f>
        <v>Konto</v>
      </c>
      <c r="J81" s="25" t="str">
        <f>IFERROR(__xludf.DUMMYFUNCTION("GOOGLETRANSLATE(B81, ""en"", ""zh"")"),"帐户")</f>
        <v>帐户</v>
      </c>
      <c r="K81" s="25" t="str">
        <f>IFERROR(__xludf.DUMMYFUNCTION("GOOGLETRANSLATE(B81, ""en"", ""vi"")"),"Tài khoản")</f>
        <v>Tài khoản</v>
      </c>
      <c r="L81" s="26" t="str">
        <f>IFERROR(__xludf.DUMMYFUNCTION("GOOGLETRANSLATE(B81, ""en"", ""hr"")"),"Račun")</f>
        <v>Račun</v>
      </c>
      <c r="M81" s="28"/>
      <c r="N81" s="28"/>
      <c r="O81" s="28"/>
      <c r="P81" s="28"/>
      <c r="Q81" s="28"/>
      <c r="R81" s="28"/>
      <c r="S81" s="28"/>
      <c r="T81" s="28"/>
      <c r="U81" s="28"/>
      <c r="V81" s="28"/>
      <c r="W81" s="28"/>
      <c r="X81" s="28"/>
      <c r="Y81" s="28"/>
      <c r="Z81" s="28"/>
      <c r="AA81" s="28"/>
      <c r="AB81" s="28"/>
    </row>
    <row r="82">
      <c r="A82" s="21" t="s">
        <v>190</v>
      </c>
      <c r="B82" s="22" t="s">
        <v>191</v>
      </c>
      <c r="C82" s="23" t="str">
        <f>IFERROR(__xludf.DUMMYFUNCTION("GOOGLETRANSLATE(B82, ""en"", ""fr"")"),"Changer le mot de passe")</f>
        <v>Changer le mot de passe</v>
      </c>
      <c r="D82" s="23" t="str">
        <f>IFERROR(__xludf.DUMMYFUNCTION("GOOGLETRANSLATE(B82, ""en"", ""es"")"),"Cambiar la contraseña")</f>
        <v>Cambiar la contraseña</v>
      </c>
      <c r="E82" s="23" t="str">
        <f>IFERROR(__xludf.DUMMYFUNCTION("GOOGLETRANSLATE(B82, ""en"", ""ru"")"),"Измени пароль")</f>
        <v>Измени пароль</v>
      </c>
      <c r="F82" s="23" t="str">
        <f>IFERROR(__xludf.DUMMYFUNCTION("GOOGLETRANSLATE(B82, ""en"", ""tr"")"),"Şifre değiştir")</f>
        <v>Şifre değiştir</v>
      </c>
      <c r="G82" s="23" t="str">
        <f>IFERROR(__xludf.DUMMYFUNCTION("GOOGLETRANSLATE(B82, ""en"", ""pt"")"),"Mudar senha")</f>
        <v>Mudar senha</v>
      </c>
      <c r="H82" s="24" t="str">
        <f>IFERROR(__xludf.DUMMYFUNCTION("GOOGLETRANSLATE(B82, ""en"", ""de"")"),"Passwort ändern")</f>
        <v>Passwort ändern</v>
      </c>
      <c r="I82" s="23" t="str">
        <f>IFERROR(__xludf.DUMMYFUNCTION("GOOGLETRANSLATE(B82, ""en"", ""pl"")"),"Zmień hasło")</f>
        <v>Zmień hasło</v>
      </c>
      <c r="J82" s="25" t="str">
        <f>IFERROR(__xludf.DUMMYFUNCTION("GOOGLETRANSLATE(B82, ""en"", ""zh"")"),"更改密码")</f>
        <v>更改密码</v>
      </c>
      <c r="K82" s="25" t="str">
        <f>IFERROR(__xludf.DUMMYFUNCTION("GOOGLETRANSLATE(B82, ""en"", ""vi"")"),"Đổi mật khẩu")</f>
        <v>Đổi mật khẩu</v>
      </c>
      <c r="L82" s="26" t="str">
        <f>IFERROR(__xludf.DUMMYFUNCTION("GOOGLETRANSLATE(B82, ""en"", ""hr"")"),"Promijeniti zaporku")</f>
        <v>Promijeniti zaporku</v>
      </c>
      <c r="M82" s="28"/>
      <c r="N82" s="28"/>
      <c r="O82" s="28"/>
      <c r="P82" s="28"/>
      <c r="Q82" s="28"/>
      <c r="R82" s="28"/>
      <c r="S82" s="28"/>
      <c r="T82" s="28"/>
      <c r="U82" s="28"/>
      <c r="V82" s="28"/>
      <c r="W82" s="28"/>
      <c r="X82" s="28"/>
      <c r="Y82" s="28"/>
      <c r="Z82" s="28"/>
      <c r="AA82" s="28"/>
      <c r="AB82" s="28"/>
    </row>
    <row r="83">
      <c r="A83" s="21" t="s">
        <v>192</v>
      </c>
      <c r="B83" s="22" t="s">
        <v>193</v>
      </c>
      <c r="C83" s="23" t="str">
        <f>IFERROR(__xludf.DUMMYFUNCTION("GOOGLETRANSLATE(B83, ""en"", ""fr"")"),"Changer de nom")</f>
        <v>Changer de nom</v>
      </c>
      <c r="D83" s="23" t="str">
        <f>IFERROR(__xludf.DUMMYFUNCTION("GOOGLETRANSLATE(B83, ""en"", ""es"")"),"Cambiar nombre")</f>
        <v>Cambiar nombre</v>
      </c>
      <c r="E83" s="23" t="str">
        <f>IFERROR(__xludf.DUMMYFUNCTION("GOOGLETRANSLATE(B83, ""en"", ""ru"")"),"Изменить имя")</f>
        <v>Изменить имя</v>
      </c>
      <c r="F83" s="23" t="str">
        <f>IFERROR(__xludf.DUMMYFUNCTION("GOOGLETRANSLATE(B83, ""en"", ""tr"")"),"İsmini değiştir")</f>
        <v>İsmini değiştir</v>
      </c>
      <c r="G83" s="23" t="str">
        <f>IFERROR(__xludf.DUMMYFUNCTION("GOOGLETRANSLATE(B83, ""en"", ""pt"")"),"Mude o nome")</f>
        <v>Mude o nome</v>
      </c>
      <c r="H83" s="24" t="str">
        <f>IFERROR(__xludf.DUMMYFUNCTION("GOOGLETRANSLATE(B83, ""en"", ""de"")"),"Namen ändern")</f>
        <v>Namen ändern</v>
      </c>
      <c r="I83" s="23" t="str">
        <f>IFERROR(__xludf.DUMMYFUNCTION("GOOGLETRANSLATE(B83, ""en"", ""pl"")"),"Zmień nazwę")</f>
        <v>Zmień nazwę</v>
      </c>
      <c r="J83" s="25" t="str">
        <f>IFERROR(__xludf.DUMMYFUNCTION("GOOGLETRANSLATE(B83, ""en"", ""zh"")"),"更换名字")</f>
        <v>更换名字</v>
      </c>
      <c r="K83" s="25" t="str">
        <f>IFERROR(__xludf.DUMMYFUNCTION("GOOGLETRANSLATE(B83, ""en"", ""vi"")"),"Đổi tên")</f>
        <v>Đổi tên</v>
      </c>
      <c r="L83" s="26" t="str">
        <f>IFERROR(__xludf.DUMMYFUNCTION("GOOGLETRANSLATE(B83, ""en"", ""hr"")"),"Imena")</f>
        <v>Imena</v>
      </c>
      <c r="M83" s="28"/>
      <c r="N83" s="28"/>
      <c r="O83" s="28"/>
      <c r="P83" s="28"/>
      <c r="Q83" s="28"/>
      <c r="R83" s="28"/>
      <c r="S83" s="28"/>
      <c r="T83" s="28"/>
      <c r="U83" s="28"/>
      <c r="V83" s="28"/>
      <c r="W83" s="28"/>
      <c r="X83" s="28"/>
      <c r="Y83" s="28"/>
      <c r="Z83" s="28"/>
      <c r="AA83" s="28"/>
      <c r="AB83" s="28"/>
    </row>
    <row r="84">
      <c r="A84" s="21" t="s">
        <v>194</v>
      </c>
      <c r="B84" s="22" t="s">
        <v>194</v>
      </c>
      <c r="C84" s="23" t="str">
        <f>IFERROR(__xludf.DUMMYFUNCTION("GOOGLETRANSLATE(B84, ""en"", ""fr"")"),"Mot de passe actuel")</f>
        <v>Mot de passe actuel</v>
      </c>
      <c r="D84" s="23" t="str">
        <f>IFERROR(__xludf.DUMMYFUNCTION("GOOGLETRANSLATE(B84, ""en"", ""es"")"),"Contraseña actual")</f>
        <v>Contraseña actual</v>
      </c>
      <c r="E84" s="23" t="str">
        <f>IFERROR(__xludf.DUMMYFUNCTION("GOOGLETRANSLATE(B84, ""en"", ""ru"")"),"Текущий пароль")</f>
        <v>Текущий пароль</v>
      </c>
      <c r="F84" s="23" t="str">
        <f>IFERROR(__xludf.DUMMYFUNCTION("GOOGLETRANSLATE(B84, ""en"", ""tr"")"),"Şimdiki Şifre")</f>
        <v>Şimdiki Şifre</v>
      </c>
      <c r="G84" s="23" t="str">
        <f>IFERROR(__xludf.DUMMYFUNCTION("GOOGLETRANSLATE(B84, ""en"", ""pt"")"),"Senha atual")</f>
        <v>Senha atual</v>
      </c>
      <c r="H84" s="24" t="str">
        <f>IFERROR(__xludf.DUMMYFUNCTION("GOOGLETRANSLATE(B84, ""en"", ""de"")"),"Aktuelles Passwort")</f>
        <v>Aktuelles Passwort</v>
      </c>
      <c r="I84" s="23" t="str">
        <f>IFERROR(__xludf.DUMMYFUNCTION("GOOGLETRANSLATE(B84, ""en"", ""pl"")"),"Aktualne hasło")</f>
        <v>Aktualne hasło</v>
      </c>
      <c r="J84" s="25" t="str">
        <f>IFERROR(__xludf.DUMMYFUNCTION("GOOGLETRANSLATE(B84, ""en"", ""zh"")"),"当前密码")</f>
        <v>当前密码</v>
      </c>
      <c r="K84" s="25" t="str">
        <f>IFERROR(__xludf.DUMMYFUNCTION("GOOGLETRANSLATE(B84, ""en"", ""vi"")"),"Mật khẩu hiện tại")</f>
        <v>Mật khẩu hiện tại</v>
      </c>
      <c r="L84" s="26" t="str">
        <f>IFERROR(__xludf.DUMMYFUNCTION("GOOGLETRANSLATE(B84, ""en"", ""hr"")"),"Trenutna lozinka")</f>
        <v>Trenutna lozinka</v>
      </c>
      <c r="M84" s="28"/>
      <c r="N84" s="28"/>
      <c r="O84" s="28"/>
      <c r="P84" s="28"/>
      <c r="Q84" s="28"/>
      <c r="R84" s="28"/>
      <c r="S84" s="28"/>
      <c r="T84" s="28"/>
      <c r="U84" s="28"/>
      <c r="V84" s="28"/>
      <c r="W84" s="28"/>
      <c r="X84" s="28"/>
      <c r="Y84" s="28"/>
      <c r="Z84" s="28"/>
      <c r="AA84" s="28"/>
      <c r="AB84" s="28"/>
    </row>
    <row r="85">
      <c r="A85" s="21" t="s">
        <v>195</v>
      </c>
      <c r="B85" s="22" t="s">
        <v>195</v>
      </c>
      <c r="C85" s="23" t="str">
        <f>IFERROR(__xludf.DUMMYFUNCTION("GOOGLETRANSLATE(B85, ""en"", ""fr"")"),"Nouveau mot de passe")</f>
        <v>Nouveau mot de passe</v>
      </c>
      <c r="D85" s="23" t="str">
        <f>IFERROR(__xludf.DUMMYFUNCTION("GOOGLETRANSLATE(B85, ""en"", ""es"")"),"Nueva contraseña")</f>
        <v>Nueva contraseña</v>
      </c>
      <c r="E85" s="23" t="str">
        <f>IFERROR(__xludf.DUMMYFUNCTION("GOOGLETRANSLATE(B85, ""en"", ""ru"")"),"Новый пароль")</f>
        <v>Новый пароль</v>
      </c>
      <c r="F85" s="23" t="str">
        <f>IFERROR(__xludf.DUMMYFUNCTION("GOOGLETRANSLATE(B85, ""en"", ""tr"")"),"Yeni Şifre")</f>
        <v>Yeni Şifre</v>
      </c>
      <c r="G85" s="23" t="str">
        <f>IFERROR(__xludf.DUMMYFUNCTION("GOOGLETRANSLATE(B85, ""en"", ""pt"")"),"Nova Senha")</f>
        <v>Nova Senha</v>
      </c>
      <c r="H85" s="24" t="str">
        <f>IFERROR(__xludf.DUMMYFUNCTION("GOOGLETRANSLATE(B85, ""en"", ""de"")"),"Neues Kennwort")</f>
        <v>Neues Kennwort</v>
      </c>
      <c r="I85" s="23" t="str">
        <f>IFERROR(__xludf.DUMMYFUNCTION("GOOGLETRANSLATE(B85, ""en"", ""pl"")"),"Nowe hasło")</f>
        <v>Nowe hasło</v>
      </c>
      <c r="J85" s="25" t="str">
        <f>IFERROR(__xludf.DUMMYFUNCTION("GOOGLETRANSLATE(B85, ""en"", ""zh"")"),"新密码")</f>
        <v>新密码</v>
      </c>
      <c r="K85" s="25" t="str">
        <f>IFERROR(__xludf.DUMMYFUNCTION("GOOGLETRANSLATE(B85, ""en"", ""vi"")"),"Mật khẩu mới")</f>
        <v>Mật khẩu mới</v>
      </c>
      <c r="L85" s="26" t="str">
        <f>IFERROR(__xludf.DUMMYFUNCTION("GOOGLETRANSLATE(B85, ""en"", ""hr"")"),"Nova lozinka")</f>
        <v>Nova lozinka</v>
      </c>
      <c r="M85" s="28"/>
      <c r="N85" s="28"/>
      <c r="O85" s="28"/>
      <c r="P85" s="28"/>
      <c r="Q85" s="28"/>
      <c r="R85" s="28"/>
      <c r="S85" s="28"/>
      <c r="T85" s="28"/>
      <c r="U85" s="28"/>
      <c r="V85" s="28"/>
      <c r="W85" s="28"/>
      <c r="X85" s="28"/>
      <c r="Y85" s="28"/>
      <c r="Z85" s="28"/>
      <c r="AA85" s="28"/>
      <c r="AB85" s="28"/>
    </row>
    <row r="86">
      <c r="A86" s="21" t="s">
        <v>196</v>
      </c>
      <c r="B86" s="22" t="s">
        <v>196</v>
      </c>
      <c r="C86" s="23" t="s">
        <v>197</v>
      </c>
      <c r="D86" s="23" t="str">
        <f>IFERROR(__xludf.DUMMYFUNCTION("GOOGLETRANSLATE(B86, ""en"", ""es"")"),"Contraseña actual incorrecta")</f>
        <v>Contraseña actual incorrecta</v>
      </c>
      <c r="E86" s="23" t="str">
        <f>IFERROR(__xludf.DUMMYFUNCTION("GOOGLETRANSLATE(B86, ""en"", ""ru"")"),"Неверный текущий пароль")</f>
        <v>Неверный текущий пароль</v>
      </c>
      <c r="F86" s="23" t="str">
        <f>IFERROR(__xludf.DUMMYFUNCTION("GOOGLETRANSLATE(B86, ""en"", ""tr"")"),"Yanlış güncel şifre")</f>
        <v>Yanlış güncel şifre</v>
      </c>
      <c r="G86" s="23" t="str">
        <f>IFERROR(__xludf.DUMMYFUNCTION("GOOGLETRANSLATE(B86, ""en"", ""pt"")"),"Senha atual incorreta")</f>
        <v>Senha atual incorreta</v>
      </c>
      <c r="H86" s="24" t="str">
        <f>IFERROR(__xludf.DUMMYFUNCTION("GOOGLETRANSLATE(B86, ""en"", ""de"")"),"Falsches aktuelles Passwort.")</f>
        <v>Falsches aktuelles Passwort.</v>
      </c>
      <c r="I86" s="23" t="str">
        <f>IFERROR(__xludf.DUMMYFUNCTION("GOOGLETRANSLATE(B86, ""en"", ""pl"")"),"Nieprawidłowe bieżące hasło.")</f>
        <v>Nieprawidłowe bieżące hasło.</v>
      </c>
      <c r="J86" s="25" t="str">
        <f>IFERROR(__xludf.DUMMYFUNCTION("GOOGLETRANSLATE(B86, ""en"", ""zh"")"),"当前密码不正确")</f>
        <v>当前密码不正确</v>
      </c>
      <c r="K86" s="25" t="str">
        <f>IFERROR(__xludf.DUMMYFUNCTION("GOOGLETRANSLATE(B86, ""en"", ""vi"")"),"Mật khẩu hiện tại không chính xác")</f>
        <v>Mật khẩu hiện tại không chính xác</v>
      </c>
      <c r="L86" s="26" t="str">
        <f>IFERROR(__xludf.DUMMYFUNCTION("GOOGLETRANSLATE(B86, ""en"", ""hr"")"),"Netočna trenutna lozinka")</f>
        <v>Netočna trenutna lozinka</v>
      </c>
      <c r="M86" s="28"/>
      <c r="N86" s="28"/>
      <c r="O86" s="28"/>
      <c r="P86" s="28"/>
      <c r="Q86" s="28"/>
      <c r="R86" s="28"/>
      <c r="S86" s="28"/>
      <c r="T86" s="28"/>
      <c r="U86" s="28"/>
      <c r="V86" s="28"/>
      <c r="W86" s="28"/>
      <c r="X86" s="28"/>
      <c r="Y86" s="28"/>
      <c r="Z86" s="28"/>
      <c r="AA86" s="28"/>
      <c r="AB86" s="28"/>
    </row>
    <row r="87">
      <c r="A87" s="21" t="s">
        <v>198</v>
      </c>
      <c r="B87" s="22" t="s">
        <v>198</v>
      </c>
      <c r="C87" s="23" t="str">
        <f>IFERROR(__xludf.DUMMYFUNCTION("GOOGLETRANSLATE(B87, ""en"", ""fr"")"),"Mot de passe changé")</f>
        <v>Mot de passe changé</v>
      </c>
      <c r="D87" s="23" t="str">
        <f>IFERROR(__xludf.DUMMYFUNCTION("GOOGLETRANSLATE(B87, ""en"", ""es"")"),"contraseña cambiada")</f>
        <v>contraseña cambiada</v>
      </c>
      <c r="E87" s="23" t="str">
        <f>IFERROR(__xludf.DUMMYFUNCTION("GOOGLETRANSLATE(B87, ""en"", ""ru"")"),"пароль изменен")</f>
        <v>пароль изменен</v>
      </c>
      <c r="F87" s="23" t="str">
        <f>IFERROR(__xludf.DUMMYFUNCTION("GOOGLETRANSLATE(B87, ""en"", ""tr"")"),"şifre değişti")</f>
        <v>şifre değişti</v>
      </c>
      <c r="G87" s="23" t="str">
        <f>IFERROR(__xludf.DUMMYFUNCTION("GOOGLETRANSLATE(B87, ""en"", ""pt"")"),"Senha alterada")</f>
        <v>Senha alterada</v>
      </c>
      <c r="H87" s="24" t="str">
        <f>IFERROR(__xludf.DUMMYFUNCTION("GOOGLETRANSLATE(B87, ""en"", ""de"")"),"Passwort geändert")</f>
        <v>Passwort geändert</v>
      </c>
      <c r="I87" s="23" t="str">
        <f>IFERROR(__xludf.DUMMYFUNCTION("GOOGLETRANSLATE(B87, ""en"", ""pl"")"),"Hasło zostało zmienione")</f>
        <v>Hasło zostało zmienione</v>
      </c>
      <c r="J87" s="25" t="str">
        <f>IFERROR(__xludf.DUMMYFUNCTION("GOOGLETRANSLATE(B87, ""en"", ""zh"")"),"密码已更改")</f>
        <v>密码已更改</v>
      </c>
      <c r="K87" s="25" t="str">
        <f>IFERROR(__xludf.DUMMYFUNCTION("GOOGLETRANSLATE(B87, ""en"", ""vi"")"),"mật khẩu đã được thay đổi")</f>
        <v>mật khẩu đã được thay đổi</v>
      </c>
      <c r="L87" s="26" t="str">
        <f>IFERROR(__xludf.DUMMYFUNCTION("GOOGLETRANSLATE(B87, ""en"", ""hr"")"),"Lozinka se promijenila")</f>
        <v>Lozinka se promijenila</v>
      </c>
      <c r="M87" s="28"/>
      <c r="N87" s="28"/>
      <c r="O87" s="28"/>
      <c r="P87" s="28"/>
      <c r="Q87" s="28"/>
      <c r="R87" s="28"/>
      <c r="S87" s="28"/>
      <c r="T87" s="28"/>
      <c r="U87" s="28"/>
      <c r="V87" s="28"/>
      <c r="W87" s="28"/>
      <c r="X87" s="28"/>
      <c r="Y87" s="28"/>
      <c r="Z87" s="28"/>
      <c r="AA87" s="28"/>
      <c r="AB87" s="28"/>
    </row>
    <row r="88">
      <c r="A88" s="21" t="s">
        <v>199</v>
      </c>
      <c r="B88" s="22" t="s">
        <v>199</v>
      </c>
      <c r="C88" s="23" t="str">
        <f>IFERROR(__xludf.DUMMYFUNCTION("GOOGLETRANSLATE(B88, ""en"", ""fr"")"),"Nom du personnage actuel")</f>
        <v>Nom du personnage actuel</v>
      </c>
      <c r="D88" s="23" t="str">
        <f>IFERROR(__xludf.DUMMYFUNCTION("GOOGLETRANSLATE(B88, ""en"", ""es"")"),"Nombre del personaje actual")</f>
        <v>Nombre del personaje actual</v>
      </c>
      <c r="E88" s="23" t="str">
        <f>IFERROR(__xludf.DUMMYFUNCTION("GOOGLETRANSLATE(B88, ""en"", ""ru"")"),"Текущее имя персонажа")</f>
        <v>Текущее имя персонажа</v>
      </c>
      <c r="F88" s="23" t="str">
        <f>IFERROR(__xludf.DUMMYFUNCTION("GOOGLETRANSLATE(B88, ""en"", ""tr"")"),"Geçerli karakter adı")</f>
        <v>Geçerli karakter adı</v>
      </c>
      <c r="G88" s="23" t="str">
        <f>IFERROR(__xludf.DUMMYFUNCTION("GOOGLETRANSLATE(B88, ""en"", ""pt"")"),"Nome do personagem atual")</f>
        <v>Nome do personagem atual</v>
      </c>
      <c r="H88" s="24" t="str">
        <f>IFERROR(__xludf.DUMMYFUNCTION("GOOGLETRANSLATE(B88, ""en"", ""de"")"),"Aktueller Zeichenname")</f>
        <v>Aktueller Zeichenname</v>
      </c>
      <c r="I88" s="23" t="str">
        <f>IFERROR(__xludf.DUMMYFUNCTION("GOOGLETRANSLATE(B88, ""en"", ""pl"")"),"Nazwa bieżącej znaku.")</f>
        <v>Nazwa bieżącej znaku.</v>
      </c>
      <c r="J88" s="25" t="str">
        <f>IFERROR(__xludf.DUMMYFUNCTION("GOOGLETRANSLATE(B88, ""en"", ""zh"")"),"当前字符名称")</f>
        <v>当前字符名称</v>
      </c>
      <c r="K88" s="25" t="str">
        <f>IFERROR(__xludf.DUMMYFUNCTION("GOOGLETRANSLATE(B88, ""en"", ""vi"")"),"Tên nhân vật hiện tại")</f>
        <v>Tên nhân vật hiện tại</v>
      </c>
      <c r="L88" s="26" t="str">
        <f>IFERROR(__xludf.DUMMYFUNCTION("GOOGLETRANSLATE(B88, ""en"", ""hr"")"),"Trenutno ime znakova")</f>
        <v>Trenutno ime znakova</v>
      </c>
      <c r="M88" s="28"/>
      <c r="N88" s="28"/>
      <c r="O88" s="28"/>
      <c r="P88" s="28"/>
      <c r="Q88" s="28"/>
      <c r="R88" s="28"/>
      <c r="S88" s="28"/>
      <c r="T88" s="28"/>
      <c r="U88" s="28"/>
      <c r="V88" s="28"/>
      <c r="W88" s="28"/>
      <c r="X88" s="28"/>
      <c r="Y88" s="28"/>
      <c r="Z88" s="28"/>
      <c r="AA88" s="28"/>
      <c r="AB88" s="28"/>
    </row>
    <row r="89">
      <c r="A89" s="21" t="s">
        <v>200</v>
      </c>
      <c r="B89" s="22" t="s">
        <v>200</v>
      </c>
      <c r="C89" s="23" t="str">
        <f>IFERROR(__xludf.DUMMYFUNCTION("GOOGLETRANSLATE(B89, ""en"", ""fr"")"),"Nom du nouveau personnage")</f>
        <v>Nom du nouveau personnage</v>
      </c>
      <c r="D89" s="23" t="str">
        <f>IFERROR(__xludf.DUMMYFUNCTION("GOOGLETRANSLATE(B89, ""en"", ""es"")"),"Nuevo nombre de personaje")</f>
        <v>Nuevo nombre de personaje</v>
      </c>
      <c r="E89" s="23" t="str">
        <f>IFERROR(__xludf.DUMMYFUNCTION("GOOGLETRANSLATE(B89, ""en"", ""ru"")"),"Новое имя персонажа")</f>
        <v>Новое имя персонажа</v>
      </c>
      <c r="F89" s="23" t="str">
        <f>IFERROR(__xludf.DUMMYFUNCTION("GOOGLETRANSLATE(B89, ""en"", ""tr"")"),"Yeni karakter adı")</f>
        <v>Yeni karakter adı</v>
      </c>
      <c r="G89" s="23" t="str">
        <f>IFERROR(__xludf.DUMMYFUNCTION("GOOGLETRANSLATE(B89, ""en"", ""pt"")"),"Nome do novo personagem")</f>
        <v>Nome do novo personagem</v>
      </c>
      <c r="H89" s="24" t="str">
        <f>IFERROR(__xludf.DUMMYFUNCTION("GOOGLETRANSLATE(B89, ""en"", ""de"")"),"Neuer Zeichenname")</f>
        <v>Neuer Zeichenname</v>
      </c>
      <c r="I89" s="23" t="str">
        <f>IFERROR(__xludf.DUMMYFUNCTION("GOOGLETRANSLATE(B89, ""en"", ""pl"")"),"Nowa nazwa znaku.")</f>
        <v>Nowa nazwa znaku.</v>
      </c>
      <c r="J89" s="25" t="str">
        <f>IFERROR(__xludf.DUMMYFUNCTION("GOOGLETRANSLATE(B89, ""en"", ""zh"")"),"新字符名称")</f>
        <v>新字符名称</v>
      </c>
      <c r="K89" s="25" t="str">
        <f>IFERROR(__xludf.DUMMYFUNCTION("GOOGLETRANSLATE(B89, ""en"", ""vi"")"),"Tên nhân vật mới.")</f>
        <v>Tên nhân vật mới.</v>
      </c>
      <c r="L89" s="26" t="str">
        <f>IFERROR(__xludf.DUMMYFUNCTION("GOOGLETRANSLATE(B89, ""en"", ""hr"")"),"Novi naziv znaka")</f>
        <v>Novi naziv znaka</v>
      </c>
      <c r="M89" s="28"/>
      <c r="N89" s="28"/>
      <c r="O89" s="28"/>
      <c r="P89" s="28"/>
      <c r="Q89" s="28"/>
      <c r="R89" s="28"/>
      <c r="S89" s="28"/>
      <c r="T89" s="28"/>
      <c r="U89" s="28"/>
      <c r="V89" s="28"/>
      <c r="W89" s="28"/>
      <c r="X89" s="28"/>
      <c r="Y89" s="28"/>
      <c r="Z89" s="28"/>
      <c r="AA89" s="28"/>
      <c r="AB89" s="28"/>
    </row>
    <row r="90">
      <c r="A90" s="21" t="s">
        <v>201</v>
      </c>
      <c r="B90" s="22" t="s">
        <v>202</v>
      </c>
      <c r="C90" s="23" t="str">
        <f>IFERROR(__xludf.DUMMYFUNCTION("GOOGLETRANSLATE(B90, ""en"", ""fr"")"),"Nouveau nom requis.")</f>
        <v>Nouveau nom requis.</v>
      </c>
      <c r="D90" s="23" t="str">
        <f>IFERROR(__xludf.DUMMYFUNCTION("GOOGLETRANSLATE(B90, ""en"", ""es"")"),"NUEVO NOMBRE REQUERIDO.")</f>
        <v>NUEVO NOMBRE REQUERIDO.</v>
      </c>
      <c r="E90" s="23" t="str">
        <f>IFERROR(__xludf.DUMMYFUNCTION("GOOGLETRANSLATE(B90, ""en"", ""ru"")"),"Требуется новое имя.")</f>
        <v>Требуется новое имя.</v>
      </c>
      <c r="F90" s="23" t="str">
        <f>IFERROR(__xludf.DUMMYFUNCTION("GOOGLETRANSLATE(B90, ""en"", ""tr"")"),"Yeni isim gerekli.")</f>
        <v>Yeni isim gerekli.</v>
      </c>
      <c r="G90" s="23" t="str">
        <f>IFERROR(__xludf.DUMMYFUNCTION("GOOGLETRANSLATE(B90, ""en"", ""pt"")"),"Novo nome necessário.")</f>
        <v>Novo nome necessário.</v>
      </c>
      <c r="H90" s="24" t="str">
        <f>IFERROR(__xludf.DUMMYFUNCTION("GOOGLETRANSLATE(B90, ""en"", ""de"")"),"Neuer Name erforderlich.")</f>
        <v>Neuer Name erforderlich.</v>
      </c>
      <c r="I90" s="23" t="str">
        <f>IFERROR(__xludf.DUMMYFUNCTION("GOOGLETRANSLATE(B90, ""en"", ""pl"")"),"Wymagana nowa nazwa.")</f>
        <v>Wymagana nowa nazwa.</v>
      </c>
      <c r="J90" s="25" t="str">
        <f>IFERROR(__xludf.DUMMYFUNCTION("GOOGLETRANSLATE(B90, ""en"", ""zh"")"),"需要新名称。")</f>
        <v>需要新名称。</v>
      </c>
      <c r="K90" s="25" t="str">
        <f>IFERROR(__xludf.DUMMYFUNCTION("GOOGLETRANSLATE(B90, ""en"", ""vi"")"),"Tên mới cần thiết.")</f>
        <v>Tên mới cần thiết.</v>
      </c>
      <c r="L90" s="26" t="str">
        <f>IFERROR(__xludf.DUMMYFUNCTION("GOOGLETRANSLATE(B90, ""en"", ""hr"")"),"Potrebno je novo ime.")</f>
        <v>Potrebno je novo ime.</v>
      </c>
      <c r="M90" s="28"/>
      <c r="N90" s="28"/>
      <c r="O90" s="28"/>
      <c r="P90" s="28"/>
      <c r="Q90" s="28"/>
      <c r="R90" s="28"/>
      <c r="S90" s="28"/>
      <c r="T90" s="28"/>
      <c r="U90" s="28"/>
      <c r="V90" s="28"/>
      <c r="W90" s="28"/>
      <c r="X90" s="28"/>
      <c r="Y90" s="28"/>
      <c r="Z90" s="28"/>
      <c r="AA90" s="28"/>
      <c r="AB90" s="28"/>
    </row>
    <row r="91">
      <c r="A91" s="21" t="s">
        <v>203</v>
      </c>
      <c r="B91" s="22" t="s">
        <v>204</v>
      </c>
      <c r="C91" s="23" t="s">
        <v>205</v>
      </c>
      <c r="D91" s="23" t="str">
        <f>IFERROR(__xludf.DUMMYFUNCTION("GOOGLETRANSLATE(B91, ""en"", ""es"")"),"El nuevo nombre debe ser diferente al nombre de la corriente.")</f>
        <v>El nuevo nombre debe ser diferente al nombre de la corriente.</v>
      </c>
      <c r="E91" s="23" t="str">
        <f>IFERROR(__xludf.DUMMYFUNCTION("GOOGLETRANSLATE(B91, ""en"", ""ru"")"),"Новое имя должно отличаться от текущего имени.")</f>
        <v>Новое имя должно отличаться от текущего имени.</v>
      </c>
      <c r="F91" s="23" t="str">
        <f>IFERROR(__xludf.DUMMYFUNCTION("GOOGLETRANSLATE(B91, ""en"", ""tr"")"),"Yeni ad, geçerli addan farklı olmalıdır.")</f>
        <v>Yeni ad, geçerli addan farklı olmalıdır.</v>
      </c>
      <c r="G91" s="23" t="str">
        <f>IFERROR(__xludf.DUMMYFUNCTION("GOOGLETRANSLATE(B91, ""en"", ""pt"")"),"Novo nome deve ser diferente do nome atual.")</f>
        <v>Novo nome deve ser diferente do nome atual.</v>
      </c>
      <c r="H91" s="24" t="str">
        <f>IFERROR(__xludf.DUMMYFUNCTION("GOOGLETRANSLATE(B91, ""en"", ""de"")"),"Der neue Name muss anders sein als der aktuelle Name.")</f>
        <v>Der neue Name muss anders sein als der aktuelle Name.</v>
      </c>
      <c r="I91" s="23" t="str">
        <f>IFERROR(__xludf.DUMMYFUNCTION("GOOGLETRANSLATE(B91, ""en"", ""pl"")"),"Nowa nazwa musi być inna niż obecna nazwa.")</f>
        <v>Nowa nazwa musi być inna niż obecna nazwa.</v>
      </c>
      <c r="J91" s="25" t="str">
        <f>IFERROR(__xludf.DUMMYFUNCTION("GOOGLETRANSLATE(B91, ""en"", ""zh"")"),"新名称必须与当前名称不同。")</f>
        <v>新名称必须与当前名称不同。</v>
      </c>
      <c r="K91" s="25" t="str">
        <f>IFERROR(__xludf.DUMMYFUNCTION("GOOGLETRANSLATE(B91, ""en"", ""vi"")"),"Tên mới phải khác với tên hiện tại.")</f>
        <v>Tên mới phải khác với tên hiện tại.</v>
      </c>
      <c r="L91" s="26" t="str">
        <f>IFERROR(__xludf.DUMMYFUNCTION("GOOGLETRANSLATE(B91, ""en"", ""hr"")"),"Novo ime mora biti drugačije od trenutnog imena.")</f>
        <v>Novo ime mora biti drugačije od trenutnog imena.</v>
      </c>
      <c r="M91" s="28"/>
      <c r="N91" s="28"/>
      <c r="O91" s="28"/>
      <c r="P91" s="28"/>
      <c r="Q91" s="28"/>
      <c r="R91" s="28"/>
      <c r="S91" s="28"/>
      <c r="T91" s="28"/>
      <c r="U91" s="28"/>
      <c r="V91" s="28"/>
      <c r="W91" s="28"/>
      <c r="X91" s="28"/>
      <c r="Y91" s="28"/>
      <c r="Z91" s="28"/>
      <c r="AA91" s="28"/>
      <c r="AB91" s="28"/>
    </row>
    <row r="92">
      <c r="A92" s="21" t="s">
        <v>206</v>
      </c>
      <c r="B92" s="22" t="s">
        <v>207</v>
      </c>
      <c r="C92" s="23" t="s">
        <v>208</v>
      </c>
      <c r="D92" s="23" t="str">
        <f>IFERROR(__xludf.DUMMYFUNCTION("GOOGLETRANSLATE(B92, ""en"", ""es"")"),"Nombre del personaje cambiado.")</f>
        <v>Nombre del personaje cambiado.</v>
      </c>
      <c r="E92" s="23" t="str">
        <f>IFERROR(__xludf.DUMMYFUNCTION("GOOGLETRANSLATE(B92, ""en"", ""ru"")"),"Имя персонажа изменилось.")</f>
        <v>Имя персонажа изменилось.</v>
      </c>
      <c r="F92" s="23" t="str">
        <f>IFERROR(__xludf.DUMMYFUNCTION("GOOGLETRANSLATE(B92, ""en"", ""tr"")"),"Karakter adı değişti.")</f>
        <v>Karakter adı değişti.</v>
      </c>
      <c r="G92" s="23" t="str">
        <f>IFERROR(__xludf.DUMMYFUNCTION("GOOGLETRANSLATE(B92, ""en"", ""pt"")"),"Nome do personagem alterado.")</f>
        <v>Nome do personagem alterado.</v>
      </c>
      <c r="H92" s="24" t="str">
        <f>IFERROR(__xludf.DUMMYFUNCTION("GOOGLETRANSLATE(B92, ""en"", ""de"")"),"Zeichenname wurde geändert.")</f>
        <v>Zeichenname wurde geändert.</v>
      </c>
      <c r="I92" s="23" t="str">
        <f>IFERROR(__xludf.DUMMYFUNCTION("GOOGLETRANSLATE(B92, ""en"", ""pl"")"),"Zmieniono nazwę znaku.")</f>
        <v>Zmieniono nazwę znaku.</v>
      </c>
      <c r="J92" s="25" t="str">
        <f>IFERROR(__xludf.DUMMYFUNCTION("GOOGLETRANSLATE(B92, ""en"", ""zh"")"),"字符名称已更改。")</f>
        <v>字符名称已更改。</v>
      </c>
      <c r="K92" s="25" t="str">
        <f>IFERROR(__xludf.DUMMYFUNCTION("GOOGLETRANSLATE(B92, ""en"", ""vi"")"),"Tên nhân vật đã thay đổi.")</f>
        <v>Tên nhân vật đã thay đổi.</v>
      </c>
      <c r="L92" s="26" t="str">
        <f>IFERROR(__xludf.DUMMYFUNCTION("GOOGLETRANSLATE(B92, ""en"", ""hr"")"),"Ime znakova promijenio.")</f>
        <v>Ime znakova promijenio.</v>
      </c>
      <c r="M92" s="28"/>
      <c r="N92" s="28"/>
      <c r="O92" s="28"/>
      <c r="P92" s="28"/>
      <c r="Q92" s="28"/>
      <c r="R92" s="28"/>
      <c r="S92" s="28"/>
      <c r="T92" s="28"/>
      <c r="U92" s="28"/>
      <c r="V92" s="28"/>
      <c r="W92" s="28"/>
      <c r="X92" s="28"/>
      <c r="Y92" s="28"/>
      <c r="Z92" s="28"/>
      <c r="AA92" s="28"/>
      <c r="AB92" s="28"/>
    </row>
    <row r="93">
      <c r="A93" s="21" t="s">
        <v>209</v>
      </c>
      <c r="B93" s="22" t="s">
        <v>210</v>
      </c>
      <c r="C93" s="23" t="str">
        <f>IFERROR(__xludf.DUMMYFUNCTION("GOOGLETRANSLATE(B93, ""en"", ""fr"")"),"Acheter des articles")</f>
        <v>Acheter des articles</v>
      </c>
      <c r="D93" s="23" t="str">
        <f>IFERROR(__xludf.DUMMYFUNCTION("GOOGLETRANSLATE(B93, ""en"", ""es"")"),"Artículos de compra")</f>
        <v>Artículos de compra</v>
      </c>
      <c r="E93" s="23" t="str">
        <f>IFERROR(__xludf.DUMMYFUNCTION("GOOGLETRANSLATE(B93, ""en"", ""ru"")"),"Покупка предметов")</f>
        <v>Покупка предметов</v>
      </c>
      <c r="F93" s="23" t="str">
        <f>IFERROR(__xludf.DUMMYFUNCTION("GOOGLETRANSLATE(B93, ""en"", ""tr"")"),"Ürün satın alma")</f>
        <v>Ürün satın alma</v>
      </c>
      <c r="G93" s="23" t="str">
        <f>IFERROR(__xludf.DUMMYFUNCTION("GOOGLETRANSLATE(B93, ""en"", ""pt"")"),"Comprando itens.")</f>
        <v>Comprando itens.</v>
      </c>
      <c r="H93" s="24" t="str">
        <f>IFERROR(__xludf.DUMMYFUNCTION("GOOGLETRANSLATE(B93, ""en"", ""de"")"),"Artikel kaufen.")</f>
        <v>Artikel kaufen.</v>
      </c>
      <c r="I93" s="23" t="str">
        <f>IFERROR(__xludf.DUMMYFUNCTION("GOOGLETRANSLATE(B93, ""en"", ""pl"")"),"Kupowanie przedmiotów")</f>
        <v>Kupowanie przedmiotów</v>
      </c>
      <c r="J93" s="25" t="str">
        <f>IFERROR(__xludf.DUMMYFUNCTION("GOOGLETRANSLATE(B93, ""en"", ""zh"")"),"购买物品")</f>
        <v>购买物品</v>
      </c>
      <c r="K93" s="25" t="str">
        <f>IFERROR(__xludf.DUMMYFUNCTION("GOOGLETRANSLATE(B93, ""en"", ""vi"")"),"Mua vật phẩm")</f>
        <v>Mua vật phẩm</v>
      </c>
      <c r="L93" s="26" t="str">
        <f>IFERROR(__xludf.DUMMYFUNCTION("GOOGLETRANSLATE(B93, ""en"", ""hr"")"),"Kupnja stavki")</f>
        <v>Kupnja stavki</v>
      </c>
      <c r="M93" s="28"/>
      <c r="N93" s="28"/>
      <c r="O93" s="28"/>
      <c r="P93" s="28"/>
      <c r="Q93" s="28"/>
      <c r="R93" s="28"/>
      <c r="S93" s="28"/>
      <c r="T93" s="28"/>
      <c r="U93" s="28"/>
      <c r="V93" s="28"/>
      <c r="W93" s="28"/>
      <c r="X93" s="28"/>
      <c r="Y93" s="28"/>
      <c r="Z93" s="28"/>
      <c r="AA93" s="28"/>
      <c r="AB93" s="28"/>
    </row>
    <row r="94">
      <c r="A94" s="21" t="s">
        <v>211</v>
      </c>
      <c r="B94" s="22" t="s">
        <v>212</v>
      </c>
      <c r="C94" s="23" t="s">
        <v>213</v>
      </c>
      <c r="D94" s="23" t="str">
        <f>IFERROR(__xludf.DUMMYFUNCTION("GOOGLETRANSLATE(B94, ""en"", ""es"")"),"Reunión")</f>
        <v>Reunión</v>
      </c>
      <c r="E94" s="23" t="str">
        <f>IFERROR(__xludf.DUMMYFUNCTION("GOOGLETRANSLATE(B94, ""en"", ""ru"")"),"Встреча")</f>
        <v>Встреча</v>
      </c>
      <c r="F94" s="23" t="str">
        <f>IFERROR(__xludf.DUMMYFUNCTION("GOOGLETRANSLATE(B94, ""en"", ""tr"")"),"Toplanma")</f>
        <v>Toplanma</v>
      </c>
      <c r="G94" s="23" t="str">
        <f>IFERROR(__xludf.DUMMYFUNCTION("GOOGLETRANSLATE(B94, ""en"", ""pt"")"),"Reunião")</f>
        <v>Reunião</v>
      </c>
      <c r="H94" s="24" t="str">
        <f>IFERROR(__xludf.DUMMYFUNCTION("GOOGLETRANSLATE(B94, ""en"", ""de"")"),"Sammeln")</f>
        <v>Sammeln</v>
      </c>
      <c r="I94" s="23" t="str">
        <f>IFERROR(__xludf.DUMMYFUNCTION("GOOGLETRANSLATE(B94, ""en"", ""pl"")"),"Zgromadzenie")</f>
        <v>Zgromadzenie</v>
      </c>
      <c r="J94" s="25" t="str">
        <f>IFERROR(__xludf.DUMMYFUNCTION("GOOGLETRANSLATE(B94, ""en"", ""zh"")"),"搜集")</f>
        <v>搜集</v>
      </c>
      <c r="K94" s="25" t="str">
        <f>IFERROR(__xludf.DUMMYFUNCTION("GOOGLETRANSLATE(B94, ""en"", ""vi"")"),"Thu thập")</f>
        <v>Thu thập</v>
      </c>
      <c r="L94" s="26" t="str">
        <f>IFERROR(__xludf.DUMMYFUNCTION("GOOGLETRANSLATE(B94, ""en"", ""hr"")"),"Prikupljanje")</f>
        <v>Prikupljanje</v>
      </c>
      <c r="M94" s="28"/>
      <c r="N94" s="28"/>
      <c r="O94" s="28"/>
      <c r="P94" s="28"/>
      <c r="Q94" s="28"/>
      <c r="R94" s="28"/>
      <c r="S94" s="28"/>
      <c r="T94" s="28"/>
      <c r="U94" s="28"/>
      <c r="V94" s="28"/>
      <c r="W94" s="28"/>
      <c r="X94" s="28"/>
      <c r="Y94" s="28"/>
      <c r="Z94" s="28"/>
      <c r="AA94" s="28"/>
      <c r="AB94" s="28"/>
    </row>
    <row r="95">
      <c r="A95" s="21" t="s">
        <v>214</v>
      </c>
      <c r="B95" s="22" t="s">
        <v>215</v>
      </c>
      <c r="C95" s="23" t="str">
        <f>IFERROR(__xludf.DUMMYFUNCTION("GOOGLETRANSLATE(B95, ""en"", ""fr"")"),"Vêtements d'artisanat")</f>
        <v>Vêtements d'artisanat</v>
      </c>
      <c r="D95" s="23" t="str">
        <f>IFERROR(__xludf.DUMMYFUNCTION("GOOGLETRANSLATE(B95, ""en"", ""es"")"),"Crafting Ropa")</f>
        <v>Crafting Ropa</v>
      </c>
      <c r="E95" s="23" t="str">
        <f>IFERROR(__xludf.DUMMYFUNCTION("GOOGLETRANSLATE(B95, ""en"", ""ru"")"),"Одежда для крафта")</f>
        <v>Одежда для крафта</v>
      </c>
      <c r="F95" s="23" t="str">
        <f>IFERROR(__xludf.DUMMYFUNCTION("GOOGLETRANSLATE(B95, ""en"", ""tr"")"),"İşçiliği kıyafetleri")</f>
        <v>İşçiliği kıyafetleri</v>
      </c>
      <c r="G95" s="23" t="str">
        <f>IFERROR(__xludf.DUMMYFUNCTION("GOOGLETRANSLATE(B95, ""en"", ""pt"")"),"Artesanalmente roupas")</f>
        <v>Artesanalmente roupas</v>
      </c>
      <c r="H95" s="24" t="str">
        <f>IFERROR(__xludf.DUMMYFUNCTION("GOOGLETRANSLATE(B95, ""en"", ""de"")"),"Kräuselende Kleidung")</f>
        <v>Kräuselende Kleidung</v>
      </c>
      <c r="I95" s="23" t="str">
        <f>IFERROR(__xludf.DUMMYFUNCTION("GOOGLETRANSLATE(B95, ""en"", ""pl"")"),"Odzież rzemieślnicza")</f>
        <v>Odzież rzemieślnicza</v>
      </c>
      <c r="J95" s="25" t="str">
        <f>IFERROR(__xludf.DUMMYFUNCTION("GOOGLETRANSLATE(B95, ""en"", ""zh"")"),"制作衣服")</f>
        <v>制作衣服</v>
      </c>
      <c r="K95" s="25" t="str">
        <f>IFERROR(__xludf.DUMMYFUNCTION("GOOGLETRANSLATE(B95, ""en"", ""vi"")"),"Chế tạo quần áo")</f>
        <v>Chế tạo quần áo</v>
      </c>
      <c r="L95" s="26" t="str">
        <f>IFERROR(__xludf.DUMMYFUNCTION("GOOGLETRANSLATE(B95, ""en"", ""hr"")"),"Odjeća za izradu")</f>
        <v>Odjeća za izradu</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""fr"")"),"Crafting Barres métalliques")</f>
        <v>Crafting Barres métalliques</v>
      </c>
      <c r="D96" s="23" t="str">
        <f>IFERROR(__xludf.DUMMYFUNCTION("GOOGLETRANSLATE(B96, ""en"", ""es"")"),"Elaboración de barras de metal")</f>
        <v>Elaboración de barras de metal</v>
      </c>
      <c r="E96" s="23" t="str">
        <f>IFERROR(__xludf.DUMMYFUNCTION("GOOGLETRANSLATE(B96, ""en"", ""ru"")"),"Ремесленные металлические бары")</f>
        <v>Ремесленные металлические бары</v>
      </c>
      <c r="F96" s="23" t="str">
        <f>IFERROR(__xludf.DUMMYFUNCTION("GOOGLETRANSLATE(B96, ""en"", ""tr"")"),"Metal çubuklar işçiliği")</f>
        <v>Metal çubuklar işçiliği</v>
      </c>
      <c r="G96" s="23" t="str">
        <f>IFERROR(__xludf.DUMMYFUNCTION("GOOGLETRANSLATE(B96, ""en"", ""pt"")"),"Crafting Metal Bars.")</f>
        <v>Crafting Metal Bars.</v>
      </c>
      <c r="H96" s="24" t="str">
        <f>IFERROR(__xludf.DUMMYFUNCTION("GOOGLETRANSLATE(B96, ""en"", ""de"")"),"Metallstäbe basteln.")</f>
        <v>Metallstäbe basteln.</v>
      </c>
      <c r="I96" s="23" t="str">
        <f>IFERROR(__xludf.DUMMYFUNCTION("GOOGLETRANSLATE(B96, ""en"", ""pl"")"),"Crafting metalowe pręty")</f>
        <v>Crafting metalowe pręty</v>
      </c>
      <c r="J96" s="25" t="str">
        <f>IFERROR(__xludf.DUMMYFUNCTION("GOOGLETRANSLATE(B96, ""en"", ""zh"")"),"制作金属棒")</f>
        <v>制作金属棒</v>
      </c>
      <c r="K96" s="25" t="str">
        <f>IFERROR(__xludf.DUMMYFUNCTION("GOOGLETRANSLATE(B96, ""en"", ""vi"")"),"Crafting Metal Bars.")</f>
        <v>Crafting Metal Bars.</v>
      </c>
      <c r="L96" s="26" t="str">
        <f>IFERROR(__xludf.DUMMYFUNCTION("GOOGLETRANSLATE(B96, ""en"", ""hr"")"),"Crafting Metal Bars")</f>
        <v>Crafting Metal Bars</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""fr"")"),"Armes d'artisanat")</f>
        <v>Armes d'artisanat</v>
      </c>
      <c r="D97" s="23" t="str">
        <f>IFERROR(__xludf.DUMMYFUNCTION("GOOGLETRANSLATE(B97, ""en"", ""es"")"),"Armas de elaboración")</f>
        <v>Armas de elaboración</v>
      </c>
      <c r="E97" s="23" t="str">
        <f>IFERROR(__xludf.DUMMYFUNCTION("GOOGLETRANSLATE(B97, ""en"", ""ru"")"),"Оручье оружие")</f>
        <v>Оручье оружие</v>
      </c>
      <c r="F97" s="23" t="str">
        <f>IFERROR(__xludf.DUMMYFUNCTION("GOOGLETRANSLATE(B97, ""en"", ""tr"")"),"Silah işçiliği")</f>
        <v>Silah işçiliği</v>
      </c>
      <c r="G97" s="23" t="str">
        <f>IFERROR(__xludf.DUMMYFUNCTION("GOOGLETRANSLATE(B97, ""en"", ""pt"")"),"Armas de artesanato")</f>
        <v>Armas de artesanato</v>
      </c>
      <c r="H97" s="24" t="str">
        <f>IFERROR(__xludf.DUMMYFUNCTION("GOOGLETRANSLATE(B97, ""en"", ""de"")"),"Waffen baulenzen.")</f>
        <v>Waffen baulenzen.</v>
      </c>
      <c r="I97" s="23" t="str">
        <f>IFERROR(__xludf.DUMMYFUNCTION("GOOGLETRANSLATE(B97, ""en"", ""pl"")"),"Crafting Weapons.")</f>
        <v>Crafting Weapons.</v>
      </c>
      <c r="J97" s="25" t="str">
        <f>IFERROR(__xludf.DUMMYFUNCTION("GOOGLETRANSLATE(B97, ""en"", ""zh"")"),"制作武器")</f>
        <v>制作武器</v>
      </c>
      <c r="K97" s="25" t="str">
        <f>IFERROR(__xludf.DUMMYFUNCTION("GOOGLETRANSLATE(B97, ""en"", ""vi"")"),"Vũ khí chế tạo")</f>
        <v>Vũ khí chế tạo</v>
      </c>
      <c r="L97" s="26" t="str">
        <f>IFERROR(__xludf.DUMMYFUNCTION("GOOGLETRANSLATE(B97, ""en"", ""hr"")"),"Izraditi oružje")</f>
        <v>Izraditi oružje</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""fr"")"),"Bancaire")</f>
        <v>Bancaire</v>
      </c>
      <c r="D98" s="23" t="str">
        <f>IFERROR(__xludf.DUMMYFUNCTION("GOOGLETRANSLATE(B98, ""en"", ""es"")"),"Bancario")</f>
        <v>Bancario</v>
      </c>
      <c r="E98" s="23" t="str">
        <f>IFERROR(__xludf.DUMMYFUNCTION("GOOGLETRANSLATE(B98, ""en"", ""ru"")"),"Банковское дело")</f>
        <v>Банковское дело</v>
      </c>
      <c r="F98" s="23" t="str">
        <f>IFERROR(__xludf.DUMMYFUNCTION("GOOGLETRANSLATE(B98, ""en"", ""tr"")"),"Bankacılık")</f>
        <v>Bankacılık</v>
      </c>
      <c r="G98" s="23" t="str">
        <f>IFERROR(__xludf.DUMMYFUNCTION("GOOGLETRANSLATE(B98, ""en"", ""pt"")"),"Bancário")</f>
        <v>Bancário</v>
      </c>
      <c r="H98" s="24" t="str">
        <f>IFERROR(__xludf.DUMMYFUNCTION("GOOGLETRANSLATE(B98, ""en"", ""de"")"),"Banken")</f>
        <v>Banken</v>
      </c>
      <c r="I98" s="23" t="str">
        <f>IFERROR(__xludf.DUMMYFUNCTION("GOOGLETRANSLATE(B98, ""en"", ""pl"")"),"Bankowość")</f>
        <v>Bankowość</v>
      </c>
      <c r="J98" s="25" t="str">
        <f>IFERROR(__xludf.DUMMYFUNCTION("GOOGLETRANSLATE(B98, ""en"", ""zh"")"),"银行业")</f>
        <v>银行业</v>
      </c>
      <c r="K98" s="25" t="str">
        <f>IFERROR(__xludf.DUMMYFUNCTION("GOOGLETRANSLATE(B98, ""en"", ""vi"")"),"Ngân hàng.")</f>
        <v>Ngân hàng.</v>
      </c>
      <c r="L98" s="26" t="str">
        <f>IFERROR(__xludf.DUMMYFUNCTION("GOOGLETRANSLATE(B98, ""en"", ""hr"")"),"Bankarstvo")</f>
        <v>Bankarstvo</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""fr"")"),"Combat")</f>
        <v>Combat</v>
      </c>
      <c r="D99" s="23" t="str">
        <f>IFERROR(__xludf.DUMMYFUNCTION("GOOGLETRANSLATE(B99, ""en"", ""es"")"),"Combate")</f>
        <v>Combate</v>
      </c>
      <c r="E99" s="23" t="str">
        <f>IFERROR(__xludf.DUMMYFUNCTION("GOOGLETRANSLATE(B99, ""en"", ""ru"")"),"Бой")</f>
        <v>Бой</v>
      </c>
      <c r="F99" s="23" t="str">
        <f>IFERROR(__xludf.DUMMYFUNCTION("GOOGLETRANSLATE(B99, ""en"", ""tr"")"),"Mücâdele etmek")</f>
        <v>Mücâdele etmek</v>
      </c>
      <c r="G99" s="23" t="str">
        <f>IFERROR(__xludf.DUMMYFUNCTION("GOOGLETRANSLATE(B99, ""en"", ""pt"")"),"Combate")</f>
        <v>Combate</v>
      </c>
      <c r="H99" s="24" t="str">
        <f>IFERROR(__xludf.DUMMYFUNCTION("GOOGLETRANSLATE(B99, ""en"", ""de"")"),"Kampf")</f>
        <v>Kampf</v>
      </c>
      <c r="I99" s="23" t="str">
        <f>IFERROR(__xludf.DUMMYFUNCTION("GOOGLETRANSLATE(B99, ""en"", ""pl"")"),"Walka")</f>
        <v>Walka</v>
      </c>
      <c r="J99" s="25" t="str">
        <f>IFERROR(__xludf.DUMMYFUNCTION("GOOGLETRANSLATE(B99, ""en"", ""zh"")"),"战斗")</f>
        <v>战斗</v>
      </c>
      <c r="K99" s="25" t="str">
        <f>IFERROR(__xludf.DUMMYFUNCTION("GOOGLETRANSLATE(B99, ""en"", ""vi"")"),"Chiến đấu")</f>
        <v>Chiến đấu</v>
      </c>
      <c r="L99" s="26" t="str">
        <f>IFERROR(__xludf.DUMMYFUNCTION("GOOGLETRANSLATE(B99, ""en"", ""hr"")"),"Borba")</f>
        <v>Borba</v>
      </c>
      <c r="M99" s="28"/>
      <c r="N99" s="28"/>
      <c r="O99" s="28"/>
      <c r="P99" s="28"/>
      <c r="Q99" s="28"/>
      <c r="R99" s="28"/>
      <c r="S99" s="28"/>
      <c r="T99" s="28"/>
      <c r="U99" s="28"/>
      <c r="V99" s="28"/>
      <c r="W99" s="28"/>
      <c r="X99" s="28"/>
      <c r="Y99" s="28"/>
      <c r="Z99" s="28"/>
      <c r="AA99" s="28"/>
      <c r="AB99" s="28"/>
    </row>
    <row r="100">
      <c r="A100" s="21" t="s">
        <v>224</v>
      </c>
      <c r="B100" s="22" t="s">
        <v>225</v>
      </c>
      <c r="C100" s="23" t="str">
        <f>IFERROR(__xludf.DUMMYFUNCTION("GOOGLETRANSLATE(B100, ""en"", ""fr"")"),"TOUS")</f>
        <v>TOUS</v>
      </c>
      <c r="D100" s="23" t="str">
        <f>IFERROR(__xludf.DUMMYFUNCTION("GOOGLETRANSLATE(B100, ""en"", ""es"")"),"TODOS")</f>
        <v>TODOS</v>
      </c>
      <c r="E100" s="23" t="str">
        <f>IFERROR(__xludf.DUMMYFUNCTION("GOOGLETRANSLATE(B100, ""en"", ""ru"")"),"ВСЕ")</f>
        <v>ВСЕ</v>
      </c>
      <c r="F100" s="23" t="str">
        <f>IFERROR(__xludf.DUMMYFUNCTION("GOOGLETRANSLATE(B100, ""en"", ""tr"")"),"HERŞEY")</f>
        <v>HERŞEY</v>
      </c>
      <c r="G100" s="23" t="str">
        <f>IFERROR(__xludf.DUMMYFUNCTION("GOOGLETRANSLATE(B100, ""en"", ""pt"")"),"TUDO")</f>
        <v>TUDO</v>
      </c>
      <c r="H100" s="24" t="str">
        <f>IFERROR(__xludf.DUMMYFUNCTION("GOOGLETRANSLATE(B100, ""en"", ""de"")"),"ALLE")</f>
        <v>ALLE</v>
      </c>
      <c r="I100" s="23" t="str">
        <f>IFERROR(__xludf.DUMMYFUNCTION("GOOGLETRANSLATE(B100, ""en"", ""pl"")"),"WSZYSTKO")</f>
        <v>WSZYSTKO</v>
      </c>
      <c r="J100" s="25" t="str">
        <f>IFERROR(__xludf.DUMMYFUNCTION("GOOGLETRANSLATE(B100, ""en"", ""zh"")"),"全部")</f>
        <v>全部</v>
      </c>
      <c r="K100" s="25" t="str">
        <f>IFERROR(__xludf.DUMMYFUNCTION("GOOGLETRANSLATE(B100, ""en"", ""vi"")"),"TẤT CẢ CÁC")</f>
        <v>TẤT CẢ CÁC</v>
      </c>
      <c r="L100" s="26" t="str">
        <f>IFERROR(__xludf.DUMMYFUNCTION("GOOGLETRANSLATE(B100, ""en"", ""hr"")"),"SVI")</f>
        <v>SVI</v>
      </c>
      <c r="M100" s="28"/>
      <c r="N100" s="28"/>
      <c r="O100" s="28"/>
      <c r="P100" s="28"/>
      <c r="Q100" s="28"/>
      <c r="R100" s="28"/>
      <c r="S100" s="28"/>
      <c r="T100" s="28"/>
      <c r="U100" s="28"/>
      <c r="V100" s="28"/>
      <c r="W100" s="28"/>
      <c r="X100" s="28"/>
      <c r="Y100" s="28"/>
      <c r="Z100" s="28"/>
      <c r="AA100" s="28"/>
      <c r="AB100" s="28"/>
    </row>
    <row r="101">
      <c r="A101" s="21" t="s">
        <v>226</v>
      </c>
      <c r="B101" s="22" t="s">
        <v>227</v>
      </c>
      <c r="C101" s="23" t="str">
        <f>IFERROR(__xludf.DUMMYFUNCTION("GOOGLETRANSLATE(B101, ""en"", ""fr"")"),"LOCAL")</f>
        <v>LOCAL</v>
      </c>
      <c r="D101" s="23" t="str">
        <f>IFERROR(__xludf.DUMMYFUNCTION("GOOGLETRANSLATE(B101, ""en"", ""es"")"),"LOCAL")</f>
        <v>LOCAL</v>
      </c>
      <c r="E101" s="23" t="str">
        <f>IFERROR(__xludf.DUMMYFUNCTION("GOOGLETRANSLATE(B101, ""en"", ""ru"")"),"МЕСТНЫЙ")</f>
        <v>МЕСТНЫЙ</v>
      </c>
      <c r="F101" s="23" t="str">
        <f>IFERROR(__xludf.DUMMYFUNCTION("GOOGLETRANSLATE(B101, ""en"", ""tr"")"),"YEREL")</f>
        <v>YEREL</v>
      </c>
      <c r="G101" s="23" t="str">
        <f>IFERROR(__xludf.DUMMYFUNCTION("GOOGLETRANSLATE(B101, ""en"", ""pt"")"),"LOCAL")</f>
        <v>LOCAL</v>
      </c>
      <c r="H101" s="24" t="str">
        <f>IFERROR(__xludf.DUMMYFUNCTION("GOOGLETRANSLATE(B101, ""en"", ""de"")"),"LOKAL")</f>
        <v>LOKAL</v>
      </c>
      <c r="I101" s="23" t="str">
        <f>IFERROR(__xludf.DUMMYFUNCTION("GOOGLETRANSLATE(B101, ""en"", ""pl"")"),"LOKALNY")</f>
        <v>LOKALNY</v>
      </c>
      <c r="J101" s="25" t="str">
        <f>IFERROR(__xludf.DUMMYFUNCTION("GOOGLETRANSLATE(B101, ""en"", ""zh"")"),"当地的")</f>
        <v>当地的</v>
      </c>
      <c r="K101" s="25" t="str">
        <f>IFERROR(__xludf.DUMMYFUNCTION("GOOGLETRANSLATE(B101, ""en"", ""vi"")"),"ĐỊA PHƯƠNG")</f>
        <v>ĐỊA PHƯƠNG</v>
      </c>
      <c r="L101" s="26" t="str">
        <f>IFERROR(__xludf.DUMMYFUNCTION("GOOGLETRANSLATE(B101, ""en"", ""hr"")"),"Lokalni")</f>
        <v>Lokalni</v>
      </c>
      <c r="M101" s="28"/>
      <c r="N101" s="28"/>
      <c r="O101" s="28"/>
      <c r="P101" s="28"/>
      <c r="Q101" s="28"/>
      <c r="R101" s="28"/>
      <c r="S101" s="28"/>
      <c r="T101" s="28"/>
      <c r="U101" s="28"/>
      <c r="V101" s="28"/>
      <c r="W101" s="28"/>
      <c r="X101" s="28"/>
      <c r="Y101" s="28"/>
      <c r="Z101" s="28"/>
      <c r="AA101" s="28"/>
      <c r="AB101" s="28"/>
    </row>
    <row r="102">
      <c r="A102" s="21" t="s">
        <v>228</v>
      </c>
      <c r="B102" s="22" t="s">
        <v>229</v>
      </c>
      <c r="C102" s="23" t="str">
        <f>IFERROR(__xludf.DUMMYFUNCTION("GOOGLETRANSLATE(B102, ""en"", ""fr"")"),"GLOBAL")</f>
        <v>GLOBAL</v>
      </c>
      <c r="D102" s="23" t="str">
        <f>IFERROR(__xludf.DUMMYFUNCTION("GOOGLETRANSLATE(B102, ""en"", ""es"")"),"GLOBAL")</f>
        <v>GLOBAL</v>
      </c>
      <c r="E102" s="23" t="str">
        <f>IFERROR(__xludf.DUMMYFUNCTION("GOOGLETRANSLATE(B102, ""en"", ""ru"")"),"ГЛОБАЛЬНЫЙ")</f>
        <v>ГЛОБАЛЬНЫЙ</v>
      </c>
      <c r="F102" s="23" t="str">
        <f>IFERROR(__xludf.DUMMYFUNCTION("GOOGLETRANSLATE(B102, ""en"", ""tr"")"),"Küresel")</f>
        <v>Küresel</v>
      </c>
      <c r="G102" s="23" t="str">
        <f>IFERROR(__xludf.DUMMYFUNCTION("GOOGLETRANSLATE(B102, ""en"", ""pt"")"),"GLOBAL")</f>
        <v>GLOBAL</v>
      </c>
      <c r="H102" s="24" t="str">
        <f>IFERROR(__xludf.DUMMYFUNCTION("GOOGLETRANSLATE(B102, ""en"", ""de"")"),"Global")</f>
        <v>Global</v>
      </c>
      <c r="I102" s="23" t="str">
        <f>IFERROR(__xludf.DUMMYFUNCTION("GOOGLETRANSLATE(B102, ""en"", ""pl"")"),"ŚWIATOWY")</f>
        <v>ŚWIATOWY</v>
      </c>
      <c r="J102" s="25" t="str">
        <f>IFERROR(__xludf.DUMMYFUNCTION("GOOGLETRANSLATE(B102, ""en"", ""zh"")"),"全球的")</f>
        <v>全球的</v>
      </c>
      <c r="K102" s="25" t="str">
        <f>IFERROR(__xludf.DUMMYFUNCTION("GOOGLETRANSLATE(B102, ""en"", ""vi"")"),"TOÀN CẦU")</f>
        <v>TOÀN CẦU</v>
      </c>
      <c r="L102" s="26" t="str">
        <f>IFERROR(__xludf.DUMMYFUNCTION("GOOGLETRANSLATE(B102, ""en"", ""hr"")"),"GLOBALNO")</f>
        <v>GLOBALNO</v>
      </c>
      <c r="M102" s="28"/>
      <c r="N102" s="28"/>
      <c r="O102" s="28"/>
      <c r="P102" s="28"/>
      <c r="Q102" s="28"/>
      <c r="R102" s="28"/>
      <c r="S102" s="28"/>
      <c r="T102" s="28"/>
      <c r="U102" s="28"/>
      <c r="V102" s="28"/>
      <c r="W102" s="28"/>
      <c r="X102" s="28"/>
      <c r="Y102" s="28"/>
      <c r="Z102" s="28"/>
      <c r="AA102" s="28"/>
      <c r="AB102" s="28"/>
    </row>
    <row r="103">
      <c r="A103" s="21" t="s">
        <v>230</v>
      </c>
      <c r="B103" s="22" t="s">
        <v>231</v>
      </c>
      <c r="C103" s="23" t="str">
        <f>IFERROR(__xludf.DUMMYFUNCTION("GOOGLETRANSLATE(B103, ""en"", ""fr"")"),"COMMERCE")</f>
        <v>COMMERCE</v>
      </c>
      <c r="D103" s="23" t="str">
        <f>IFERROR(__xludf.DUMMYFUNCTION("GOOGLETRANSLATE(B103, ""en"", ""es"")"),"COMERCIO")</f>
        <v>COMERCIO</v>
      </c>
      <c r="E103" s="23" t="str">
        <f>IFERROR(__xludf.DUMMYFUNCTION("GOOGLETRANSLATE(B103, ""en"", ""ru"")"),"ТОРГОВЛЯ")</f>
        <v>ТОРГОВЛЯ</v>
      </c>
      <c r="F103" s="23" t="str">
        <f>IFERROR(__xludf.DUMMYFUNCTION("GOOGLETRANSLATE(B103, ""en"", ""tr"")"),"TİCARET")</f>
        <v>TİCARET</v>
      </c>
      <c r="G103" s="23" t="str">
        <f>IFERROR(__xludf.DUMMYFUNCTION("GOOGLETRANSLATE(B103, ""en"", ""pt"")"),"TROCA")</f>
        <v>TROCA</v>
      </c>
      <c r="H103" s="24" t="str">
        <f>IFERROR(__xludf.DUMMYFUNCTION("GOOGLETRANSLATE(B103, ""en"", ""de"")"),"HANDEL")</f>
        <v>HANDEL</v>
      </c>
      <c r="I103" s="23" t="str">
        <f>IFERROR(__xludf.DUMMYFUNCTION("GOOGLETRANSLATE(B103, ""en"", ""pl"")"),"HANDEL")</f>
        <v>HANDEL</v>
      </c>
      <c r="J103" s="25" t="str">
        <f>IFERROR(__xludf.DUMMYFUNCTION("GOOGLETRANSLATE(B103, ""en"", ""zh"")"),"贸易")</f>
        <v>贸易</v>
      </c>
      <c r="K103" s="25" t="str">
        <f>IFERROR(__xludf.DUMMYFUNCTION("GOOGLETRANSLATE(B103, ""en"", ""vi"")"),"BUÔN BÁN")</f>
        <v>BUÔN BÁN</v>
      </c>
      <c r="L103" s="26" t="str">
        <f>IFERROR(__xludf.DUMMYFUNCTION("GOOGLETRANSLATE(B103, ""en"", ""hr"")"),"TRGOVINA")</f>
        <v>TRGOVINA</v>
      </c>
      <c r="M103" s="28"/>
      <c r="N103" s="28"/>
      <c r="O103" s="28"/>
      <c r="P103" s="28"/>
      <c r="Q103" s="28"/>
      <c r="R103" s="28"/>
      <c r="S103" s="28"/>
      <c r="T103" s="28"/>
      <c r="U103" s="28"/>
      <c r="V103" s="28"/>
      <c r="W103" s="28"/>
      <c r="X103" s="28"/>
      <c r="Y103" s="28"/>
      <c r="Z103" s="28"/>
      <c r="AA103" s="28"/>
      <c r="AB103" s="28"/>
    </row>
    <row r="104">
      <c r="A104" s="21" t="s">
        <v>232</v>
      </c>
      <c r="B104" s="22" t="s">
        <v>233</v>
      </c>
      <c r="C104" s="23" t="str">
        <f>IFERROR(__xludf.DUMMYFUNCTION("GOOGLETRANSLATE(B104, ""en"", ""fr"")"),"Entrez un message")</f>
        <v>Entrez un message</v>
      </c>
      <c r="D104" s="23" t="str">
        <f>IFERROR(__xludf.DUMMYFUNCTION("GOOGLETRANSLATE(B104, ""en"", ""es"")"),"Entrar en un mensaje")</f>
        <v>Entrar en un mensaje</v>
      </c>
      <c r="E104" s="23" t="str">
        <f>IFERROR(__xludf.DUMMYFUNCTION("GOOGLETRANSLATE(B104, ""en"", ""ru"")"),"Введите сообщение")</f>
        <v>Введите сообщение</v>
      </c>
      <c r="F104" s="23" t="str">
        <f>IFERROR(__xludf.DUMMYFUNCTION("GOOGLETRANSLATE(B104, ""en"", ""tr"")"),"Bir mesaj girin")</f>
        <v>Bir mesaj girin</v>
      </c>
      <c r="G104" s="23" t="str">
        <f>IFERROR(__xludf.DUMMYFUNCTION("GOOGLETRANSLATE(B104, ""en"", ""pt"")"),"Digite uma mensagem")</f>
        <v>Digite uma mensagem</v>
      </c>
      <c r="H104" s="24" t="str">
        <f>IFERROR(__xludf.DUMMYFUNCTION("GOOGLETRANSLATE(B104, ""en"", ""de"")"),"Eine Nachricht eingeben")</f>
        <v>Eine Nachricht eingeben</v>
      </c>
      <c r="I104" s="23" t="str">
        <f>IFERROR(__xludf.DUMMYFUNCTION("GOOGLETRANSLATE(B104, ""en"", ""pl"")"),"Wprowadź wiadomość")</f>
        <v>Wprowadź wiadomość</v>
      </c>
      <c r="J104" s="25" t="str">
        <f>IFERROR(__xludf.DUMMYFUNCTION("GOOGLETRANSLATE(B104, ""en"", ""zh"")"),"输入消息")</f>
        <v>输入消息</v>
      </c>
      <c r="K104" s="25" t="str">
        <f>IFERROR(__xludf.DUMMYFUNCTION("GOOGLETRANSLATE(B104, ""en"", ""vi"")"),"Nhập một thông báo")</f>
        <v>Nhập một thông báo</v>
      </c>
      <c r="L104" s="26" t="str">
        <f>IFERROR(__xludf.DUMMYFUNCTION("GOOGLETRANSLATE(B104, ""en"", ""hr"")"),"Unesite poruku")</f>
        <v>Unesite poruku</v>
      </c>
      <c r="M104" s="28"/>
      <c r="N104" s="28"/>
      <c r="O104" s="28"/>
      <c r="P104" s="28"/>
      <c r="Q104" s="28"/>
      <c r="R104" s="28"/>
      <c r="S104" s="28"/>
      <c r="T104" s="28"/>
      <c r="U104" s="28"/>
      <c r="V104" s="28"/>
      <c r="W104" s="28"/>
      <c r="X104" s="28"/>
      <c r="Y104" s="28"/>
      <c r="Z104" s="28"/>
      <c r="AA104" s="28"/>
      <c r="AB104" s="28"/>
    </row>
    <row r="105">
      <c r="A105" s="21" t="s">
        <v>234</v>
      </c>
      <c r="B105" s="22" t="s">
        <v>234</v>
      </c>
      <c r="C105" s="23" t="str">
        <f>IFERROR(__xludf.DUMMYFUNCTION("GOOGLETRANSLATE(B105, ""en"", ""fr"")"),"Refroidir")</f>
        <v>Refroidir</v>
      </c>
      <c r="D105" s="23" t="str">
        <f>IFERROR(__xludf.DUMMYFUNCTION("GOOGLETRANSLATE(B105, ""en"", ""es"")"),"Enfriarse")</f>
        <v>Enfriarse</v>
      </c>
      <c r="E105" s="23" t="str">
        <f>IFERROR(__xludf.DUMMYFUNCTION("GOOGLETRANSLATE(B105, ""en"", ""ru"")"),"Остыть")</f>
        <v>Остыть</v>
      </c>
      <c r="F105" s="23" t="str">
        <f>IFERROR(__xludf.DUMMYFUNCTION("GOOGLETRANSLATE(B105, ""en"", ""tr"")"),"Sakin ol")</f>
        <v>Sakin ol</v>
      </c>
      <c r="G105" s="23" t="str">
        <f>IFERROR(__xludf.DUMMYFUNCTION("GOOGLETRANSLATE(B105, ""en"", ""pt"")"),"Esfriar")</f>
        <v>Esfriar</v>
      </c>
      <c r="H105" s="24" t="str">
        <f>IFERROR(__xludf.DUMMYFUNCTION("GOOGLETRANSLATE(B105, ""en"", ""de"")"),"Abkühlen")</f>
        <v>Abkühlen</v>
      </c>
      <c r="I105" s="23" t="str">
        <f>IFERROR(__xludf.DUMMYFUNCTION("GOOGLETRANSLATE(B105, ""en"", ""pl"")"),"Ochłonąć")</f>
        <v>Ochłonąć</v>
      </c>
      <c r="J105" s="25" t="str">
        <f>IFERROR(__xludf.DUMMYFUNCTION("GOOGLETRANSLATE(B105, ""en"", ""zh"")"),"冷却")</f>
        <v>冷却</v>
      </c>
      <c r="K105" s="25" t="str">
        <f>IFERROR(__xludf.DUMMYFUNCTION("GOOGLETRANSLATE(B105, ""en"", ""vi"")"),"Nguội đi")</f>
        <v>Nguội đi</v>
      </c>
      <c r="L105" s="26" t="str">
        <f>IFERROR(__xludf.DUMMYFUNCTION("GOOGLETRANSLATE(B105, ""en"", ""hr"")"),"Smiri se")</f>
        <v>Smiri se</v>
      </c>
      <c r="M105" s="28"/>
      <c r="N105" s="28"/>
      <c r="O105" s="28"/>
      <c r="P105" s="28"/>
      <c r="Q105" s="28"/>
      <c r="R105" s="28"/>
      <c r="S105" s="28"/>
      <c r="T105" s="28"/>
      <c r="U105" s="28"/>
      <c r="V105" s="28"/>
      <c r="W105" s="28"/>
      <c r="X105" s="28"/>
      <c r="Y105" s="28"/>
      <c r="Z105" s="28"/>
      <c r="AA105" s="28"/>
      <c r="AB105" s="28"/>
    </row>
    <row r="106">
      <c r="A106" s="21" t="s">
        <v>235</v>
      </c>
      <c r="B106" s="22" t="s">
        <v>235</v>
      </c>
      <c r="C106" s="23" t="str">
        <f>IFERROR(__xludf.DUMMYFUNCTION("GOOGLETRANSLATE(B106, ""en"", ""fr"")"),"Envoi en cours")</f>
        <v>Envoi en cours</v>
      </c>
      <c r="D106" s="23" t="str">
        <f>IFERROR(__xludf.DUMMYFUNCTION("GOOGLETRANSLATE(B106, ""en"", ""es"")"),"Enviando")</f>
        <v>Enviando</v>
      </c>
      <c r="E106" s="23" t="str">
        <f>IFERROR(__xludf.DUMMYFUNCTION("GOOGLETRANSLATE(B106, ""en"", ""ru"")"),"Отправка")</f>
        <v>Отправка</v>
      </c>
      <c r="F106" s="23" t="str">
        <f>IFERROR(__xludf.DUMMYFUNCTION("GOOGLETRANSLATE(B106, ""en"", ""tr"")"),"Gönderme")</f>
        <v>Gönderme</v>
      </c>
      <c r="G106" s="23" t="str">
        <f>IFERROR(__xludf.DUMMYFUNCTION("GOOGLETRANSLATE(B106, ""en"", ""pt"")"),"Enviando")</f>
        <v>Enviando</v>
      </c>
      <c r="H106" s="24" t="str">
        <f>IFERROR(__xludf.DUMMYFUNCTION("GOOGLETRANSLATE(B106, ""en"", ""de"")"),"Sendend")</f>
        <v>Sendend</v>
      </c>
      <c r="I106" s="23" t="str">
        <f>IFERROR(__xludf.DUMMYFUNCTION("GOOGLETRANSLATE(B106, ""en"", ""pl"")"),"Wysyłanie")</f>
        <v>Wysyłanie</v>
      </c>
      <c r="J106" s="25" t="str">
        <f>IFERROR(__xludf.DUMMYFUNCTION("GOOGLETRANSLATE(B106, ""en"", ""zh"")"),"送")</f>
        <v>送</v>
      </c>
      <c r="K106" s="25" t="str">
        <f>IFERROR(__xludf.DUMMYFUNCTION("GOOGLETRANSLATE(B106, ""en"", ""vi"")"),"Gửi")</f>
        <v>Gửi</v>
      </c>
      <c r="L106" s="26" t="str">
        <f>IFERROR(__xludf.DUMMYFUNCTION("GOOGLETRANSLATE(B106, ""en"", ""hr"")"),"Slanje")</f>
        <v>Slanje</v>
      </c>
      <c r="M106" s="28"/>
      <c r="N106" s="28"/>
      <c r="O106" s="28"/>
      <c r="P106" s="28"/>
      <c r="Q106" s="28"/>
      <c r="R106" s="28"/>
      <c r="S106" s="28"/>
      <c r="T106" s="28"/>
      <c r="U106" s="28"/>
      <c r="V106" s="28"/>
      <c r="W106" s="28"/>
      <c r="X106" s="28"/>
      <c r="Y106" s="28"/>
      <c r="Z106" s="28"/>
      <c r="AA106" s="28"/>
      <c r="AB106" s="28"/>
    </row>
    <row r="107">
      <c r="A107" s="21" t="s">
        <v>236</v>
      </c>
      <c r="B107" s="22" t="s">
        <v>134</v>
      </c>
      <c r="C107" s="23" t="str">
        <f>IFERROR(__xludf.DUMMYFUNCTION("GOOGLETRANSLATE(B107, ""en"", ""fr"")"),"Statistiques")</f>
        <v>Statistiques</v>
      </c>
      <c r="D107" s="23" t="str">
        <f>IFERROR(__xludf.DUMMYFUNCTION("GOOGLETRANSLATE(B107, ""en"", ""es"")"),"Estadísticas")</f>
        <v>Estadísticas</v>
      </c>
      <c r="E107" s="23" t="str">
        <f>IFERROR(__xludf.DUMMYFUNCTION("GOOGLETRANSLATE(B107, ""en"", ""ru"")"),"Статистика")</f>
        <v>Статистика</v>
      </c>
      <c r="F107" s="23" t="str">
        <f>IFERROR(__xludf.DUMMYFUNCTION("GOOGLETRANSLATE(B107, ""en"", ""tr"")"),"İstatistikler")</f>
        <v>İstatistikler</v>
      </c>
      <c r="G107" s="23" t="str">
        <f>IFERROR(__xludf.DUMMYFUNCTION("GOOGLETRANSLATE(B107, ""en"", ""pt"")"),"Estatísticas")</f>
        <v>Estatísticas</v>
      </c>
      <c r="H107" s="24" t="str">
        <f>IFERROR(__xludf.DUMMYFUNCTION("GOOGLETRANSLATE(B107, ""en"", ""de"")"),"Statistiken")</f>
        <v>Statistiken</v>
      </c>
      <c r="I107" s="23" t="str">
        <f>IFERROR(__xludf.DUMMYFUNCTION("GOOGLETRANSLATE(B107, ""en"", ""pl"")"),"Statystyki")</f>
        <v>Statystyki</v>
      </c>
      <c r="J107" s="25" t="str">
        <f>IFERROR(__xludf.DUMMYFUNCTION("GOOGLETRANSLATE(B107, ""en"", ""zh"")"),"统计")</f>
        <v>统计</v>
      </c>
      <c r="K107" s="25" t="str">
        <f>IFERROR(__xludf.DUMMYFUNCTION("GOOGLETRANSLATE(B107, ""en"", ""vi"")"),"Số liệu thống kê")</f>
        <v>Số liệu thống kê</v>
      </c>
      <c r="L107" s="26" t="str">
        <f>IFERROR(__xludf.DUMMYFUNCTION("GOOGLETRANSLATE(B107, ""en"", ""hr"")"),"Statistika")</f>
        <v>Statistika</v>
      </c>
      <c r="M107" s="28"/>
      <c r="N107" s="28"/>
      <c r="O107" s="28"/>
      <c r="P107" s="28"/>
      <c r="Q107" s="28"/>
      <c r="R107" s="28"/>
      <c r="S107" s="28"/>
      <c r="T107" s="28"/>
      <c r="U107" s="28"/>
      <c r="V107" s="28"/>
      <c r="W107" s="28"/>
      <c r="X107" s="28"/>
      <c r="Y107" s="28"/>
      <c r="Z107" s="28"/>
      <c r="AA107" s="28"/>
      <c r="AB107" s="28"/>
    </row>
    <row r="108">
      <c r="A108" s="21" t="s">
        <v>237</v>
      </c>
      <c r="B108" s="22" t="s">
        <v>238</v>
      </c>
      <c r="C108" s="23" t="str">
        <f>IFERROR(__xludf.DUMMYFUNCTION("GOOGLETRANSLATE(B108, ""en"", ""fr"")"),"Banque")</f>
        <v>Banque</v>
      </c>
      <c r="D108" s="23" t="str">
        <f>IFERROR(__xludf.DUMMYFUNCTION("GOOGLETRANSLATE(B108, ""en"", ""es"")"),"Banco")</f>
        <v>Banco</v>
      </c>
      <c r="E108" s="23" t="str">
        <f>IFERROR(__xludf.DUMMYFUNCTION("GOOGLETRANSLATE(B108, ""en"", ""ru"")"),"банк")</f>
        <v>банк</v>
      </c>
      <c r="F108" s="23" t="str">
        <f>IFERROR(__xludf.DUMMYFUNCTION("GOOGLETRANSLATE(B108, ""en"", ""tr"")"),"Banka")</f>
        <v>Banka</v>
      </c>
      <c r="G108" s="23" t="str">
        <f>IFERROR(__xludf.DUMMYFUNCTION("GOOGLETRANSLATE(B108, ""en"", ""pt"")"),"Banco")</f>
        <v>Banco</v>
      </c>
      <c r="H108" s="24" t="str">
        <f>IFERROR(__xludf.DUMMYFUNCTION("GOOGLETRANSLATE(B108, ""en"", ""de"")"),"Bank")</f>
        <v>Bank</v>
      </c>
      <c r="I108" s="23" t="str">
        <f>IFERROR(__xludf.DUMMYFUNCTION("GOOGLETRANSLATE(B108, ""en"", ""pl"")"),"Bank")</f>
        <v>Bank</v>
      </c>
      <c r="J108" s="25" t="str">
        <f>IFERROR(__xludf.DUMMYFUNCTION("GOOGLETRANSLATE(B108, ""en"", ""zh"")"),"银行")</f>
        <v>银行</v>
      </c>
      <c r="K108" s="25" t="str">
        <f>IFERROR(__xludf.DUMMYFUNCTION("GOOGLETRANSLATE(B108, ""en"", ""vi"")"),"ngân hàng")</f>
        <v>ngân hàng</v>
      </c>
      <c r="L108" s="26" t="str">
        <f>IFERROR(__xludf.DUMMYFUNCTION("GOOGLETRANSLATE(B108, ""en"", ""hr"")"),"Banka")</f>
        <v>Banka</v>
      </c>
      <c r="M108" s="28"/>
      <c r="N108" s="28"/>
      <c r="O108" s="28"/>
      <c r="P108" s="28"/>
      <c r="Q108" s="28"/>
      <c r="R108" s="28"/>
      <c r="S108" s="28"/>
      <c r="T108" s="28"/>
      <c r="U108" s="28"/>
      <c r="V108" s="28"/>
      <c r="W108" s="28"/>
      <c r="X108" s="28"/>
      <c r="Y108" s="28"/>
      <c r="Z108" s="28"/>
      <c r="AA108" s="28"/>
      <c r="AB108" s="28"/>
    </row>
    <row r="109">
      <c r="A109" s="21" t="s">
        <v>239</v>
      </c>
      <c r="B109" s="22" t="s">
        <v>240</v>
      </c>
      <c r="C109" s="23" t="s">
        <v>241</v>
      </c>
      <c r="D109" s="23" t="str">
        <f>IFERROR(__xludf.DUMMYFUNCTION("GOOGLETRANSLATE(B109, ""en"", ""es"")"),"Deposite todos los artículos de inventario.")</f>
        <v>Deposite todos los artículos de inventario.</v>
      </c>
      <c r="E109" s="23" t="str">
        <f>IFERROR(__xludf.DUMMYFUNCTION("GOOGLETRANSLATE(B109, ""en"", ""ru"")"),"Депонируйте все предметы инвентаризации")</f>
        <v>Депонируйте все предметы инвентаризации</v>
      </c>
      <c r="F109" s="23" t="str">
        <f>IFERROR(__xludf.DUMMYFUNCTION("GOOGLETRANSLATE(B109, ""en"", ""tr"")"),"Tüm stok maddelerini yatırın")</f>
        <v>Tüm stok maddelerini yatırın</v>
      </c>
      <c r="G109" s="23" t="str">
        <f>IFERROR(__xludf.DUMMYFUNCTION("GOOGLETRANSLATE(B109, ""en"", ""pt"")"),"Depositar todos os itens de inventário")</f>
        <v>Depositar todos os itens de inventário</v>
      </c>
      <c r="H109" s="24" t="str">
        <f>IFERROR(__xludf.DUMMYFUNCTION("GOOGLETRANSLATE(B109, ""en"", ""de"")"),"Zerlegen Sie alle Inventarartikel")</f>
        <v>Zerlegen Sie alle Inventarartikel</v>
      </c>
      <c r="I109" s="23" t="str">
        <f>IFERROR(__xludf.DUMMYFUNCTION("GOOGLETRANSLATE(B109, ""en"", ""pl"")"),"Wpłać wszystkie elementy zapasów")</f>
        <v>Wpłać wszystkie elementy zapasów</v>
      </c>
      <c r="J109" s="25" t="str">
        <f>IFERROR(__xludf.DUMMYFUNCTION("GOOGLETRANSLATE(B109, ""en"", ""zh"")"),"存入所有库存项目")</f>
        <v>存入所有库存项目</v>
      </c>
      <c r="K109" s="25" t="str">
        <f>IFERROR(__xludf.DUMMYFUNCTION("GOOGLETRANSLATE(B109, ""en"", ""vi"")"),"Gửi tất cả các mục hàng tồn kho")</f>
        <v>Gửi tất cả các mục hàng tồn kho</v>
      </c>
      <c r="L109" s="26" t="str">
        <f>IFERROR(__xludf.DUMMYFUNCTION("GOOGLETRANSLATE(B109, ""en"", ""hr"")"),"Uplatite sve stavke inventara")</f>
        <v>Uplatite sve stavke inventara</v>
      </c>
      <c r="M109" s="28"/>
      <c r="N109" s="28"/>
      <c r="O109" s="28"/>
      <c r="P109" s="28"/>
      <c r="Q109" s="28"/>
      <c r="R109" s="28"/>
      <c r="S109" s="28"/>
      <c r="T109" s="28"/>
      <c r="U109" s="28"/>
      <c r="V109" s="28"/>
      <c r="W109" s="28"/>
      <c r="X109" s="28"/>
      <c r="Y109" s="28"/>
      <c r="Z109" s="28"/>
      <c r="AA109" s="28"/>
      <c r="AB109" s="28"/>
    </row>
    <row r="110">
      <c r="A110" s="21" t="s">
        <v>242</v>
      </c>
      <c r="B110" s="22" t="s">
        <v>243</v>
      </c>
      <c r="C110" s="23" t="s">
        <v>244</v>
      </c>
      <c r="D110" s="23" t="str">
        <f>IFERROR(__xludf.DUMMYFUNCTION("GOOGLETRANSLATE(B110, ""en"", ""es"")"),"Cuenta necesaria para el peso de almacenamiento del banco UGRADE.")</f>
        <v>Cuenta necesaria para el peso de almacenamiento del banco UGRADE.</v>
      </c>
      <c r="E110" s="23" t="str">
        <f>IFERROR(__xludf.DUMMYFUNCTION("GOOGLETRANSLATE(B110, ""en"", ""ru"")"),"Учетная запись необходима для массы хранения банка.")</f>
        <v>Учетная запись необходима для массы хранения банка.</v>
      </c>
      <c r="F110" s="23" t="str">
        <f>IFERROR(__xludf.DUMMYFUNCTION("GOOGLETRANSLATE(B110, ""en"", ""tr"")"),"Banka depolama ağırlığını geliştirmek için gereken hesap.")</f>
        <v>Banka depolama ağırlığını geliştirmek için gereken hesap.</v>
      </c>
      <c r="G110" s="23" t="str">
        <f>IFERROR(__xludf.DUMMYFUNCTION("GOOGLETRANSLATE(B110, ""en"", ""pt"")"),"Conta necessária para o peso do armazenamento do banco Ugrade.")</f>
        <v>Conta necessária para o peso do armazenamento do banco Ugrade.</v>
      </c>
      <c r="H110" s="24" t="str">
        <f>IFERROR(__xludf.DUMMYFUNCTION("GOOGLETRANSLATE(B110, ""en"", ""de"")"),"Konto, das zum U-Bahn-Speichergewicht erforderlich ist.")</f>
        <v>Konto, das zum U-Bahn-Speichergewicht erforderlich ist.</v>
      </c>
      <c r="I110" s="23" t="str">
        <f>IFERROR(__xludf.DUMMYFUNCTION("GOOGLETRANSLATE(B110, ""en"", ""pl"")"),"Konto potrzebne do Ugradki Banku Magażnika.")</f>
        <v>Konto potrzebne do Ugradki Banku Magażnika.</v>
      </c>
      <c r="J110" s="25" t="str">
        <f>IFERROR(__xludf.DUMMYFUNCTION("GOOGLETRANSLATE(B110, ""en"", ""zh"")"),"ugrade银行存储权重需要帐户。")</f>
        <v>ugrade银行存储权重需要帐户。</v>
      </c>
      <c r="K110" s="25" t="str">
        <f>IFERROR(__xludf.DUMMYFUNCTION("GOOGLETRANSLATE(B110, ""en"", ""vi"")"),"Tài khoản cần thiết để lưu trữ lưu trữ ngân hàng.")</f>
        <v>Tài khoản cần thiết để lưu trữ lưu trữ ngân hàng.</v>
      </c>
      <c r="L110" s="26" t="str">
        <f>IFERROR(__xludf.DUMMYFUNCTION("GOOGLETRANSLATE(B110, ""en"", ""hr"")"),"Račun koji je potreban za težinu bankovnog skladištenja.")</f>
        <v>Račun koji je potreban za težinu bankovnog skladištenja.</v>
      </c>
      <c r="M110" s="28"/>
      <c r="N110" s="28"/>
      <c r="O110" s="28"/>
      <c r="P110" s="28"/>
      <c r="Q110" s="28"/>
      <c r="R110" s="28"/>
      <c r="S110" s="28"/>
      <c r="T110" s="28"/>
      <c r="U110" s="28"/>
      <c r="V110" s="28"/>
      <c r="W110" s="28"/>
      <c r="X110" s="28"/>
      <c r="Y110" s="28"/>
      <c r="Z110" s="28"/>
      <c r="AA110" s="28"/>
      <c r="AB110" s="28"/>
    </row>
    <row r="111">
      <c r="A111" s="21" t="s">
        <v>245</v>
      </c>
      <c r="B111" s="22" t="s">
        <v>246</v>
      </c>
      <c r="C111" s="23" t="s">
        <v>247</v>
      </c>
      <c r="D111" s="23" t="str">
        <f>IFERROR(__xludf.DUMMYFUNCTION("GOOGLETRANSLATE(B111, ""en"", ""es"")"),"Actualizar almacenamiento bancario")</f>
        <v>Actualizar almacenamiento bancario</v>
      </c>
      <c r="E111" s="23" t="str">
        <f>IFERROR(__xludf.DUMMYFUNCTION("GOOGLETRANSLATE(B111, ""en"", ""ru"")"),"Обновление банковского хранилища")</f>
        <v>Обновление банковского хранилища</v>
      </c>
      <c r="F111" s="23" t="str">
        <f>IFERROR(__xludf.DUMMYFUNCTION("GOOGLETRANSLATE(B111, ""en"", ""tr"")"),"Banka Depolama Yükseltme")</f>
        <v>Banka Depolama Yükseltme</v>
      </c>
      <c r="G111" s="23" t="str">
        <f>IFERROR(__xludf.DUMMYFUNCTION("GOOGLETRANSLATE(B111, ""en"", ""pt"")"),"Atualizar o armazenamento do banco")</f>
        <v>Atualizar o armazenamento do banco</v>
      </c>
      <c r="H111" s="24" t="str">
        <f>IFERROR(__xludf.DUMMYFUNCTION("GOOGLETRANSLATE(B111, ""en"", ""de"")"),"Upgrade Bankspeicherung.")</f>
        <v>Upgrade Bankspeicherung.</v>
      </c>
      <c r="I111" s="23" t="str">
        <f>IFERROR(__xludf.DUMMYFUNCTION("GOOGLETRANSLATE(B111, ""en"", ""pl"")"),"Upgrade Bank Storage.")</f>
        <v>Upgrade Bank Storage.</v>
      </c>
      <c r="J111" s="25" t="str">
        <f>IFERROR(__xludf.DUMMYFUNCTION("GOOGLETRANSLATE(B111, ""en"", ""zh"")"),"升级银行存储")</f>
        <v>升级银行存储</v>
      </c>
      <c r="K111" s="25" t="str">
        <f>IFERROR(__xludf.DUMMYFUNCTION("GOOGLETRANSLATE(B111, ""en"", ""vi"")"),"Nâng cấp lưu trữ ngân hàng")</f>
        <v>Nâng cấp lưu trữ ngân hàng</v>
      </c>
      <c r="L111" s="26" t="str">
        <f>IFERROR(__xludf.DUMMYFUNCTION("GOOGLETRANSLATE(B111, ""en"", ""hr"")"),"Nadogradite bankovnu pohranu")</f>
        <v>Nadogradite bankovnu pohranu</v>
      </c>
      <c r="M111" s="28"/>
      <c r="N111" s="28"/>
      <c r="O111" s="28"/>
      <c r="P111" s="28"/>
      <c r="Q111" s="28"/>
      <c r="R111" s="28"/>
      <c r="S111" s="28"/>
      <c r="T111" s="28"/>
      <c r="U111" s="28"/>
      <c r="V111" s="28"/>
      <c r="W111" s="28"/>
      <c r="X111" s="28"/>
      <c r="Y111" s="28"/>
      <c r="Z111" s="28"/>
      <c r="AA111" s="28"/>
      <c r="AB111" s="28"/>
    </row>
    <row r="112">
      <c r="A112" s="21" t="s">
        <v>248</v>
      </c>
      <c r="B112" s="22" t="s">
        <v>248</v>
      </c>
      <c r="C112" s="23" t="str">
        <f>IFERROR(__xludf.DUMMYFUNCTION("GOOGLETRANSLATE(B112, ""en"", ""fr"")"),"Pas assez de gloire")</f>
        <v>Pas assez de gloire</v>
      </c>
      <c r="D112" s="23" t="str">
        <f>IFERROR(__xludf.DUMMYFUNCTION("GOOGLETRANSLATE(B112, ""en"", ""es"")"),"No es suficiente gloria")</f>
        <v>No es suficiente gloria</v>
      </c>
      <c r="E112" s="23" t="str">
        <f>IFERROR(__xludf.DUMMYFUNCTION("GOOGLETRANSLATE(B112, ""en"", ""ru"")"),"Недостаточно славы")</f>
        <v>Недостаточно славы</v>
      </c>
      <c r="F112" s="23" t="str">
        <f>IFERROR(__xludf.DUMMYFUNCTION("GOOGLETRANSLATE(B112, ""en"", ""tr"")"),"Yeterince şeref değil")</f>
        <v>Yeterince şeref değil</v>
      </c>
      <c r="G112" s="23" t="str">
        <f>IFERROR(__xludf.DUMMYFUNCTION("GOOGLETRANSLATE(B112, ""en"", ""pt"")"),"Glória não suficiente")</f>
        <v>Glória não suficiente</v>
      </c>
      <c r="H112" s="24" t="str">
        <f>IFERROR(__xludf.DUMMYFUNCTION("GOOGLETRANSLATE(B112, ""en"", ""de"")"),"Nicht genug Ruhm")</f>
        <v>Nicht genug Ruhm</v>
      </c>
      <c r="I112" s="23" t="str">
        <f>IFERROR(__xludf.DUMMYFUNCTION("GOOGLETRANSLATE(B112, ""en"", ""pl"")"),"Za mało chwały")</f>
        <v>Za mało chwały</v>
      </c>
      <c r="J112" s="25" t="str">
        <f>IFERROR(__xludf.DUMMYFUNCTION("GOOGLETRANSLATE(B112, ""en"", ""zh"")"),"不够荣耀")</f>
        <v>不够荣耀</v>
      </c>
      <c r="K112" s="25" t="str">
        <f>IFERROR(__xludf.DUMMYFUNCTION("GOOGLETRANSLATE(B112, ""en"", ""vi"")"),"Không đủ vinh quang")</f>
        <v>Không đủ vinh quang</v>
      </c>
      <c r="L112" s="26" t="str">
        <f>IFERROR(__xludf.DUMMYFUNCTION("GOOGLETRANSLATE(B112, ""en"", ""hr"")"),"Nije dovoljno slave")</f>
        <v>Nije dovoljno slave</v>
      </c>
      <c r="M112" s="28"/>
      <c r="N112" s="28"/>
      <c r="O112" s="28"/>
      <c r="P112" s="28"/>
      <c r="Q112" s="28"/>
      <c r="R112" s="28"/>
      <c r="S112" s="28"/>
      <c r="T112" s="28"/>
      <c r="U112" s="28"/>
      <c r="V112" s="28"/>
      <c r="W112" s="28"/>
      <c r="X112" s="28"/>
      <c r="Y112" s="28"/>
      <c r="Z112" s="28"/>
      <c r="AA112" s="28"/>
      <c r="AB112" s="28"/>
    </row>
    <row r="113">
      <c r="A113" s="21" t="s">
        <v>249</v>
      </c>
      <c r="B113" s="22" t="s">
        <v>249</v>
      </c>
      <c r="C113" s="23" t="str">
        <f>IFERROR(__xludf.DUMMYFUNCTION("GOOGLETRANSLATE(B113, ""en"", ""fr"")"),"Espace de rangement")</f>
        <v>Espace de rangement</v>
      </c>
      <c r="D113" s="23" t="str">
        <f>IFERROR(__xludf.DUMMYFUNCTION("GOOGLETRANSLATE(B113, ""en"", ""es"")"),"Almacenamiento")</f>
        <v>Almacenamiento</v>
      </c>
      <c r="E113" s="23" t="str">
        <f>IFERROR(__xludf.DUMMYFUNCTION("GOOGLETRANSLATE(B113, ""en"", ""ru"")"),"Место хранения")</f>
        <v>Место хранения</v>
      </c>
      <c r="F113" s="23" t="str">
        <f>IFERROR(__xludf.DUMMYFUNCTION("GOOGLETRANSLATE(B113, ""en"", ""tr"")"),"Depolamak")</f>
        <v>Depolamak</v>
      </c>
      <c r="G113" s="23" t="str">
        <f>IFERROR(__xludf.DUMMYFUNCTION("GOOGLETRANSLATE(B113, ""en"", ""pt"")"),"Armazenar")</f>
        <v>Armazenar</v>
      </c>
      <c r="H113" s="24" t="str">
        <f>IFERROR(__xludf.DUMMYFUNCTION("GOOGLETRANSLATE(B113, ""en"", ""de"")"),"Lagerung")</f>
        <v>Lagerung</v>
      </c>
      <c r="I113" s="23" t="str">
        <f>IFERROR(__xludf.DUMMYFUNCTION("GOOGLETRANSLATE(B113, ""en"", ""pl"")"),"Składowanie")</f>
        <v>Składowanie</v>
      </c>
      <c r="J113" s="25" t="str">
        <f>IFERROR(__xludf.DUMMYFUNCTION("GOOGLETRANSLATE(B113, ""en"", ""zh"")"),"贮存")</f>
        <v>贮存</v>
      </c>
      <c r="K113" s="25" t="str">
        <f>IFERROR(__xludf.DUMMYFUNCTION("GOOGLETRANSLATE(B113, ""en"", ""vi"")"),"Kho")</f>
        <v>Kho</v>
      </c>
      <c r="L113" s="26" t="str">
        <f>IFERROR(__xludf.DUMMYFUNCTION("GOOGLETRANSLATE(B113, ""en"", ""hr"")"),"Skladište")</f>
        <v>Skladište</v>
      </c>
      <c r="M113" s="28"/>
      <c r="N113" s="28"/>
      <c r="O113" s="28"/>
      <c r="P113" s="28"/>
      <c r="Q113" s="28"/>
      <c r="R113" s="28"/>
      <c r="S113" s="28"/>
      <c r="T113" s="28"/>
      <c r="U113" s="28"/>
      <c r="V113" s="28"/>
      <c r="W113" s="28"/>
      <c r="X113" s="28"/>
      <c r="Y113" s="28"/>
      <c r="Z113" s="28"/>
      <c r="AA113" s="28"/>
      <c r="AB113" s="28"/>
    </row>
    <row r="114">
      <c r="A114" s="21" t="s">
        <v>250</v>
      </c>
      <c r="B114" s="22" t="s">
        <v>251</v>
      </c>
      <c r="C114" s="23" t="str">
        <f>IFERROR(__xludf.DUMMYFUNCTION("GOOGLETRANSLATE(B114, ""en"", ""fr"")"),"Poids total du stockage")</f>
        <v>Poids total du stockage</v>
      </c>
      <c r="D114" s="23" t="str">
        <f>IFERROR(__xludf.DUMMYFUNCTION("GOOGLETRANSLATE(B114, ""en"", ""es"")"),"Peso total de almacenamiento")</f>
        <v>Peso total de almacenamiento</v>
      </c>
      <c r="E114" s="23" t="str">
        <f>IFERROR(__xludf.DUMMYFUNCTION("GOOGLETRANSLATE(B114, ""en"", ""ru"")"),"Общий вес хранения")</f>
        <v>Общий вес хранения</v>
      </c>
      <c r="F114" s="23" t="str">
        <f>IFERROR(__xludf.DUMMYFUNCTION("GOOGLETRANSLATE(B114, ""en"", ""tr"")"),"Toplam saklama ağırlığı")</f>
        <v>Toplam saklama ağırlığı</v>
      </c>
      <c r="G114" s="23" t="str">
        <f>IFERROR(__xludf.DUMMYFUNCTION("GOOGLETRANSLATE(B114, ""en"", ""pt"")"),"Peso total de armazenamento")</f>
        <v>Peso total de armazenamento</v>
      </c>
      <c r="H114" s="24" t="str">
        <f>IFERROR(__xludf.DUMMYFUNCTION("GOOGLETRANSLATE(B114, ""en"", ""de"")"),"Gesamtlagergewicht.")</f>
        <v>Gesamtlagergewicht.</v>
      </c>
      <c r="I114" s="23" t="str">
        <f>IFERROR(__xludf.DUMMYFUNCTION("GOOGLETRANSLATE(B114, ""en"", ""pl"")"),"Całkowita waga pamięci")</f>
        <v>Całkowita waga pamięci</v>
      </c>
      <c r="J114" s="25" t="str">
        <f>IFERROR(__xludf.DUMMYFUNCTION("GOOGLETRANSLATE(B114, ""en"", ""zh"")"),"总储物重量")</f>
        <v>总储物重量</v>
      </c>
      <c r="K114" s="25" t="str">
        <f>IFERROR(__xludf.DUMMYFUNCTION("GOOGLETRANSLATE(B114, ""en"", ""vi"")"),"Tổng trọng lượng lưu trữ")</f>
        <v>Tổng trọng lượng lưu trữ</v>
      </c>
      <c r="L114" s="26" t="str">
        <f>IFERROR(__xludf.DUMMYFUNCTION("GOOGLETRANSLATE(B114, ""en"", ""hr"")"),"Ukupna težina skladištenja")</f>
        <v>Ukupna težina skladištenja</v>
      </c>
      <c r="M114" s="28"/>
      <c r="N114" s="28"/>
      <c r="O114" s="28"/>
      <c r="P114" s="28"/>
      <c r="Q114" s="28"/>
      <c r="R114" s="28"/>
      <c r="S114" s="28"/>
      <c r="T114" s="28"/>
      <c r="U114" s="28"/>
      <c r="V114" s="28"/>
      <c r="W114" s="28"/>
      <c r="X114" s="28"/>
      <c r="Y114" s="28"/>
      <c r="Z114" s="28"/>
      <c r="AA114" s="28"/>
      <c r="AB114" s="28"/>
    </row>
    <row r="115">
      <c r="A115" s="21" t="s">
        <v>252</v>
      </c>
      <c r="B115" s="22" t="s">
        <v>253</v>
      </c>
      <c r="C115" s="23" t="str">
        <f>IFERROR(__xludf.DUMMYFUNCTION("GOOGLETRANSLATE(B115, ""en"", ""fr"")"),"Le stockage est vide.")</f>
        <v>Le stockage est vide.</v>
      </c>
      <c r="D115" s="23" t="str">
        <f>IFERROR(__xludf.DUMMYFUNCTION("GOOGLETRANSLATE(B115, ""en"", ""es"")"),"El almacenamiento está vacío.")</f>
        <v>El almacenamiento está vacío.</v>
      </c>
      <c r="E115" s="23" t="str">
        <f>IFERROR(__xludf.DUMMYFUNCTION("GOOGLETRANSLATE(B115, ""en"", ""ru"")"),"Хранение пусто.")</f>
        <v>Хранение пусто.</v>
      </c>
      <c r="F115" s="23" t="str">
        <f>IFERROR(__xludf.DUMMYFUNCTION("GOOGLETRANSLATE(B115, ""en"", ""tr"")"),"Depolama boş.")</f>
        <v>Depolama boş.</v>
      </c>
      <c r="G115" s="23" t="str">
        <f>IFERROR(__xludf.DUMMYFUNCTION("GOOGLETRANSLATE(B115, ""en"", ""pt"")"),"O armazenamento está vazio.")</f>
        <v>O armazenamento está vazio.</v>
      </c>
      <c r="H115" s="24" t="str">
        <f>IFERROR(__xludf.DUMMYFUNCTION("GOOGLETRANSLATE(B115, ""en"", ""de"")"),"Die Lagerung ist leer.")</f>
        <v>Die Lagerung ist leer.</v>
      </c>
      <c r="I115" s="23" t="str">
        <f>IFERROR(__xludf.DUMMYFUNCTION("GOOGLETRANSLATE(B115, ""en"", ""pl"")"),"Przechowywanie jest puste.")</f>
        <v>Przechowywanie jest puste.</v>
      </c>
      <c r="J115" s="25" t="str">
        <f>IFERROR(__xludf.DUMMYFUNCTION("GOOGLETRANSLATE(B115, ""en"", ""zh"")"),"存储是空的。")</f>
        <v>存储是空的。</v>
      </c>
      <c r="K115" s="25" t="str">
        <f>IFERROR(__xludf.DUMMYFUNCTION("GOOGLETRANSLATE(B115, ""en"", ""vi"")"),"Lưu trữ trống rỗng.")</f>
        <v>Lưu trữ trống rỗng.</v>
      </c>
      <c r="L115" s="26" t="str">
        <f>IFERROR(__xludf.DUMMYFUNCTION("GOOGLETRANSLATE(B115, ""en"", ""hr"")"),"Skladištenje je prazno.")</f>
        <v>Skladištenje je prazno.</v>
      </c>
      <c r="M115" s="28"/>
      <c r="N115" s="28"/>
      <c r="O115" s="28"/>
      <c r="P115" s="28"/>
      <c r="Q115" s="28"/>
      <c r="R115" s="28"/>
      <c r="S115" s="28"/>
      <c r="T115" s="28"/>
      <c r="U115" s="28"/>
      <c r="V115" s="28"/>
      <c r="W115" s="28"/>
      <c r="X115" s="28"/>
      <c r="Y115" s="28"/>
      <c r="Z115" s="28"/>
      <c r="AA115" s="28"/>
      <c r="AB115" s="28"/>
    </row>
    <row r="116">
      <c r="A116" s="21" t="s">
        <v>254</v>
      </c>
      <c r="B116" s="22" t="s">
        <v>254</v>
      </c>
      <c r="C116" s="23" t="str">
        <f>IFERROR(__xludf.DUMMYFUNCTION("GOOGLETRANSLATE(B116, ""en"", ""fr"")"),"Verser")</f>
        <v>Verser</v>
      </c>
      <c r="D116" s="23" t="str">
        <f>IFERROR(__xludf.DUMMYFUNCTION("GOOGLETRANSLATE(B116, ""en"", ""es"")"),"Depositar")</f>
        <v>Depositar</v>
      </c>
      <c r="E116" s="23" t="str">
        <f>IFERROR(__xludf.DUMMYFUNCTION("GOOGLETRANSLATE(B116, ""en"", ""ru"")"),"Депозит")</f>
        <v>Депозит</v>
      </c>
      <c r="F116" s="23" t="str">
        <f>IFERROR(__xludf.DUMMYFUNCTION("GOOGLETRANSLATE(B116, ""en"", ""tr"")"),"Depozito")</f>
        <v>Depozito</v>
      </c>
      <c r="G116" s="23" t="str">
        <f>IFERROR(__xludf.DUMMYFUNCTION("GOOGLETRANSLATE(B116, ""en"", ""pt"")"),"Depósito")</f>
        <v>Depósito</v>
      </c>
      <c r="H116" s="24" t="str">
        <f>IFERROR(__xludf.DUMMYFUNCTION("GOOGLETRANSLATE(B116, ""en"", ""de"")"),"Anzahlung")</f>
        <v>Anzahlung</v>
      </c>
      <c r="I116" s="23" t="str">
        <f>IFERROR(__xludf.DUMMYFUNCTION("GOOGLETRANSLATE(B116, ""en"", ""pl"")"),"Depozyt")</f>
        <v>Depozyt</v>
      </c>
      <c r="J116" s="25" t="str">
        <f>IFERROR(__xludf.DUMMYFUNCTION("GOOGLETRANSLATE(B116, ""en"", ""zh"")"),"订金")</f>
        <v>订金</v>
      </c>
      <c r="K116" s="25" t="str">
        <f>IFERROR(__xludf.DUMMYFUNCTION("GOOGLETRANSLATE(B116, ""en"", ""vi"")"),"Gửi tiền")</f>
        <v>Gửi tiền</v>
      </c>
      <c r="L116" s="26" t="str">
        <f>IFERROR(__xludf.DUMMYFUNCTION("GOOGLETRANSLATE(B116, ""en"", ""hr"")"),"Polog")</f>
        <v>Polog</v>
      </c>
      <c r="M116" s="28"/>
      <c r="N116" s="28"/>
      <c r="O116" s="28"/>
      <c r="P116" s="28"/>
      <c r="Q116" s="28"/>
      <c r="R116" s="28"/>
      <c r="S116" s="28"/>
      <c r="T116" s="28"/>
      <c r="U116" s="28"/>
      <c r="V116" s="28"/>
      <c r="W116" s="28"/>
      <c r="X116" s="28"/>
      <c r="Y116" s="28"/>
      <c r="Z116" s="28"/>
      <c r="AA116" s="28"/>
      <c r="AB116" s="28"/>
    </row>
    <row r="117">
      <c r="A117" s="21" t="s">
        <v>255</v>
      </c>
      <c r="B117" s="22" t="s">
        <v>239</v>
      </c>
      <c r="C117" s="23" t="str">
        <f>IFERROR(__xludf.DUMMYFUNCTION("GOOGLETRANSLATE(B117, ""en"", ""fr"")"),"Déposer tout")</f>
        <v>Déposer tout</v>
      </c>
      <c r="D117" s="23" t="str">
        <f>IFERROR(__xludf.DUMMYFUNCTION("GOOGLETRANSLATE(B117, ""en"", ""es"")"),"Depositar todo")</f>
        <v>Depositar todo</v>
      </c>
      <c r="E117" s="23" t="str">
        <f>IFERROR(__xludf.DUMMYFUNCTION("GOOGLETRANSLATE(B117, ""en"", ""ru"")"),"Депозит все")</f>
        <v>Депозит все</v>
      </c>
      <c r="F117" s="23" t="str">
        <f>IFERROR(__xludf.DUMMYFUNCTION("GOOGLETRANSLATE(B117, ""en"", ""tr"")"),"Hepsini yatırmak")</f>
        <v>Hepsini yatırmak</v>
      </c>
      <c r="G117" s="23" t="str">
        <f>IFERROR(__xludf.DUMMYFUNCTION("GOOGLETRANSLATE(B117, ""en"", ""pt"")"),"Depósito All.")</f>
        <v>Depósito All.</v>
      </c>
      <c r="H117" s="24" t="str">
        <f>IFERROR(__xludf.DUMMYFUNCTION("GOOGLETRANSLATE(B117, ""en"", ""de"")"),"Kaution All.")</f>
        <v>Kaution All.</v>
      </c>
      <c r="I117" s="23" t="str">
        <f>IFERROR(__xludf.DUMMYFUNCTION("GOOGLETRANSLATE(B117, ""en"", ""pl"")"),"Wpłać na wszystkie")</f>
        <v>Wpłać na wszystkie</v>
      </c>
      <c r="J117" s="25" t="str">
        <f>IFERROR(__xludf.DUMMYFUNCTION("GOOGLETRANSLATE(B117, ""en"", ""zh"")"),"存款所有")</f>
        <v>存款所有</v>
      </c>
      <c r="K117" s="25" t="str">
        <f>IFERROR(__xludf.DUMMYFUNCTION("GOOGLETRANSLATE(B117, ""en"", ""vi"")"),"Gửi tất cả")</f>
        <v>Gửi tất cả</v>
      </c>
      <c r="L117" s="26" t="str">
        <f>IFERROR(__xludf.DUMMYFUNCTION("GOOGLETRANSLATE(B117, ""en"", ""hr"")"),"Uplatite sve")</f>
        <v>Uplatite sve</v>
      </c>
      <c r="M117" s="28"/>
      <c r="N117" s="28"/>
      <c r="O117" s="28"/>
      <c r="P117" s="28"/>
      <c r="Q117" s="28"/>
      <c r="R117" s="28"/>
      <c r="S117" s="28"/>
      <c r="T117" s="28"/>
      <c r="U117" s="28"/>
      <c r="V117" s="28"/>
      <c r="W117" s="28"/>
      <c r="X117" s="28"/>
      <c r="Y117" s="28"/>
      <c r="Z117" s="28"/>
      <c r="AA117" s="28"/>
      <c r="AB117" s="28"/>
    </row>
    <row r="118">
      <c r="A118" s="21" t="s">
        <v>256</v>
      </c>
      <c r="B118" s="22" t="s">
        <v>256</v>
      </c>
      <c r="C118" s="23" t="str">
        <f>IFERROR(__xludf.DUMMYFUNCTION("GOOGLETRANSLATE(B118, ""en"", ""fr"")"),"Se désister")</f>
        <v>Se désister</v>
      </c>
      <c r="D118" s="23" t="str">
        <f>IFERROR(__xludf.DUMMYFUNCTION("GOOGLETRANSLATE(B118, ""en"", ""es"")"),"Retirar")</f>
        <v>Retirar</v>
      </c>
      <c r="E118" s="23" t="str">
        <f>IFERROR(__xludf.DUMMYFUNCTION("GOOGLETRANSLATE(B118, ""en"", ""ru"")"),"Снять со счета")</f>
        <v>Снять со счета</v>
      </c>
      <c r="F118" s="23" t="str">
        <f>IFERROR(__xludf.DUMMYFUNCTION("GOOGLETRANSLATE(B118, ""en"", ""tr"")"),"Geri çekilmek")</f>
        <v>Geri çekilmek</v>
      </c>
      <c r="G118" s="23" t="str">
        <f>IFERROR(__xludf.DUMMYFUNCTION("GOOGLETRANSLATE(B118, ""en"", ""pt"")"),"Retirar")</f>
        <v>Retirar</v>
      </c>
      <c r="H118" s="24" t="str">
        <f>IFERROR(__xludf.DUMMYFUNCTION("GOOGLETRANSLATE(B118, ""en"", ""de"")"),"Zurückziehen")</f>
        <v>Zurückziehen</v>
      </c>
      <c r="I118" s="23" t="str">
        <f>IFERROR(__xludf.DUMMYFUNCTION("GOOGLETRANSLATE(B118, ""en"", ""pl"")"),"Wycofać")</f>
        <v>Wycofać</v>
      </c>
      <c r="J118" s="25" t="str">
        <f>IFERROR(__xludf.DUMMYFUNCTION("GOOGLETRANSLATE(B118, ""en"", ""zh"")"),"提取")</f>
        <v>提取</v>
      </c>
      <c r="K118" s="25" t="str">
        <f>IFERROR(__xludf.DUMMYFUNCTION("GOOGLETRANSLATE(B118, ""en"", ""vi"")"),"Rút")</f>
        <v>Rút</v>
      </c>
      <c r="L118" s="26" t="str">
        <f>IFERROR(__xludf.DUMMYFUNCTION("GOOGLETRANSLATE(B118, ""en"", ""hr"")"),"Povući")</f>
        <v>Povući</v>
      </c>
      <c r="M118" s="28"/>
      <c r="N118" s="28"/>
      <c r="O118" s="28"/>
      <c r="P118" s="28"/>
      <c r="Q118" s="28"/>
      <c r="R118" s="28"/>
      <c r="S118" s="28"/>
      <c r="T118" s="28"/>
      <c r="U118" s="28"/>
      <c r="V118" s="28"/>
      <c r="W118" s="28"/>
      <c r="X118" s="28"/>
      <c r="Y118" s="28"/>
      <c r="Z118" s="28"/>
      <c r="AA118" s="28"/>
      <c r="AB118" s="28"/>
    </row>
    <row r="119">
      <c r="A119" s="21" t="s">
        <v>257</v>
      </c>
      <c r="B119" s="22" t="s">
        <v>258</v>
      </c>
      <c r="C119" s="23" t="str">
        <f>IFERROR(__xludf.DUMMYFUNCTION("GOOGLETRANSLATE(B119, ""en"", ""fr"")"),"Retirer tout")</f>
        <v>Retirer tout</v>
      </c>
      <c r="D119" s="23" t="str">
        <f>IFERROR(__xludf.DUMMYFUNCTION("GOOGLETRANSLATE(B119, ""en"", ""es"")"),"Retirar todo")</f>
        <v>Retirar todo</v>
      </c>
      <c r="E119" s="23" t="str">
        <f>IFERROR(__xludf.DUMMYFUNCTION("GOOGLETRANSLATE(B119, ""en"", ""ru"")"),"Вывести все")</f>
        <v>Вывести все</v>
      </c>
      <c r="F119" s="23" t="str">
        <f>IFERROR(__xludf.DUMMYFUNCTION("GOOGLETRANSLATE(B119, ""en"", ""tr"")"),"Hepsini geri çekmek")</f>
        <v>Hepsini geri çekmek</v>
      </c>
      <c r="G119" s="23" t="str">
        <f>IFERROR(__xludf.DUMMYFUNCTION("GOOGLETRANSLATE(B119, ""en"", ""pt"")"),"Retirar tudo")</f>
        <v>Retirar tudo</v>
      </c>
      <c r="H119" s="24" t="str">
        <f>IFERROR(__xludf.DUMMYFUNCTION("GOOGLETRANSLATE(B119, ""en"", ""de"")"),"Alles zurückziehen")</f>
        <v>Alles zurückziehen</v>
      </c>
      <c r="I119" s="23" t="str">
        <f>IFERROR(__xludf.DUMMYFUNCTION("GOOGLETRANSLATE(B119, ""en"", ""pl"")"),"Wycofaj się")</f>
        <v>Wycofaj się</v>
      </c>
      <c r="J119" s="25" t="str">
        <f>IFERROR(__xludf.DUMMYFUNCTION("GOOGLETRANSLATE(B119, ""en"", ""zh"")"),"撤回所有")</f>
        <v>撤回所有</v>
      </c>
      <c r="K119" s="25" t="str">
        <f>IFERROR(__xludf.DUMMYFUNCTION("GOOGLETRANSLATE(B119, ""en"", ""vi"")"),"Rút tất cả")</f>
        <v>Rút tất cả</v>
      </c>
      <c r="L119" s="26" t="str">
        <f>IFERROR(__xludf.DUMMYFUNCTION("GOOGLETRANSLATE(B119, ""en"", ""hr"")"),"Povući sve")</f>
        <v>Povući sve</v>
      </c>
      <c r="M119" s="28"/>
      <c r="N119" s="28"/>
      <c r="O119" s="28"/>
      <c r="P119" s="28"/>
      <c r="Q119" s="28"/>
      <c r="R119" s="28"/>
      <c r="S119" s="28"/>
      <c r="T119" s="28"/>
      <c r="U119" s="28"/>
      <c r="V119" s="28"/>
      <c r="W119" s="28"/>
      <c r="X119" s="28"/>
      <c r="Y119" s="28"/>
      <c r="Z119" s="28"/>
      <c r="AA119" s="28"/>
      <c r="AB119" s="28"/>
    </row>
    <row r="120">
      <c r="A120" s="21" t="s">
        <v>259</v>
      </c>
      <c r="B120" s="22" t="s">
        <v>259</v>
      </c>
      <c r="C120" s="23" t="str">
        <f>IFERROR(__xludf.DUMMYFUNCTION("GOOGLETRANSLATE(B120, ""en"", ""fr"")"),"Pas assez d'espace libre")</f>
        <v>Pas assez d'espace libre</v>
      </c>
      <c r="D120" s="23" t="str">
        <f>IFERROR(__xludf.DUMMYFUNCTION("GOOGLETRANSLATE(B120, ""en"", ""es"")"),"No hay suficiente espacio libre")</f>
        <v>No hay suficiente espacio libre</v>
      </c>
      <c r="E120" s="23" t="str">
        <f>IFERROR(__xludf.DUMMYFUNCTION("GOOGLETRANSLATE(B120, ""en"", ""ru"")"),"Не хватает свободного места")</f>
        <v>Не хватает свободного места</v>
      </c>
      <c r="F120" s="23" t="str">
        <f>IFERROR(__xludf.DUMMYFUNCTION("GOOGLETRANSLATE(B120, ""en"", ""tr"")"),"Yeterince boş alan yok")</f>
        <v>Yeterince boş alan yok</v>
      </c>
      <c r="G120" s="23" t="str">
        <f>IFERROR(__xludf.DUMMYFUNCTION("GOOGLETRANSLATE(B120, ""en"", ""pt"")"),"Não há espaço livre suficiente")</f>
        <v>Não há espaço livre suficiente</v>
      </c>
      <c r="H120" s="24" t="str">
        <f>IFERROR(__xludf.DUMMYFUNCTION("GOOGLETRANSLATE(B120, ""en"", ""de"")"),"Nicht genügend freier Speicherplatz")</f>
        <v>Nicht genügend freier Speicherplatz</v>
      </c>
      <c r="I120" s="23" t="str">
        <f>IFERROR(__xludf.DUMMYFUNCTION("GOOGLETRANSLATE(B120, ""en"", ""pl"")"),"Za mało wolnej przestrzeni")</f>
        <v>Za mało wolnej przestrzeni</v>
      </c>
      <c r="J120" s="25" t="str">
        <f>IFERROR(__xludf.DUMMYFUNCTION("GOOGLETRANSLATE(B120, ""en"", ""zh"")"),"没有足够的自由空间")</f>
        <v>没有足够的自由空间</v>
      </c>
      <c r="K120" s="25" t="str">
        <f>IFERROR(__xludf.DUMMYFUNCTION("GOOGLETRANSLATE(B120, ""en"", ""vi"")"),"Không đủ chỗ trống")</f>
        <v>Không đủ chỗ trống</v>
      </c>
      <c r="L120" s="26" t="str">
        <f>IFERROR(__xludf.DUMMYFUNCTION("GOOGLETRANSLATE(B120, ""en"", ""hr"")"),"Nema dovoljno slobodnog prostora")</f>
        <v>Nema dovoljno slobodnog prostora</v>
      </c>
      <c r="M120" s="28"/>
      <c r="N120" s="28"/>
      <c r="O120" s="28"/>
      <c r="P120" s="28"/>
      <c r="Q120" s="28"/>
      <c r="R120" s="28"/>
      <c r="S120" s="28"/>
      <c r="T120" s="28"/>
      <c r="U120" s="28"/>
      <c r="V120" s="28"/>
      <c r="W120" s="28"/>
      <c r="X120" s="28"/>
      <c r="Y120" s="28"/>
      <c r="Z120" s="28"/>
      <c r="AA120" s="28"/>
      <c r="AB120" s="28"/>
    </row>
    <row r="121">
      <c r="A121" s="21" t="s">
        <v>260</v>
      </c>
      <c r="B121" s="22" t="s">
        <v>149</v>
      </c>
      <c r="C121" s="23" t="str">
        <f>IFERROR(__xludf.DUMMYFUNCTION("GOOGLETRANSLATE(B121, ""en"", ""fr"")"),"Inventaire")</f>
        <v>Inventaire</v>
      </c>
      <c r="D121" s="23" t="str">
        <f>IFERROR(__xludf.DUMMYFUNCTION("GOOGLETRANSLATE(B121, ""en"", ""es"")"),"Inventario")</f>
        <v>Inventario</v>
      </c>
      <c r="E121" s="23" t="str">
        <f>IFERROR(__xludf.DUMMYFUNCTION("GOOGLETRANSLATE(B121, ""en"", ""ru"")"),"Инвентарь")</f>
        <v>Инвентарь</v>
      </c>
      <c r="F121" s="23" t="str">
        <f>IFERROR(__xludf.DUMMYFUNCTION("GOOGLETRANSLATE(B121, ""en"", ""tr"")"),"Envanter")</f>
        <v>Envanter</v>
      </c>
      <c r="G121" s="23" t="str">
        <f>IFERROR(__xludf.DUMMYFUNCTION("GOOGLETRANSLATE(B121, ""en"", ""pt"")"),"Inventário")</f>
        <v>Inventário</v>
      </c>
      <c r="H121" s="24" t="str">
        <f>IFERROR(__xludf.DUMMYFUNCTION("GOOGLETRANSLATE(B121, ""en"", ""de"")"),"Inventar")</f>
        <v>Inventar</v>
      </c>
      <c r="I121" s="23" t="str">
        <f>IFERROR(__xludf.DUMMYFUNCTION("GOOGLETRANSLATE(B121, ""en"", ""pl"")"),"Spis")</f>
        <v>Spis</v>
      </c>
      <c r="J121" s="25" t="str">
        <f>IFERROR(__xludf.DUMMYFUNCTION("GOOGLETRANSLATE(B121, ""en"", ""zh"")"),"存货")</f>
        <v>存货</v>
      </c>
      <c r="K121" s="25" t="str">
        <f>IFERROR(__xludf.DUMMYFUNCTION("GOOGLETRANSLATE(B121, ""en"", ""vi"")"),"Kiểm kê")</f>
        <v>Kiểm kê</v>
      </c>
      <c r="L121" s="26" t="str">
        <f>IFERROR(__xludf.DUMMYFUNCTION("GOOGLETRANSLATE(B121, ""en"", ""hr"")"),"Inventar")</f>
        <v>Inventar</v>
      </c>
      <c r="M121" s="28"/>
      <c r="N121" s="28"/>
      <c r="O121" s="28"/>
      <c r="P121" s="28"/>
      <c r="Q121" s="28"/>
      <c r="R121" s="28"/>
      <c r="S121" s="28"/>
      <c r="T121" s="28"/>
      <c r="U121" s="28"/>
      <c r="V121" s="28"/>
      <c r="W121" s="28"/>
      <c r="X121" s="28"/>
      <c r="Y121" s="28"/>
      <c r="Z121" s="28"/>
      <c r="AA121" s="28"/>
      <c r="AB121" s="28"/>
    </row>
    <row r="122">
      <c r="A122" s="21" t="s">
        <v>261</v>
      </c>
      <c r="B122" s="22" t="s">
        <v>262</v>
      </c>
      <c r="C122" s="23" t="str">
        <f>IFERROR(__xludf.DUMMYFUNCTION("GOOGLETRANSLATE(B122, ""en"", ""fr"")"),"Poids total des stocks")</f>
        <v>Poids total des stocks</v>
      </c>
      <c r="D122" s="23" t="str">
        <f>IFERROR(__xludf.DUMMYFUNCTION("GOOGLETRANSLATE(B122, ""en"", ""es"")"),"Peso total del inventario")</f>
        <v>Peso total del inventario</v>
      </c>
      <c r="E122" s="23" t="str">
        <f>IFERROR(__xludf.DUMMYFUNCTION("GOOGLETRANSLATE(B122, ""en"", ""ru"")"),"Общий вес инвентаря")</f>
        <v>Общий вес инвентаря</v>
      </c>
      <c r="F122" s="23" t="str">
        <f>IFERROR(__xludf.DUMMYFUNCTION("GOOGLETRANSLATE(B122, ""en"", ""tr"")"),"Toplam Envanter Ağırlığı")</f>
        <v>Toplam Envanter Ağırlığı</v>
      </c>
      <c r="G122" s="23" t="str">
        <f>IFERROR(__xludf.DUMMYFUNCTION("GOOGLETRANSLATE(B122, ""en"", ""pt"")"),"Peso total de inventário")</f>
        <v>Peso total de inventário</v>
      </c>
      <c r="H122" s="24" t="str">
        <f>IFERROR(__xludf.DUMMYFUNCTION("GOOGLETRANSLATE(B122, ""en"", ""de"")"),"Gesamtgewicht des Inventars.")</f>
        <v>Gesamtgewicht des Inventars.</v>
      </c>
      <c r="I122" s="23" t="str">
        <f>IFERROR(__xludf.DUMMYFUNCTION("GOOGLETRANSLATE(B122, ""en"", ""pl"")"),"Całkowita waga zapasów")</f>
        <v>Całkowita waga zapasów</v>
      </c>
      <c r="J122" s="25" t="str">
        <f>IFERROR(__xludf.DUMMYFUNCTION("GOOGLETRANSLATE(B122, ""en"", ""zh"")"),"总库存重量")</f>
        <v>总库存重量</v>
      </c>
      <c r="K122" s="25" t="str">
        <f>IFERROR(__xludf.DUMMYFUNCTION("GOOGLETRANSLATE(B122, ""en"", ""vi"")"),"Tổng trọng lượng hàng tồn kho")</f>
        <v>Tổng trọng lượng hàng tồn kho</v>
      </c>
      <c r="L122" s="26" t="str">
        <f>IFERROR(__xludf.DUMMYFUNCTION("GOOGLETRANSLATE(B122, ""en"", ""hr"")"),"Ukupna težina inventara")</f>
        <v>Ukupna težina inventara</v>
      </c>
      <c r="M122" s="28"/>
      <c r="N122" s="28"/>
      <c r="O122" s="28"/>
      <c r="P122" s="28"/>
      <c r="Q122" s="28"/>
      <c r="R122" s="28"/>
      <c r="S122" s="28"/>
      <c r="T122" s="28"/>
      <c r="U122" s="28"/>
      <c r="V122" s="28"/>
      <c r="W122" s="28"/>
      <c r="X122" s="28"/>
      <c r="Y122" s="28"/>
      <c r="Z122" s="28"/>
      <c r="AA122" s="28"/>
      <c r="AB122" s="28"/>
    </row>
    <row r="123">
      <c r="A123" s="21" t="s">
        <v>263</v>
      </c>
      <c r="B123" s="22" t="s">
        <v>264</v>
      </c>
      <c r="C123" s="23" t="str">
        <f>IFERROR(__xludf.DUMMYFUNCTION("GOOGLETRANSLATE(B123, ""en"", ""fr"")"),"Chercher")</f>
        <v>Chercher</v>
      </c>
      <c r="D123" s="23" t="str">
        <f>IFERROR(__xludf.DUMMYFUNCTION("GOOGLETRANSLATE(B123, ""en"", ""es"")"),"Buscar")</f>
        <v>Buscar</v>
      </c>
      <c r="E123" s="23" t="str">
        <f>IFERROR(__xludf.DUMMYFUNCTION("GOOGLETRANSLATE(B123, ""en"", ""ru"")"),"Поиск")</f>
        <v>Поиск</v>
      </c>
      <c r="F123" s="23" t="str">
        <f>IFERROR(__xludf.DUMMYFUNCTION("GOOGLETRANSLATE(B123, ""en"", ""tr"")"),"Arama")</f>
        <v>Arama</v>
      </c>
      <c r="G123" s="23" t="str">
        <f>IFERROR(__xludf.DUMMYFUNCTION("GOOGLETRANSLATE(B123, ""en"", ""pt"")"),"Procurar")</f>
        <v>Procurar</v>
      </c>
      <c r="H123" s="24" t="str">
        <f>IFERROR(__xludf.DUMMYFUNCTION("GOOGLETRANSLATE(B123, ""en"", ""de"")"),"Suche")</f>
        <v>Suche</v>
      </c>
      <c r="I123" s="23" t="str">
        <f>IFERROR(__xludf.DUMMYFUNCTION("GOOGLETRANSLATE(B123, ""en"", ""pl"")"),"Szukaj")</f>
        <v>Szukaj</v>
      </c>
      <c r="J123" s="25" t="str">
        <f>IFERROR(__xludf.DUMMYFUNCTION("GOOGLETRANSLATE(B123, ""en"", ""zh"")"),"搜索")</f>
        <v>搜索</v>
      </c>
      <c r="K123" s="25" t="str">
        <f>IFERROR(__xludf.DUMMYFUNCTION("GOOGLETRANSLATE(B123, ""en"", ""vi"")"),"Tìm kiếm")</f>
        <v>Tìm kiếm</v>
      </c>
      <c r="L123" s="26" t="str">
        <f>IFERROR(__xludf.DUMMYFUNCTION("GOOGLETRANSLATE(B123, ""en"", ""hr"")"),"traži")</f>
        <v>traži</v>
      </c>
      <c r="M123" s="28"/>
      <c r="N123" s="28"/>
      <c r="O123" s="28"/>
      <c r="P123" s="28"/>
      <c r="Q123" s="28"/>
      <c r="R123" s="28"/>
      <c r="S123" s="28"/>
      <c r="T123" s="28"/>
      <c r="U123" s="28"/>
      <c r="V123" s="28"/>
      <c r="W123" s="28"/>
      <c r="X123" s="28"/>
      <c r="Y123" s="28"/>
      <c r="Z123" s="28"/>
      <c r="AA123" s="28"/>
      <c r="AB123" s="28"/>
    </row>
    <row r="124">
      <c r="A124" s="21" t="s">
        <v>265</v>
      </c>
      <c r="B124" s="22" t="s">
        <v>266</v>
      </c>
      <c r="C124" s="23" t="str">
        <f>IFERROR(__xludf.DUMMYFUNCTION("GOOGLETRANSLATE(B124, ""en"", ""fr"")"),"L'inventaire est vide.")</f>
        <v>L'inventaire est vide.</v>
      </c>
      <c r="D124" s="23" t="str">
        <f>IFERROR(__xludf.DUMMYFUNCTION("GOOGLETRANSLATE(B124, ""en"", ""es"")"),"El inventario está vacío.")</f>
        <v>El inventario está vacío.</v>
      </c>
      <c r="E124" s="23" t="str">
        <f>IFERROR(__xludf.DUMMYFUNCTION("GOOGLETRANSLATE(B124, ""en"", ""ru"")"),"Инвентарь пуст.")</f>
        <v>Инвентарь пуст.</v>
      </c>
      <c r="F124" s="23" t="str">
        <f>IFERROR(__xludf.DUMMYFUNCTION("GOOGLETRANSLATE(B124, ""en"", ""tr"")"),"Envanter boş.")</f>
        <v>Envanter boş.</v>
      </c>
      <c r="G124" s="23" t="str">
        <f>IFERROR(__xludf.DUMMYFUNCTION("GOOGLETRANSLATE(B124, ""en"", ""pt"")"),"O inventário está vazio.")</f>
        <v>O inventário está vazio.</v>
      </c>
      <c r="H124" s="24" t="str">
        <f>IFERROR(__xludf.DUMMYFUNCTION("GOOGLETRANSLATE(B124, ""en"", ""de"")"),"Inventar ist leer.")</f>
        <v>Inventar ist leer.</v>
      </c>
      <c r="I124" s="23" t="str">
        <f>IFERROR(__xludf.DUMMYFUNCTION("GOOGLETRANSLATE(B124, ""en"", ""pl"")"),"Inwentaryzacja jest pusta.")</f>
        <v>Inwentaryzacja jest pusta.</v>
      </c>
      <c r="J124" s="25" t="str">
        <f>IFERROR(__xludf.DUMMYFUNCTION("GOOGLETRANSLATE(B124, ""en"", ""zh"")"),"库存是空的。")</f>
        <v>库存是空的。</v>
      </c>
      <c r="K124" s="25" t="str">
        <f>IFERROR(__xludf.DUMMYFUNCTION("GOOGLETRANSLATE(B124, ""en"", ""vi"")"),"Hàng tồn kho là trống rỗng.")</f>
        <v>Hàng tồn kho là trống rỗng.</v>
      </c>
      <c r="L124" s="26" t="str">
        <f>IFERROR(__xludf.DUMMYFUNCTION("GOOGLETRANSLATE(B124, ""en"", ""hr"")"),"Inventar je prazan.")</f>
        <v>Inventar je prazan.</v>
      </c>
      <c r="M124" s="28"/>
      <c r="N124" s="28"/>
      <c r="O124" s="28"/>
      <c r="P124" s="28"/>
      <c r="Q124" s="28"/>
      <c r="R124" s="28"/>
      <c r="S124" s="28"/>
      <c r="T124" s="28"/>
      <c r="U124" s="28"/>
      <c r="V124" s="28"/>
      <c r="W124" s="28"/>
      <c r="X124" s="28"/>
      <c r="Y124" s="28"/>
      <c r="Z124" s="28"/>
      <c r="AA124" s="28"/>
      <c r="AB124" s="28"/>
    </row>
    <row r="125">
      <c r="A125" s="21" t="s">
        <v>267</v>
      </c>
      <c r="B125" s="22" t="s">
        <v>267</v>
      </c>
      <c r="C125" s="23" t="str">
        <f>IFERROR(__xludf.DUMMYFUNCTION("GOOGLETRANSLATE(B125, ""en"", ""fr"")"),"Supprimer de la barre Hot")</f>
        <v>Supprimer de la barre Hot</v>
      </c>
      <c r="D125" s="23" t="str">
        <f>IFERROR(__xludf.DUMMYFUNCTION("GOOGLETRANSLATE(B125, ""en"", ""es"")"),"Eliminar de Hotbar")</f>
        <v>Eliminar de Hotbar</v>
      </c>
      <c r="E125" s="23" t="str">
        <f>IFERROR(__xludf.DUMMYFUNCTION("GOOGLETRANSLATE(B125, ""en"", ""ru"")"),"Удалить из hotbar")</f>
        <v>Удалить из hotbar</v>
      </c>
      <c r="F125" s="23" t="str">
        <f>IFERROR(__xludf.DUMMYFUNCTION("GOOGLETRANSLATE(B125, ""en"", ""tr"")"),"Hotbar'dan kaldır")</f>
        <v>Hotbar'dan kaldır</v>
      </c>
      <c r="G125" s="23" t="str">
        <f>IFERROR(__xludf.DUMMYFUNCTION("GOOGLETRANSLATE(B125, ""en"", ""pt"")"),"Remover do Hotbar.")</f>
        <v>Remover do Hotbar.</v>
      </c>
      <c r="H125" s="24" t="str">
        <f>IFERROR(__xludf.DUMMYFUNCTION("GOOGLETRANSLATE(B125, ""en"", ""de"")"),"Aus der Hotbar entfernen.")</f>
        <v>Aus der Hotbar entfernen.</v>
      </c>
      <c r="I125" s="23" t="str">
        <f>IFERROR(__xludf.DUMMYFUNCTION("GOOGLETRANSLATE(B125, ""en"", ""pl"")"),"Usuń z Hotbar.")</f>
        <v>Usuń z Hotbar.</v>
      </c>
      <c r="J125" s="25" t="str">
        <f>IFERROR(__xludf.DUMMYFUNCTION("GOOGLETRANSLATE(B125, ""en"", ""zh"")"),"从hotbar中删除")</f>
        <v>从hotbar中删除</v>
      </c>
      <c r="K125" s="25" t="str">
        <f>IFERROR(__xludf.DUMMYFUNCTION("GOOGLETRANSLATE(B125, ""en"", ""vi"")"),"Xóa khỏi Hotbar.")</f>
        <v>Xóa khỏi Hotbar.</v>
      </c>
      <c r="L125" s="26" t="str">
        <f>IFERROR(__xludf.DUMMYFUNCTION("GOOGLETRANSLATE(B125, ""en"", ""hr"")"),"Uklonite s Hotbar")</f>
        <v>Uklonite s Hotbar</v>
      </c>
      <c r="M125" s="28"/>
      <c r="N125" s="28"/>
      <c r="O125" s="28"/>
      <c r="P125" s="28"/>
      <c r="Q125" s="28"/>
      <c r="R125" s="28"/>
      <c r="S125" s="28"/>
      <c r="T125" s="28"/>
      <c r="U125" s="28"/>
      <c r="V125" s="28"/>
      <c r="W125" s="28"/>
      <c r="X125" s="28"/>
      <c r="Y125" s="28"/>
      <c r="Z125" s="28"/>
      <c r="AA125" s="28"/>
      <c r="AB125" s="28"/>
    </row>
    <row r="126">
      <c r="A126" s="21" t="s">
        <v>268</v>
      </c>
      <c r="B126" s="22" t="s">
        <v>268</v>
      </c>
      <c r="C126" s="23" t="str">
        <f>IFERROR(__xludf.DUMMYFUNCTION("GOOGLETRANSLATE(B126, ""en"", ""fr"")"),"Barre de chaleur pleine")</f>
        <v>Barre de chaleur pleine</v>
      </c>
      <c r="D126" s="23" t="str">
        <f>IFERROR(__xludf.DUMMYFUNCTION("GOOGLETRANSLATE(B126, ""en"", ""es"")"),"Hotbar lleno")</f>
        <v>Hotbar lleno</v>
      </c>
      <c r="E126" s="23" t="str">
        <f>IFERROR(__xludf.DUMMYFUNCTION("GOOGLETRANSLATE(B126, ""en"", ""ru"")"),"Hotbar полный")</f>
        <v>Hotbar полный</v>
      </c>
      <c r="F126" s="23" t="str">
        <f>IFERROR(__xludf.DUMMYFUNCTION("GOOGLETRANSLATE(B126, ""en"", ""tr"")"),"Hotbar dolu")</f>
        <v>Hotbar dolu</v>
      </c>
      <c r="G126" s="23" t="str">
        <f>IFERROR(__xludf.DUMMYFUNCTION("GOOGLETRANSLATE(B126, ""en"", ""pt"")"),"Hotbar cheio")</f>
        <v>Hotbar cheio</v>
      </c>
      <c r="H126" s="24" t="str">
        <f>IFERROR(__xludf.DUMMYFUNCTION("GOOGLETRANSLATE(B126, ""en"", ""de"")"),"Hotbar Full.")</f>
        <v>Hotbar Full.</v>
      </c>
      <c r="I126" s="23" t="str">
        <f>IFERROR(__xludf.DUMMYFUNCTION("GOOGLETRANSLATE(B126, ""en"", ""pl"")"),"Hotbar Full.")</f>
        <v>Hotbar Full.</v>
      </c>
      <c r="J126" s="25" t="str">
        <f>IFERROR(__xludf.DUMMYFUNCTION("GOOGLETRANSLATE(B126, ""en"", ""zh"")"),"Hotbar Full.")</f>
        <v>Hotbar Full.</v>
      </c>
      <c r="K126" s="25" t="str">
        <f>IFERROR(__xludf.DUMMYFUNCTION("GOOGLETRANSLATE(B126, ""en"", ""vi"")"),"Hotbar đầy đủ")</f>
        <v>Hotbar đầy đủ</v>
      </c>
      <c r="L126" s="26" t="str">
        <f>IFERROR(__xludf.DUMMYFUNCTION("GOOGLETRANSLATE(B126, ""en"", ""hr"")"),"Hotbar pun")</f>
        <v>Hotbar pun</v>
      </c>
      <c r="M126" s="28"/>
      <c r="N126" s="28"/>
      <c r="O126" s="28"/>
      <c r="P126" s="28"/>
      <c r="Q126" s="28"/>
      <c r="R126" s="28"/>
      <c r="S126" s="28"/>
      <c r="T126" s="28"/>
      <c r="U126" s="28"/>
      <c r="V126" s="28"/>
      <c r="W126" s="28"/>
      <c r="X126" s="28"/>
      <c r="Y126" s="28"/>
      <c r="Z126" s="28"/>
      <c r="AA126" s="28"/>
      <c r="AB126" s="28"/>
    </row>
    <row r="127">
      <c r="A127" s="21" t="s">
        <v>269</v>
      </c>
      <c r="B127" s="22" t="s">
        <v>269</v>
      </c>
      <c r="C127" s="23" t="str">
        <f>IFERROR(__xludf.DUMMYFUNCTION("GOOGLETRANSLATE(B127, ""en"", ""fr"")"),"Ajouter à HotBar")</f>
        <v>Ajouter à HotBar</v>
      </c>
      <c r="D127" s="23" t="str">
        <f>IFERROR(__xludf.DUMMYFUNCTION("GOOGLETRANSLATE(B127, ""en"", ""es"")"),"Añadir a Hotbar")</f>
        <v>Añadir a Hotbar</v>
      </c>
      <c r="E127" s="23" t="str">
        <f>IFERROR(__xludf.DUMMYFUNCTION("GOOGLETRANSLATE(B127, ""en"", ""ru"")"),"Добавить в HotBar")</f>
        <v>Добавить в HotBar</v>
      </c>
      <c r="F127" s="23" t="str">
        <f>IFERROR(__xludf.DUMMYFUNCTION("GOOGLETRANSLATE(B127, ""en"", ""tr"")"),"Hotbar'a ekle")</f>
        <v>Hotbar'a ekle</v>
      </c>
      <c r="G127" s="23" t="str">
        <f>IFERROR(__xludf.DUMMYFUNCTION("GOOGLETRANSLATE(B127, ""en"", ""pt"")"),"Adicionar ao Hotbar.")</f>
        <v>Adicionar ao Hotbar.</v>
      </c>
      <c r="H127" s="24" t="str">
        <f>IFERROR(__xludf.DUMMYFUNCTION("GOOGLETRANSLATE(B127, ""en"", ""de"")"),"Zu Hotbar hinzufügen")</f>
        <v>Zu Hotbar hinzufügen</v>
      </c>
      <c r="I127" s="23" t="str">
        <f>IFERROR(__xludf.DUMMYFUNCTION("GOOGLETRANSLATE(B127, ""en"", ""pl"")"),"Dodaj do Hotbar.")</f>
        <v>Dodaj do Hotbar.</v>
      </c>
      <c r="J127" s="25" t="str">
        <f>IFERROR(__xludf.DUMMYFUNCTION("GOOGLETRANSLATE(B127, ""en"", ""zh"")"),"添加到Hotbar.")</f>
        <v>添加到Hotbar.</v>
      </c>
      <c r="K127" s="25" t="str">
        <f>IFERROR(__xludf.DUMMYFUNCTION("GOOGLETRANSLATE(B127, ""en"", ""vi"")"),"Thêm vào thanh nóng")</f>
        <v>Thêm vào thanh nóng</v>
      </c>
      <c r="L127" s="26" t="str">
        <f>IFERROR(__xludf.DUMMYFUNCTION("GOOGLETRANSLATE(B127, ""en"", ""hr"")"),"Dodajte na vruću traku")</f>
        <v>Dodajte na vruću traku</v>
      </c>
      <c r="M127" s="28"/>
      <c r="N127" s="28"/>
      <c r="O127" s="28"/>
      <c r="P127" s="28"/>
      <c r="Q127" s="28"/>
      <c r="R127" s="28"/>
      <c r="S127" s="28"/>
      <c r="T127" s="28"/>
      <c r="U127" s="28"/>
      <c r="V127" s="28"/>
      <c r="W127" s="28"/>
      <c r="X127" s="28"/>
      <c r="Y127" s="28"/>
      <c r="Z127" s="28"/>
      <c r="AA127" s="28"/>
      <c r="AB127" s="28"/>
    </row>
    <row r="128">
      <c r="A128" s="21" t="s">
        <v>270</v>
      </c>
      <c r="B128" s="22" t="s">
        <v>270</v>
      </c>
      <c r="C128" s="23" t="str">
        <f>IFERROR(__xludf.DUMMYFUNCTION("GOOGLETRANSLATE(B128, ""en"", ""fr"")"),"Équipement rapide")</f>
        <v>Équipement rapide</v>
      </c>
      <c r="D128" s="23" t="str">
        <f>IFERROR(__xludf.DUMMYFUNCTION("GOOGLETRANSLATE(B128, ""en"", ""es"")"),"Equipamiento rápido")</f>
        <v>Equipamiento rápido</v>
      </c>
      <c r="E128" s="23" t="str">
        <f>IFERROR(__xludf.DUMMYFUNCTION("GOOGLETRANSLATE(B128, ""en"", ""ru"")"),"Быстрое оборудование")</f>
        <v>Быстрое оборудование</v>
      </c>
      <c r="F128" s="23" t="str">
        <f>IFERROR(__xludf.DUMMYFUNCTION("GOOGLETRANSLATE(B128, ""en"", ""tr"")"),"Hızlı donatmak")</f>
        <v>Hızlı donatmak</v>
      </c>
      <c r="G128" s="23" t="str">
        <f>IFERROR(__xludf.DUMMYFUNCTION("GOOGLETRANSLATE(B128, ""en"", ""pt"")"),"Equipador rápido.")</f>
        <v>Equipador rápido.</v>
      </c>
      <c r="H128" s="24" t="str">
        <f>IFERROR(__xludf.DUMMYFUNCTION("GOOGLETRANSLATE(B128, ""en"", ""de"")"),"Schnelle Ausrüstung")</f>
        <v>Schnelle Ausrüstung</v>
      </c>
      <c r="I128" s="23" t="str">
        <f>IFERROR(__xludf.DUMMYFUNCTION("GOOGLETRANSLATE(B128, ""en"", ""pl"")"),"Szybki Equip.")</f>
        <v>Szybki Equip.</v>
      </c>
      <c r="J128" s="25" t="str">
        <f>IFERROR(__xludf.DUMMYFUNCTION("GOOGLETRANSLATE(B128, ""en"", ""zh"")"),"快速装备")</f>
        <v>快速装备</v>
      </c>
      <c r="K128" s="25" t="str">
        <f>IFERROR(__xludf.DUMMYFUNCTION("GOOGLETRANSLATE(B128, ""en"", ""vi"")"),"Trang bị nhanh")</f>
        <v>Trang bị nhanh</v>
      </c>
      <c r="L128" s="26" t="str">
        <f>IFERROR(__xludf.DUMMYFUNCTION("GOOGLETRANSLATE(B128, ""en"", ""hr"")"),"Brza oprema")</f>
        <v>Brza oprema</v>
      </c>
      <c r="M128" s="28"/>
      <c r="N128" s="28"/>
      <c r="O128" s="28"/>
      <c r="P128" s="28"/>
      <c r="Q128" s="28"/>
      <c r="R128" s="28"/>
      <c r="S128" s="28"/>
      <c r="T128" s="28"/>
      <c r="U128" s="28"/>
      <c r="V128" s="28"/>
      <c r="W128" s="28"/>
      <c r="X128" s="28"/>
      <c r="Y128" s="28"/>
      <c r="Z128" s="28"/>
      <c r="AA128" s="28"/>
      <c r="AB128" s="28"/>
    </row>
    <row r="129">
      <c r="A129" s="21" t="s">
        <v>271</v>
      </c>
      <c r="B129" s="22" t="s">
        <v>271</v>
      </c>
      <c r="C129" s="23" t="str">
        <f>IFERROR(__xludf.DUMMYFUNCTION("GOOGLETRANSLATE(B129, ""en"", ""fr"")"),"Usage rapide")</f>
        <v>Usage rapide</v>
      </c>
      <c r="D129" s="23" t="str">
        <f>IFERROR(__xludf.DUMMYFUNCTION("GOOGLETRANSLATE(B129, ""en"", ""es"")"),"Uso rápido")</f>
        <v>Uso rápido</v>
      </c>
      <c r="E129" s="23" t="str">
        <f>IFERROR(__xludf.DUMMYFUNCTION("GOOGLETRANSLATE(B129, ""en"", ""ru"")"),"Быстрое использование")</f>
        <v>Быстрое использование</v>
      </c>
      <c r="F129" s="23" t="str">
        <f>IFERROR(__xludf.DUMMYFUNCTION("GOOGLETRANSLATE(B129, ""en"", ""tr"")"),"Hızlı kullanım")</f>
        <v>Hızlı kullanım</v>
      </c>
      <c r="G129" s="23" t="str">
        <f>IFERROR(__xludf.DUMMYFUNCTION("GOOGLETRANSLATE(B129, ""en"", ""pt"")"),"Uso rápido")</f>
        <v>Uso rápido</v>
      </c>
      <c r="H129" s="24" t="str">
        <f>IFERROR(__xludf.DUMMYFUNCTION("GOOGLETRANSLATE(B129, ""en"", ""de"")"),"Schnelle Verwendung")</f>
        <v>Schnelle Verwendung</v>
      </c>
      <c r="I129" s="23" t="str">
        <f>IFERROR(__xludf.DUMMYFUNCTION("GOOGLETRANSLATE(B129, ""en"", ""pl"")"),"Szybkie użycie")</f>
        <v>Szybkie użycie</v>
      </c>
      <c r="J129" s="25" t="str">
        <f>IFERROR(__xludf.DUMMYFUNCTION("GOOGLETRANSLATE(B129, ""en"", ""zh"")"),"快速使用")</f>
        <v>快速使用</v>
      </c>
      <c r="K129" s="25" t="str">
        <f>IFERROR(__xludf.DUMMYFUNCTION("GOOGLETRANSLATE(B129, ""en"", ""vi"")"),"Sử dụng nhanh chóng")</f>
        <v>Sử dụng nhanh chóng</v>
      </c>
      <c r="L129" s="26" t="str">
        <f>IFERROR(__xludf.DUMMYFUNCTION("GOOGLETRANSLATE(B129, ""en"", ""hr"")"),"Brzo korištenje")</f>
        <v>Brzo korištenje</v>
      </c>
      <c r="M129" s="28"/>
      <c r="N129" s="28"/>
      <c r="O129" s="28"/>
      <c r="P129" s="28"/>
      <c r="Q129" s="28"/>
      <c r="R129" s="28"/>
      <c r="S129" s="28"/>
      <c r="T129" s="28"/>
      <c r="U129" s="28"/>
      <c r="V129" s="28"/>
      <c r="W129" s="28"/>
      <c r="X129" s="28"/>
      <c r="Y129" s="28"/>
      <c r="Z129" s="28"/>
      <c r="AA129" s="28"/>
      <c r="AB129" s="28"/>
    </row>
    <row r="130">
      <c r="A130" s="21" t="s">
        <v>272</v>
      </c>
      <c r="B130" s="22" t="s">
        <v>272</v>
      </c>
      <c r="C130" s="23" t="str">
        <f>IFERROR(__xludf.DUMMYFUNCTION("GOOGLETRANSLATE(B130, ""en"", ""fr"")"),"Tomber")</f>
        <v>Tomber</v>
      </c>
      <c r="D130" s="23" t="str">
        <f>IFERROR(__xludf.DUMMYFUNCTION("GOOGLETRANSLATE(B130, ""en"", ""es"")"),"Soltar")</f>
        <v>Soltar</v>
      </c>
      <c r="E130" s="23" t="str">
        <f>IFERROR(__xludf.DUMMYFUNCTION("GOOGLETRANSLATE(B130, ""en"", ""ru"")"),"Уронить")</f>
        <v>Уронить</v>
      </c>
      <c r="F130" s="23" t="str">
        <f>IFERROR(__xludf.DUMMYFUNCTION("GOOGLETRANSLATE(B130, ""en"", ""tr"")"),"Düşürmek")</f>
        <v>Düşürmek</v>
      </c>
      <c r="G130" s="23" t="str">
        <f>IFERROR(__xludf.DUMMYFUNCTION("GOOGLETRANSLATE(B130, ""en"", ""pt"")"),"Derrubar")</f>
        <v>Derrubar</v>
      </c>
      <c r="H130" s="24" t="str">
        <f>IFERROR(__xludf.DUMMYFUNCTION("GOOGLETRANSLATE(B130, ""en"", ""de"")"),"Tropfen")</f>
        <v>Tropfen</v>
      </c>
      <c r="I130" s="23" t="str">
        <f>IFERROR(__xludf.DUMMYFUNCTION("GOOGLETRANSLATE(B130, ""en"", ""pl"")"),"Upuszczać")</f>
        <v>Upuszczać</v>
      </c>
      <c r="J130" s="25" t="str">
        <f>IFERROR(__xludf.DUMMYFUNCTION("GOOGLETRANSLATE(B130, ""en"", ""zh"")"),"降低")</f>
        <v>降低</v>
      </c>
      <c r="K130" s="25" t="str">
        <f>IFERROR(__xludf.DUMMYFUNCTION("GOOGLETRANSLATE(B130, ""en"", ""vi"")"),"Rơi vãi")</f>
        <v>Rơi vãi</v>
      </c>
      <c r="L130" s="26" t="str">
        <f>IFERROR(__xludf.DUMMYFUNCTION("GOOGLETRANSLATE(B130, ""en"", ""hr"")"),"Pad")</f>
        <v>Pad</v>
      </c>
      <c r="M130" s="28"/>
      <c r="N130" s="28"/>
      <c r="O130" s="28"/>
      <c r="P130" s="28"/>
      <c r="Q130" s="28"/>
      <c r="R130" s="28"/>
      <c r="S130" s="28"/>
      <c r="T130" s="28"/>
      <c r="U130" s="28"/>
      <c r="V130" s="28"/>
      <c r="W130" s="28"/>
      <c r="X130" s="28"/>
      <c r="Y130" s="28"/>
      <c r="Z130" s="28"/>
      <c r="AA130" s="28"/>
      <c r="AB130" s="28"/>
    </row>
    <row r="131">
      <c r="A131" s="21" t="s">
        <v>273</v>
      </c>
      <c r="B131" s="22" t="s">
        <v>274</v>
      </c>
      <c r="C131" s="23" t="str">
        <f>IFERROR(__xludf.DUMMYFUNCTION("GOOGLETRANSLATE(B131, ""en"", ""fr"")"),"Laisser tomber tout")</f>
        <v>Laisser tomber tout</v>
      </c>
      <c r="D131" s="23" t="str">
        <f>IFERROR(__xludf.DUMMYFUNCTION("GOOGLETRANSLATE(B131, ""en"", ""es"")"),"Caer todo")</f>
        <v>Caer todo</v>
      </c>
      <c r="E131" s="23" t="str">
        <f>IFERROR(__xludf.DUMMYFUNCTION("GOOGLETRANSLATE(B131, ""en"", ""ru"")"),"Падение все")</f>
        <v>Падение все</v>
      </c>
      <c r="F131" s="23" t="str">
        <f>IFERROR(__xludf.DUMMYFUNCTION("GOOGLETRANSLATE(B131, ""en"", ""tr"")"),"Hepsini düşürmek")</f>
        <v>Hepsini düşürmek</v>
      </c>
      <c r="G131" s="23" t="str">
        <f>IFERROR(__xludf.DUMMYFUNCTION("GOOGLETRANSLATE(B131, ""en"", ""pt"")"),"Drop All.")</f>
        <v>Drop All.</v>
      </c>
      <c r="H131" s="24" t="str">
        <f>IFERROR(__xludf.DUMMYFUNCTION("GOOGLETRANSLATE(B131, ""en"", ""de"")"),"Alles fallen lassen.")</f>
        <v>Alles fallen lassen.</v>
      </c>
      <c r="I131" s="23" t="str">
        <f>IFERROR(__xludf.DUMMYFUNCTION("GOOGLETRANSLATE(B131, ""en"", ""pl"")"),"Upuść wszystko")</f>
        <v>Upuść wszystko</v>
      </c>
      <c r="J131" s="25" t="str">
        <f>IFERROR(__xludf.DUMMYFUNCTION("GOOGLETRANSLATE(B131, ""en"", ""zh"")"),"放下所有")</f>
        <v>放下所有</v>
      </c>
      <c r="K131" s="25" t="str">
        <f>IFERROR(__xludf.DUMMYFUNCTION("GOOGLETRANSLATE(B131, ""en"", ""vi"")"),"Thả tất cả")</f>
        <v>Thả tất cả</v>
      </c>
      <c r="L131" s="26" t="str">
        <f>IFERROR(__xludf.DUMMYFUNCTION("GOOGLETRANSLATE(B131, ""en"", ""hr"")"),"Spustiti sve")</f>
        <v>Spustiti sve</v>
      </c>
      <c r="M131" s="28"/>
      <c r="N131" s="28"/>
      <c r="O131" s="28"/>
      <c r="P131" s="28"/>
      <c r="Q131" s="28"/>
      <c r="R131" s="28"/>
      <c r="S131" s="28"/>
      <c r="T131" s="28"/>
      <c r="U131" s="28"/>
      <c r="V131" s="28"/>
      <c r="W131" s="28"/>
      <c r="X131" s="28"/>
      <c r="Y131" s="28"/>
      <c r="Z131" s="28"/>
      <c r="AA131" s="28"/>
      <c r="AB131" s="28"/>
    </row>
    <row r="132">
      <c r="A132" s="21" t="s">
        <v>275</v>
      </c>
      <c r="B132" s="22" t="s">
        <v>275</v>
      </c>
      <c r="C132" s="23" t="str">
        <f>IFERROR(__xludf.DUMMYFUNCTION("GOOGLETRANSLATE(B132, ""en"", ""fr"")"),"Poids")</f>
        <v>Poids</v>
      </c>
      <c r="D132" s="23" t="str">
        <f>IFERROR(__xludf.DUMMYFUNCTION("GOOGLETRANSLATE(B132, ""en"", ""es"")"),"Peso")</f>
        <v>Peso</v>
      </c>
      <c r="E132" s="23" t="str">
        <f>IFERROR(__xludf.DUMMYFUNCTION("GOOGLETRANSLATE(B132, ""en"", ""ru"")"),"Масса")</f>
        <v>Масса</v>
      </c>
      <c r="F132" s="23" t="str">
        <f>IFERROR(__xludf.DUMMYFUNCTION("GOOGLETRANSLATE(B132, ""en"", ""tr"")"),"Ağırlık")</f>
        <v>Ağırlık</v>
      </c>
      <c r="G132" s="23" t="str">
        <f>IFERROR(__xludf.DUMMYFUNCTION("GOOGLETRANSLATE(B132, ""en"", ""pt"")"),"Peso")</f>
        <v>Peso</v>
      </c>
      <c r="H132" s="24" t="str">
        <f>IFERROR(__xludf.DUMMYFUNCTION("GOOGLETRANSLATE(B132, ""en"", ""de"")"),"Gewicht")</f>
        <v>Gewicht</v>
      </c>
      <c r="I132" s="23" t="str">
        <f>IFERROR(__xludf.DUMMYFUNCTION("GOOGLETRANSLATE(B132, ""en"", ""pl"")"),"Waga")</f>
        <v>Waga</v>
      </c>
      <c r="J132" s="25" t="str">
        <f>IFERROR(__xludf.DUMMYFUNCTION("GOOGLETRANSLATE(B132, ""en"", ""zh"")"),"重量")</f>
        <v>重量</v>
      </c>
      <c r="K132" s="25" t="str">
        <f>IFERROR(__xludf.DUMMYFUNCTION("GOOGLETRANSLATE(B132, ""en"", ""vi"")"),"Cân nặng")</f>
        <v>Cân nặng</v>
      </c>
      <c r="L132" s="26" t="str">
        <f>IFERROR(__xludf.DUMMYFUNCTION("GOOGLETRANSLATE(B132, ""en"", ""hr"")"),"Težina")</f>
        <v>Težina</v>
      </c>
      <c r="M132" s="28"/>
      <c r="N132" s="28"/>
      <c r="O132" s="28"/>
      <c r="P132" s="28"/>
      <c r="Q132" s="28"/>
      <c r="R132" s="28"/>
      <c r="S132" s="28"/>
      <c r="T132" s="28"/>
      <c r="U132" s="28"/>
      <c r="V132" s="28"/>
      <c r="W132" s="28"/>
      <c r="X132" s="28"/>
      <c r="Y132" s="28"/>
      <c r="Z132" s="28"/>
      <c r="AA132" s="28"/>
      <c r="AB132" s="28"/>
    </row>
    <row r="133">
      <c r="A133" s="21" t="s">
        <v>276</v>
      </c>
      <c r="B133" s="22" t="s">
        <v>276</v>
      </c>
      <c r="C133" s="23" t="str">
        <f>IFERROR(__xludf.DUMMYFUNCTION("GOOGLETRANSLATE(B133, ""en"", ""fr"")"),"Afficher les détails de l'article")</f>
        <v>Afficher les détails de l'article</v>
      </c>
      <c r="D133" s="23" t="str">
        <f>IFERROR(__xludf.DUMMYFUNCTION("GOOGLETRANSLATE(B133, ""en"", ""es"")"),"Mostrar detalles del artículo")</f>
        <v>Mostrar detalles del artículo</v>
      </c>
      <c r="E133" s="23" t="str">
        <f>IFERROR(__xludf.DUMMYFUNCTION("GOOGLETRANSLATE(B133, ""en"", ""ru"")"),"Показать детали предмета")</f>
        <v>Показать детали предмета</v>
      </c>
      <c r="F133" s="23" t="str">
        <f>IFERROR(__xludf.DUMMYFUNCTION("GOOGLETRANSLATE(B133, ""en"", ""tr"")"),"Ürün ayrıntılarını göster")</f>
        <v>Ürün ayrıntılarını göster</v>
      </c>
      <c r="G133" s="23" t="str">
        <f>IFERROR(__xludf.DUMMYFUNCTION("GOOGLETRANSLATE(B133, ""en"", ""pt"")"),"Mostrar detalhes do item")</f>
        <v>Mostrar detalhes do item</v>
      </c>
      <c r="H133" s="24" t="str">
        <f>IFERROR(__xludf.DUMMYFUNCTION("GOOGLETRANSLATE(B133, ""en"", ""de"")"),"Artikeldetails anzeigen.")</f>
        <v>Artikeldetails anzeigen.</v>
      </c>
      <c r="I133" s="23" t="str">
        <f>IFERROR(__xludf.DUMMYFUNCTION("GOOGLETRANSLATE(B133, ""en"", ""pl"")"),"Pokaż szczegóły elementu")</f>
        <v>Pokaż szczegóły elementu</v>
      </c>
      <c r="J133" s="25" t="str">
        <f>IFERROR(__xludf.DUMMYFUNCTION("GOOGLETRANSLATE(B133, ""en"", ""zh"")"),"显示项目详细信息")</f>
        <v>显示项目详细信息</v>
      </c>
      <c r="K133" s="25" t="str">
        <f>IFERROR(__xludf.DUMMYFUNCTION("GOOGLETRANSLATE(B133, ""en"", ""vi"")"),"Hiển thị chi tiết mục")</f>
        <v>Hiển thị chi tiết mục</v>
      </c>
      <c r="L133" s="26" t="str">
        <f>IFERROR(__xludf.DUMMYFUNCTION("GOOGLETRANSLATE(B133, ""en"", ""hr"")"),"Prikaži pojedinosti o stavci")</f>
        <v>Prikaži pojedinosti o stavci</v>
      </c>
      <c r="M133" s="28"/>
      <c r="N133" s="28"/>
      <c r="O133" s="28"/>
      <c r="P133" s="28"/>
      <c r="Q133" s="28"/>
      <c r="R133" s="28"/>
      <c r="S133" s="28"/>
      <c r="T133" s="28"/>
      <c r="U133" s="28"/>
      <c r="V133" s="28"/>
      <c r="W133" s="28"/>
      <c r="X133" s="28"/>
      <c r="Y133" s="28"/>
      <c r="Z133" s="28"/>
      <c r="AA133" s="28"/>
      <c r="AB133" s="28"/>
    </row>
    <row r="134">
      <c r="A134" s="21" t="s">
        <v>277</v>
      </c>
      <c r="B134" s="22" t="s">
        <v>278</v>
      </c>
      <c r="C134" s="23" t="str">
        <f>IFERROR(__xludf.DUMMYFUNCTION("GOOGLETRANSLATE(B134, ""en"", ""fr"")"),"Aucun élément trouvé.")</f>
        <v>Aucun élément trouvé.</v>
      </c>
      <c r="D134" s="23" t="str">
        <f>IFERROR(__xludf.DUMMYFUNCTION("GOOGLETRANSLATE(B134, ""en"", ""es"")"),"No se encontraron artículos.")</f>
        <v>No se encontraron artículos.</v>
      </c>
      <c r="E134" s="23" t="str">
        <f>IFERROR(__xludf.DUMMYFUNCTION("GOOGLETRANSLATE(B134, ""en"", ""ru"")"),"Ничего не найдено.")</f>
        <v>Ничего не найдено.</v>
      </c>
      <c r="F134" s="23" t="str">
        <f>IFERROR(__xludf.DUMMYFUNCTION("GOOGLETRANSLATE(B134, ""en"", ""tr"")"),"Hiç bir öğe bulunamadı.")</f>
        <v>Hiç bir öğe bulunamadı.</v>
      </c>
      <c r="G134" s="23" t="str">
        <f>IFERROR(__xludf.DUMMYFUNCTION("GOOGLETRANSLATE(B134, ""en"", ""pt"")"),"Nenhum item encontrado.")</f>
        <v>Nenhum item encontrado.</v>
      </c>
      <c r="H134" s="24" t="str">
        <f>IFERROR(__xludf.DUMMYFUNCTION("GOOGLETRANSLATE(B134, ""en"", ""de"")"),"Keine Elemente gefunden.")</f>
        <v>Keine Elemente gefunden.</v>
      </c>
      <c r="I134" s="23" t="str">
        <f>IFERROR(__xludf.DUMMYFUNCTION("GOOGLETRANSLATE(B134, ""en"", ""pl"")"),"Nie znaleziono żadnych przedmiotów.")</f>
        <v>Nie znaleziono żadnych przedmiotów.</v>
      </c>
      <c r="J134" s="25" t="str">
        <f>IFERROR(__xludf.DUMMYFUNCTION("GOOGLETRANSLATE(B134, ""en"", ""zh"")"),"未找到任何项目。")</f>
        <v>未找到任何项目。</v>
      </c>
      <c r="K134" s="25" t="str">
        <f>IFERROR(__xludf.DUMMYFUNCTION("GOOGLETRANSLATE(B134, ""en"", ""vi"")"),"Không tìm thấy vật nào.")</f>
        <v>Không tìm thấy vật nào.</v>
      </c>
      <c r="L134" s="26" t="str">
        <f>IFERROR(__xludf.DUMMYFUNCTION("GOOGLETRANSLATE(B134, ""en"", ""hr"")"),"Nema pronađenih stavki.")</f>
        <v>Nema pronađenih stavki.</v>
      </c>
      <c r="M134" s="28"/>
      <c r="N134" s="28"/>
      <c r="O134" s="28"/>
      <c r="P134" s="28"/>
      <c r="Q134" s="28"/>
      <c r="R134" s="28"/>
      <c r="S134" s="28"/>
      <c r="T134" s="28"/>
      <c r="U134" s="28"/>
      <c r="V134" s="28"/>
      <c r="W134" s="28"/>
      <c r="X134" s="28"/>
      <c r="Y134" s="28"/>
      <c r="Z134" s="28"/>
      <c r="AA134" s="28"/>
      <c r="AB134" s="28"/>
    </row>
    <row r="135">
      <c r="A135" s="21" t="s">
        <v>279</v>
      </c>
      <c r="B135" s="22" t="s">
        <v>280</v>
      </c>
      <c r="C135" s="23" t="str">
        <f>IFERROR(__xludf.DUMMYFUNCTION("GOOGLETRANSLATE(B135, ""en"", ""fr"")"),"Aucune option d'artisanat disponible.")</f>
        <v>Aucune option d'artisanat disponible.</v>
      </c>
      <c r="D135" s="23" t="str">
        <f>IFERROR(__xludf.DUMMYFUNCTION("GOOGLETRANSLATE(B135, ""en"", ""es"")"),"No hay opciones de artesanía disponibles.")</f>
        <v>No hay opciones de artesanía disponibles.</v>
      </c>
      <c r="E135" s="23" t="str">
        <f>IFERROR(__xludf.DUMMYFUNCTION("GOOGLETRANSLATE(B135, ""en"", ""ru"")"),"Нет вариантов крафта.")</f>
        <v>Нет вариантов крафта.</v>
      </c>
      <c r="F135" s="23" t="str">
        <f>IFERROR(__xludf.DUMMYFUNCTION("GOOGLETRANSLATE(B135, ""en"", ""tr"")"),"İşçiliği seçeneği yok.")</f>
        <v>İşçiliği seçeneği yok.</v>
      </c>
      <c r="G135" s="23" t="str">
        <f>IFERROR(__xludf.DUMMYFUNCTION("GOOGLETRANSLATE(B135, ""en"", ""pt"")"),"Sem opções de artesanato disponíveis.")</f>
        <v>Sem opções de artesanato disponíveis.</v>
      </c>
      <c r="H135" s="24" t="str">
        <f>IFERROR(__xludf.DUMMYFUNCTION("GOOGLETRANSLATE(B135, ""en"", ""de"")"),"Keine Handlungsoptionen verfügbar.")</f>
        <v>Keine Handlungsoptionen verfügbar.</v>
      </c>
      <c r="I135" s="23" t="str">
        <f>IFERROR(__xludf.DUMMYFUNCTION("GOOGLETRANSLATE(B135, ""en"", ""pl"")"),"Brak dostępnych opcji craftingów.")</f>
        <v>Brak dostępnych opcji craftingów.</v>
      </c>
      <c r="J135" s="25" t="str">
        <f>IFERROR(__xludf.DUMMYFUNCTION("GOOGLETRANSLATE(B135, ""en"", ""zh"")"),"没有可用的制作选项。")</f>
        <v>没有可用的制作选项。</v>
      </c>
      <c r="K135" s="25" t="str">
        <f>IFERROR(__xludf.DUMMYFUNCTION("GOOGLETRANSLATE(B135, ""en"", ""vi"")"),"Không có lựa chọn chế tạo có sẵn.")</f>
        <v>Không có lựa chọn chế tạo có sẵn.</v>
      </c>
      <c r="L135" s="26" t="str">
        <f>IFERROR(__xludf.DUMMYFUNCTION("GOOGLETRANSLATE(B135, ""en"", ""hr"")"),"Nema dostupnih opcija za izradu.")</f>
        <v>Nema dostupnih opcija za izradu.</v>
      </c>
      <c r="M135" s="28"/>
      <c r="N135" s="28"/>
      <c r="O135" s="28"/>
      <c r="P135" s="28"/>
      <c r="Q135" s="28"/>
      <c r="R135" s="28"/>
      <c r="S135" s="28"/>
      <c r="T135" s="28"/>
      <c r="U135" s="28"/>
      <c r="V135" s="28"/>
      <c r="W135" s="28"/>
      <c r="X135" s="28"/>
      <c r="Y135" s="28"/>
      <c r="Z135" s="28"/>
      <c r="AA135" s="28"/>
      <c r="AB135" s="28"/>
    </row>
    <row r="136">
      <c r="A136" s="21" t="s">
        <v>281</v>
      </c>
      <c r="B136" s="22" t="s">
        <v>281</v>
      </c>
      <c r="C136" s="23" t="str">
        <f>IFERROR(__xludf.DUMMYFUNCTION("GOOGLETRANSLATE(B136, ""en"", ""fr"")"),"Artisanat")</f>
        <v>Artisanat</v>
      </c>
      <c r="D136" s="23" t="str">
        <f>IFERROR(__xludf.DUMMYFUNCTION("GOOGLETRANSLATE(B136, ""en"", ""es"")"),"Artesanía")</f>
        <v>Artesanía</v>
      </c>
      <c r="E136" s="23" t="str">
        <f>IFERROR(__xludf.DUMMYFUNCTION("GOOGLETRANSLATE(B136, ""en"", ""ru"")"),"Ремесло")</f>
        <v>Ремесло</v>
      </c>
      <c r="F136" s="23" t="str">
        <f>IFERROR(__xludf.DUMMYFUNCTION("GOOGLETRANSLATE(B136, ""en"", ""tr"")"),"Zanaat")</f>
        <v>Zanaat</v>
      </c>
      <c r="G136" s="23" t="str">
        <f>IFERROR(__xludf.DUMMYFUNCTION("GOOGLETRANSLATE(B136, ""en"", ""pt"")"),"Artesanato")</f>
        <v>Artesanato</v>
      </c>
      <c r="H136" s="24" t="str">
        <f>IFERROR(__xludf.DUMMYFUNCTION("GOOGLETRANSLATE(B136, ""en"", ""de"")"),"Handwerk")</f>
        <v>Handwerk</v>
      </c>
      <c r="I136" s="23" t="str">
        <f>IFERROR(__xludf.DUMMYFUNCTION("GOOGLETRANSLATE(B136, ""en"", ""pl"")"),"Rękodzieło")</f>
        <v>Rękodzieło</v>
      </c>
      <c r="J136" s="25" t="str">
        <f>IFERROR(__xludf.DUMMYFUNCTION("GOOGLETRANSLATE(B136, ""en"", ""zh"")"),"工艺")</f>
        <v>工艺</v>
      </c>
      <c r="K136" s="25" t="str">
        <f>IFERROR(__xludf.DUMMYFUNCTION("GOOGLETRANSLATE(B136, ""en"", ""vi"")"),"Thủ công")</f>
        <v>Thủ công</v>
      </c>
      <c r="L136" s="26" t="str">
        <f>IFERROR(__xludf.DUMMYFUNCTION("GOOGLETRANSLATE(B136, ""en"", ""hr"")"),"Obrt")</f>
        <v>Obrt</v>
      </c>
      <c r="M136" s="28"/>
      <c r="N136" s="28"/>
      <c r="O136" s="28"/>
      <c r="P136" s="28"/>
      <c r="Q136" s="28"/>
      <c r="R136" s="28"/>
      <c r="S136" s="28"/>
      <c r="T136" s="28"/>
      <c r="U136" s="28"/>
      <c r="V136" s="28"/>
      <c r="W136" s="28"/>
      <c r="X136" s="28"/>
      <c r="Y136" s="28"/>
      <c r="Z136" s="28"/>
      <c r="AA136" s="28"/>
      <c r="AB136" s="28"/>
    </row>
    <row r="137">
      <c r="A137" s="29" t="s">
        <v>282</v>
      </c>
      <c r="B137" s="22" t="s">
        <v>282</v>
      </c>
      <c r="C137" s="23" t="str">
        <f>IFERROR(__xludf.DUMMYFUNCTION("GOOGLETRANSLATE(B137, ""en"", ""fr"")"),"Niveau")</f>
        <v>Niveau</v>
      </c>
      <c r="D137" s="23" t="str">
        <f>IFERROR(__xludf.DUMMYFUNCTION("GOOGLETRANSLATE(B137, ""en"", ""es"")"),"Nivel")</f>
        <v>Nivel</v>
      </c>
      <c r="E137" s="23" t="str">
        <f>IFERROR(__xludf.DUMMYFUNCTION("GOOGLETRANSLATE(B137, ""en"", ""ru"")"),"Уровень")</f>
        <v>Уровень</v>
      </c>
      <c r="F137" s="23" t="str">
        <f>IFERROR(__xludf.DUMMYFUNCTION("GOOGLETRANSLATE(B137, ""en"", ""tr"")"),"Seviye")</f>
        <v>Seviye</v>
      </c>
      <c r="G137" s="23" t="str">
        <f>IFERROR(__xludf.DUMMYFUNCTION("GOOGLETRANSLATE(B137, ""en"", ""pt"")"),"Nível")</f>
        <v>Nível</v>
      </c>
      <c r="H137" s="24" t="str">
        <f>IFERROR(__xludf.DUMMYFUNCTION("GOOGLETRANSLATE(B137, ""en"", ""de"")"),"Niveau")</f>
        <v>Niveau</v>
      </c>
      <c r="I137" s="23" t="str">
        <f>IFERROR(__xludf.DUMMYFUNCTION("GOOGLETRANSLATE(B137, ""en"", ""pl"")"),"Poziom")</f>
        <v>Poziom</v>
      </c>
      <c r="J137" s="25" t="str">
        <f>IFERROR(__xludf.DUMMYFUNCTION("GOOGLETRANSLATE(B137, ""en"", ""zh"")"),"等级")</f>
        <v>等级</v>
      </c>
      <c r="K137" s="25" t="str">
        <f>IFERROR(__xludf.DUMMYFUNCTION("GOOGLETRANSLATE(B137, ""en"", ""vi"")"),"Cấp độ")</f>
        <v>Cấp độ</v>
      </c>
      <c r="L137" s="26" t="str">
        <f>IFERROR(__xludf.DUMMYFUNCTION("GOOGLETRANSLATE(B137, ""en"", ""hr"")"),"Razina")</f>
        <v>Razina</v>
      </c>
      <c r="M137" s="28"/>
      <c r="N137" s="28"/>
      <c r="O137" s="28"/>
      <c r="P137" s="28"/>
      <c r="Q137" s="28"/>
      <c r="R137" s="28"/>
      <c r="S137" s="28"/>
      <c r="T137" s="28"/>
      <c r="U137" s="28"/>
      <c r="V137" s="28"/>
      <c r="W137" s="28"/>
      <c r="X137" s="28"/>
      <c r="Y137" s="28"/>
      <c r="Z137" s="28"/>
      <c r="AA137" s="28"/>
      <c r="AB137" s="28"/>
    </row>
    <row r="138">
      <c r="A138" s="29" t="s">
        <v>283</v>
      </c>
      <c r="B138" s="22" t="s">
        <v>283</v>
      </c>
      <c r="C138" s="23" t="s">
        <v>284</v>
      </c>
      <c r="D138" s="23" t="str">
        <f>IFERROR(__xludf.DUMMYFUNCTION("GOOGLETRANSLATE(B138, ""en"", ""es"")"),"Exp")</f>
        <v>Exp</v>
      </c>
      <c r="E138" s="23" t="str">
        <f>IFERROR(__xludf.DUMMYFUNCTION("GOOGLETRANSLATE(B138, ""en"", ""ru"")"),"Превышать")</f>
        <v>Превышать</v>
      </c>
      <c r="F138" s="23" t="str">
        <f>IFERROR(__xludf.DUMMYFUNCTION("GOOGLETRANSLATE(B138, ""en"", ""tr"")"),"Tecrübe")</f>
        <v>Tecrübe</v>
      </c>
      <c r="G138" s="23" t="str">
        <f>IFERROR(__xludf.DUMMYFUNCTION("GOOGLETRANSLATE(B138, ""en"", ""pt"")"),"Exp.")</f>
        <v>Exp.</v>
      </c>
      <c r="H138" s="24" t="str">
        <f>IFERROR(__xludf.DUMMYFUNCTION("GOOGLETRANSLATE(B138, ""en"", ""de"")"),"EXP.")</f>
        <v>EXP.</v>
      </c>
      <c r="I138" s="23" t="str">
        <f>IFERROR(__xludf.DUMMYFUNCTION("GOOGLETRANSLATE(B138, ""en"", ""pl"")"),"Do potęgi")</f>
        <v>Do potęgi</v>
      </c>
      <c r="J138" s="25" t="str">
        <f>IFERROR(__xludf.DUMMYFUNCTION("GOOGLETRANSLATE(B138, ""en"", ""zh"")"),"exp.")</f>
        <v>exp.</v>
      </c>
      <c r="K138" s="25" t="str">
        <f>IFERROR(__xludf.DUMMYFUNCTION("GOOGLETRANSLATE(B138, ""en"", ""vi"")"),"NS")</f>
        <v>NS</v>
      </c>
      <c r="L138" s="26" t="str">
        <f>IFERROR(__xludf.DUMMYFUNCTION("GOOGLETRANSLATE(B138, ""en"", ""hr"")"),"Exp")</f>
        <v>Exp</v>
      </c>
      <c r="M138" s="28"/>
      <c r="N138" s="28"/>
      <c r="O138" s="28"/>
      <c r="P138" s="28"/>
      <c r="Q138" s="28"/>
      <c r="R138" s="28"/>
      <c r="S138" s="28"/>
      <c r="T138" s="28"/>
      <c r="U138" s="28"/>
      <c r="V138" s="28"/>
      <c r="W138" s="28"/>
      <c r="X138" s="28"/>
      <c r="Y138" s="28"/>
      <c r="Z138" s="28"/>
      <c r="AA138" s="28"/>
      <c r="AB138" s="28"/>
    </row>
    <row r="139">
      <c r="A139" s="29" t="s">
        <v>136</v>
      </c>
      <c r="B139" s="22" t="s">
        <v>136</v>
      </c>
      <c r="C139" s="23" t="str">
        <f>IFERROR(__xludf.DUMMYFUNCTION("GOOGLETRANSLATE(B139, ""en"", ""fr"")"),"Tâches")</f>
        <v>Tâches</v>
      </c>
      <c r="D139" s="23" t="str">
        <f>IFERROR(__xludf.DUMMYFUNCTION("GOOGLETRANSLATE(B139, ""en"", ""es"")"),"Tareas")</f>
        <v>Tareas</v>
      </c>
      <c r="E139" s="23" t="str">
        <f>IFERROR(__xludf.DUMMYFUNCTION("GOOGLETRANSLATE(B139, ""en"", ""ru"")"),"Задания")</f>
        <v>Задания</v>
      </c>
      <c r="F139" s="23" t="str">
        <f>IFERROR(__xludf.DUMMYFUNCTION("GOOGLETRANSLATE(B139, ""en"", ""tr"")"),"Görevler")</f>
        <v>Görevler</v>
      </c>
      <c r="G139" s="23" t="str">
        <f>IFERROR(__xludf.DUMMYFUNCTION("GOOGLETRANSLATE(B139, ""en"", ""pt"")"),"Tarefas")</f>
        <v>Tarefas</v>
      </c>
      <c r="H139" s="24" t="str">
        <f>IFERROR(__xludf.DUMMYFUNCTION("GOOGLETRANSLATE(B139, ""en"", ""de"")"),"Aufgaben")</f>
        <v>Aufgaben</v>
      </c>
      <c r="I139" s="23" t="str">
        <f>IFERROR(__xludf.DUMMYFUNCTION("GOOGLETRANSLATE(B139, ""en"", ""pl"")"),"Zadania")</f>
        <v>Zadania</v>
      </c>
      <c r="J139" s="25" t="str">
        <f>IFERROR(__xludf.DUMMYFUNCTION("GOOGLETRANSLATE(B139, ""en"", ""zh"")"),"任务")</f>
        <v>任务</v>
      </c>
      <c r="K139" s="25" t="str">
        <f>IFERROR(__xludf.DUMMYFUNCTION("GOOGLETRANSLATE(B139, ""en"", ""vi"")"),"Nhiệm vụ")</f>
        <v>Nhiệm vụ</v>
      </c>
      <c r="L139" s="26" t="str">
        <f>IFERROR(__xludf.DUMMYFUNCTION("GOOGLETRANSLATE(B139, ""en"", ""hr"")"),"Zadatke")</f>
        <v>Zadatke</v>
      </c>
      <c r="M139" s="28"/>
      <c r="N139" s="28"/>
      <c r="O139" s="28"/>
      <c r="P139" s="28"/>
      <c r="Q139" s="28"/>
      <c r="R139" s="28"/>
      <c r="S139" s="28"/>
      <c r="T139" s="28"/>
      <c r="U139" s="28"/>
      <c r="V139" s="28"/>
      <c r="W139" s="28"/>
      <c r="X139" s="28"/>
      <c r="Y139" s="28"/>
      <c r="Z139" s="28"/>
      <c r="AA139" s="28"/>
      <c r="AB139" s="28"/>
    </row>
    <row r="140">
      <c r="A140" s="29" t="s">
        <v>285</v>
      </c>
      <c r="B140" s="22" t="s">
        <v>285</v>
      </c>
      <c r="C140" s="23" t="str">
        <f>IFERROR(__xludf.DUMMYFUNCTION("GOOGLETRANSLATE(B140, ""en"", ""fr"")"),"Tâche")</f>
        <v>Tâche</v>
      </c>
      <c r="D140" s="23" t="str">
        <f>IFERROR(__xludf.DUMMYFUNCTION("GOOGLETRANSLATE(B140, ""en"", ""es"")"),"Tarea")</f>
        <v>Tarea</v>
      </c>
      <c r="E140" s="23" t="str">
        <f>IFERROR(__xludf.DUMMYFUNCTION("GOOGLETRANSLATE(B140, ""en"", ""ru"")"),"Задача")</f>
        <v>Задача</v>
      </c>
      <c r="F140" s="23" t="str">
        <f>IFERROR(__xludf.DUMMYFUNCTION("GOOGLETRANSLATE(B140, ""en"", ""tr"")"),"Görev")</f>
        <v>Görev</v>
      </c>
      <c r="G140" s="23" t="str">
        <f>IFERROR(__xludf.DUMMYFUNCTION("GOOGLETRANSLATE(B140, ""en"", ""pt"")"),"Tarefa")</f>
        <v>Tarefa</v>
      </c>
      <c r="H140" s="24" t="str">
        <f>IFERROR(__xludf.DUMMYFUNCTION("GOOGLETRANSLATE(B140, ""en"", ""de"")"),"Aufgabe")</f>
        <v>Aufgabe</v>
      </c>
      <c r="I140" s="23" t="str">
        <f>IFERROR(__xludf.DUMMYFUNCTION("GOOGLETRANSLATE(B140, ""en"", ""pl"")"),"Zadanie")</f>
        <v>Zadanie</v>
      </c>
      <c r="J140" s="25" t="str">
        <f>IFERROR(__xludf.DUMMYFUNCTION("GOOGLETRANSLATE(B140, ""en"", ""zh"")"),"任务")</f>
        <v>任务</v>
      </c>
      <c r="K140" s="25" t="str">
        <f>IFERROR(__xludf.DUMMYFUNCTION("GOOGLETRANSLATE(B140, ""en"", ""vi"")"),"Nhiệm vụ")</f>
        <v>Nhiệm vụ</v>
      </c>
      <c r="L140" s="26" t="str">
        <f>IFERROR(__xludf.DUMMYFUNCTION("GOOGLETRANSLATE(B140, ""en"", ""hr"")"),"Zadatak")</f>
        <v>Zadatak</v>
      </c>
      <c r="M140" s="28"/>
      <c r="N140" s="28"/>
      <c r="O140" s="28"/>
      <c r="P140" s="28"/>
      <c r="Q140" s="28"/>
      <c r="R140" s="28"/>
      <c r="S140" s="28"/>
      <c r="T140" s="28"/>
      <c r="U140" s="28"/>
      <c r="V140" s="28"/>
      <c r="W140" s="28"/>
      <c r="X140" s="28"/>
      <c r="Y140" s="28"/>
      <c r="Z140" s="28"/>
      <c r="AA140" s="28"/>
      <c r="AB140" s="28"/>
    </row>
    <row r="141">
      <c r="A141" s="21" t="s">
        <v>286</v>
      </c>
      <c r="B141" s="22" t="s">
        <v>286</v>
      </c>
      <c r="C141" s="23" t="s">
        <v>287</v>
      </c>
      <c r="D141" s="23" t="str">
        <f>IFERROR(__xludf.DUMMYFUNCTION("GOOGLETRANSLATE(B141, ""en"", ""es"")"),"Progreso")</f>
        <v>Progreso</v>
      </c>
      <c r="E141" s="23" t="str">
        <f>IFERROR(__xludf.DUMMYFUNCTION("GOOGLETRANSLATE(B141, ""en"", ""ru"")"),"Прогресс")</f>
        <v>Прогресс</v>
      </c>
      <c r="F141" s="23" t="str">
        <f>IFERROR(__xludf.DUMMYFUNCTION("GOOGLETRANSLATE(B141, ""en"", ""tr"")"),"İlerlemek")</f>
        <v>İlerlemek</v>
      </c>
      <c r="G141" s="23" t="str">
        <f>IFERROR(__xludf.DUMMYFUNCTION("GOOGLETRANSLATE(B141, ""en"", ""pt"")"),"Progresso")</f>
        <v>Progresso</v>
      </c>
      <c r="H141" s="24" t="str">
        <f>IFERROR(__xludf.DUMMYFUNCTION("GOOGLETRANSLATE(B141, ""en"", ""de"")"),"Fortschritt")</f>
        <v>Fortschritt</v>
      </c>
      <c r="I141" s="23" t="str">
        <f>IFERROR(__xludf.DUMMYFUNCTION("GOOGLETRANSLATE(B141, ""en"", ""pl"")"),"Postęp")</f>
        <v>Postęp</v>
      </c>
      <c r="J141" s="25" t="str">
        <f>IFERROR(__xludf.DUMMYFUNCTION("GOOGLETRANSLATE(B141, ""en"", ""zh"")"),"进步")</f>
        <v>进步</v>
      </c>
      <c r="K141" s="25" t="str">
        <f>IFERROR(__xludf.DUMMYFUNCTION("GOOGLETRANSLATE(B141, ""en"", ""vi"")"),"Tiến triển")</f>
        <v>Tiến triển</v>
      </c>
      <c r="L141" s="26" t="str">
        <f>IFERROR(__xludf.DUMMYFUNCTION("GOOGLETRANSLATE(B141, ""en"", ""hr"")"),"Napredak")</f>
        <v>Napredak</v>
      </c>
      <c r="M141" s="28"/>
      <c r="N141" s="28"/>
      <c r="O141" s="28"/>
      <c r="P141" s="28"/>
      <c r="Q141" s="28"/>
      <c r="R141" s="28"/>
      <c r="S141" s="28"/>
      <c r="T141" s="28"/>
      <c r="U141" s="28"/>
      <c r="V141" s="28"/>
      <c r="W141" s="28"/>
      <c r="X141" s="28"/>
      <c r="Y141" s="28"/>
      <c r="Z141" s="28"/>
      <c r="AA141" s="28"/>
      <c r="AB141" s="28"/>
    </row>
    <row r="142">
      <c r="A142" s="21" t="s">
        <v>288</v>
      </c>
      <c r="B142" s="22" t="s">
        <v>288</v>
      </c>
      <c r="C142" s="23" t="str">
        <f>IFERROR(__xludf.DUMMYFUNCTION("GOOGLETRANSLATE(B142, ""en"", ""fr"")"),"Récompense")</f>
        <v>Récompense</v>
      </c>
      <c r="D142" s="23" t="str">
        <f>IFERROR(__xludf.DUMMYFUNCTION("GOOGLETRANSLATE(B142, ""en"", ""es"")"),"Recompensa")</f>
        <v>Recompensa</v>
      </c>
      <c r="E142" s="23" t="str">
        <f>IFERROR(__xludf.DUMMYFUNCTION("GOOGLETRANSLATE(B142, ""en"", ""ru"")"),"Награда")</f>
        <v>Награда</v>
      </c>
      <c r="F142" s="23" t="str">
        <f>IFERROR(__xludf.DUMMYFUNCTION("GOOGLETRANSLATE(B142, ""en"", ""tr"")"),"Ödül")</f>
        <v>Ödül</v>
      </c>
      <c r="G142" s="23" t="str">
        <f>IFERROR(__xludf.DUMMYFUNCTION("GOOGLETRANSLATE(B142, ""en"", ""pt"")"),"Recompensa")</f>
        <v>Recompensa</v>
      </c>
      <c r="H142" s="24" t="str">
        <f>IFERROR(__xludf.DUMMYFUNCTION("GOOGLETRANSLATE(B142, ""en"", ""de"")"),"Belohnen")</f>
        <v>Belohnen</v>
      </c>
      <c r="I142" s="23" t="str">
        <f>IFERROR(__xludf.DUMMYFUNCTION("GOOGLETRANSLATE(B142, ""en"", ""pl"")"),"Nagroda")</f>
        <v>Nagroda</v>
      </c>
      <c r="J142" s="25" t="str">
        <f>IFERROR(__xludf.DUMMYFUNCTION("GOOGLETRANSLATE(B142, ""en"", ""zh"")"),"报酬")</f>
        <v>报酬</v>
      </c>
      <c r="K142" s="25" t="str">
        <f>IFERROR(__xludf.DUMMYFUNCTION("GOOGLETRANSLATE(B142, ""en"", ""vi"")"),"Giải thưởng")</f>
        <v>Giải thưởng</v>
      </c>
      <c r="L142" s="26" t="str">
        <f>IFERROR(__xludf.DUMMYFUNCTION("GOOGLETRANSLATE(B142, ""en"", ""hr"")"),"Nagrada")</f>
        <v>Nagrada</v>
      </c>
      <c r="M142" s="28"/>
      <c r="N142" s="28"/>
      <c r="O142" s="28"/>
      <c r="P142" s="28"/>
      <c r="Q142" s="28"/>
      <c r="R142" s="28"/>
      <c r="S142" s="28"/>
      <c r="T142" s="28"/>
      <c r="U142" s="28"/>
      <c r="V142" s="28"/>
      <c r="W142" s="28"/>
      <c r="X142" s="28"/>
      <c r="Y142" s="28"/>
      <c r="Z142" s="28"/>
      <c r="AA142" s="28"/>
      <c r="AB142" s="28"/>
    </row>
    <row r="143">
      <c r="A143" s="21" t="s">
        <v>289</v>
      </c>
      <c r="B143" s="22" t="s">
        <v>289</v>
      </c>
      <c r="C143" s="23" t="str">
        <f>IFERROR(__xludf.DUMMYFUNCTION("GOOGLETRANSLATE(B143, ""en"", ""fr"")"),"Pister")</f>
        <v>Pister</v>
      </c>
      <c r="D143" s="23" t="str">
        <f>IFERROR(__xludf.DUMMYFUNCTION("GOOGLETRANSLATE(B143, ""en"", ""es"")"),"Pista")</f>
        <v>Pista</v>
      </c>
      <c r="E143" s="23" t="str">
        <f>IFERROR(__xludf.DUMMYFUNCTION("GOOGLETRANSLATE(B143, ""en"", ""ru"")"),"Отслеживать")</f>
        <v>Отслеживать</v>
      </c>
      <c r="F143" s="23" t="str">
        <f>IFERROR(__xludf.DUMMYFUNCTION("GOOGLETRANSLATE(B143, ""en"", ""tr"")"),"İzlemek")</f>
        <v>İzlemek</v>
      </c>
      <c r="G143" s="23" t="str">
        <f>IFERROR(__xludf.DUMMYFUNCTION("GOOGLETRANSLATE(B143, ""en"", ""pt"")"),"Acompanhar")</f>
        <v>Acompanhar</v>
      </c>
      <c r="H143" s="24" t="str">
        <f>IFERROR(__xludf.DUMMYFUNCTION("GOOGLETRANSLATE(B143, ""en"", ""de"")"),"Spur")</f>
        <v>Spur</v>
      </c>
      <c r="I143" s="23" t="str">
        <f>IFERROR(__xludf.DUMMYFUNCTION("GOOGLETRANSLATE(B143, ""en"", ""pl"")"),"Ścieżka")</f>
        <v>Ścieżka</v>
      </c>
      <c r="J143" s="25" t="str">
        <f>IFERROR(__xludf.DUMMYFUNCTION("GOOGLETRANSLATE(B143, ""en"", ""zh"")"),"追踪")</f>
        <v>追踪</v>
      </c>
      <c r="K143" s="25" t="str">
        <f>IFERROR(__xludf.DUMMYFUNCTION("GOOGLETRANSLATE(B143, ""en"", ""vi"")"),"Theo dõi")</f>
        <v>Theo dõi</v>
      </c>
      <c r="L143" s="26" t="str">
        <f>IFERROR(__xludf.DUMMYFUNCTION("GOOGLETRANSLATE(B143, ""en"", ""hr"")"),"Staza")</f>
        <v>Staza</v>
      </c>
      <c r="M143" s="28"/>
      <c r="N143" s="28"/>
      <c r="O143" s="28"/>
      <c r="P143" s="28"/>
      <c r="Q143" s="28"/>
      <c r="R143" s="28"/>
      <c r="S143" s="28"/>
      <c r="T143" s="28"/>
      <c r="U143" s="28"/>
      <c r="V143" s="28"/>
      <c r="W143" s="28"/>
      <c r="X143" s="28"/>
      <c r="Y143" s="28"/>
      <c r="Z143" s="28"/>
      <c r="AA143" s="28"/>
      <c r="AB143" s="28"/>
    </row>
    <row r="144">
      <c r="A144" s="21" t="s">
        <v>290</v>
      </c>
      <c r="B144" s="22" t="s">
        <v>290</v>
      </c>
      <c r="C144" s="23" t="str">
        <f>IFERROR(__xludf.DUMMYFUNCTION("GOOGLETRANSLATE(B144, ""en"", ""fr"")"),"Réclamer")</f>
        <v>Réclamer</v>
      </c>
      <c r="D144" s="23" t="str">
        <f>IFERROR(__xludf.DUMMYFUNCTION("GOOGLETRANSLATE(B144, ""en"", ""es"")"),"Afirmar")</f>
        <v>Afirmar</v>
      </c>
      <c r="E144" s="23" t="str">
        <f>IFERROR(__xludf.DUMMYFUNCTION("GOOGLETRANSLATE(B144, ""en"", ""ru"")"),"Требовать")</f>
        <v>Требовать</v>
      </c>
      <c r="F144" s="23" t="str">
        <f>IFERROR(__xludf.DUMMYFUNCTION("GOOGLETRANSLATE(B144, ""en"", ""tr"")"),"İddia")</f>
        <v>İddia</v>
      </c>
      <c r="G144" s="23" t="str">
        <f>IFERROR(__xludf.DUMMYFUNCTION("GOOGLETRANSLATE(B144, ""en"", ""pt"")"),"Alegar")</f>
        <v>Alegar</v>
      </c>
      <c r="H144" s="24" t="str">
        <f>IFERROR(__xludf.DUMMYFUNCTION("GOOGLETRANSLATE(B144, ""en"", ""de"")"),"Anspruch")</f>
        <v>Anspruch</v>
      </c>
      <c r="I144" s="23" t="str">
        <f>IFERROR(__xludf.DUMMYFUNCTION("GOOGLETRANSLATE(B144, ""en"", ""pl"")"),"Prawo")</f>
        <v>Prawo</v>
      </c>
      <c r="J144" s="25" t="str">
        <f>IFERROR(__xludf.DUMMYFUNCTION("GOOGLETRANSLATE(B144, ""en"", ""zh"")"),"宣称")</f>
        <v>宣称</v>
      </c>
      <c r="K144" s="25" t="str">
        <f>IFERROR(__xludf.DUMMYFUNCTION("GOOGLETRANSLATE(B144, ""en"", ""vi"")"),"Yêu cầu")</f>
        <v>Yêu cầu</v>
      </c>
      <c r="L144" s="26" t="str">
        <f>IFERROR(__xludf.DUMMYFUNCTION("GOOGLETRANSLATE(B144, ""en"", ""hr"")"),"Zahtjev")</f>
        <v>Zahtjev</v>
      </c>
      <c r="M144" s="28"/>
      <c r="N144" s="28"/>
      <c r="O144" s="28"/>
      <c r="P144" s="28"/>
      <c r="Q144" s="28"/>
      <c r="R144" s="28"/>
      <c r="S144" s="28"/>
      <c r="T144" s="28"/>
      <c r="U144" s="28"/>
      <c r="V144" s="28"/>
      <c r="W144" s="28"/>
      <c r="X144" s="28"/>
      <c r="Y144" s="28"/>
      <c r="Z144" s="28"/>
      <c r="AA144" s="28"/>
      <c r="AB144" s="28"/>
    </row>
    <row r="145">
      <c r="A145" s="21" t="s">
        <v>291</v>
      </c>
      <c r="B145" s="22" t="s">
        <v>292</v>
      </c>
      <c r="C145" s="23" t="str">
        <f>IFERROR(__xludf.DUMMYFUNCTION("GOOGLETRANSLATE(B145, ""en"", ""fr"")"),"Tâche terminée!")</f>
        <v>Tâche terminée!</v>
      </c>
      <c r="D145" s="23" t="str">
        <f>IFERROR(__xludf.DUMMYFUNCTION("GOOGLETRANSLATE(B145, ""en"", ""es"")"),"¡Tarea terminada!")</f>
        <v>¡Tarea terminada!</v>
      </c>
      <c r="E145" s="23" t="str">
        <f>IFERROR(__xludf.DUMMYFUNCTION("GOOGLETRANSLATE(B145, ""en"", ""ru"")"),"Задача завершена!")</f>
        <v>Задача завершена!</v>
      </c>
      <c r="F145" s="23" t="str">
        <f>IFERROR(__xludf.DUMMYFUNCTION("GOOGLETRANSLATE(B145, ""en"", ""tr"")"),"Görev tamamlandı!")</f>
        <v>Görev tamamlandı!</v>
      </c>
      <c r="G145" s="23" t="str">
        <f>IFERROR(__xludf.DUMMYFUNCTION("GOOGLETRANSLATE(B145, ""en"", ""pt"")"),"Tarefa completa!")</f>
        <v>Tarefa completa!</v>
      </c>
      <c r="H145" s="24" t="str">
        <f>IFERROR(__xludf.DUMMYFUNCTION("GOOGLETRANSLATE(B145, ""en"", ""de"")"),"Aufgabe erledigt!")</f>
        <v>Aufgabe erledigt!</v>
      </c>
      <c r="I145" s="23" t="str">
        <f>IFERROR(__xludf.DUMMYFUNCTION("GOOGLETRANSLATE(B145, ""en"", ""pl"")"),"Zadanie ukończone!")</f>
        <v>Zadanie ukończone!</v>
      </c>
      <c r="J145" s="25" t="str">
        <f>IFERROR(__xludf.DUMMYFUNCTION("GOOGLETRANSLATE(B145, ""en"", ""zh"")"),"任务完成！")</f>
        <v>任务完成！</v>
      </c>
      <c r="K145" s="25" t="str">
        <f>IFERROR(__xludf.DUMMYFUNCTION("GOOGLETRANSLATE(B145, ""en"", ""vi"")"),"Nhiệm vụ hoàn thành!")</f>
        <v>Nhiệm vụ hoàn thành!</v>
      </c>
      <c r="L145" s="26" t="str">
        <f>IFERROR(__xludf.DUMMYFUNCTION("GOOGLETRANSLATE(B145, ""en"", ""hr"")"),"Zadatak je dovršen!")</f>
        <v>Zadatak je dovršen!</v>
      </c>
      <c r="M145" s="28"/>
      <c r="N145" s="28"/>
      <c r="O145" s="28"/>
      <c r="P145" s="28"/>
      <c r="Q145" s="28"/>
      <c r="R145" s="28"/>
      <c r="S145" s="28"/>
      <c r="T145" s="28"/>
      <c r="U145" s="28"/>
      <c r="V145" s="28"/>
      <c r="W145" s="28"/>
      <c r="X145" s="28"/>
      <c r="Y145" s="28"/>
      <c r="Z145" s="28"/>
      <c r="AA145" s="28"/>
      <c r="AB145" s="28"/>
    </row>
    <row r="146">
      <c r="A146" s="21" t="s">
        <v>293</v>
      </c>
      <c r="B146" s="22" t="s">
        <v>294</v>
      </c>
      <c r="C146" s="23" t="s">
        <v>295</v>
      </c>
      <c r="D146" s="23" t="str">
        <f>IFERROR(__xludf.DUMMYFUNCTION("GOOGLETRANSLATE(B146, ""en"", ""es"")"),"¡Muriste!")</f>
        <v>¡Muriste!</v>
      </c>
      <c r="E146" s="23" t="str">
        <f>IFERROR(__xludf.DUMMYFUNCTION("GOOGLETRANSLATE(B146, ""en"", ""ru"")"),"Ты умер!")</f>
        <v>Ты умер!</v>
      </c>
      <c r="F146" s="23" t="str">
        <f>IFERROR(__xludf.DUMMYFUNCTION("GOOGLETRANSLATE(B146, ""en"", ""tr"")"),"Öldün!")</f>
        <v>Öldün!</v>
      </c>
      <c r="G146" s="23" t="str">
        <f>IFERROR(__xludf.DUMMYFUNCTION("GOOGLETRANSLATE(B146, ""en"", ""pt"")"),"Você morreu!")</f>
        <v>Você morreu!</v>
      </c>
      <c r="H146" s="24" t="str">
        <f>IFERROR(__xludf.DUMMYFUNCTION("GOOGLETRANSLATE(B146, ""en"", ""de"")"),"Du bist gestorben!")</f>
        <v>Du bist gestorben!</v>
      </c>
      <c r="I146" s="23" t="str">
        <f>IFERROR(__xludf.DUMMYFUNCTION("GOOGLETRANSLATE(B146, ""en"", ""pl"")"),"Umarłeś!")</f>
        <v>Umarłeś!</v>
      </c>
      <c r="J146" s="25" t="str">
        <f>IFERROR(__xludf.DUMMYFUNCTION("GOOGLETRANSLATE(B146, ""en"", ""zh"")"),"你死了！")</f>
        <v>你死了！</v>
      </c>
      <c r="K146" s="25" t="str">
        <f>IFERROR(__xludf.DUMMYFUNCTION("GOOGLETRANSLATE(B146, ""en"", ""vi"")"),"Bạn đã chết!")</f>
        <v>Bạn đã chết!</v>
      </c>
      <c r="L146" s="26" t="str">
        <f>IFERROR(__xludf.DUMMYFUNCTION("GOOGLETRANSLATE(B146, ""en"", ""hr"")"),"Umro si!")</f>
        <v>Umro si!</v>
      </c>
      <c r="M146" s="28"/>
      <c r="N146" s="28"/>
      <c r="O146" s="28"/>
      <c r="P146" s="28"/>
      <c r="Q146" s="28"/>
      <c r="R146" s="28"/>
      <c r="S146" s="28"/>
      <c r="T146" s="28"/>
      <c r="U146" s="28"/>
      <c r="V146" s="28"/>
      <c r="W146" s="28"/>
      <c r="X146" s="28"/>
      <c r="Y146" s="28"/>
      <c r="Z146" s="28"/>
      <c r="AA146" s="28"/>
      <c r="AB146" s="28"/>
    </row>
    <row r="147">
      <c r="A147" s="21" t="s">
        <v>296</v>
      </c>
      <c r="B147" s="22" t="s">
        <v>297</v>
      </c>
      <c r="C147" s="23" t="s">
        <v>298</v>
      </c>
      <c r="D147" s="23" t="str">
        <f>IFERROR(__xludf.DUMMYFUNCTION("GOOGLETRANSLATE(B147,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7" s="23" t="str">
        <f>IFERROR(__xludf.DUMMYFUNCTION("GOOGLETRANSLATE(B147,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7" s="23" t="str">
        <f>IFERROR(__xludf.DUMMYFUNCTION("GOOGLETRANSLATE(B147, ""en"", ""tr"")"),"Bir dahaki sefere daha iyi hazır olun. Öğeler daha yüksek işçiliği istatistikleri ile yapıldığında daha uzun sürecek.")</f>
        <v>Bir dahaki sefere daha iyi hazır olun. Öğeler daha yüksek işçiliği istatistikleri ile yapıldığında daha uzun sürecek.</v>
      </c>
      <c r="G147" s="23" t="str">
        <f>IFERROR(__xludf.DUMMYFUNCTION("GOOGLETRANSLATE(B147, ""en"", ""pt"")"),"Ser melhor preparado da próxima vez. Os itens durarão mais tempo quando feitos com estatísticas de artesanato mais altas.")</f>
        <v>Ser melhor preparado da próxima vez. Os itens durarão mais tempo quando feitos com estatísticas de artesanato mais altas.</v>
      </c>
      <c r="H147" s="24" t="str">
        <f>IFERROR(__xludf.DUMMYFUNCTION("GOOGLETRANSLATE(B147, ""en"", ""de"")"),"Nächstes Mal besser vorbereitet sein. Gegenstände halten länger, wenn sie mit höheren Bastelstattern hergestellt werden.")</f>
        <v>Nächstes Mal besser vorbereitet sein. Gegenstände halten länger, wenn sie mit höheren Bastelstattern hergestellt werden.</v>
      </c>
      <c r="I147" s="23" t="str">
        <f>IFERROR(__xludf.DUMMYFUNCTION("GOOGLETRANSLATE(B147,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7" s="25" t="str">
        <f>IFERROR(__xludf.DUMMYFUNCTION("GOOGLETRANSLATE(B147, ""en"", ""zh"")"),"下次准备好。用更高的制作统计数据制作时，物品将持续更长时间。")</f>
        <v>下次准备好。用更高的制作统计数据制作时，物品将持续更长时间。</v>
      </c>
      <c r="K147" s="25" t="str">
        <f>IFERROR(__xludf.DUMMYFUNCTION("GOOGLETRANSLATE(B147,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7" s="26" t="str">
        <f>IFERROR(__xludf.DUMMYFUNCTION("GOOGLETRANSLATE(B147, ""en"", ""hr"")"),"Biti bolje pripremljeni sljedeći put. Stavke će trajati duže kada su napravljene s višim statistikom za izradu.")</f>
        <v>Biti bolje pripremljeni sljedeći put. Stavke će trajati duže kada su napravljene s višim statistikom za izradu.</v>
      </c>
      <c r="M147" s="28"/>
      <c r="N147" s="28"/>
      <c r="O147" s="28"/>
      <c r="P147" s="28"/>
      <c r="Q147" s="28"/>
      <c r="R147" s="28"/>
      <c r="S147" s="28"/>
      <c r="T147" s="28"/>
      <c r="U147" s="28"/>
      <c r="V147" s="28"/>
      <c r="W147" s="28"/>
      <c r="X147" s="28"/>
      <c r="Y147" s="28"/>
      <c r="Z147" s="28"/>
      <c r="AA147" s="28"/>
      <c r="AB147" s="28"/>
    </row>
    <row r="148">
      <c r="A148" s="21" t="s">
        <v>299</v>
      </c>
      <c r="B148" s="22" t="s">
        <v>300</v>
      </c>
      <c r="C148" s="23" t="s">
        <v>301</v>
      </c>
      <c r="D148" s="23" t="str">
        <f>IFERROR(__xludf.DUMMYFUNCTION("GOOGLETRANSLATE(B148, ""en"", ""es"")"),"Intenta trabajar con otros jugadores al hacer algo peligroso.")</f>
        <v>Intenta trabajar con otros jugadores al hacer algo peligroso.</v>
      </c>
      <c r="E148" s="23" t="str">
        <f>IFERROR(__xludf.DUMMYFUNCTION("GOOGLETRANSLATE(B148, ""en"", ""ru"")"),"Попробуйте работать с другими игроками, когда делаю что-то опасное.")</f>
        <v>Попробуйте работать с другими игроками, когда делаю что-то опасное.</v>
      </c>
      <c r="F148" s="23" t="str">
        <f>IFERROR(__xludf.DUMMYFUNCTION("GOOGLETRANSLATE(B148, ""en"", ""tr"")"),"Tehlikeli bir şey yaparken diğer oyuncularla çalışmayı deneyin.")</f>
        <v>Tehlikeli bir şey yaparken diğer oyuncularla çalışmayı deneyin.</v>
      </c>
      <c r="G148" s="23" t="str">
        <f>IFERROR(__xludf.DUMMYFUNCTION("GOOGLETRANSLATE(B148, ""en"", ""pt"")"),"Tente trabalhar com outros jogadores ao fazer algo perigoso.")</f>
        <v>Tente trabalhar com outros jogadores ao fazer algo perigoso.</v>
      </c>
      <c r="H148" s="24" t="str">
        <f>IFERROR(__xludf.DUMMYFUNCTION("GOOGLETRANSLATE(B148, ""en"", ""de"")"),"Versuchen Sie, mit anderen Spielern zu arbeiten, wenn Sie etwas Gefährliches tun.")</f>
        <v>Versuchen Sie, mit anderen Spielern zu arbeiten, wenn Sie etwas Gefährliches tun.</v>
      </c>
      <c r="I148" s="23" t="str">
        <f>IFERROR(__xludf.DUMMYFUNCTION("GOOGLETRANSLATE(B148, ""en"", ""pl"")"),"Spróbuj pracować z innymi graczami, gdy robiąc coś niebezpiecznego.")</f>
        <v>Spróbuj pracować z innymi graczami, gdy robiąc coś niebezpiecznego.</v>
      </c>
      <c r="J148" s="25" t="str">
        <f>IFERROR(__xludf.DUMMYFUNCTION("GOOGLETRANSLATE(B148, ""en"", ""zh"")"),"尝试在做一些危险时与其他玩家一起使用。")</f>
        <v>尝试在做一些危险时与其他玩家一起使用。</v>
      </c>
      <c r="K148" s="25" t="str">
        <f>IFERROR(__xludf.DUMMYFUNCTION("GOOGLETRANSLATE(B148, ""en"", ""vi"")"),"Hãy thử làm việc với những người chơi khác khi làm một cái gì đó nguy hiểm.")</f>
        <v>Hãy thử làm việc với những người chơi khác khi làm một cái gì đó nguy hiểm.</v>
      </c>
      <c r="L148" s="26" t="str">
        <f>IFERROR(__xludf.DUMMYFUNCTION("GOOGLETRANSLATE(B148, ""en"", ""hr"")"),"Pokušajte raditi s drugim igračima kada radite nešto opasno.")</f>
        <v>Pokušajte raditi s drugim igračima kada radite nešto opasno.</v>
      </c>
      <c r="M148" s="28"/>
      <c r="N148" s="28"/>
      <c r="O148" s="28"/>
      <c r="P148" s="28"/>
      <c r="Q148" s="28"/>
      <c r="R148" s="28"/>
      <c r="S148" s="28"/>
      <c r="T148" s="28"/>
      <c r="U148" s="28"/>
      <c r="V148" s="28"/>
      <c r="W148" s="28"/>
      <c r="X148" s="28"/>
      <c r="Y148" s="28"/>
      <c r="Z148" s="28"/>
      <c r="AA148" s="28"/>
      <c r="AB148" s="28"/>
    </row>
    <row r="149">
      <c r="A149" s="21" t="s">
        <v>302</v>
      </c>
      <c r="B149" s="22" t="s">
        <v>303</v>
      </c>
      <c r="C149" s="23" t="s">
        <v>304</v>
      </c>
      <c r="D149" s="23" t="str">
        <f>IFERROR(__xludf.DUMMYFUNCTION("GOOGLETRANSLATE(B149, ""en"", ""es"")"),"Muchas criaturas peligrosas solo aparecen por la noche.")</f>
        <v>Muchas criaturas peligrosas solo aparecen por la noche.</v>
      </c>
      <c r="E149" s="23" t="str">
        <f>IFERROR(__xludf.DUMMYFUNCTION("GOOGLETRANSLATE(B149, ""en"", ""ru"")"),"Многие опасные существа появляются только ночью.")</f>
        <v>Многие опасные существа появляются только ночью.</v>
      </c>
      <c r="F149" s="23" t="str">
        <f>IFERROR(__xludf.DUMMYFUNCTION("GOOGLETRANSLATE(B149, ""en"", ""tr"")"),"Birçok tehlikeli yaratık sadece geceleri ortaya çıkar.")</f>
        <v>Birçok tehlikeli yaratık sadece geceleri ortaya çıkar.</v>
      </c>
      <c r="G149" s="23" t="str">
        <f>IFERROR(__xludf.DUMMYFUNCTION("GOOGLETRANSLATE(B149, ""en"", ""pt"")"),"Muitas criaturas perigosas aparecem apenas à noite.")</f>
        <v>Muitas criaturas perigosas aparecem apenas à noite.</v>
      </c>
      <c r="H149" s="24" t="str">
        <f>IFERROR(__xludf.DUMMYFUNCTION("GOOGLETRANSLATE(B149, ""en"", ""de"")"),"Viele gefährliche Kreaturen erscheinen nur nachts.")</f>
        <v>Viele gefährliche Kreaturen erscheinen nur nachts.</v>
      </c>
      <c r="I149" s="23" t="str">
        <f>IFERROR(__xludf.DUMMYFUNCTION("GOOGLETRANSLATE(B149, ""en"", ""pl"")"),"Wiele niebezpiecznych stworzeń pojawia się tylko w nocy.")</f>
        <v>Wiele niebezpiecznych stworzeń pojawia się tylko w nocy.</v>
      </c>
      <c r="J149" s="25" t="str">
        <f>IFERROR(__xludf.DUMMYFUNCTION("GOOGLETRANSLATE(B149, ""en"", ""zh"")"),"许多危险的生物只出现在晚上。")</f>
        <v>许多危险的生物只出现在晚上。</v>
      </c>
      <c r="K149" s="25" t="str">
        <f>IFERROR(__xludf.DUMMYFUNCTION("GOOGLETRANSLATE(B149, ""en"", ""vi"")"),"Nhiều sinh vật nguy hiểm chỉ xuất hiện vào ban đêm.")</f>
        <v>Nhiều sinh vật nguy hiểm chỉ xuất hiện vào ban đêm.</v>
      </c>
      <c r="L149" s="26" t="str">
        <f>IFERROR(__xludf.DUMMYFUNCTION("GOOGLETRANSLATE(B149, ""en"", ""hr"")"),"Mnoga opasna stvorenja pojavljuju se samo noću.")</f>
        <v>Mnoga opasna stvorenja pojavljuju se samo noću.</v>
      </c>
      <c r="M149" s="28"/>
      <c r="N149" s="28"/>
      <c r="O149" s="28"/>
      <c r="P149" s="28"/>
      <c r="Q149" s="28"/>
      <c r="R149" s="28"/>
      <c r="S149" s="28"/>
      <c r="T149" s="28"/>
      <c r="U149" s="28"/>
      <c r="V149" s="28"/>
      <c r="W149" s="28"/>
      <c r="X149" s="28"/>
      <c r="Y149" s="28"/>
      <c r="Z149" s="28"/>
      <c r="AA149" s="28"/>
      <c r="AB149" s="28"/>
    </row>
    <row r="150">
      <c r="A150" s="21" t="s">
        <v>305</v>
      </c>
      <c r="B150" s="22" t="s">
        <v>305</v>
      </c>
      <c r="C150" s="23" t="s">
        <v>306</v>
      </c>
      <c r="D150" s="23" t="str">
        <f>IFERROR(__xludf.DUMMYFUNCTION("GOOGLETRANSLATE(B150, ""en"", ""es"")"),"Reaparecer")</f>
        <v>Reaparecer</v>
      </c>
      <c r="E150" s="23" t="str">
        <f>IFERROR(__xludf.DUMMYFUNCTION("GOOGLETRANSLATE(B150, ""en"", ""ru"")"),"респаун")</f>
        <v>респаун</v>
      </c>
      <c r="F150" s="23" t="str">
        <f>IFERROR(__xludf.DUMMYFUNCTION("GOOGLETRANSLATE(B150, ""en"", ""tr"")"),"yeniden doğma")</f>
        <v>yeniden doğma</v>
      </c>
      <c r="G150" s="23" t="str">
        <f>IFERROR(__xludf.DUMMYFUNCTION("GOOGLETRANSLATE(B150, ""en"", ""pt"")"),"reaparecimento")</f>
        <v>reaparecimento</v>
      </c>
      <c r="H150" s="24" t="str">
        <f>IFERROR(__xludf.DUMMYFUNCTION("GOOGLETRANSLATE(B150, ""en"", ""de"")"),"Respawnt.")</f>
        <v>Respawnt.</v>
      </c>
      <c r="I150" s="23" t="str">
        <f>IFERROR(__xludf.DUMMYFUNCTION("GOOGLETRANSLATE(B150, ""en"", ""pl"")"),"Odradzać się")</f>
        <v>Odradzać się</v>
      </c>
      <c r="J150" s="25" t="str">
        <f>IFERROR(__xludf.DUMMYFUNCTION("GOOGLETRANSLATE(B150, ""en"", ""zh"")"),"重生")</f>
        <v>重生</v>
      </c>
      <c r="K150" s="25" t="str">
        <f>IFERROR(__xludf.DUMMYFUNCTION("GOOGLETRANSLATE(B150, ""en"", ""vi"")"),"Hồi sinh")</f>
        <v>Hồi sinh</v>
      </c>
      <c r="L150" s="26" t="str">
        <f>IFERROR(__xludf.DUMMYFUNCTION("GOOGLETRANSLATE(B150, ""en"", ""hr"")"),"Respirati")</f>
        <v>Respirati</v>
      </c>
      <c r="M150" s="28"/>
      <c r="N150" s="28"/>
      <c r="O150" s="28"/>
      <c r="P150" s="28"/>
      <c r="Q150" s="28"/>
      <c r="R150" s="28"/>
      <c r="S150" s="28"/>
      <c r="T150" s="28"/>
      <c r="U150" s="28"/>
      <c r="V150" s="28"/>
      <c r="W150" s="28"/>
      <c r="X150" s="28"/>
      <c r="Y150" s="28"/>
      <c r="Z150" s="28"/>
      <c r="AA150" s="28"/>
      <c r="AB150" s="28"/>
    </row>
    <row r="151">
      <c r="A151" s="21" t="s">
        <v>307</v>
      </c>
      <c r="B151" s="22" t="s">
        <v>307</v>
      </c>
      <c r="C151" s="23" t="str">
        <f>IFERROR(__xludf.DUMMYFUNCTION("GOOGLETRANSLATE(B151, ""en"", ""fr"")"),"Donjon")</f>
        <v>Donjon</v>
      </c>
      <c r="D151" s="23" t="str">
        <f>IFERROR(__xludf.DUMMYFUNCTION("GOOGLETRANSLATE(B151, ""en"", ""es"")"),"Calabozo")</f>
        <v>Calabozo</v>
      </c>
      <c r="E151" s="23" t="str">
        <f>IFERROR(__xludf.DUMMYFUNCTION("GOOGLETRANSLATE(B151, ""en"", ""ru"")"),"Темница")</f>
        <v>Темница</v>
      </c>
      <c r="F151" s="23" t="str">
        <f>IFERROR(__xludf.DUMMYFUNCTION("GOOGLETRANSLATE(B151, ""en"", ""tr"")"),"Zindan")</f>
        <v>Zindan</v>
      </c>
      <c r="G151" s="23" t="str">
        <f>IFERROR(__xludf.DUMMYFUNCTION("GOOGLETRANSLATE(B151, ""en"", ""pt"")"),"Masmorra")</f>
        <v>Masmorra</v>
      </c>
      <c r="H151" s="24" t="str">
        <f>IFERROR(__xludf.DUMMYFUNCTION("GOOGLETRANSLATE(B151, ""en"", ""de"")"),"Verlies")</f>
        <v>Verlies</v>
      </c>
      <c r="I151" s="23" t="str">
        <f>IFERROR(__xludf.DUMMYFUNCTION("GOOGLETRANSLATE(B151, ""en"", ""pl"")"),"Loch")</f>
        <v>Loch</v>
      </c>
      <c r="J151" s="25" t="str">
        <f>IFERROR(__xludf.DUMMYFUNCTION("GOOGLETRANSLATE(B151, ""en"", ""zh"")"),"地牢")</f>
        <v>地牢</v>
      </c>
      <c r="K151" s="25" t="str">
        <f>IFERROR(__xludf.DUMMYFUNCTION("GOOGLETRANSLATE(B151, ""en"", ""vi"")"),"Ngục tối")</f>
        <v>Ngục tối</v>
      </c>
      <c r="L151" s="26" t="str">
        <f>IFERROR(__xludf.DUMMYFUNCTION("GOOGLETRANSLATE(B151, ""en"", ""hr"")"),"Tamnica")</f>
        <v>Tamnica</v>
      </c>
      <c r="M151" s="28"/>
      <c r="N151" s="28"/>
      <c r="O151" s="28"/>
      <c r="P151" s="28"/>
      <c r="Q151" s="28"/>
      <c r="R151" s="28"/>
      <c r="S151" s="28"/>
      <c r="T151" s="28"/>
      <c r="U151" s="28"/>
      <c r="V151" s="28"/>
      <c r="W151" s="28"/>
      <c r="X151" s="28"/>
      <c r="Y151" s="28"/>
      <c r="Z151" s="28"/>
      <c r="AA151" s="28"/>
      <c r="AB151" s="28"/>
    </row>
    <row r="152">
      <c r="A152" s="21" t="s">
        <v>308</v>
      </c>
      <c r="B152" s="22" t="s">
        <v>308</v>
      </c>
      <c r="C152" s="23" t="str">
        <f>IFERROR(__xludf.DUMMYFUNCTION("GOOGLETRANSLATE(B152, ""en"", ""fr"")"),"Difficulté")</f>
        <v>Difficulté</v>
      </c>
      <c r="D152" s="23" t="str">
        <f>IFERROR(__xludf.DUMMYFUNCTION("GOOGLETRANSLATE(B152, ""en"", ""es"")"),"Dificultad")</f>
        <v>Dificultad</v>
      </c>
      <c r="E152" s="23" t="str">
        <f>IFERROR(__xludf.DUMMYFUNCTION("GOOGLETRANSLATE(B152, ""en"", ""ru"")"),"Затруднение")</f>
        <v>Затруднение</v>
      </c>
      <c r="F152" s="23" t="str">
        <f>IFERROR(__xludf.DUMMYFUNCTION("GOOGLETRANSLATE(B152, ""en"", ""tr"")"),"Zorluk")</f>
        <v>Zorluk</v>
      </c>
      <c r="G152" s="23" t="str">
        <f>IFERROR(__xludf.DUMMYFUNCTION("GOOGLETRANSLATE(B152, ""en"", ""pt"")"),"Dificuldade")</f>
        <v>Dificuldade</v>
      </c>
      <c r="H152" s="24" t="str">
        <f>IFERROR(__xludf.DUMMYFUNCTION("GOOGLETRANSLATE(B152, ""en"", ""de"")"),"Schwierigkeit")</f>
        <v>Schwierigkeit</v>
      </c>
      <c r="I152" s="23" t="str">
        <f>IFERROR(__xludf.DUMMYFUNCTION("GOOGLETRANSLATE(B152, ""en"", ""pl"")"),"Trudność")</f>
        <v>Trudność</v>
      </c>
      <c r="J152" s="25" t="str">
        <f>IFERROR(__xludf.DUMMYFUNCTION("GOOGLETRANSLATE(B152, ""en"", ""zh"")"),"困难")</f>
        <v>困难</v>
      </c>
      <c r="K152" s="25" t="str">
        <f>IFERROR(__xludf.DUMMYFUNCTION("GOOGLETRANSLATE(B152, ""en"", ""vi"")"),"Khó khăn")</f>
        <v>Khó khăn</v>
      </c>
      <c r="L152" s="26" t="str">
        <f>IFERROR(__xludf.DUMMYFUNCTION("GOOGLETRANSLATE(B152, ""en"", ""hr"")"),"Poteškoća")</f>
        <v>Poteškoća</v>
      </c>
      <c r="M152" s="28"/>
      <c r="N152" s="28"/>
      <c r="O152" s="28"/>
      <c r="P152" s="28"/>
      <c r="Q152" s="28"/>
      <c r="R152" s="28"/>
      <c r="S152" s="28"/>
      <c r="T152" s="28"/>
      <c r="U152" s="28"/>
      <c r="V152" s="28"/>
      <c r="W152" s="28"/>
      <c r="X152" s="28"/>
      <c r="Y152" s="28"/>
      <c r="Z152" s="28"/>
      <c r="AA152" s="28"/>
      <c r="AB152" s="28"/>
    </row>
    <row r="153">
      <c r="A153" s="21" t="s">
        <v>309</v>
      </c>
      <c r="B153" s="22" t="s">
        <v>309</v>
      </c>
      <c r="C153" s="23" t="str">
        <f>IFERROR(__xludf.DUMMYFUNCTION("GOOGLETRANSLATE(B153, ""en"", ""fr"")"),"Débutant")</f>
        <v>Débutant</v>
      </c>
      <c r="D153" s="23" t="str">
        <f>IFERROR(__xludf.DUMMYFUNCTION("GOOGLETRANSLATE(B153, ""en"", ""es"")"),"Principiante")</f>
        <v>Principiante</v>
      </c>
      <c r="E153" s="23" t="str">
        <f>IFERROR(__xludf.DUMMYFUNCTION("GOOGLETRANSLATE(B153, ""en"", ""ru"")"),"Новичок")</f>
        <v>Новичок</v>
      </c>
      <c r="F153" s="23" t="str">
        <f>IFERROR(__xludf.DUMMYFUNCTION("GOOGLETRANSLATE(B153, ""en"", ""tr"")"),"Acemi")</f>
        <v>Acemi</v>
      </c>
      <c r="G153" s="23" t="str">
        <f>IFERROR(__xludf.DUMMYFUNCTION("GOOGLETRANSLATE(B153, ""en"", ""pt"")"),"Principiante")</f>
        <v>Principiante</v>
      </c>
      <c r="H153" s="24" t="str">
        <f>IFERROR(__xludf.DUMMYFUNCTION("GOOGLETRANSLATE(B153, ""en"", ""de"")"),"Anfänger")</f>
        <v>Anfänger</v>
      </c>
      <c r="I153" s="23" t="str">
        <f>IFERROR(__xludf.DUMMYFUNCTION("GOOGLETRANSLATE(B153, ""en"", ""pl"")"),"Początkujący")</f>
        <v>Początkujący</v>
      </c>
      <c r="J153" s="25" t="str">
        <f>IFERROR(__xludf.DUMMYFUNCTION("GOOGLETRANSLATE(B153, ""en"", ""zh"")"),"初学者")</f>
        <v>初学者</v>
      </c>
      <c r="K153" s="25" t="str">
        <f>IFERROR(__xludf.DUMMYFUNCTION("GOOGLETRANSLATE(B153, ""en"", ""vi"")"),"Người bắt đầu")</f>
        <v>Người bắt đầu</v>
      </c>
      <c r="L153" s="26" t="str">
        <f>IFERROR(__xludf.DUMMYFUNCTION("GOOGLETRANSLATE(B153, ""en"", ""hr"")"),"Početnik")</f>
        <v>Početnik</v>
      </c>
      <c r="M153" s="28"/>
      <c r="N153" s="28"/>
      <c r="O153" s="28"/>
      <c r="P153" s="28"/>
      <c r="Q153" s="28"/>
      <c r="R153" s="28"/>
      <c r="S153" s="28"/>
      <c r="T153" s="28"/>
      <c r="U153" s="28"/>
      <c r="V153" s="28"/>
      <c r="W153" s="28"/>
      <c r="X153" s="28"/>
      <c r="Y153" s="28"/>
      <c r="Z153" s="28"/>
      <c r="AA153" s="28"/>
      <c r="AB153" s="28"/>
    </row>
    <row r="154">
      <c r="A154" s="21" t="s">
        <v>310</v>
      </c>
      <c r="B154" s="22" t="s">
        <v>310</v>
      </c>
      <c r="C154" s="23" t="str">
        <f>IFERROR(__xludf.DUMMYFUNCTION("GOOGLETRANSLATE(B154, ""en"", ""fr"")"),"Avancée")</f>
        <v>Avancée</v>
      </c>
      <c r="D154" s="23" t="str">
        <f>IFERROR(__xludf.DUMMYFUNCTION("GOOGLETRANSLATE(B154, ""en"", ""es"")"),"Avanzado")</f>
        <v>Avanzado</v>
      </c>
      <c r="E154" s="23" t="str">
        <f>IFERROR(__xludf.DUMMYFUNCTION("GOOGLETRANSLATE(B154, ""en"", ""ru"")"),"Передовой")</f>
        <v>Передовой</v>
      </c>
      <c r="F154" s="23" t="str">
        <f>IFERROR(__xludf.DUMMYFUNCTION("GOOGLETRANSLATE(B154, ""en"", ""tr"")"),"ileri")</f>
        <v>ileri</v>
      </c>
      <c r="G154" s="23" t="str">
        <f>IFERROR(__xludf.DUMMYFUNCTION("GOOGLETRANSLATE(B154, ""en"", ""pt"")"),"Avançado")</f>
        <v>Avançado</v>
      </c>
      <c r="H154" s="24" t="str">
        <f>IFERROR(__xludf.DUMMYFUNCTION("GOOGLETRANSLATE(B154, ""en"", ""de"")"),"Fortschrittlich")</f>
        <v>Fortschrittlich</v>
      </c>
      <c r="I154" s="23" t="str">
        <f>IFERROR(__xludf.DUMMYFUNCTION("GOOGLETRANSLATE(B154, ""en"", ""pl"")"),"Zaawansowany")</f>
        <v>Zaawansowany</v>
      </c>
      <c r="J154" s="25" t="str">
        <f>IFERROR(__xludf.DUMMYFUNCTION("GOOGLETRANSLATE(B154, ""en"", ""zh"")"),"先进的")</f>
        <v>先进的</v>
      </c>
      <c r="K154" s="25" t="str">
        <f>IFERROR(__xludf.DUMMYFUNCTION("GOOGLETRANSLATE(B154, ""en"", ""vi"")"),"Nâng cao")</f>
        <v>Nâng cao</v>
      </c>
      <c r="L154" s="26" t="str">
        <f>IFERROR(__xludf.DUMMYFUNCTION("GOOGLETRANSLATE(B154, ""en"", ""hr"")"),"Napredna")</f>
        <v>Napredna</v>
      </c>
      <c r="M154" s="28"/>
      <c r="N154" s="28"/>
      <c r="O154" s="28"/>
      <c r="P154" s="28"/>
      <c r="Q154" s="28"/>
      <c r="R154" s="28"/>
      <c r="S154" s="28"/>
      <c r="T154" s="28"/>
      <c r="U154" s="28"/>
      <c r="V154" s="28"/>
      <c r="W154" s="28"/>
      <c r="X154" s="28"/>
      <c r="Y154" s="28"/>
      <c r="Z154" s="28"/>
      <c r="AA154" s="28"/>
      <c r="AB154" s="28"/>
    </row>
    <row r="155">
      <c r="A155" s="21" t="s">
        <v>311</v>
      </c>
      <c r="B155" s="22" t="s">
        <v>311</v>
      </c>
      <c r="C155" s="23" t="str">
        <f>IFERROR(__xludf.DUMMYFUNCTION("GOOGLETRANSLATE(B155, ""en"", ""fr"")"),"Expert")</f>
        <v>Expert</v>
      </c>
      <c r="D155" s="23" t="str">
        <f>IFERROR(__xludf.DUMMYFUNCTION("GOOGLETRANSLATE(B155, ""en"", ""es"")"),"Experto")</f>
        <v>Experto</v>
      </c>
      <c r="E155" s="23" t="str">
        <f>IFERROR(__xludf.DUMMYFUNCTION("GOOGLETRANSLATE(B155, ""en"", ""ru"")"),"Эксперт")</f>
        <v>Эксперт</v>
      </c>
      <c r="F155" s="23" t="str">
        <f>IFERROR(__xludf.DUMMYFUNCTION("GOOGLETRANSLATE(B155, ""en"", ""tr"")"),"Uzman")</f>
        <v>Uzman</v>
      </c>
      <c r="G155" s="23" t="str">
        <f>IFERROR(__xludf.DUMMYFUNCTION("GOOGLETRANSLATE(B155, ""en"", ""pt"")"),"Especialista")</f>
        <v>Especialista</v>
      </c>
      <c r="H155" s="24" t="str">
        <f>IFERROR(__xludf.DUMMYFUNCTION("GOOGLETRANSLATE(B155, ""en"", ""de"")"),"Experte")</f>
        <v>Experte</v>
      </c>
      <c r="I155" s="23" t="str">
        <f>IFERROR(__xludf.DUMMYFUNCTION("GOOGLETRANSLATE(B155, ""en"", ""pl"")"),"Ekspert")</f>
        <v>Ekspert</v>
      </c>
      <c r="J155" s="25" t="str">
        <f>IFERROR(__xludf.DUMMYFUNCTION("GOOGLETRANSLATE(B155, ""en"", ""zh"")"),"专家")</f>
        <v>专家</v>
      </c>
      <c r="K155" s="25" t="str">
        <f>IFERROR(__xludf.DUMMYFUNCTION("GOOGLETRANSLATE(B155, ""en"", ""vi"")"),"Thạo")</f>
        <v>Thạo</v>
      </c>
      <c r="L155" s="26" t="str">
        <f>IFERROR(__xludf.DUMMYFUNCTION("GOOGLETRANSLATE(B155, ""en"", ""hr"")"),"Stručnjak")</f>
        <v>Stručnjak</v>
      </c>
      <c r="M155" s="28"/>
      <c r="N155" s="28"/>
      <c r="O155" s="28"/>
      <c r="P155" s="28"/>
      <c r="Q155" s="28"/>
      <c r="R155" s="28"/>
      <c r="S155" s="28"/>
      <c r="T155" s="28"/>
      <c r="U155" s="28"/>
      <c r="V155" s="28"/>
      <c r="W155" s="28"/>
      <c r="X155" s="28"/>
      <c r="Y155" s="28"/>
      <c r="Z155" s="28"/>
      <c r="AA155" s="28"/>
      <c r="AB155" s="28"/>
    </row>
    <row r="156">
      <c r="A156" s="21" t="s">
        <v>312</v>
      </c>
      <c r="B156" s="22" t="s">
        <v>312</v>
      </c>
      <c r="C156" s="23" t="str">
        <f>IFERROR(__xludf.DUMMYFUNCTION("GOOGLETRANSLATE(B156, ""en"", ""fr"")"),"Maître")</f>
        <v>Maître</v>
      </c>
      <c r="D156" s="23" t="str">
        <f>IFERROR(__xludf.DUMMYFUNCTION("GOOGLETRANSLATE(B156, ""en"", ""es"")"),"Maestría")</f>
        <v>Maestría</v>
      </c>
      <c r="E156" s="23" t="str">
        <f>IFERROR(__xludf.DUMMYFUNCTION("GOOGLETRANSLATE(B156, ""en"", ""ru"")"),"Мастер")</f>
        <v>Мастер</v>
      </c>
      <c r="F156" s="23" t="str">
        <f>IFERROR(__xludf.DUMMYFUNCTION("GOOGLETRANSLATE(B156, ""en"", ""tr"")"),"Usta")</f>
        <v>Usta</v>
      </c>
      <c r="G156" s="23" t="str">
        <f>IFERROR(__xludf.DUMMYFUNCTION("GOOGLETRANSLATE(B156, ""en"", ""pt"")"),"Mestre")</f>
        <v>Mestre</v>
      </c>
      <c r="H156" s="24" t="str">
        <f>IFERROR(__xludf.DUMMYFUNCTION("GOOGLETRANSLATE(B156, ""en"", ""de"")"),"Meister")</f>
        <v>Meister</v>
      </c>
      <c r="I156" s="23" t="str">
        <f>IFERROR(__xludf.DUMMYFUNCTION("GOOGLETRANSLATE(B156, ""en"", ""pl"")"),"Gospodarz")</f>
        <v>Gospodarz</v>
      </c>
      <c r="J156" s="25" t="str">
        <f>IFERROR(__xludf.DUMMYFUNCTION("GOOGLETRANSLATE(B156, ""en"", ""zh"")"),"掌握")</f>
        <v>掌握</v>
      </c>
      <c r="K156" s="25" t="str">
        <f>IFERROR(__xludf.DUMMYFUNCTION("GOOGLETRANSLATE(B156, ""en"", ""vi"")"),"Bậc thầy")</f>
        <v>Bậc thầy</v>
      </c>
      <c r="L156" s="26" t="str">
        <f>IFERROR(__xludf.DUMMYFUNCTION("GOOGLETRANSLATE(B156, ""en"", ""hr"")"),"Ovladati; majstorski")</f>
        <v>Ovladati; majstorski</v>
      </c>
      <c r="M156" s="28"/>
      <c r="N156" s="28"/>
      <c r="O156" s="28"/>
      <c r="P156" s="28"/>
      <c r="Q156" s="28"/>
      <c r="R156" s="28"/>
      <c r="S156" s="28"/>
      <c r="T156" s="28"/>
      <c r="U156" s="28"/>
      <c r="V156" s="28"/>
      <c r="W156" s="28"/>
      <c r="X156" s="28"/>
      <c r="Y156" s="28"/>
      <c r="Z156" s="28"/>
      <c r="AA156" s="28"/>
      <c r="AB156" s="28"/>
    </row>
    <row r="157">
      <c r="A157" s="21" t="s">
        <v>313</v>
      </c>
      <c r="B157" s="22" t="s">
        <v>313</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""ru"")"),"Стоимость входа")</f>
        <v>Стоимость входа</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""de"")"),"Eintrittskosten")</f>
        <v>Eintrittskosten</v>
      </c>
      <c r="I157" s="23" t="str">
        <f>IFERROR(__xludf.DUMMYFUNCTION("GOOGLETRANSLATE(B157, ""en"", ""pl"")"),"Koszt wejścia.")</f>
        <v>Koszt wejścia.</v>
      </c>
      <c r="J157" s="25" t="str">
        <f>IFERROR(__xludf.DUMMYFUNCTION("GOOGLETRANSLATE(B157, ""en"", ""zh"")"),"入场费")</f>
        <v>入场费</v>
      </c>
      <c r="K157" s="25" t="str">
        <f>IFERROR(__xludf.DUMMYFUNCTION("GOOGLETRANSLATE(B157, ""en"", ""vi"")"),"Chi phí nhập cảnh")</f>
        <v>Chi phí nhập cảnh</v>
      </c>
      <c r="L157" s="26" t="str">
        <f>IFERROR(__xludf.DUMMYFUNCTION("GOOGLETRANSLATE(B157, ""en"", ""hr"")"),"Trošak ulaska")</f>
        <v>Trošak ulaska</v>
      </c>
      <c r="M157" s="28"/>
      <c r="N157" s="28"/>
      <c r="O157" s="28"/>
      <c r="P157" s="28"/>
      <c r="Q157" s="28"/>
      <c r="R157" s="28"/>
      <c r="S157" s="28"/>
      <c r="T157" s="28"/>
      <c r="U157" s="28"/>
      <c r="V157" s="28"/>
      <c r="W157" s="28"/>
      <c r="X157" s="28"/>
      <c r="Y157" s="28"/>
      <c r="Z157" s="28"/>
      <c r="AA157" s="28"/>
      <c r="AB157" s="28"/>
    </row>
    <row r="158">
      <c r="A158" s="21" t="s">
        <v>314</v>
      </c>
      <c r="B158" s="22" t="s">
        <v>314</v>
      </c>
      <c r="C158" s="23" t="s">
        <v>315</v>
      </c>
      <c r="D158" s="23" t="str">
        <f>IFERROR(__xludf.DUMMYFUNCTION("GOOGLETRANSLATE(B158, ""en"", ""es"")"),"jugadores máximos")</f>
        <v>jugadores máximos</v>
      </c>
      <c r="E158" s="23" t="str">
        <f>IFERROR(__xludf.DUMMYFUNCTION("GOOGLETRANSLATE(B158, ""en"", ""ru"")"),"максимум игроков")</f>
        <v>максимум игроков</v>
      </c>
      <c r="F158" s="23" t="str">
        <f>IFERROR(__xludf.DUMMYFUNCTION("GOOGLETRANSLATE(B158, ""en"", ""tr"")"),"maksimum oyuncu")</f>
        <v>maksimum oyuncu</v>
      </c>
      <c r="G158" s="23" t="str">
        <f>IFERROR(__xludf.DUMMYFUNCTION("GOOGLETRANSLATE(B158, ""en"", ""pt"")"),"máximo de jogadores")</f>
        <v>máximo de jogadores</v>
      </c>
      <c r="H158" s="24" t="str">
        <f>IFERROR(__xludf.DUMMYFUNCTION("GOOGLETRANSLATE(B158, ""en"", ""de"")"),"Maximale Spieleranzahl")</f>
        <v>Maximale Spieleranzahl</v>
      </c>
      <c r="I158" s="23" t="str">
        <f>IFERROR(__xludf.DUMMYFUNCTION("GOOGLETRANSLATE(B158, ""en"", ""pl"")"),"maksimum graczy")</f>
        <v>maksimum graczy</v>
      </c>
      <c r="J158" s="25" t="str">
        <f>IFERROR(__xludf.DUMMYFUNCTION("GOOGLETRANSLATE(B158, ""en"", ""zh"")"),"最大球员")</f>
        <v>最大球员</v>
      </c>
      <c r="K158" s="25" t="str">
        <f>IFERROR(__xludf.DUMMYFUNCTION("GOOGLETRANSLATE(B158, ""en"", ""vi"")"),"Người chơi Max.")</f>
        <v>Người chơi Max.</v>
      </c>
      <c r="L158" s="26" t="str">
        <f>IFERROR(__xludf.DUMMYFUNCTION("GOOGLETRANSLATE(B158, ""en"", ""hr"")"),"maksimalno igrača")</f>
        <v>maksimalno igrača</v>
      </c>
      <c r="M158" s="28"/>
      <c r="N158" s="28"/>
      <c r="O158" s="28"/>
      <c r="P158" s="28"/>
      <c r="Q158" s="28"/>
      <c r="R158" s="28"/>
      <c r="S158" s="28"/>
      <c r="T158" s="28"/>
      <c r="U158" s="28"/>
      <c r="V158" s="28"/>
      <c r="W158" s="28"/>
      <c r="X158" s="28"/>
      <c r="Y158" s="28"/>
      <c r="Z158" s="28"/>
      <c r="AA158" s="28"/>
      <c r="AB158" s="28"/>
    </row>
    <row r="159">
      <c r="A159" s="21" t="s">
        <v>316</v>
      </c>
      <c r="B159" s="22" t="s">
        <v>316</v>
      </c>
      <c r="C159" s="23" t="str">
        <f>IFERROR(__xludf.DUMMYFUNCTION("GOOGLETRANSLATE(B159, ""en"", ""fr"")"),"Créer")</f>
        <v>Créer</v>
      </c>
      <c r="D159" s="23" t="str">
        <f>IFERROR(__xludf.DUMMYFUNCTION("GOOGLETRANSLATE(B159, ""en"", ""es"")"),"Crear")</f>
        <v>Crear</v>
      </c>
      <c r="E159" s="23" t="str">
        <f>IFERROR(__xludf.DUMMYFUNCTION("GOOGLETRANSLATE(B159, ""en"", ""ru"")"),"Создавать")</f>
        <v>Создавать</v>
      </c>
      <c r="F159" s="23" t="str">
        <f>IFERROR(__xludf.DUMMYFUNCTION("GOOGLETRANSLATE(B159, ""en"", ""tr"")"),"Oluşturmak")</f>
        <v>Oluşturmak</v>
      </c>
      <c r="G159" s="23" t="str">
        <f>IFERROR(__xludf.DUMMYFUNCTION("GOOGLETRANSLATE(B159, ""en"", ""pt"")"),"Crio")</f>
        <v>Crio</v>
      </c>
      <c r="H159" s="24" t="str">
        <f>IFERROR(__xludf.DUMMYFUNCTION("GOOGLETRANSLATE(B159, ""en"", ""de"")"),"Schaffen")</f>
        <v>Schaffen</v>
      </c>
      <c r="I159" s="23" t="str">
        <f>IFERROR(__xludf.DUMMYFUNCTION("GOOGLETRANSLATE(B159, ""en"", ""pl"")"),"Tworzyć")</f>
        <v>Tworzyć</v>
      </c>
      <c r="J159" s="25" t="str">
        <f>IFERROR(__xludf.DUMMYFUNCTION("GOOGLETRANSLATE(B159, ""en"", ""zh"")"),"创建")</f>
        <v>创建</v>
      </c>
      <c r="K159" s="25" t="str">
        <f>IFERROR(__xludf.DUMMYFUNCTION("GOOGLETRANSLATE(B159, ""en"", ""vi"")"),"Tạo ra")</f>
        <v>Tạo ra</v>
      </c>
      <c r="L159" s="26" t="str">
        <f>IFERROR(__xludf.DUMMYFUNCTION("GOOGLETRANSLATE(B159, ""en"", ""hr"")"),"Stvoriti")</f>
        <v>Stvoriti</v>
      </c>
      <c r="M159" s="28"/>
      <c r="N159" s="28"/>
      <c r="O159" s="28"/>
      <c r="P159" s="28"/>
      <c r="Q159" s="28"/>
      <c r="R159" s="28"/>
      <c r="S159" s="28"/>
      <c r="T159" s="28"/>
      <c r="U159" s="28"/>
      <c r="V159" s="28"/>
      <c r="W159" s="28"/>
      <c r="X159" s="28"/>
      <c r="Y159" s="28"/>
      <c r="Z159" s="28"/>
      <c r="AA159" s="28"/>
      <c r="AB159" s="28"/>
    </row>
    <row r="160">
      <c r="A160" s="21" t="s">
        <v>317</v>
      </c>
      <c r="B160" s="22" t="s">
        <v>317</v>
      </c>
      <c r="C160" s="23" t="str">
        <f>IFERROR(__xludf.DUMMYFUNCTION("GOOGLETRANSLATE(B160, ""en"", ""fr"")"),"Laisser")</f>
        <v>Laisser</v>
      </c>
      <c r="D160" s="23" t="str">
        <f>IFERROR(__xludf.DUMMYFUNCTION("GOOGLETRANSLATE(B160, ""en"", ""es"")"),"Dejar")</f>
        <v>Dejar</v>
      </c>
      <c r="E160" s="23" t="str">
        <f>IFERROR(__xludf.DUMMYFUNCTION("GOOGLETRANSLATE(B160, ""en"", ""ru"")"),"Оставлять")</f>
        <v>Оставлять</v>
      </c>
      <c r="F160" s="23" t="str">
        <f>IFERROR(__xludf.DUMMYFUNCTION("GOOGLETRANSLATE(B160, ""en"", ""tr"")"),"Terk etmek")</f>
        <v>Terk etmek</v>
      </c>
      <c r="G160" s="23" t="str">
        <f>IFERROR(__xludf.DUMMYFUNCTION("GOOGLETRANSLATE(B160, ""en"", ""pt"")"),"Sair")</f>
        <v>Sair</v>
      </c>
      <c r="H160" s="24" t="str">
        <f>IFERROR(__xludf.DUMMYFUNCTION("GOOGLETRANSLATE(B160, ""en"", ""de"")"),"Verlassen")</f>
        <v>Verlassen</v>
      </c>
      <c r="I160" s="23" t="str">
        <f>IFERROR(__xludf.DUMMYFUNCTION("GOOGLETRANSLATE(B160, ""en"", ""pl"")"),"Opuszczać")</f>
        <v>Opuszczać</v>
      </c>
      <c r="J160" s="25" t="str">
        <f>IFERROR(__xludf.DUMMYFUNCTION("GOOGLETRANSLATE(B160, ""en"", ""zh"")"),"离开")</f>
        <v>离开</v>
      </c>
      <c r="K160" s="25" t="str">
        <f>IFERROR(__xludf.DUMMYFUNCTION("GOOGLETRANSLATE(B160, ""en"", ""vi"")"),"Rời bỏ")</f>
        <v>Rời bỏ</v>
      </c>
      <c r="L160" s="26" t="str">
        <f>IFERROR(__xludf.DUMMYFUNCTION("GOOGLETRANSLATE(B160, ""en"", ""hr"")"),"Napustiti")</f>
        <v>Napustiti</v>
      </c>
      <c r="M160" s="28"/>
      <c r="N160" s="28"/>
      <c r="O160" s="28"/>
      <c r="P160" s="28"/>
      <c r="Q160" s="28"/>
      <c r="R160" s="28"/>
      <c r="S160" s="28"/>
      <c r="T160" s="28"/>
      <c r="U160" s="28"/>
      <c r="V160" s="28"/>
      <c r="W160" s="28"/>
      <c r="X160" s="28"/>
      <c r="Y160" s="28"/>
      <c r="Z160" s="28"/>
      <c r="AA160" s="28"/>
      <c r="AB160" s="28"/>
    </row>
    <row r="161">
      <c r="A161" s="21" t="s">
        <v>318</v>
      </c>
      <c r="B161" s="22" t="s">
        <v>318</v>
      </c>
      <c r="C161" s="23" t="str">
        <f>IFERROR(__xludf.DUMMYFUNCTION("GOOGLETRANSLATE(B161, ""en"", ""fr"")"),"Début")</f>
        <v>Début</v>
      </c>
      <c r="D161" s="23" t="str">
        <f>IFERROR(__xludf.DUMMYFUNCTION("GOOGLETRANSLATE(B161, ""en"", ""es"")"),"Comienzo")</f>
        <v>Comienzo</v>
      </c>
      <c r="E161" s="23" t="str">
        <f>IFERROR(__xludf.DUMMYFUNCTION("GOOGLETRANSLATE(B161, ""en"", ""ru"")"),"Начинать")</f>
        <v>Начинать</v>
      </c>
      <c r="F161" s="23" t="str">
        <f>IFERROR(__xludf.DUMMYFUNCTION("GOOGLETRANSLATE(B161, ""en"", ""tr"")"),"Başlangıç")</f>
        <v>Başlangıç</v>
      </c>
      <c r="G161" s="23" t="str">
        <f>IFERROR(__xludf.DUMMYFUNCTION("GOOGLETRANSLATE(B161, ""en"", ""pt"")"),"Começar")</f>
        <v>Começar</v>
      </c>
      <c r="H161" s="24" t="str">
        <f>IFERROR(__xludf.DUMMYFUNCTION("GOOGLETRANSLATE(B161, ""en"", ""de"")"),"Start")</f>
        <v>Start</v>
      </c>
      <c r="I161" s="23" t="str">
        <f>IFERROR(__xludf.DUMMYFUNCTION("GOOGLETRANSLATE(B161, ""en"", ""pl"")"),"Początek")</f>
        <v>Początek</v>
      </c>
      <c r="J161" s="25" t="str">
        <f>IFERROR(__xludf.DUMMYFUNCTION("GOOGLETRANSLATE(B161, ""en"", ""zh"")"),"开始")</f>
        <v>开始</v>
      </c>
      <c r="K161" s="25" t="str">
        <f>IFERROR(__xludf.DUMMYFUNCTION("GOOGLETRANSLATE(B161, ""en"", ""vi"")"),"Bắt đầu")</f>
        <v>Bắt đầu</v>
      </c>
      <c r="L161" s="26" t="str">
        <f>IFERROR(__xludf.DUMMYFUNCTION("GOOGLETRANSLATE(B161, ""en"", ""hr"")"),"Početak")</f>
        <v>Početak</v>
      </c>
      <c r="M161" s="28"/>
      <c r="N161" s="28"/>
      <c r="O161" s="28"/>
      <c r="P161" s="28"/>
      <c r="Q161" s="28"/>
      <c r="R161" s="28"/>
      <c r="S161" s="28"/>
      <c r="T161" s="28"/>
      <c r="U161" s="28"/>
      <c r="V161" s="28"/>
      <c r="W161" s="28"/>
      <c r="X161" s="28"/>
      <c r="Y161" s="28"/>
      <c r="Z161" s="28"/>
      <c r="AA161" s="28"/>
      <c r="AB161" s="28"/>
    </row>
    <row r="162">
      <c r="A162" s="21" t="s">
        <v>319</v>
      </c>
      <c r="B162" s="22" t="s">
        <v>319</v>
      </c>
      <c r="C162" s="23" t="str">
        <f>IFERROR(__xludf.DUMMYFUNCTION("GOOGLETRANSLATE(B162, ""en"", ""fr"")"),"Annuler")</f>
        <v>Annuler</v>
      </c>
      <c r="D162" s="23" t="str">
        <f>IFERROR(__xludf.DUMMYFUNCTION("GOOGLETRANSLATE(B162, ""en"", ""es"")"),"Cancelar")</f>
        <v>Cancelar</v>
      </c>
      <c r="E162" s="23" t="str">
        <f>IFERROR(__xludf.DUMMYFUNCTION("GOOGLETRANSLATE(B162, ""en"", ""ru"")"),"Отмена")</f>
        <v>Отмена</v>
      </c>
      <c r="F162" s="23" t="str">
        <f>IFERROR(__xludf.DUMMYFUNCTION("GOOGLETRANSLATE(B162, ""en"", ""tr"")"),"İptal")</f>
        <v>İptal</v>
      </c>
      <c r="G162" s="23" t="str">
        <f>IFERROR(__xludf.DUMMYFUNCTION("GOOGLETRANSLATE(B162, ""en"", ""pt"")"),"Cancelar")</f>
        <v>Cancelar</v>
      </c>
      <c r="H162" s="24" t="str">
        <f>IFERROR(__xludf.DUMMYFUNCTION("GOOGLETRANSLATE(B162, ""en"", ""de"")"),"Abbrechen")</f>
        <v>Abbrechen</v>
      </c>
      <c r="I162" s="23" t="str">
        <f>IFERROR(__xludf.DUMMYFUNCTION("GOOGLETRANSLATE(B162, ""en"", ""pl"")"),"Anulować")</f>
        <v>Anulować</v>
      </c>
      <c r="J162" s="25" t="str">
        <f>IFERROR(__xludf.DUMMYFUNCTION("GOOGLETRANSLATE(B162, ""en"", ""zh"")"),"取消")</f>
        <v>取消</v>
      </c>
      <c r="K162" s="25" t="str">
        <f>IFERROR(__xludf.DUMMYFUNCTION("GOOGLETRANSLATE(B162, ""en"", ""vi"")"),"Hủy bỏ")</f>
        <v>Hủy bỏ</v>
      </c>
      <c r="L162" s="26" t="str">
        <f>IFERROR(__xludf.DUMMYFUNCTION("GOOGLETRANSLATE(B162, ""en"", ""hr"")"),"Otkazati")</f>
        <v>Otkazati</v>
      </c>
      <c r="M162" s="28"/>
      <c r="N162" s="28"/>
      <c r="O162" s="28"/>
      <c r="P162" s="28"/>
      <c r="Q162" s="28"/>
      <c r="R162" s="28"/>
      <c r="S162" s="28"/>
      <c r="T162" s="28"/>
      <c r="U162" s="28"/>
      <c r="V162" s="28"/>
      <c r="W162" s="28"/>
      <c r="X162" s="28"/>
      <c r="Y162" s="28"/>
      <c r="Z162" s="28"/>
      <c r="AA162" s="28"/>
      <c r="AB162" s="28"/>
    </row>
    <row r="163">
      <c r="A163" s="21" t="s">
        <v>320</v>
      </c>
      <c r="B163" s="22" t="s">
        <v>320</v>
      </c>
      <c r="C163" s="23" t="str">
        <f>IFERROR(__xludf.DUMMYFUNCTION("GOOGLETRANSLATE(B163, ""en"", ""fr"")"),"Fête")</f>
        <v>Fête</v>
      </c>
      <c r="D163" s="23" t="str">
        <f>IFERROR(__xludf.DUMMYFUNCTION("GOOGLETRANSLATE(B163, ""en"", ""es"")"),"Partido")</f>
        <v>Partido</v>
      </c>
      <c r="E163" s="23" t="str">
        <f>IFERROR(__xludf.DUMMYFUNCTION("GOOGLETRANSLATE(B163, ""en"", ""ru"")"),"Вечеринка")</f>
        <v>Вечеринка</v>
      </c>
      <c r="F163" s="23" t="str">
        <f>IFERROR(__xludf.DUMMYFUNCTION("GOOGLETRANSLATE(B163, ""en"", ""tr"")"),"Parti")</f>
        <v>Parti</v>
      </c>
      <c r="G163" s="23" t="str">
        <f>IFERROR(__xludf.DUMMYFUNCTION("GOOGLETRANSLATE(B163, ""en"", ""pt"")"),"Festa")</f>
        <v>Festa</v>
      </c>
      <c r="H163" s="24" t="str">
        <f>IFERROR(__xludf.DUMMYFUNCTION("GOOGLETRANSLATE(B163, ""en"", ""de"")"),"Party")</f>
        <v>Party</v>
      </c>
      <c r="I163" s="23" t="str">
        <f>IFERROR(__xludf.DUMMYFUNCTION("GOOGLETRANSLATE(B163, ""en"", ""pl"")"),"Impreza")</f>
        <v>Impreza</v>
      </c>
      <c r="J163" s="25" t="str">
        <f>IFERROR(__xludf.DUMMYFUNCTION("GOOGLETRANSLATE(B163, ""en"", ""zh"")"),"聚会")</f>
        <v>聚会</v>
      </c>
      <c r="K163" s="25" t="str">
        <f>IFERROR(__xludf.DUMMYFUNCTION("GOOGLETRANSLATE(B163, ""en"", ""vi"")"),"Buổi tiệc")</f>
        <v>Buổi tiệc</v>
      </c>
      <c r="L163" s="26" t="str">
        <f>IFERROR(__xludf.DUMMYFUNCTION("GOOGLETRANSLATE(B163, ""en"", ""hr"")"),"Zabava")</f>
        <v>Zabava</v>
      </c>
      <c r="M163" s="28"/>
      <c r="N163" s="28"/>
      <c r="O163" s="28"/>
      <c r="P163" s="28"/>
      <c r="Q163" s="28"/>
      <c r="R163" s="28"/>
      <c r="S163" s="28"/>
      <c r="T163" s="28"/>
      <c r="U163" s="28"/>
      <c r="V163" s="28"/>
      <c r="W163" s="28"/>
      <c r="X163" s="28"/>
      <c r="Y163" s="28"/>
      <c r="Z163" s="28"/>
      <c r="AA163" s="28"/>
      <c r="AB163" s="28"/>
    </row>
    <row r="164">
      <c r="A164" s="21" t="s">
        <v>321</v>
      </c>
      <c r="B164" s="22" t="s">
        <v>321</v>
      </c>
      <c r="C164" s="23" t="str">
        <f>IFERROR(__xludf.DUMMYFUNCTION("GOOGLETRANSLATE(B164, ""en"", ""fr"")"),"Des soirées")</f>
        <v>Des soirées</v>
      </c>
      <c r="D164" s="23" t="str">
        <f>IFERROR(__xludf.DUMMYFUNCTION("GOOGLETRANSLATE(B164, ""en"", ""es"")"),"Fiestas")</f>
        <v>Fiestas</v>
      </c>
      <c r="E164" s="23" t="str">
        <f>IFERROR(__xludf.DUMMYFUNCTION("GOOGLETRANSLATE(B164, ""en"", ""ru"")"),"Стороны")</f>
        <v>Стороны</v>
      </c>
      <c r="F164" s="23" t="str">
        <f>IFERROR(__xludf.DUMMYFUNCTION("GOOGLETRANSLATE(B164, ""en"", ""tr"")"),"Partiler")</f>
        <v>Partiler</v>
      </c>
      <c r="G164" s="23" t="str">
        <f>IFERROR(__xludf.DUMMYFUNCTION("GOOGLETRANSLATE(B164, ""en"", ""pt"")"),"Festas")</f>
        <v>Festas</v>
      </c>
      <c r="H164" s="24" t="str">
        <f>IFERROR(__xludf.DUMMYFUNCTION("GOOGLETRANSLATE(B164, ""en"", ""de"")"),"Partys")</f>
        <v>Partys</v>
      </c>
      <c r="I164" s="23" t="str">
        <f>IFERROR(__xludf.DUMMYFUNCTION("GOOGLETRANSLATE(B164, ""en"", ""pl"")"),"Imprezy")</f>
        <v>Imprezy</v>
      </c>
      <c r="J164" s="25" t="str">
        <f>IFERROR(__xludf.DUMMYFUNCTION("GOOGLETRANSLATE(B164, ""en"", ""zh"")"),"派对")</f>
        <v>派对</v>
      </c>
      <c r="K164" s="25" t="str">
        <f>IFERROR(__xludf.DUMMYFUNCTION("GOOGLETRANSLATE(B164, ""en"", ""vi"")"),"Bên")</f>
        <v>Bên</v>
      </c>
      <c r="L164" s="26" t="str">
        <f>IFERROR(__xludf.DUMMYFUNCTION("GOOGLETRANSLATE(B164, ""en"", ""hr"")"),"Stranke")</f>
        <v>Stranke</v>
      </c>
      <c r="M164" s="28"/>
      <c r="N164" s="28"/>
      <c r="O164" s="28"/>
      <c r="P164" s="28"/>
      <c r="Q164" s="28"/>
      <c r="R164" s="28"/>
      <c r="S164" s="28"/>
      <c r="T164" s="28"/>
      <c r="U164" s="28"/>
      <c r="V164" s="28"/>
      <c r="W164" s="28"/>
      <c r="X164" s="28"/>
      <c r="Y164" s="28"/>
      <c r="Z164" s="28"/>
      <c r="AA164" s="28"/>
      <c r="AB164" s="28"/>
    </row>
    <row r="165">
      <c r="A165" s="21" t="s">
        <v>322</v>
      </c>
      <c r="B165" s="22" t="s">
        <v>313</v>
      </c>
      <c r="C165" s="23" t="str">
        <f>IFERROR(__xludf.DUMMYFUNCTION("GOOGLETRANSLATE(B165, ""en"", ""fr"")"),"Coût d'entrée")</f>
        <v>Coût d'entrée</v>
      </c>
      <c r="D165" s="23" t="str">
        <f>IFERROR(__xludf.DUMMYFUNCTION("GOOGLETRANSLATE(B165, ""en"", ""es"")"),"Costo de entrada")</f>
        <v>Costo de entrada</v>
      </c>
      <c r="E165" s="23" t="str">
        <f>IFERROR(__xludf.DUMMYFUNCTION("GOOGLETRANSLATE(B165, ""en"", ""ru"")"),"Стоимость входа")</f>
        <v>Стоимость входа</v>
      </c>
      <c r="F165" s="23" t="str">
        <f>IFERROR(__xludf.DUMMYFUNCTION("GOOGLETRANSLATE(B165, ""en"", ""tr"")"),"Giriş maliyeti")</f>
        <v>Giriş maliyeti</v>
      </c>
      <c r="G165" s="23" t="str">
        <f>IFERROR(__xludf.DUMMYFUNCTION("GOOGLETRANSLATE(B165, ""en"", ""pt"")"),"Custo de entrada")</f>
        <v>Custo de entrada</v>
      </c>
      <c r="H165" s="24" t="str">
        <f>IFERROR(__xludf.DUMMYFUNCTION("GOOGLETRANSLATE(B165, ""en"", ""de"")"),"Eintrittskosten")</f>
        <v>Eintrittskosten</v>
      </c>
      <c r="I165" s="23" t="str">
        <f>IFERROR(__xludf.DUMMYFUNCTION("GOOGLETRANSLATE(B165, ""en"", ""pl"")"),"Koszt wejścia.")</f>
        <v>Koszt wejścia.</v>
      </c>
      <c r="J165" s="25" t="str">
        <f>IFERROR(__xludf.DUMMYFUNCTION("GOOGLETRANSLATE(B165, ""en"", ""zh"")"),"入场费")</f>
        <v>入场费</v>
      </c>
      <c r="K165" s="25" t="str">
        <f>IFERROR(__xludf.DUMMYFUNCTION("GOOGLETRANSLATE(B165, ""en"", ""vi"")"),"Chi phí nhập cảnh")</f>
        <v>Chi phí nhập cảnh</v>
      </c>
      <c r="L165" s="26" t="str">
        <f>IFERROR(__xludf.DUMMYFUNCTION("GOOGLETRANSLATE(B165, ""en"", ""hr"")"),"Trošak ulaska")</f>
        <v>Trošak ulaska</v>
      </c>
      <c r="M165" s="28"/>
      <c r="N165" s="28"/>
      <c r="O165" s="28"/>
      <c r="P165" s="28"/>
      <c r="Q165" s="28"/>
      <c r="R165" s="28"/>
      <c r="S165" s="28"/>
      <c r="T165" s="28"/>
      <c r="U165" s="28"/>
      <c r="V165" s="28"/>
      <c r="W165" s="28"/>
      <c r="X165" s="28"/>
      <c r="Y165" s="28"/>
      <c r="Z165" s="28"/>
      <c r="AA165" s="28"/>
      <c r="AB165" s="28"/>
    </row>
    <row r="166">
      <c r="A166" s="21" t="s">
        <v>323</v>
      </c>
      <c r="B166" s="22" t="s">
        <v>323</v>
      </c>
      <c r="C166" s="23" t="s">
        <v>324</v>
      </c>
      <c r="D166" s="23" t="str">
        <f>IFERROR(__xludf.DUMMYFUNCTION("GOOGLETRANSLATE(B166, ""en"", ""es"")"),"Tiempo restante")</f>
        <v>Tiempo restante</v>
      </c>
      <c r="E166" s="23" t="str">
        <f>IFERROR(__xludf.DUMMYFUNCTION("GOOGLETRANSLATE(B166, ""en"", ""ru"")"),"Времени осталось")</f>
        <v>Времени осталось</v>
      </c>
      <c r="F166" s="23" t="str">
        <f>IFERROR(__xludf.DUMMYFUNCTION("GOOGLETRANSLATE(B166, ""en"", ""tr"")"),"Kalan süre")</f>
        <v>Kalan süre</v>
      </c>
      <c r="G166" s="23" t="str">
        <f>IFERROR(__xludf.DUMMYFUNCTION("GOOGLETRANSLATE(B166, ""en"", ""pt"")"),"Tempo restante")</f>
        <v>Tempo restante</v>
      </c>
      <c r="H166" s="24" t="str">
        <f>IFERROR(__xludf.DUMMYFUNCTION("GOOGLETRANSLATE(B166, ""en"", ""de"")"),"Die verbleibende Zeit.")</f>
        <v>Die verbleibende Zeit.</v>
      </c>
      <c r="I166" s="23" t="str">
        <f>IFERROR(__xludf.DUMMYFUNCTION("GOOGLETRANSLATE(B166, ""en"", ""pl"")"),"Pozostały czas")</f>
        <v>Pozostały czas</v>
      </c>
      <c r="J166" s="25" t="str">
        <f>IFERROR(__xludf.DUMMYFUNCTION("GOOGLETRANSLATE(B166, ""en"", ""zh"")"),"剩余时间")</f>
        <v>剩余时间</v>
      </c>
      <c r="K166" s="25" t="str">
        <f>IFERROR(__xludf.DUMMYFUNCTION("GOOGLETRANSLATE(B166, ""en"", ""vi"")"),"Thời gian còn lại")</f>
        <v>Thời gian còn lại</v>
      </c>
      <c r="L166" s="26" t="str">
        <f>IFERROR(__xludf.DUMMYFUNCTION("GOOGLETRANSLATE(B166, ""en"", ""hr"")"),"Preostalo vrijeme")</f>
        <v>Preostalo vrijeme</v>
      </c>
      <c r="M166" s="28"/>
      <c r="N166" s="28"/>
      <c r="O166" s="28"/>
      <c r="P166" s="28"/>
      <c r="Q166" s="28"/>
      <c r="R166" s="28"/>
      <c r="S166" s="28"/>
      <c r="T166" s="28"/>
      <c r="U166" s="28"/>
      <c r="V166" s="28"/>
      <c r="W166" s="28"/>
      <c r="X166" s="28"/>
      <c r="Y166" s="28"/>
      <c r="Z166" s="28"/>
      <c r="AA166" s="28"/>
      <c r="AB166" s="28"/>
    </row>
    <row r="167">
      <c r="A167" s="21" t="s">
        <v>325</v>
      </c>
      <c r="B167" s="22" t="s">
        <v>326</v>
      </c>
      <c r="C167" s="23" t="str">
        <f>IFERROR(__xludf.DUMMYFUNCTION("GOOGLETRANSLATE(B167, ""en"", ""fr"")"),"Égouts de ville")</f>
        <v>Égouts de ville</v>
      </c>
      <c r="D167" s="23" t="str">
        <f>IFERROR(__xludf.DUMMYFUNCTION("GOOGLETRANSLATE(B167, ""en"", ""es"")"),"Alcantarillas de la ciudad")</f>
        <v>Alcantarillas de la ciudad</v>
      </c>
      <c r="E167" s="23" t="str">
        <f>IFERROR(__xludf.DUMMYFUNCTION("GOOGLETRANSLATE(B167, ""en"", ""ru"")"),"Городские канализации")</f>
        <v>Городские канализации</v>
      </c>
      <c r="F167" s="23" t="str">
        <f>IFERROR(__xludf.DUMMYFUNCTION("GOOGLETRANSLATE(B167, ""en"", ""tr"")"),"Şehir kanalizasyonları")</f>
        <v>Şehir kanalizasyonları</v>
      </c>
      <c r="G167" s="23" t="str">
        <f>IFERROR(__xludf.DUMMYFUNCTION("GOOGLETRANSLATE(B167, ""en"", ""pt"")"),"Esgotos da cidade")</f>
        <v>Esgotos da cidade</v>
      </c>
      <c r="H167" s="24" t="str">
        <f>IFERROR(__xludf.DUMMYFUNCTION("GOOGLETRANSLATE(B167, ""en"", ""de"")"),"Stadtabwasserkanal")</f>
        <v>Stadtabwasserkanal</v>
      </c>
      <c r="I167" s="23" t="str">
        <f>IFERROR(__xludf.DUMMYFUNCTION("GOOGLETRANSLATE(B167, ""en"", ""pl"")"),"City Sewers.")</f>
        <v>City Sewers.</v>
      </c>
      <c r="J167" s="25" t="str">
        <f>IFERROR(__xludf.DUMMYFUNCTION("GOOGLETRANSLATE(B167, ""en"", ""zh"")"),"城市下水道")</f>
        <v>城市下水道</v>
      </c>
      <c r="K167" s="25" t="str">
        <f>IFERROR(__xludf.DUMMYFUNCTION("GOOGLETRANSLATE(B167, ""en"", ""vi"")"),"Cống thành phố")</f>
        <v>Cống thành phố</v>
      </c>
      <c r="L167" s="26" t="str">
        <f>IFERROR(__xludf.DUMMYFUNCTION("GOOGLETRANSLATE(B167, ""en"", ""hr"")"),"Gradska kanali")</f>
        <v>Gradska kanali</v>
      </c>
      <c r="M167" s="28"/>
      <c r="N167" s="28"/>
      <c r="O167" s="28"/>
      <c r="P167" s="28"/>
      <c r="Q167" s="28"/>
      <c r="R167" s="28"/>
      <c r="S167" s="28"/>
      <c r="T167" s="28"/>
      <c r="U167" s="28"/>
      <c r="V167" s="28"/>
      <c r="W167" s="28"/>
      <c r="X167" s="28"/>
      <c r="Y167" s="28"/>
      <c r="Z167" s="28"/>
      <c r="AA167" s="28"/>
      <c r="AB167" s="28"/>
    </row>
    <row r="168">
      <c r="A168" s="21" t="s">
        <v>327</v>
      </c>
      <c r="B168" s="22" t="s">
        <v>328</v>
      </c>
      <c r="C168" s="23" t="s">
        <v>329</v>
      </c>
      <c r="D168" s="23" t="str">
        <f>IFERROR(__xludf.DUMMYFUNCTION("GOOGLETRANSLATE(B168, ""en"", ""es"")"),"Arena de entrenamiento de caballero")</f>
        <v>Arena de entrenamiento de caballero</v>
      </c>
      <c r="E168" s="23" t="str">
        <f>IFERROR(__xludf.DUMMYFUNCTION("GOOGLETRANSLATE(B168, ""en"", ""ru"")"),"Учебная арена рыцаря")</f>
        <v>Учебная арена рыцаря</v>
      </c>
      <c r="F168" s="23" t="str">
        <f>IFERROR(__xludf.DUMMYFUNCTION("GOOGLETRANSLATE(B168, ""en"", ""tr"")"),"Knight Eğitim Arenası")</f>
        <v>Knight Eğitim Arenası</v>
      </c>
      <c r="G168" s="23" t="str">
        <f>IFERROR(__xludf.DUMMYFUNCTION("GOOGLETRANSLATE(B168, ""en"", ""pt"")"),"Arena de treinamento Knight.")</f>
        <v>Arena de treinamento Knight.</v>
      </c>
      <c r="H168" s="24" t="str">
        <f>IFERROR(__xludf.DUMMYFUNCTION("GOOGLETRANSLATE(B168, ""en"", ""de"")"),"Rittertraining Arena.")</f>
        <v>Rittertraining Arena.</v>
      </c>
      <c r="I168" s="23" t="str">
        <f>IFERROR(__xludf.DUMMYFUNCTION("GOOGLETRANSLATE(B168, ""en"", ""pl"")"),"Arena Knight Training.")</f>
        <v>Arena Knight Training.</v>
      </c>
      <c r="J168" s="25" t="str">
        <f>IFERROR(__xludf.DUMMYFUNCTION("GOOGLETRANSLATE(B168, ""en"", ""zh"")"),"骑士训练竞技场")</f>
        <v>骑士训练竞技场</v>
      </c>
      <c r="K168" s="25" t="str">
        <f>IFERROR(__xludf.DUMMYFUNCTION("GOOGLETRANSLATE(B168, ""en"", ""vi"")"),"Đào tạo Hiệp sĩ")</f>
        <v>Đào tạo Hiệp sĩ</v>
      </c>
      <c r="L168" s="26" t="str">
        <f>IFERROR(__xludf.DUMMYFUNCTION("GOOGLETRANSLATE(B168, ""en"", ""hr"")"),"Vitez trening arena")</f>
        <v>Vitez trening arena</v>
      </c>
      <c r="M168" s="28"/>
      <c r="N168" s="28"/>
      <c r="O168" s="28"/>
      <c r="P168" s="28"/>
      <c r="Q168" s="28"/>
      <c r="R168" s="28"/>
      <c r="S168" s="28"/>
      <c r="T168" s="28"/>
      <c r="U168" s="28"/>
      <c r="V168" s="28"/>
      <c r="W168" s="28"/>
      <c r="X168" s="28"/>
      <c r="Y168" s="28"/>
      <c r="Z168" s="28"/>
      <c r="AA168" s="28"/>
      <c r="AB168" s="28"/>
    </row>
    <row r="169">
      <c r="A169" s="21" t="s">
        <v>330</v>
      </c>
      <c r="B169" s="22" t="s">
        <v>331</v>
      </c>
      <c r="C169" s="23" t="str">
        <f>IFERROR(__xludf.DUMMYFUNCTION("GOOGLETRANSLATE(B169, ""en"", ""fr"")"),"Cachette de bandit")</f>
        <v>Cachette de bandit</v>
      </c>
      <c r="D169" s="23" t="str">
        <f>IFERROR(__xludf.DUMMYFUNCTION("GOOGLETRANSLATE(B169, ""en"", ""es"")"),"Escondite del bandido")</f>
        <v>Escondite del bandido</v>
      </c>
      <c r="E169" s="23" t="str">
        <f>IFERROR(__xludf.DUMMYFUNCTION("GOOGLETRANSLATE(B169, ""en"", ""ru"")"),"Бандитное укрытие")</f>
        <v>Бандитное укрытие</v>
      </c>
      <c r="F169" s="23" t="str">
        <f>IFERROR(__xludf.DUMMYFUNCTION("GOOGLETRANSLATE(B169, ""en"", ""tr"")"),"Haydut hideout")</f>
        <v>Haydut hideout</v>
      </c>
      <c r="G169" s="23" t="str">
        <f>IFERROR(__xludf.DUMMYFUNCTION("GOOGLETRANSLATE(B169, ""en"", ""pt"")"),"Esconderijo Bandit")</f>
        <v>Esconderijo Bandit</v>
      </c>
      <c r="H169" s="24" t="str">
        <f>IFERROR(__xludf.DUMMYFUNCTION("GOOGLETRANSLATE(B169, ""en"", ""de"")"),"Bandit-Versteck")</f>
        <v>Bandit-Versteck</v>
      </c>
      <c r="I169" s="23" t="str">
        <f>IFERROR(__xludf.DUMMYFUNCTION("GOOGLETRANSLATE(B169, ""en"", ""pl"")"),"Bandit HideoOut.")</f>
        <v>Bandit HideoOut.</v>
      </c>
      <c r="J169" s="25" t="str">
        <f>IFERROR(__xludf.DUMMYFUNCTION("GOOGLETRANSLATE(B169, ""en"", ""zh"")"),"强盗藏着")</f>
        <v>强盗藏着</v>
      </c>
      <c r="K169" s="25" t="str">
        <f>IFERROR(__xludf.DUMMYFUNCTION("GOOGLETRANSLATE(B169, ""en"", ""vi"")"),"Nơi ẩn náu của tên cướp")</f>
        <v>Nơi ẩn náu của tên cướp</v>
      </c>
      <c r="L169" s="26" t="str">
        <f>IFERROR(__xludf.DUMMYFUNCTION("GOOGLETRANSLATE(B169, ""en"", ""hr"")"),"Bandit skrovište")</f>
        <v>Bandit skrovište</v>
      </c>
      <c r="M169" s="28"/>
      <c r="N169" s="28"/>
      <c r="O169" s="28"/>
      <c r="P169" s="28"/>
      <c r="Q169" s="28"/>
      <c r="R169" s="28"/>
      <c r="S169" s="28"/>
      <c r="T169" s="28"/>
      <c r="U169" s="28"/>
      <c r="V169" s="28"/>
      <c r="W169" s="28"/>
      <c r="X169" s="28"/>
      <c r="Y169" s="28"/>
      <c r="Z169" s="28"/>
      <c r="AA169" s="28"/>
      <c r="AB169" s="28"/>
    </row>
    <row r="170">
      <c r="A170" s="21" t="s">
        <v>332</v>
      </c>
      <c r="B170" s="22" t="s">
        <v>333</v>
      </c>
      <c r="C170" s="23" t="str">
        <f>IFERROR(__xludf.DUMMYFUNCTION("GOOGLETRANSLATE(B170, ""en"", ""fr"")"),"Pyramide occidentale")</f>
        <v>Pyramide occidentale</v>
      </c>
      <c r="D170" s="23" t="str">
        <f>IFERROR(__xludf.DUMMYFUNCTION("GOOGLETRANSLATE(B170, ""en"", ""es"")"),"Pirámide del oeste")</f>
        <v>Pirámide del oeste</v>
      </c>
      <c r="E170" s="23" t="str">
        <f>IFERROR(__xludf.DUMMYFUNCTION("GOOGLETRANSLATE(B170, ""en"", ""ru"")"),"Западная пирамида")</f>
        <v>Западная пирамида</v>
      </c>
      <c r="F170" s="23" t="str">
        <f>IFERROR(__xludf.DUMMYFUNCTION("GOOGLETRANSLATE(B170, ""en"", ""tr"")"),"Batı piramidi")</f>
        <v>Batı piramidi</v>
      </c>
      <c r="G170" s="23" t="str">
        <f>IFERROR(__xludf.DUMMYFUNCTION("GOOGLETRANSLATE(B170, ""en"", ""pt"")"),"Pirâmide Ocidental.")</f>
        <v>Pirâmide Ocidental.</v>
      </c>
      <c r="H170" s="24" t="str">
        <f>IFERROR(__xludf.DUMMYFUNCTION("GOOGLETRANSLATE(B170, ""en"", ""de"")"),"Westpyramide")</f>
        <v>Westpyramide</v>
      </c>
      <c r="I170" s="23" t="str">
        <f>IFERROR(__xludf.DUMMYFUNCTION("GOOGLETRANSLATE(B170, ""en"", ""pl"")"),"Piramida Zachodnia.")</f>
        <v>Piramida Zachodnia.</v>
      </c>
      <c r="J170" s="25" t="str">
        <f>IFERROR(__xludf.DUMMYFUNCTION("GOOGLETRANSLATE(B170, ""en"", ""zh"")"),"西金字塔")</f>
        <v>西金字塔</v>
      </c>
      <c r="K170" s="25" t="str">
        <f>IFERROR(__xludf.DUMMYFUNCTION("GOOGLETRANSLATE(B170, ""en"", ""vi"")"),"Kim tự tháp phía tây")</f>
        <v>Kim tự tháp phía tây</v>
      </c>
      <c r="L170" s="26" t="str">
        <f>IFERROR(__xludf.DUMMYFUNCTION("GOOGLETRANSLATE(B170, ""en"", ""hr"")"),"Zapadna piramida")</f>
        <v>Zapadna piramida</v>
      </c>
      <c r="M170" s="28"/>
      <c r="N170" s="28"/>
      <c r="O170" s="28"/>
      <c r="P170" s="28"/>
      <c r="Q170" s="28"/>
      <c r="R170" s="28"/>
      <c r="S170" s="28"/>
      <c r="T170" s="28"/>
      <c r="U170" s="28"/>
      <c r="V170" s="28"/>
      <c r="W170" s="28"/>
      <c r="X170" s="28"/>
      <c r="Y170" s="28"/>
      <c r="Z170" s="28"/>
      <c r="AA170" s="28"/>
      <c r="AB170" s="28"/>
    </row>
    <row r="171">
      <c r="A171" s="21" t="s">
        <v>334</v>
      </c>
      <c r="B171" s="22" t="s">
        <v>335</v>
      </c>
      <c r="C171" s="23" t="str">
        <f>IFERROR(__xludf.DUMMYFUNCTION("GOOGLETRANSLATE(B171, ""en"", ""fr"")"),"Pyramide orientale")</f>
        <v>Pyramide orientale</v>
      </c>
      <c r="D171" s="23" t="str">
        <f>IFERROR(__xludf.DUMMYFUNCTION("GOOGLETRANSLATE(B171, ""en"", ""es"")"),"Pirámide oriental")</f>
        <v>Pirámide oriental</v>
      </c>
      <c r="E171" s="23" t="str">
        <f>IFERROR(__xludf.DUMMYFUNCTION("GOOGLETRANSLATE(B171, ""en"", ""ru"")"),"Восточная пирамида")</f>
        <v>Восточная пирамида</v>
      </c>
      <c r="F171" s="23" t="str">
        <f>IFERROR(__xludf.DUMMYFUNCTION("GOOGLETRANSLATE(B171, ""en"", ""tr"")"),"Doğu piramidi")</f>
        <v>Doğu piramidi</v>
      </c>
      <c r="G171" s="23" t="str">
        <f>IFERROR(__xludf.DUMMYFUNCTION("GOOGLETRANSLATE(B171, ""en"", ""pt"")"),"Pirâmide leste")</f>
        <v>Pirâmide leste</v>
      </c>
      <c r="H171" s="24" t="str">
        <f>IFERROR(__xludf.DUMMYFUNCTION("GOOGLETRANSLATE(B171, ""en"", ""de"")"),"East Pyramide")</f>
        <v>East Pyramide</v>
      </c>
      <c r="I171" s="23" t="str">
        <f>IFERROR(__xludf.DUMMYFUNCTION("GOOGLETRANSLATE(B171, ""en"", ""pl"")"),"East Pyramid.")</f>
        <v>East Pyramid.</v>
      </c>
      <c r="J171" s="25" t="str">
        <f>IFERROR(__xludf.DUMMYFUNCTION("GOOGLETRANSLATE(B171, ""en"", ""zh"")"),"东金字塔")</f>
        <v>东金字塔</v>
      </c>
      <c r="K171" s="25" t="str">
        <f>IFERROR(__xludf.DUMMYFUNCTION("GOOGLETRANSLATE(B171, ""en"", ""vi"")"),"Kim tự tháp Đông")</f>
        <v>Kim tự tháp Đông</v>
      </c>
      <c r="L171" s="26" t="str">
        <f>IFERROR(__xludf.DUMMYFUNCTION("GOOGLETRANSLATE(B171, ""en"", ""hr"")"),"Istočna piramida")</f>
        <v>Istočna piramida</v>
      </c>
      <c r="M171" s="28"/>
      <c r="N171" s="28"/>
      <c r="O171" s="28"/>
      <c r="P171" s="28"/>
      <c r="Q171" s="28"/>
      <c r="R171" s="28"/>
      <c r="S171" s="28"/>
      <c r="T171" s="28"/>
      <c r="U171" s="28"/>
      <c r="V171" s="28"/>
      <c r="W171" s="28"/>
      <c r="X171" s="28"/>
      <c r="Y171" s="28"/>
      <c r="Z171" s="28"/>
      <c r="AA171" s="28"/>
      <c r="AB171" s="28"/>
    </row>
    <row r="172">
      <c r="A172" s="21" t="s">
        <v>336</v>
      </c>
      <c r="B172" s="22" t="s">
        <v>337</v>
      </c>
      <c r="C172" s="23" t="str">
        <f>IFERROR(__xludf.DUMMYFUNCTION("GOOGLETRANSLATE(B172, ""en"", ""fr"")"),"Halls de sang")</f>
        <v>Halls de sang</v>
      </c>
      <c r="D172" s="23" t="str">
        <f>IFERROR(__xludf.DUMMYFUNCTION("GOOGLETRANSLATE(B172, ""en"", ""es"")"),"Pabellones de sangre")</f>
        <v>Pabellones de sangre</v>
      </c>
      <c r="E172" s="23" t="str">
        <f>IFERROR(__xludf.DUMMYFUNCTION("GOOGLETRANSLATE(B172, ""en"", ""ru"")"),"Кровные залы")</f>
        <v>Кровные залы</v>
      </c>
      <c r="F172" s="23" t="str">
        <f>IFERROR(__xludf.DUMMYFUNCTION("GOOGLETRANSLATE(B172, ""en"", ""tr"")"),"Kan salonları")</f>
        <v>Kan salonları</v>
      </c>
      <c r="G172" s="23" t="str">
        <f>IFERROR(__xludf.DUMMYFUNCTION("GOOGLETRANSLATE(B172, ""en"", ""pt"")"),"Salões de sangue")</f>
        <v>Salões de sangue</v>
      </c>
      <c r="H172" s="24" t="str">
        <f>IFERROR(__xludf.DUMMYFUNCTION("GOOGLETRANSLATE(B172, ""en"", ""de"")"),"Blutsälen")</f>
        <v>Blutsälen</v>
      </c>
      <c r="I172" s="23" t="str">
        <f>IFERROR(__xludf.DUMMYFUNCTION("GOOGLETRANSLATE(B172, ""en"", ""pl"")"),"Hale krwi")</f>
        <v>Hale krwi</v>
      </c>
      <c r="J172" s="25" t="str">
        <f>IFERROR(__xludf.DUMMYFUNCTION("GOOGLETRANSLATE(B172, ""en"", ""zh"")"),"血厅")</f>
        <v>血厅</v>
      </c>
      <c r="K172" s="25" t="str">
        <f>IFERROR(__xludf.DUMMYFUNCTION("GOOGLETRANSLATE(B172, ""en"", ""vi"")"),"Hội trường máu")</f>
        <v>Hội trường máu</v>
      </c>
      <c r="L172" s="26" t="str">
        <f>IFERROR(__xludf.DUMMYFUNCTION("GOOGLETRANSLATE(B172, ""en"", ""hr"")"),"Krvne hale")</f>
        <v>Krvne hale</v>
      </c>
      <c r="M172" s="28"/>
      <c r="N172" s="28"/>
      <c r="O172" s="28"/>
      <c r="P172" s="28"/>
      <c r="Q172" s="28"/>
      <c r="R172" s="28"/>
      <c r="S172" s="28"/>
      <c r="T172" s="28"/>
      <c r="U172" s="28"/>
      <c r="V172" s="28"/>
      <c r="W172" s="28"/>
      <c r="X172" s="28"/>
      <c r="Y172" s="28"/>
      <c r="Z172" s="28"/>
      <c r="AA172" s="28"/>
      <c r="AB172" s="28"/>
    </row>
    <row r="173">
      <c r="A173" s="21" t="s">
        <v>338</v>
      </c>
      <c r="B173" s="22" t="s">
        <v>339</v>
      </c>
      <c r="C173" s="23" t="s">
        <v>340</v>
      </c>
      <c r="D173" s="23" t="str">
        <f>IFERROR(__xludf.DUMMYFUNCTION("GOOGLETRANSLATE(B173, ""en"", ""es"")"),"Sombra dōjō")</f>
        <v>Sombra dōjō</v>
      </c>
      <c r="E173" s="23" t="str">
        <f>IFERROR(__xludf.DUMMYFUNCTION("GOOGLETRANSLATE(B173, ""en"", ""ru"")"),"Тень dōjō.")</f>
        <v>Тень dōjō.</v>
      </c>
      <c r="F173" s="23" t="str">
        <f>IFERROR(__xludf.DUMMYFUNCTION("GOOGLETRANSLATE(B173, ""en"", ""tr"")"),"Gölge dōjō")</f>
        <v>Gölge dōjō</v>
      </c>
      <c r="G173" s="23" t="str">
        <f>IFERROR(__xludf.DUMMYFUNCTION("GOOGLETRANSLATE(B173, ""en"", ""pt"")"),"Sombra dōjō.")</f>
        <v>Sombra dōjō.</v>
      </c>
      <c r="H173" s="24" t="str">
        <f>IFERROR(__xludf.DUMMYFUNCTION("GOOGLETRANSLATE(B173, ""en"", ""de"")"),"Schatten dōjō.")</f>
        <v>Schatten dōjō.</v>
      </c>
      <c r="I173" s="23" t="str">
        <f>IFERROR(__xludf.DUMMYFUNCTION("GOOGLETRANSLATE(B173, ""en"", ""pl"")"),"Cień Dōjō.")</f>
        <v>Cień Dōjō.</v>
      </c>
      <c r="J173" s="25" t="str">
        <f>IFERROR(__xludf.DUMMYFUNCTION("GOOGLETRANSLATE(B173, ""en"", ""zh"")"),"shadowdōjō.")</f>
        <v>shadowdōjō.</v>
      </c>
      <c r="K173" s="25" t="str">
        <f>IFERROR(__xludf.DUMMYFUNCTION("GOOGLETRANSLATE(B173, ""en"", ""vi"")"),"Shadow Dōjō.")</f>
        <v>Shadow Dōjō.</v>
      </c>
      <c r="L173" s="26" t="str">
        <f>IFERROR(__xludf.DUMMYFUNCTION("GOOGLETRANSLATE(B173, ""en"", ""hr"")"),"Sjena dōjō")</f>
        <v>Sjena dōjō</v>
      </c>
      <c r="M173" s="28"/>
      <c r="N173" s="28"/>
      <c r="O173" s="28"/>
      <c r="P173" s="28"/>
      <c r="Q173" s="28"/>
      <c r="R173" s="28"/>
      <c r="S173" s="28"/>
      <c r="T173" s="28"/>
      <c r="U173" s="28"/>
      <c r="V173" s="28"/>
      <c r="W173" s="28"/>
      <c r="X173" s="28"/>
      <c r="Y173" s="28"/>
      <c r="Z173" s="28"/>
      <c r="AA173" s="28"/>
      <c r="AB173" s="28"/>
    </row>
    <row r="174">
      <c r="A174" s="21" t="s">
        <v>341</v>
      </c>
      <c r="B174" s="22" t="s">
        <v>342</v>
      </c>
      <c r="C174" s="23" t="str">
        <f>IFERROR(__xludf.DUMMYFUNCTION("GOOGLETRANSLATE(B174, ""en"", ""fr"")"),"Labyrinthe de la forêt")</f>
        <v>Labyrinthe de la forêt</v>
      </c>
      <c r="D174" s="23" t="str">
        <f>IFERROR(__xludf.DUMMYFUNCTION("GOOGLETRANSLATE(B174, ""en"", ""es"")"),"Laberinto del bosque")</f>
        <v>Laberinto del bosque</v>
      </c>
      <c r="E174" s="23" t="str">
        <f>IFERROR(__xludf.DUMMYFUNCTION("GOOGLETRANSLATE(B174, ""en"", ""ru"")"),"Лесной лабиринт")</f>
        <v>Лесной лабиринт</v>
      </c>
      <c r="F174" s="23" t="str">
        <f>IFERROR(__xludf.DUMMYFUNCTION("GOOGLETRANSLATE(B174, ""en"", ""tr"")"),"Orman labirent")</f>
        <v>Orman labirent</v>
      </c>
      <c r="G174" s="23" t="str">
        <f>IFERROR(__xludf.DUMMYFUNCTION("GOOGLETRANSLATE(B174, ""en"", ""pt"")"),"Labirinto da floresta")</f>
        <v>Labirinto da floresta</v>
      </c>
      <c r="H174" s="24" t="str">
        <f>IFERROR(__xludf.DUMMYFUNCTION("GOOGLETRANSLATE(B174, ""en"", ""de"")"),"Waldlabyrinth.")</f>
        <v>Waldlabyrinth.</v>
      </c>
      <c r="I174" s="23" t="str">
        <f>IFERROR(__xludf.DUMMYFUNCTION("GOOGLETRANSLATE(B174, ""en"", ""pl"")"),"Labirynt lasu")</f>
        <v>Labirynt lasu</v>
      </c>
      <c r="J174" s="25" t="str">
        <f>IFERROR(__xludf.DUMMYFUNCTION("GOOGLETRANSLATE(B174, ""en"", ""zh"")"),"森林迷宫")</f>
        <v>森林迷宫</v>
      </c>
      <c r="K174" s="25" t="str">
        <f>IFERROR(__xludf.DUMMYFUNCTION("GOOGLETRANSLATE(B174, ""en"", ""vi"")"),"Mê cung rừng")</f>
        <v>Mê cung rừng</v>
      </c>
      <c r="L174" s="26" t="str">
        <f>IFERROR(__xludf.DUMMYFUNCTION("GOOGLETRANSLATE(B174, ""en"", ""hr"")"),"Šumski labirint")</f>
        <v>Šumski labirint</v>
      </c>
      <c r="M174" s="28"/>
      <c r="N174" s="28"/>
      <c r="O174" s="28"/>
      <c r="P174" s="28"/>
      <c r="Q174" s="28"/>
      <c r="R174" s="28"/>
      <c r="S174" s="28"/>
      <c r="T174" s="28"/>
      <c r="U174" s="28"/>
      <c r="V174" s="28"/>
      <c r="W174" s="28"/>
      <c r="X174" s="28"/>
      <c r="Y174" s="28"/>
      <c r="Z174" s="28"/>
      <c r="AA174" s="28"/>
      <c r="AB174" s="28"/>
    </row>
    <row r="175">
      <c r="A175" s="21" t="s">
        <v>343</v>
      </c>
      <c r="B175" s="22" t="s">
        <v>344</v>
      </c>
      <c r="C175" s="23" t="s">
        <v>345</v>
      </c>
      <c r="D175" s="23" t="str">
        <f>IFERROR(__xludf.DUMMYFUNCTION("GOOGLETRANSLATE(B175, ""en"", ""es"")"),"Arena de entrenamiento mago")</f>
        <v>Arena de entrenamiento mago</v>
      </c>
      <c r="E175" s="23" t="str">
        <f>IFERROR(__xludf.DUMMYFUNCTION("GOOGLETRANSLATE(B175, ""en"", ""ru"")"),"Маг тренировка арена")</f>
        <v>Маг тренировка арена</v>
      </c>
      <c r="F175" s="23" t="str">
        <f>IFERROR(__xludf.DUMMYFUNCTION("GOOGLETRANSLATE(B175, ""en"", ""tr"")"),"Mage eğitimi arenası")</f>
        <v>Mage eğitimi arenası</v>
      </c>
      <c r="G175" s="23" t="str">
        <f>IFERROR(__xludf.DUMMYFUNCTION("GOOGLETRANSLATE(B175, ""en"", ""pt"")"),"Arena de treinamento de mago.")</f>
        <v>Arena de treinamento de mago.</v>
      </c>
      <c r="H175" s="24" t="str">
        <f>IFERROR(__xludf.DUMMYFUNCTION("GOOGLETRANSLATE(B175, ""en"", ""de"")"),"Mage Training Arena.")</f>
        <v>Mage Training Arena.</v>
      </c>
      <c r="I175" s="23" t="str">
        <f>IFERROR(__xludf.DUMMYFUNCTION("GOOGLETRANSLATE(B175, ""en"", ""pl"")"),"Arena treningowa maga")</f>
        <v>Arena treningowa maga</v>
      </c>
      <c r="J175" s="25" t="str">
        <f>IFERROR(__xludf.DUMMYFUNCTION("GOOGLETRANSLATE(B175, ""en"", ""zh"")"),"法师训练竞技场")</f>
        <v>法师训练竞技场</v>
      </c>
      <c r="K175" s="25" t="str">
        <f>IFERROR(__xludf.DUMMYFUNCTION("GOOGLETRANSLATE(B175, ""en"", ""vi"")"),"Đấu trường đào tạo Mage.")</f>
        <v>Đấu trường đào tạo Mage.</v>
      </c>
      <c r="L175" s="26" t="str">
        <f>IFERROR(__xludf.DUMMYFUNCTION("GOOGLETRANSLATE(B175, ""en"", ""hr"")"),"Arena treninga mage")</f>
        <v>Arena treninga mage</v>
      </c>
      <c r="M175" s="28"/>
      <c r="N175" s="28"/>
      <c r="O175" s="28"/>
      <c r="P175" s="28"/>
      <c r="Q175" s="28"/>
      <c r="R175" s="28"/>
      <c r="S175" s="28"/>
      <c r="T175" s="28"/>
      <c r="U175" s="28"/>
      <c r="V175" s="28"/>
      <c r="W175" s="28"/>
      <c r="X175" s="28"/>
      <c r="Y175" s="28"/>
      <c r="Z175" s="28"/>
      <c r="AA175" s="28"/>
      <c r="AB175" s="28"/>
    </row>
    <row r="176">
      <c r="A176" s="21" t="s">
        <v>346</v>
      </c>
      <c r="B176" s="22" t="s">
        <v>347</v>
      </c>
      <c r="C176" s="23" t="s">
        <v>348</v>
      </c>
      <c r="D176" s="23" t="str">
        <f>IFERROR(__xludf.DUMMYFUNCTION("GOOGLETRANSLATE(B176, ""en"", ""es"")"),"Patear")</f>
        <v>Patear</v>
      </c>
      <c r="E176" s="23" t="str">
        <f>IFERROR(__xludf.DUMMYFUNCTION("GOOGLETRANSLATE(B176, ""en"", ""ru"")"),"Пинать")</f>
        <v>Пинать</v>
      </c>
      <c r="F176" s="23" t="str">
        <f>IFERROR(__xludf.DUMMYFUNCTION("GOOGLETRANSLATE(B176, ""en"", ""tr"")"),"Atmak")</f>
        <v>Atmak</v>
      </c>
      <c r="G176" s="23" t="str">
        <f>IFERROR(__xludf.DUMMYFUNCTION("GOOGLETRANSLATE(B176, ""en"", ""pt"")"),"Chute")</f>
        <v>Chute</v>
      </c>
      <c r="H176" s="24" t="str">
        <f>IFERROR(__xludf.DUMMYFUNCTION("GOOGLETRANSLATE(B176, ""en"", ""de"")"),"Trete")</f>
        <v>Trete</v>
      </c>
      <c r="I176" s="23" t="str">
        <f>IFERROR(__xludf.DUMMYFUNCTION("GOOGLETRANSLATE(B176, ""en"", ""pl"")"),"kopnięcie")</f>
        <v>kopnięcie</v>
      </c>
      <c r="J176" s="25" t="str">
        <f>IFERROR(__xludf.DUMMYFUNCTION("GOOGLETRANSLATE(B176, ""en"", ""zh"")"),"踢")</f>
        <v>踢</v>
      </c>
      <c r="K176" s="25" t="str">
        <f>IFERROR(__xludf.DUMMYFUNCTION("GOOGLETRANSLATE(B176, ""en"", ""vi"")"),"Đá")</f>
        <v>Đá</v>
      </c>
      <c r="L176" s="26" t="str">
        <f>IFERROR(__xludf.DUMMYFUNCTION("GOOGLETRANSLATE(B176, ""en"", ""hr"")"),"Udarac")</f>
        <v>Udarac</v>
      </c>
      <c r="M176" s="28"/>
      <c r="N176" s="28"/>
      <c r="O176" s="28"/>
      <c r="P176" s="28"/>
      <c r="Q176" s="28"/>
      <c r="R176" s="28"/>
      <c r="S176" s="28"/>
      <c r="T176" s="28"/>
      <c r="U176" s="28"/>
      <c r="V176" s="28"/>
      <c r="W176" s="28"/>
      <c r="X176" s="28"/>
      <c r="Y176" s="28"/>
      <c r="Z176" s="28"/>
      <c r="AA176" s="28"/>
      <c r="AB176" s="28"/>
    </row>
    <row r="177">
      <c r="A177" s="21" t="s">
        <v>349</v>
      </c>
      <c r="B177" s="22" t="s">
        <v>350</v>
      </c>
      <c r="C177" s="23" t="str">
        <f>IFERROR(__xludf.DUMMYFUNCTION("GOOGLETRANSLATE(B177, ""en"", ""fr"")"),"Promouvoir")</f>
        <v>Promouvoir</v>
      </c>
      <c r="D177" s="23" t="str">
        <f>IFERROR(__xludf.DUMMYFUNCTION("GOOGLETRANSLATE(B177, ""en"", ""es"")"),"Promover")</f>
        <v>Promover</v>
      </c>
      <c r="E177" s="23" t="str">
        <f>IFERROR(__xludf.DUMMYFUNCTION("GOOGLETRANSLATE(B177, ""en"", ""ru"")"),"Продвигать")</f>
        <v>Продвигать</v>
      </c>
      <c r="F177" s="23" t="str">
        <f>IFERROR(__xludf.DUMMYFUNCTION("GOOGLETRANSLATE(B177, ""en"", ""tr"")"),"Terfi")</f>
        <v>Terfi</v>
      </c>
      <c r="G177" s="23" t="str">
        <f>IFERROR(__xludf.DUMMYFUNCTION("GOOGLETRANSLATE(B177, ""en"", ""pt"")"),"Promover")</f>
        <v>Promover</v>
      </c>
      <c r="H177" s="24" t="str">
        <f>IFERROR(__xludf.DUMMYFUNCTION("GOOGLETRANSLATE(B177, ""en"", ""de"")"),"Fördern")</f>
        <v>Fördern</v>
      </c>
      <c r="I177" s="23" t="str">
        <f>IFERROR(__xludf.DUMMYFUNCTION("GOOGLETRANSLATE(B177, ""en"", ""pl"")"),"Promować")</f>
        <v>Promować</v>
      </c>
      <c r="J177" s="25" t="str">
        <f>IFERROR(__xludf.DUMMYFUNCTION("GOOGLETRANSLATE(B177, ""en"", ""zh"")"),"推动")</f>
        <v>推动</v>
      </c>
      <c r="K177" s="25" t="str">
        <f>IFERROR(__xludf.DUMMYFUNCTION("GOOGLETRANSLATE(B177, ""en"", ""vi"")"),"Khuyến khích")</f>
        <v>Khuyến khích</v>
      </c>
      <c r="L177" s="26" t="str">
        <f>IFERROR(__xludf.DUMMYFUNCTION("GOOGLETRANSLATE(B177, ""en"", ""hr"")"),"Promicati")</f>
        <v>Promicati</v>
      </c>
      <c r="M177" s="28"/>
      <c r="N177" s="28"/>
      <c r="O177" s="28"/>
      <c r="P177" s="28"/>
      <c r="Q177" s="28"/>
      <c r="R177" s="28"/>
      <c r="S177" s="28"/>
      <c r="T177" s="28"/>
      <c r="U177" s="28"/>
      <c r="V177" s="28"/>
      <c r="W177" s="28"/>
      <c r="X177" s="28"/>
      <c r="Y177" s="28"/>
      <c r="Z177" s="28"/>
      <c r="AA177" s="28"/>
      <c r="AB177" s="28"/>
    </row>
    <row r="178">
      <c r="A178" s="21" t="s">
        <v>351</v>
      </c>
      <c r="B178" s="22" t="s">
        <v>317</v>
      </c>
      <c r="C178" s="23" t="str">
        <f>IFERROR(__xludf.DUMMYFUNCTION("GOOGLETRANSLATE(B178, ""en"", ""fr"")"),"Laisser")</f>
        <v>Laisser</v>
      </c>
      <c r="D178" s="23" t="str">
        <f>IFERROR(__xludf.DUMMYFUNCTION("GOOGLETRANSLATE(B178, ""en"", ""es"")"),"Dejar")</f>
        <v>Dejar</v>
      </c>
      <c r="E178" s="23" t="str">
        <f>IFERROR(__xludf.DUMMYFUNCTION("GOOGLETRANSLATE(B178, ""en"", ""ru"")"),"Оставлять")</f>
        <v>Оставлять</v>
      </c>
      <c r="F178" s="23" t="str">
        <f>IFERROR(__xludf.DUMMYFUNCTION("GOOGLETRANSLATE(B178, ""en"", ""tr"")"),"Terk etmek")</f>
        <v>Terk etmek</v>
      </c>
      <c r="G178" s="23" t="str">
        <f>IFERROR(__xludf.DUMMYFUNCTION("GOOGLETRANSLATE(B178, ""en"", ""pt"")"),"Sair")</f>
        <v>Sair</v>
      </c>
      <c r="H178" s="24" t="str">
        <f>IFERROR(__xludf.DUMMYFUNCTION("GOOGLETRANSLATE(B178, ""en"", ""de"")"),"Verlassen")</f>
        <v>Verlassen</v>
      </c>
      <c r="I178" s="23" t="str">
        <f>IFERROR(__xludf.DUMMYFUNCTION("GOOGLETRANSLATE(B178, ""en"", ""pl"")"),"Opuszczać")</f>
        <v>Opuszczać</v>
      </c>
      <c r="J178" s="25" t="str">
        <f>IFERROR(__xludf.DUMMYFUNCTION("GOOGLETRANSLATE(B178, ""en"", ""zh"")"),"离开")</f>
        <v>离开</v>
      </c>
      <c r="K178" s="25" t="str">
        <f>IFERROR(__xludf.DUMMYFUNCTION("GOOGLETRANSLATE(B178, ""en"", ""vi"")"),"Rời bỏ")</f>
        <v>Rời bỏ</v>
      </c>
      <c r="L178" s="26" t="str">
        <f>IFERROR(__xludf.DUMMYFUNCTION("GOOGLETRANSLATE(B178, ""en"", ""hr"")"),"Napustiti")</f>
        <v>Napustiti</v>
      </c>
      <c r="M178" s="28"/>
      <c r="N178" s="28"/>
      <c r="O178" s="28"/>
      <c r="P178" s="28"/>
      <c r="Q178" s="28"/>
      <c r="R178" s="28"/>
      <c r="S178" s="28"/>
      <c r="T178" s="28"/>
      <c r="U178" s="28"/>
      <c r="V178" s="28"/>
      <c r="W178" s="28"/>
      <c r="X178" s="28"/>
      <c r="Y178" s="28"/>
      <c r="Z178" s="28"/>
      <c r="AA178" s="28"/>
      <c r="AB178" s="28"/>
    </row>
    <row r="179">
      <c r="A179" s="21" t="s">
        <v>143</v>
      </c>
      <c r="B179" s="22" t="s">
        <v>143</v>
      </c>
      <c r="C179" s="23" t="str">
        <f>IFERROR(__xludf.DUMMYFUNCTION("GOOGLETRANSLATE(B179, ""en"", ""fr"")"),"Clan")</f>
        <v>Clan</v>
      </c>
      <c r="D179" s="23" t="str">
        <f>IFERROR(__xludf.DUMMYFUNCTION("GOOGLETRANSLATE(B179, ""en"", ""es"")"),"Clan")</f>
        <v>Clan</v>
      </c>
      <c r="E179" s="23" t="str">
        <f>IFERROR(__xludf.DUMMYFUNCTION("GOOGLETRANSLATE(B179, ""en"", ""ru"")"),"Клан")</f>
        <v>Клан</v>
      </c>
      <c r="F179" s="23" t="str">
        <f>IFERROR(__xludf.DUMMYFUNCTION("GOOGLETRANSLATE(B179, ""en"", ""tr"")"),"Klan")</f>
        <v>Klan</v>
      </c>
      <c r="G179" s="23" t="str">
        <f>IFERROR(__xludf.DUMMYFUNCTION("GOOGLETRANSLATE(B179, ""en"", ""pt"")"),"Clã")</f>
        <v>Clã</v>
      </c>
      <c r="H179" s="24" t="str">
        <f>IFERROR(__xludf.DUMMYFUNCTION("GOOGLETRANSLATE(B179, ""en"", ""de"")"),"Clan")</f>
        <v>Clan</v>
      </c>
      <c r="I179" s="23" t="str">
        <f>IFERROR(__xludf.DUMMYFUNCTION("GOOGLETRANSLATE(B179, ""en"", ""pl"")"),"Klan")</f>
        <v>Klan</v>
      </c>
      <c r="J179" s="25" t="str">
        <f>IFERROR(__xludf.DUMMYFUNCTION("GOOGLETRANSLATE(B179, ""en"", ""zh"")"),"氏族")</f>
        <v>氏族</v>
      </c>
      <c r="K179" s="25" t="str">
        <f>IFERROR(__xludf.DUMMYFUNCTION("GOOGLETRANSLATE(B179, ""en"", ""vi"")"),"Gia tộc")</f>
        <v>Gia tộc</v>
      </c>
      <c r="L179" s="26" t="str">
        <f>IFERROR(__xludf.DUMMYFUNCTION("GOOGLETRANSLATE(B179, ""en"", ""hr"")"),"Klan")</f>
        <v>Klan</v>
      </c>
      <c r="M179" s="28"/>
      <c r="N179" s="28"/>
      <c r="O179" s="28"/>
      <c r="P179" s="28"/>
      <c r="Q179" s="28"/>
      <c r="R179" s="28"/>
      <c r="S179" s="28"/>
      <c r="T179" s="28"/>
      <c r="U179" s="28"/>
      <c r="V179" s="28"/>
      <c r="W179" s="28"/>
      <c r="X179" s="28"/>
      <c r="Y179" s="28"/>
      <c r="Z179" s="28"/>
      <c r="AA179" s="28"/>
      <c r="AB179" s="28"/>
    </row>
    <row r="180">
      <c r="A180" s="21" t="s">
        <v>352</v>
      </c>
      <c r="B180" s="22" t="s">
        <v>353</v>
      </c>
      <c r="C180" s="23" t="str">
        <f>IFERROR(__xludf.DUMMYFUNCTION("GOOGLETRANSLATE(B180, ""en"", ""fr"")"),"Vous êtes déjà dans un clan.")</f>
        <v>Vous êtes déjà dans un clan.</v>
      </c>
      <c r="D180" s="23" t="str">
        <f>IFERROR(__xludf.DUMMYFUNCTION("GOOGLETRANSLATE(B180, ""en"", ""es"")"),"Ya estás en un clan.")</f>
        <v>Ya estás en un clan.</v>
      </c>
      <c r="E180" s="23" t="str">
        <f>IFERROR(__xludf.DUMMYFUNCTION("GOOGLETRANSLATE(B180, ""en"", ""ru"")"),"Вы уже в клане.")</f>
        <v>Вы уже в клане.</v>
      </c>
      <c r="F180" s="23" t="str">
        <f>IFERROR(__xludf.DUMMYFUNCTION("GOOGLETRANSLATE(B180, ""en"", ""tr"")"),"Sen zaten bir klanındasın.")</f>
        <v>Sen zaten bir klanındasın.</v>
      </c>
      <c r="G180" s="23" t="str">
        <f>IFERROR(__xludf.DUMMYFUNCTION("GOOGLETRANSLATE(B180, ""en"", ""pt"")"),"Você já está em um clã.")</f>
        <v>Você já está em um clã.</v>
      </c>
      <c r="H180" s="24" t="str">
        <f>IFERROR(__xludf.DUMMYFUNCTION("GOOGLETRANSLATE(B180, ""en"", ""de"")"),"Du bist schon in einem Clan.")</f>
        <v>Du bist schon in einem Clan.</v>
      </c>
      <c r="I180" s="23" t="str">
        <f>IFERROR(__xludf.DUMMYFUNCTION("GOOGLETRANSLATE(B180, ""en"", ""pl"")"),"Jesteś już w klanie.")</f>
        <v>Jesteś już w klanie.</v>
      </c>
      <c r="J180" s="25" t="str">
        <f>IFERROR(__xludf.DUMMYFUNCTION("GOOGLETRANSLATE(B180, ""en"", ""zh"")"),"你已经在一个氏族。")</f>
        <v>你已经在一个氏族。</v>
      </c>
      <c r="K180" s="25" t="str">
        <f>IFERROR(__xludf.DUMMYFUNCTION("GOOGLETRANSLATE(B180, ""en"", ""vi"")"),"Bạn đã ở trong một bang hội.")</f>
        <v>Bạn đã ở trong một bang hội.</v>
      </c>
      <c r="L180" s="26" t="str">
        <f>IFERROR(__xludf.DUMMYFUNCTION("GOOGLETRANSLATE(B180, ""en"", ""hr"")"),"Već ste u klan.")</f>
        <v>Već ste u klan.</v>
      </c>
      <c r="M180" s="28"/>
      <c r="N180" s="28"/>
      <c r="O180" s="28"/>
      <c r="P180" s="28"/>
      <c r="Q180" s="28"/>
      <c r="R180" s="28"/>
      <c r="S180" s="28"/>
      <c r="T180" s="28"/>
      <c r="U180" s="28"/>
      <c r="V180" s="28"/>
      <c r="W180" s="28"/>
      <c r="X180" s="28"/>
      <c r="Y180" s="28"/>
      <c r="Z180" s="28"/>
      <c r="AA180" s="28"/>
      <c r="AB180" s="28"/>
    </row>
    <row r="181">
      <c r="A181" s="21" t="s">
        <v>354</v>
      </c>
      <c r="B181" s="22" t="s">
        <v>355</v>
      </c>
      <c r="C181" s="23" t="s">
        <v>356</v>
      </c>
      <c r="D181" s="23" t="str">
        <f>IFERROR(__xludf.DUMMYFUNCTION("GOOGLETRANSLATE(B181, ""en"", ""es"")"),"¡El clan se unió!")</f>
        <v>¡El clan se unió!</v>
      </c>
      <c r="E181" s="23" t="str">
        <f>IFERROR(__xludf.DUMMYFUNCTION("GOOGLETRANSLATE(B181, ""en"", ""ru"")"),"Клан присоединился!")</f>
        <v>Клан присоединился!</v>
      </c>
      <c r="F181" s="23" t="str">
        <f>IFERROR(__xludf.DUMMYFUNCTION("GOOGLETRANSLATE(B181, ""en"", ""tr"")"),"Klan katıldı!")</f>
        <v>Klan katıldı!</v>
      </c>
      <c r="G181" s="23" t="str">
        <f>IFERROR(__xludf.DUMMYFUNCTION("GOOGLETRANSLATE(B181, ""en"", ""pt"")"),"Clã juntou-se!")</f>
        <v>Clã juntou-se!</v>
      </c>
      <c r="H181" s="24" t="str">
        <f>IFERROR(__xludf.DUMMYFUNCTION("GOOGLETRANSLATE(B181, ""en"", ""de"")"),"Clan ist beigetreten!")</f>
        <v>Clan ist beigetreten!</v>
      </c>
      <c r="I181" s="23" t="str">
        <f>IFERROR(__xludf.DUMMYFUNCTION("GOOGLETRANSLATE(B181, ""en"", ""pl"")"),"Klan dołączył!")</f>
        <v>Klan dołączył!</v>
      </c>
      <c r="J181" s="25" t="str">
        <f>IFERROR(__xludf.DUMMYFUNCTION("GOOGLETRANSLATE(B181, ""en"", ""zh"")"),"氏族加入了！")</f>
        <v>氏族加入了！</v>
      </c>
      <c r="K181" s="25" t="str">
        <f>IFERROR(__xludf.DUMMYFUNCTION("GOOGLETRANSLATE(B181, ""en"", ""vi"")"),"Clan tham gia!")</f>
        <v>Clan tham gia!</v>
      </c>
      <c r="L181" s="26" t="str">
        <f>IFERROR(__xludf.DUMMYFUNCTION("GOOGLETRANSLATE(B181, ""en"", ""hr"")"),"Klan je pridružio!")</f>
        <v>Klan je pridružio!</v>
      </c>
      <c r="M181" s="28"/>
      <c r="N181" s="28"/>
      <c r="O181" s="28"/>
      <c r="P181" s="28"/>
      <c r="Q181" s="28"/>
      <c r="R181" s="28"/>
      <c r="S181" s="28"/>
      <c r="T181" s="28"/>
      <c r="U181" s="28"/>
      <c r="V181" s="28"/>
      <c r="W181" s="28"/>
      <c r="X181" s="28"/>
      <c r="Y181" s="28"/>
      <c r="Z181" s="28"/>
      <c r="AA181" s="28"/>
      <c r="AB181" s="28"/>
    </row>
    <row r="182">
      <c r="A182" s="21" t="s">
        <v>357</v>
      </c>
      <c r="B182" s="22" t="s">
        <v>358</v>
      </c>
      <c r="C182" s="23" t="str">
        <f>IFERROR(__xludf.DUMMYFUNCTION("GOOGLETRANSLATE(B182, ""en"", ""fr"")"),"Limite de structure du clan atteinte.")</f>
        <v>Limite de structure du clan atteinte.</v>
      </c>
      <c r="D182" s="23" t="str">
        <f>IFERROR(__xludf.DUMMYFUNCTION("GOOGLETRANSLATE(B182, ""en"", ""es"")"),"Límite de estructura del clan alcanzado.")</f>
        <v>Límite de estructura del clan alcanzado.</v>
      </c>
      <c r="E182" s="23" t="str">
        <f>IFERROR(__xludf.DUMMYFUNCTION("GOOGLETRANSLATE(B182, ""en"", ""ru"")"),"Доступен предел структуры клана.")</f>
        <v>Доступен предел структуры клана.</v>
      </c>
      <c r="F182" s="23" t="str">
        <f>IFERROR(__xludf.DUMMYFUNCTION("GOOGLETRANSLATE(B182, ""en"", ""tr"")"),"Klan yapısı sınırı ulaştı.")</f>
        <v>Klan yapısı sınırı ulaştı.</v>
      </c>
      <c r="G182" s="23" t="str">
        <f>IFERROR(__xludf.DUMMYFUNCTION("GOOGLETRANSLATE(B182, ""en"", ""pt"")"),"Limite de estrutura de clã atingido.")</f>
        <v>Limite de estrutura de clã atingido.</v>
      </c>
      <c r="H182" s="24" t="str">
        <f>IFERROR(__xludf.DUMMYFUNCTION("GOOGLETRANSLATE(B182, ""en"", ""de"")"),"Clanstrukturlimit erreicht.")</f>
        <v>Clanstrukturlimit erreicht.</v>
      </c>
      <c r="I182" s="23" t="str">
        <f>IFERROR(__xludf.DUMMYFUNCTION("GOOGLETRANSLATE(B182, ""en"", ""pl"")"),"Osiągnął limit konstrukcji klanu.")</f>
        <v>Osiągnął limit konstrukcji klanu.</v>
      </c>
      <c r="J182" s="25" t="str">
        <f>IFERROR(__xludf.DUMMYFUNCTION("GOOGLETRANSLATE(B182, ""en"", ""zh"")"),"氏族结构限制达到。")</f>
        <v>氏族结构限制达到。</v>
      </c>
      <c r="K182" s="25" t="str">
        <f>IFERROR(__xludf.DUMMYFUNCTION("GOOGLETRANSLATE(B182, ""en"", ""vi"")"),"Đạt đến giới hạn cấu trúc gia tộc.")</f>
        <v>Đạt đến giới hạn cấu trúc gia tộc.</v>
      </c>
      <c r="L182" s="26" t="str">
        <f>IFERROR(__xludf.DUMMYFUNCTION("GOOGLETRANSLATE(B182, ""en"", ""hr"")"),"Ograničenje konstrukcije klana.")</f>
        <v>Ograničenje konstrukcije klana.</v>
      </c>
      <c r="M182" s="28"/>
      <c r="N182" s="28"/>
      <c r="O182" s="28"/>
      <c r="P182" s="28"/>
      <c r="Q182" s="28"/>
      <c r="R182" s="28"/>
      <c r="S182" s="28"/>
      <c r="T182" s="28"/>
      <c r="U182" s="28"/>
      <c r="V182" s="28"/>
      <c r="W182" s="28"/>
      <c r="X182" s="28"/>
      <c r="Y182" s="28"/>
      <c r="Z182" s="28"/>
      <c r="AA182" s="28"/>
      <c r="AB182" s="28"/>
    </row>
    <row r="183">
      <c r="A183" s="21" t="s">
        <v>359</v>
      </c>
      <c r="B183" s="22" t="s">
        <v>360</v>
      </c>
      <c r="C183" s="23" t="s">
        <v>361</v>
      </c>
      <c r="D183" s="23" t="str">
        <f>IFERROR(__xludf.DUMMYFUNCTION("GOOGLETRANSLATE(B183, ""en"", ""es"")"),"¡Tu clan ha sido destruido!")</f>
        <v>¡Tu clan ha sido destruido!</v>
      </c>
      <c r="E183" s="23" t="str">
        <f>IFERROR(__xludf.DUMMYFUNCTION("GOOGLETRANSLATE(B183, ""en"", ""ru"")"),"Ваш клан был разрушен!")</f>
        <v>Ваш клан был разрушен!</v>
      </c>
      <c r="F183" s="23" t="str">
        <f>IFERROR(__xludf.DUMMYFUNCTION("GOOGLETRANSLATE(B183, ""en"", ""tr"")"),"Klanın yok edildi!")</f>
        <v>Klanın yok edildi!</v>
      </c>
      <c r="G183" s="23" t="str">
        <f>IFERROR(__xludf.DUMMYFUNCTION("GOOGLETRANSLATE(B183, ""en"", ""pt"")"),"Seu clã foi destruído!")</f>
        <v>Seu clã foi destruído!</v>
      </c>
      <c r="H183" s="24" t="str">
        <f>IFERROR(__xludf.DUMMYFUNCTION("GOOGLETRANSLATE(B183, ""en"", ""de"")"),"Ihr Clan wurde zerstört!")</f>
        <v>Ihr Clan wurde zerstört!</v>
      </c>
      <c r="I183" s="23" t="str">
        <f>IFERROR(__xludf.DUMMYFUNCTION("GOOGLETRANSLATE(B183, ""en"", ""pl"")"),"Twój klan został zniszczony!")</f>
        <v>Twój klan został zniszczony!</v>
      </c>
      <c r="J183" s="25" t="str">
        <f>IFERROR(__xludf.DUMMYFUNCTION("GOOGLETRANSLATE(B183, ""en"", ""zh"")"),"你的族人被摧毁了！")</f>
        <v>你的族人被摧毁了！</v>
      </c>
      <c r="K183" s="25" t="str">
        <f>IFERROR(__xludf.DUMMYFUNCTION("GOOGLETRANSLATE(B183, ""en"", ""vi"")"),"Gia tộc của bạn đã bị phá hủy!")</f>
        <v>Gia tộc của bạn đã bị phá hủy!</v>
      </c>
      <c r="L183" s="26" t="str">
        <f>IFERROR(__xludf.DUMMYFUNCTION("GOOGLETRANSLATE(B183, ""en"", ""hr"")"),"Vaš klan je uništen!")</f>
        <v>Vaš klan je uništen!</v>
      </c>
      <c r="M183" s="28"/>
      <c r="N183" s="28"/>
      <c r="O183" s="28"/>
      <c r="P183" s="28"/>
      <c r="Q183" s="28"/>
      <c r="R183" s="28"/>
      <c r="S183" s="28"/>
      <c r="T183" s="28"/>
      <c r="U183" s="28"/>
      <c r="V183" s="28"/>
      <c r="W183" s="28"/>
      <c r="X183" s="28"/>
      <c r="Y183" s="28"/>
      <c r="Z183" s="28"/>
      <c r="AA183" s="28"/>
      <c r="AB183" s="28"/>
    </row>
    <row r="184">
      <c r="A184" s="21" t="s">
        <v>362</v>
      </c>
      <c r="B184" s="22" t="s">
        <v>363</v>
      </c>
      <c r="C184" s="23" t="s">
        <v>364</v>
      </c>
      <c r="D184" s="23" t="str">
        <f>IFERROR(__xludf.DUMMYFUNCTION("GOOGLETRANSLATE(B184, ""en"", ""es"")"),"Miembro del clan pateado:")</f>
        <v>Miembro del clan pateado:</v>
      </c>
      <c r="E184" s="23" t="str">
        <f>IFERROR(__xludf.DUMMYFUNCTION("GOOGLETRANSLATE(B184, ""en"", ""ru"")"),"Член клана ударил:")</f>
        <v>Член клана ударил:</v>
      </c>
      <c r="F184" s="23" t="str">
        <f>IFERROR(__xludf.DUMMYFUNCTION("GOOGLETRANSLATE(B184, ""en"", ""tr"")"),"Klan üyesi tekmeledi:")</f>
        <v>Klan üyesi tekmeledi:</v>
      </c>
      <c r="G184" s="23" t="str">
        <f>IFERROR(__xludf.DUMMYFUNCTION("GOOGLETRANSLATE(B184, ""en"", ""pt"")"),"Membro do clã chutado:")</f>
        <v>Membro do clã chutado:</v>
      </c>
      <c r="H184" s="24" t="str">
        <f>IFERROR(__xludf.DUMMYFUNCTION("GOOGLETRANSLATE(B184, ""en"", ""de"")"),"Clan Member Tritt:")</f>
        <v>Clan Member Tritt:</v>
      </c>
      <c r="I184" s="23" t="str">
        <f>IFERROR(__xludf.DUMMYFUNCTION("GOOGLETRANSLATE(B184, ""en"", ""pl"")"),"Kopany członek klanu:")</f>
        <v>Kopany członek klanu:</v>
      </c>
      <c r="J184" s="25" t="str">
        <f>IFERROR(__xludf.DUMMYFUNCTION("GOOGLETRANSLATE(B184, ""en"", ""zh"")"),"氏族成员踢了：")</f>
        <v>氏族成员踢了：</v>
      </c>
      <c r="K184" s="25" t="str">
        <f>IFERROR(__xludf.DUMMYFUNCTION("GOOGLETRANSLATE(B184, ""en"", ""vi"")"),"Thành viên Clan bị đá:")</f>
        <v>Thành viên Clan bị đá:</v>
      </c>
      <c r="L184" s="26" t="str">
        <f>IFERROR(__xludf.DUMMYFUNCTION("GOOGLETRANSLATE(B184, ""en"", ""hr"")"),"Član klana je udario:")</f>
        <v>Član klana je udario:</v>
      </c>
      <c r="M184" s="28"/>
      <c r="N184" s="28"/>
      <c r="O184" s="28"/>
      <c r="P184" s="28"/>
      <c r="Q184" s="28"/>
      <c r="R184" s="28"/>
      <c r="S184" s="28"/>
      <c r="T184" s="28"/>
      <c r="U184" s="28"/>
      <c r="V184" s="28"/>
      <c r="W184" s="28"/>
      <c r="X184" s="28"/>
      <c r="Y184" s="28"/>
      <c r="Z184" s="28"/>
      <c r="AA184" s="28"/>
      <c r="AB184" s="28"/>
    </row>
    <row r="185">
      <c r="A185" s="21" t="s">
        <v>365</v>
      </c>
      <c r="B185" s="22" t="s">
        <v>366</v>
      </c>
      <c r="C185" s="23" t="str">
        <f>IFERROR(__xludf.DUMMYFUNCTION("GOOGLETRANSLATE(B185, ""en"", ""fr"")"),"Vous avez été promu dans votre clan.")</f>
        <v>Vous avez été promu dans votre clan.</v>
      </c>
      <c r="D185" s="23" t="str">
        <f>IFERROR(__xludf.DUMMYFUNCTION("GOOGLETRANSLATE(B185, ""en"", ""es"")"),"Has sido promovido en tu clan.")</f>
        <v>Has sido promovido en tu clan.</v>
      </c>
      <c r="E185" s="23" t="str">
        <f>IFERROR(__xludf.DUMMYFUNCTION("GOOGLETRANSLATE(B185, ""en"", ""ru"")"),"Вы были продвинуты в вашем клане.")</f>
        <v>Вы были продвинуты в вашем клане.</v>
      </c>
      <c r="F185" s="23" t="str">
        <f>IFERROR(__xludf.DUMMYFUNCTION("GOOGLETRANSLATE(B185, ""en"", ""tr"")"),"Klanınıza terfi ettiniz.")</f>
        <v>Klanınıza terfi ettiniz.</v>
      </c>
      <c r="G185" s="23" t="str">
        <f>IFERROR(__xludf.DUMMYFUNCTION("GOOGLETRANSLATE(B185, ""en"", ""pt"")"),"Você foi promovido no seu clã.")</f>
        <v>Você foi promovido no seu clã.</v>
      </c>
      <c r="H185" s="24" t="str">
        <f>IFERROR(__xludf.DUMMYFUNCTION("GOOGLETRANSLATE(B185, ""en"", ""de"")"),"Sie wurden in Ihrem Clan befördert.")</f>
        <v>Sie wurden in Ihrem Clan befördert.</v>
      </c>
      <c r="I185" s="23" t="str">
        <f>IFERROR(__xludf.DUMMYFUNCTION("GOOGLETRANSLATE(B185, ""en"", ""pl"")"),"Zostałeś awansowany w swoim klanie.")</f>
        <v>Zostałeś awansowany w swoim klanie.</v>
      </c>
      <c r="J185" s="25" t="str">
        <f>IFERROR(__xludf.DUMMYFUNCTION("GOOGLETRANSLATE(B185, ""en"", ""zh"")"),"您已在您的氏族晋升。")</f>
        <v>您已在您的氏族晋升。</v>
      </c>
      <c r="K185" s="25" t="str">
        <f>IFERROR(__xludf.DUMMYFUNCTION("GOOGLETRANSLATE(B185, ""en"", ""vi"")"),"Bạn đã được thăng chức trong bang hội của bạn.")</f>
        <v>Bạn đã được thăng chức trong bang hội của bạn.</v>
      </c>
      <c r="L185" s="26" t="str">
        <f>IFERROR(__xludf.DUMMYFUNCTION("GOOGLETRANSLATE(B185, ""en"", ""hr"")"),"Promovirali ste u vašem klanu.")</f>
        <v>Promovirali ste u vašem klanu.</v>
      </c>
      <c r="M185" s="28"/>
      <c r="N185" s="28"/>
      <c r="O185" s="28"/>
      <c r="P185" s="28"/>
      <c r="Q185" s="28"/>
      <c r="R185" s="28"/>
      <c r="S185" s="28"/>
      <c r="T185" s="28"/>
      <c r="U185" s="28"/>
      <c r="V185" s="28"/>
      <c r="W185" s="28"/>
      <c r="X185" s="28"/>
      <c r="Y185" s="28"/>
      <c r="Z185" s="28"/>
      <c r="AA185" s="28"/>
      <c r="AB185" s="28"/>
    </row>
    <row r="186">
      <c r="A186" s="21" t="s">
        <v>367</v>
      </c>
      <c r="B186" s="22" t="s">
        <v>368</v>
      </c>
      <c r="C186" s="23" t="s">
        <v>369</v>
      </c>
      <c r="D186" s="23" t="str">
        <f>IFERROR(__xludf.DUMMYFUNCTION("GOOGLETRANSLATE(B186, ""en"", ""es"")"),"Pillaxe necesaria para mi mineral.")</f>
        <v>Pillaxe necesaria para mi mineral.</v>
      </c>
      <c r="E186" s="23" t="str">
        <f>IFERROR(__xludf.DUMMYFUNCTION("GOOGLETRANSLATE(B186, ""en"", ""ru"")"),"Кирбек должен был до руды.")</f>
        <v>Кирбек должен был до руды.</v>
      </c>
      <c r="F186" s="23" t="str">
        <f>IFERROR(__xludf.DUMMYFUNCTION("GOOGLETRANSLATE(B186, ""en"", ""tr"")"),"Pickaxe, cevher için gerekli.")</f>
        <v>Pickaxe, cevher için gerekli.</v>
      </c>
      <c r="G186" s="23" t="str">
        <f>IFERROR(__xludf.DUMMYFUNCTION("GOOGLETRANSLATE(B186, ""en"", ""pt"")"),"Picareta precisava de minério.")</f>
        <v>Picareta precisava de minério.</v>
      </c>
      <c r="H186" s="24" t="str">
        <f>IFERROR(__xludf.DUMMYFUNCTION("GOOGLETRANSLATE(B186, ""en"", ""de"")"),"Picker musste zu meinem Erz benötigt.")</f>
        <v>Picker musste zu meinem Erz benötigt.</v>
      </c>
      <c r="I186" s="23" t="str">
        <f>IFERROR(__xludf.DUMMYFUNCTION("GOOGLETRANSLATE(B186, ""en"", ""pl"")"),"Picisle potrzebna do mojego rudy.")</f>
        <v>Picisle potrzebna do mojego rudy.</v>
      </c>
      <c r="J186" s="25" t="str">
        <f>IFERROR(__xludf.DUMMYFUNCTION("GOOGLETRANSLATE(B186, ""en"", ""zh"")"),"挖掘矿石需要镐。")</f>
        <v>挖掘矿石需要镐。</v>
      </c>
      <c r="K186" s="25" t="str">
        <f>IFERROR(__xludf.DUMMYFUNCTION("GOOGLETRANSLATE(B186, ""en"", ""vi"")"),"Pickaxe cần thiết để khai thác quặng.")</f>
        <v>Pickaxe cần thiết để khai thác quặng.</v>
      </c>
      <c r="L186" s="26" t="str">
        <f>IFERROR(__xludf.DUMMYFUNCTION("GOOGLETRANSLATE(B186, ""en"", ""hr"")"),"Pikaksi je potreban za moje rude.")</f>
        <v>Pikaksi je potreban za moje rude.</v>
      </c>
      <c r="M186" s="28"/>
      <c r="N186" s="28"/>
      <c r="O186" s="28"/>
      <c r="P186" s="28"/>
      <c r="Q186" s="28"/>
      <c r="R186" s="28"/>
      <c r="S186" s="28"/>
      <c r="T186" s="28"/>
      <c r="U186" s="28"/>
      <c r="V186" s="28"/>
      <c r="W186" s="28"/>
      <c r="X186" s="28"/>
      <c r="Y186" s="28"/>
      <c r="Z186" s="28"/>
      <c r="AA186" s="28"/>
      <c r="AB186" s="28"/>
    </row>
    <row r="187">
      <c r="A187" s="21" t="s">
        <v>370</v>
      </c>
      <c r="B187" s="22" t="s">
        <v>370</v>
      </c>
      <c r="C187" s="23" t="s">
        <v>371</v>
      </c>
      <c r="D187" s="23" t="str">
        <f>IFERROR(__xludf.DUMMYFUNCTION("GOOGLETRANSLATE(B187, ""en"", ""es"")"),"Recoger el artículo")</f>
        <v>Recoger el artículo</v>
      </c>
      <c r="E187" s="23" t="str">
        <f>IFERROR(__xludf.DUMMYFUNCTION("GOOGLETRANSLATE(B187, ""en"", ""ru"")"),"Забрать предмет")</f>
        <v>Забрать предмет</v>
      </c>
      <c r="F187" s="23" t="str">
        <f>IFERROR(__xludf.DUMMYFUNCTION("GOOGLETRANSLATE(B187, ""en"", ""tr"")"),"Öğeyi almak")</f>
        <v>Öğeyi almak</v>
      </c>
      <c r="G187" s="23" t="str">
        <f>IFERROR(__xludf.DUMMYFUNCTION("GOOGLETRANSLATE(B187, ""en"", ""pt"")"),"Pegar item")</f>
        <v>Pegar item</v>
      </c>
      <c r="H187" s="24" t="str">
        <f>IFERROR(__xludf.DUMMYFUNCTION("GOOGLETRANSLATE(B187, ""en"", ""de"")"),"Artikel abholen.")</f>
        <v>Artikel abholen.</v>
      </c>
      <c r="I187" s="23" t="str">
        <f>IFERROR(__xludf.DUMMYFUNCTION("GOOGLETRANSLATE(B187, ""en"", ""pl"")"),"Podnieś przedmiot")</f>
        <v>Podnieś przedmiot</v>
      </c>
      <c r="J187" s="25" t="str">
        <f>IFERROR(__xludf.DUMMYFUNCTION("GOOGLETRANSLATE(B187, ""en"", ""zh"")"),"拿起物品")</f>
        <v>拿起物品</v>
      </c>
      <c r="K187" s="25" t="str">
        <f>IFERROR(__xludf.DUMMYFUNCTION("GOOGLETRANSLATE(B187, ""en"", ""vi"")"),"Đón mục")</f>
        <v>Đón mục</v>
      </c>
      <c r="L187" s="26" t="str">
        <f>IFERROR(__xludf.DUMMYFUNCTION("GOOGLETRANSLATE(B187, ""en"", ""hr"")"),"Pokupiti stavku")</f>
        <v>Pokupiti stavku</v>
      </c>
      <c r="M187" s="28"/>
      <c r="N187" s="28"/>
      <c r="O187" s="28"/>
      <c r="P187" s="28"/>
      <c r="Q187" s="28"/>
      <c r="R187" s="28"/>
      <c r="S187" s="28"/>
      <c r="T187" s="28"/>
      <c r="U187" s="28"/>
      <c r="V187" s="28"/>
      <c r="W187" s="28"/>
      <c r="X187" s="28"/>
      <c r="Y187" s="28"/>
      <c r="Z187" s="28"/>
      <c r="AA187" s="28"/>
      <c r="AB187" s="28"/>
    </row>
    <row r="188">
      <c r="A188" s="21" t="s">
        <v>372</v>
      </c>
      <c r="B188" s="22" t="s">
        <v>372</v>
      </c>
      <c r="C188" s="23" t="str">
        <f>IFERROR(__xludf.DUMMYFUNCTION("GOOGLETRANSLATE(B188, ""en"", ""fr"")"),"Base")</f>
        <v>Base</v>
      </c>
      <c r="D188" s="23" t="str">
        <f>IFERROR(__xludf.DUMMYFUNCTION("GOOGLETRANSLATE(B188, ""en"", ""es"")"),"Base")</f>
        <v>Base</v>
      </c>
      <c r="E188" s="23" t="str">
        <f>IFERROR(__xludf.DUMMYFUNCTION("GOOGLETRANSLATE(B188, ""en"", ""ru"")"),"База")</f>
        <v>База</v>
      </c>
      <c r="F188" s="23" t="str">
        <f>IFERROR(__xludf.DUMMYFUNCTION("GOOGLETRANSLATE(B188, ""en"", ""tr"")"),"Temel")</f>
        <v>Temel</v>
      </c>
      <c r="G188" s="23" t="str">
        <f>IFERROR(__xludf.DUMMYFUNCTION("GOOGLETRANSLATE(B188, ""en"", ""pt"")"),"Base")</f>
        <v>Base</v>
      </c>
      <c r="H188" s="24" t="str">
        <f>IFERROR(__xludf.DUMMYFUNCTION("GOOGLETRANSLATE(B188, ""en"", ""de"")"),"Base")</f>
        <v>Base</v>
      </c>
      <c r="I188" s="23" t="str">
        <f>IFERROR(__xludf.DUMMYFUNCTION("GOOGLETRANSLATE(B188, ""en"", ""pl"")"),"Baza")</f>
        <v>Baza</v>
      </c>
      <c r="J188" s="25" t="str">
        <f>IFERROR(__xludf.DUMMYFUNCTION("GOOGLETRANSLATE(B188, ""en"", ""zh"")"),"根据")</f>
        <v>根据</v>
      </c>
      <c r="K188" s="25" t="str">
        <f>IFERROR(__xludf.DUMMYFUNCTION("GOOGLETRANSLATE(B188, ""en"", ""vi"")"),"Cơ sở")</f>
        <v>Cơ sở</v>
      </c>
      <c r="L188" s="26" t="str">
        <f>IFERROR(__xludf.DUMMYFUNCTION("GOOGLETRANSLATE(B188, ""en"", ""hr"")"),"Baza")</f>
        <v>Baza</v>
      </c>
      <c r="M188" s="28"/>
      <c r="N188" s="28"/>
      <c r="O188" s="28"/>
      <c r="P188" s="28"/>
      <c r="Q188" s="28"/>
      <c r="R188" s="28"/>
      <c r="S188" s="28"/>
      <c r="T188" s="28"/>
      <c r="U188" s="28"/>
      <c r="V188" s="28"/>
      <c r="W188" s="28"/>
      <c r="X188" s="28"/>
      <c r="Y188" s="28"/>
      <c r="Z188" s="28"/>
      <c r="AA188" s="28"/>
      <c r="AB188" s="28"/>
    </row>
    <row r="189">
      <c r="A189" s="21" t="s">
        <v>373</v>
      </c>
      <c r="B189" s="22" t="s">
        <v>373</v>
      </c>
      <c r="C189" s="23" t="str">
        <f>IFERROR(__xludf.DUMMYFUNCTION("GOOGLETRANSLATE(B189, ""en"", ""fr"")"),"Enclume")</f>
        <v>Enclume</v>
      </c>
      <c r="D189" s="23" t="str">
        <f>IFERROR(__xludf.DUMMYFUNCTION("GOOGLETRANSLATE(B189, ""en"", ""es"")"),"Yunque")</f>
        <v>Yunque</v>
      </c>
      <c r="E189" s="23" t="str">
        <f>IFERROR(__xludf.DUMMYFUNCTION("GOOGLETRANSLATE(B189, ""en"", ""ru"")"),"Наковальня")</f>
        <v>Наковальня</v>
      </c>
      <c r="F189" s="23" t="str">
        <f>IFERROR(__xludf.DUMMYFUNCTION("GOOGLETRANSLATE(B189, ""en"", ""tr"")"),"Örs")</f>
        <v>Örs</v>
      </c>
      <c r="G189" s="23" t="str">
        <f>IFERROR(__xludf.DUMMYFUNCTION("GOOGLETRANSLATE(B189, ""en"", ""pt"")"),"Bigorna")</f>
        <v>Bigorna</v>
      </c>
      <c r="H189" s="24" t="str">
        <f>IFERROR(__xludf.DUMMYFUNCTION("GOOGLETRANSLATE(B189, ""en"", ""de"")"),"Amboss")</f>
        <v>Amboss</v>
      </c>
      <c r="I189" s="23" t="str">
        <f>IFERROR(__xludf.DUMMYFUNCTION("GOOGLETRANSLATE(B189, ""en"", ""pl"")"),"Kowadło")</f>
        <v>Kowadło</v>
      </c>
      <c r="J189" s="25" t="str">
        <f>IFERROR(__xludf.DUMMYFUNCTION("GOOGLETRANSLATE(B189, ""en"", ""zh"")"),"砧")</f>
        <v>砧</v>
      </c>
      <c r="K189" s="25" t="str">
        <f>IFERROR(__xludf.DUMMYFUNCTION("GOOGLETRANSLATE(B189, ""en"", ""vi"")"),"Anvil.")</f>
        <v>Anvil.</v>
      </c>
      <c r="L189" s="26" t="str">
        <f>IFERROR(__xludf.DUMMYFUNCTION("GOOGLETRANSLATE(B189, ""en"", ""hr"")"),"Nakovanj")</f>
        <v>Nakovanj</v>
      </c>
      <c r="M189" s="28"/>
      <c r="N189" s="28"/>
      <c r="O189" s="28"/>
      <c r="P189" s="28"/>
      <c r="Q189" s="28"/>
      <c r="R189" s="28"/>
      <c r="S189" s="28"/>
      <c r="T189" s="28"/>
      <c r="U189" s="28"/>
      <c r="V189" s="28"/>
      <c r="W189" s="28"/>
      <c r="X189" s="28"/>
      <c r="Y189" s="28"/>
      <c r="Z189" s="28"/>
      <c r="AA189" s="28"/>
      <c r="AB189" s="28"/>
    </row>
    <row r="190">
      <c r="A190" s="21" t="s">
        <v>374</v>
      </c>
      <c r="B190" s="22" t="s">
        <v>374</v>
      </c>
      <c r="C190" s="23" t="str">
        <f>IFERROR(__xludf.DUMMYFUNCTION("GOOGLETRANSLATE(B190, ""en"", ""fr"")"),"fourneau")</f>
        <v>fourneau</v>
      </c>
      <c r="D190" s="23" t="str">
        <f>IFERROR(__xludf.DUMMYFUNCTION("GOOGLETRANSLATE(B190, ""en"", ""es"")"),"Horno")</f>
        <v>Horno</v>
      </c>
      <c r="E190" s="23" t="str">
        <f>IFERROR(__xludf.DUMMYFUNCTION("GOOGLETRANSLATE(B190, ""en"", ""ru"")"),"Печь")</f>
        <v>Печь</v>
      </c>
      <c r="F190" s="23" t="str">
        <f>IFERROR(__xludf.DUMMYFUNCTION("GOOGLETRANSLATE(B190, ""en"", ""tr"")"),"Fırın")</f>
        <v>Fırın</v>
      </c>
      <c r="G190" s="23" t="str">
        <f>IFERROR(__xludf.DUMMYFUNCTION("GOOGLETRANSLATE(B190, ""en"", ""pt"")"),"Forno")</f>
        <v>Forno</v>
      </c>
      <c r="H190" s="24" t="str">
        <f>IFERROR(__xludf.DUMMYFUNCTION("GOOGLETRANSLATE(B190, ""en"", ""de"")"),"Ofen")</f>
        <v>Ofen</v>
      </c>
      <c r="I190" s="23" t="str">
        <f>IFERROR(__xludf.DUMMYFUNCTION("GOOGLETRANSLATE(B190, ""en"", ""pl"")"),"Piec")</f>
        <v>Piec</v>
      </c>
      <c r="J190" s="25" t="str">
        <f>IFERROR(__xludf.DUMMYFUNCTION("GOOGLETRANSLATE(B190, ""en"", ""zh"")"),"炉")</f>
        <v>炉</v>
      </c>
      <c r="K190" s="25" t="str">
        <f>IFERROR(__xludf.DUMMYFUNCTION("GOOGLETRANSLATE(B190, ""en"", ""vi"")"),"Lò lửa")</f>
        <v>Lò lửa</v>
      </c>
      <c r="L190" s="26" t="str">
        <f>IFERROR(__xludf.DUMMYFUNCTION("GOOGLETRANSLATE(B190, ""en"", ""hr"")"),"Peć")</f>
        <v>Peć</v>
      </c>
      <c r="M190" s="28"/>
      <c r="N190" s="28"/>
      <c r="O190" s="28"/>
      <c r="P190" s="28"/>
      <c r="Q190" s="28"/>
      <c r="R190" s="28"/>
      <c r="S190" s="28"/>
      <c r="T190" s="28"/>
      <c r="U190" s="28"/>
      <c r="V190" s="28"/>
      <c r="W190" s="28"/>
      <c r="X190" s="28"/>
      <c r="Y190" s="28"/>
      <c r="Z190" s="28"/>
      <c r="AA190" s="28"/>
      <c r="AB190" s="28"/>
    </row>
    <row r="191">
      <c r="A191" s="21" t="s">
        <v>375</v>
      </c>
      <c r="B191" s="22" t="s">
        <v>375</v>
      </c>
      <c r="C191" s="23" t="str">
        <f>IFERROR(__xludf.DUMMYFUNCTION("GOOGLETRANSLATE(B191, ""en"", ""fr"")"),"Laboratoire")</f>
        <v>Laboratoire</v>
      </c>
      <c r="D191" s="23" t="str">
        <f>IFERROR(__xludf.DUMMYFUNCTION("GOOGLETRANSLATE(B191, ""en"", ""es"")"),"Laboratorio")</f>
        <v>Laboratorio</v>
      </c>
      <c r="E191" s="23" t="str">
        <f>IFERROR(__xludf.DUMMYFUNCTION("GOOGLETRANSLATE(B191, ""en"", ""ru"")"),"Лаборатория")</f>
        <v>Лаборатория</v>
      </c>
      <c r="F191" s="23" t="str">
        <f>IFERROR(__xludf.DUMMYFUNCTION("GOOGLETRANSLATE(B191, ""en"", ""tr"")"),"Laboratuvar")</f>
        <v>Laboratuvar</v>
      </c>
      <c r="G191" s="23" t="str">
        <f>IFERROR(__xludf.DUMMYFUNCTION("GOOGLETRANSLATE(B191, ""en"", ""pt"")"),"Laboratório")</f>
        <v>Laboratório</v>
      </c>
      <c r="H191" s="24" t="str">
        <f>IFERROR(__xludf.DUMMYFUNCTION("GOOGLETRANSLATE(B191, ""en"", ""de"")"),"Labor")</f>
        <v>Labor</v>
      </c>
      <c r="I191" s="23" t="str">
        <f>IFERROR(__xludf.DUMMYFUNCTION("GOOGLETRANSLATE(B191, ""en"", ""pl"")"),"Laboratorium")</f>
        <v>Laboratorium</v>
      </c>
      <c r="J191" s="25" t="str">
        <f>IFERROR(__xludf.DUMMYFUNCTION("GOOGLETRANSLATE(B191, ""en"", ""zh"")"),"实验室")</f>
        <v>实验室</v>
      </c>
      <c r="K191" s="25" t="str">
        <f>IFERROR(__xludf.DUMMYFUNCTION("GOOGLETRANSLATE(B191, ""en"", ""vi"")"),"Phòng thí nghiệm")</f>
        <v>Phòng thí nghiệm</v>
      </c>
      <c r="L191" s="26" t="str">
        <f>IFERROR(__xludf.DUMMYFUNCTION("GOOGLETRANSLATE(B191, ""en"", ""hr"")"),"Laboratorija")</f>
        <v>Laboratorija</v>
      </c>
      <c r="M191" s="28"/>
      <c r="N191" s="28"/>
      <c r="O191" s="28"/>
      <c r="P191" s="28"/>
      <c r="Q191" s="28"/>
      <c r="R191" s="28"/>
      <c r="S191" s="28"/>
      <c r="T191" s="28"/>
      <c r="U191" s="28"/>
      <c r="V191" s="28"/>
      <c r="W191" s="28"/>
      <c r="X191" s="28"/>
      <c r="Y191" s="28"/>
      <c r="Z191" s="28"/>
      <c r="AA191" s="28"/>
      <c r="AB191" s="28"/>
    </row>
    <row r="192">
      <c r="A192" s="21" t="s">
        <v>376</v>
      </c>
      <c r="B192" s="22" t="s">
        <v>376</v>
      </c>
      <c r="C192" s="23" t="str">
        <f>IFERROR(__xludf.DUMMYFUNCTION("GOOGLETRANSLATE(B192, ""en"", ""fr"")"),"Table de travail")</f>
        <v>Table de travail</v>
      </c>
      <c r="D192" s="23" t="str">
        <f>IFERROR(__xludf.DUMMYFUNCTION("GOOGLETRANSLATE(B192, ""en"", ""es"")"),"Banco de trabajo")</f>
        <v>Banco de trabajo</v>
      </c>
      <c r="E192" s="23" t="str">
        <f>IFERROR(__xludf.DUMMYFUNCTION("GOOGLETRANSLATE(B192, ""en"", ""ru"")"),"Workbench.")</f>
        <v>Workbench.</v>
      </c>
      <c r="F192" s="23" t="str">
        <f>IFERROR(__xludf.DUMMYFUNCTION("GOOGLETRANSLATE(B192, ""en"", ""tr"")"),"Tezgâh")</f>
        <v>Tezgâh</v>
      </c>
      <c r="G192" s="23" t="str">
        <f>IFERROR(__xludf.DUMMYFUNCTION("GOOGLETRANSLATE(B192, ""en"", ""pt"")"),"Workbench")</f>
        <v>Workbench</v>
      </c>
      <c r="H192" s="24" t="str">
        <f>IFERROR(__xludf.DUMMYFUNCTION("GOOGLETRANSLATE(B192, ""en"", ""de"")"),"Werkbank")</f>
        <v>Werkbank</v>
      </c>
      <c r="I192" s="23" t="str">
        <f>IFERROR(__xludf.DUMMYFUNCTION("GOOGLETRANSLATE(B192, ""en"", ""pl"")"),"stoł warsztatowy")</f>
        <v>stoł warsztatowy</v>
      </c>
      <c r="J192" s="25" t="str">
        <f>IFERROR(__xludf.DUMMYFUNCTION("GOOGLETRANSLATE(B192, ""en"", ""zh"")"),"工作台")</f>
        <v>工作台</v>
      </c>
      <c r="K192" s="25" t="str">
        <f>IFERROR(__xludf.DUMMYFUNCTION("GOOGLETRANSLATE(B192, ""en"", ""vi"")"),"Workbench.")</f>
        <v>Workbench.</v>
      </c>
      <c r="L192" s="26" t="str">
        <f>IFERROR(__xludf.DUMMYFUNCTION("GOOGLETRANSLATE(B192, ""en"", ""hr"")"),"Radni stol")</f>
        <v>Radni stol</v>
      </c>
      <c r="M192" s="28"/>
      <c r="N192" s="28"/>
      <c r="O192" s="28"/>
      <c r="P192" s="28"/>
      <c r="Q192" s="28"/>
      <c r="R192" s="28"/>
      <c r="S192" s="28"/>
      <c r="T192" s="28"/>
      <c r="U192" s="28"/>
      <c r="V192" s="28"/>
      <c r="W192" s="28"/>
      <c r="X192" s="28"/>
      <c r="Y192" s="28"/>
      <c r="Z192" s="28"/>
      <c r="AA192" s="28"/>
      <c r="AB192" s="28"/>
    </row>
    <row r="193">
      <c r="A193" s="21" t="s">
        <v>377</v>
      </c>
      <c r="B193" s="22" t="s">
        <v>377</v>
      </c>
      <c r="C193" s="23" t="str">
        <f>IFERROR(__xludf.DUMMYFUNCTION("GOOGLETRANSLATE(B193, ""en"", ""fr"")"),"Autel de gloire")</f>
        <v>Autel de gloire</v>
      </c>
      <c r="D193" s="23" t="str">
        <f>IFERROR(__xludf.DUMMYFUNCTION("GOOGLETRANSLATE(B193, ""en"", ""es"")"),"Altar de la gloria")</f>
        <v>Altar de la gloria</v>
      </c>
      <c r="E193" s="23" t="str">
        <f>IFERROR(__xludf.DUMMYFUNCTION("GOOGLETRANSLATE(B193, ""en"", ""ru"")"),"Слава Алтарь")</f>
        <v>Слава Алтарь</v>
      </c>
      <c r="F193" s="23" t="str">
        <f>IFERROR(__xludf.DUMMYFUNCTION("GOOGLETRANSLATE(B193, ""en"", ""tr"")"),"Zafer sunak")</f>
        <v>Zafer sunak</v>
      </c>
      <c r="G193" s="23" t="str">
        <f>IFERROR(__xludf.DUMMYFUNCTION("GOOGLETRANSLATE(B193, ""en"", ""pt"")"),"Glory Altar.")</f>
        <v>Glory Altar.</v>
      </c>
      <c r="H193" s="24" t="str">
        <f>IFERROR(__xludf.DUMMYFUNCTION("GOOGLETRANSLATE(B193, ""en"", ""de"")"),"Gloryaltar.")</f>
        <v>Gloryaltar.</v>
      </c>
      <c r="I193" s="23" t="str">
        <f>IFERROR(__xludf.DUMMYFUNCTION("GOOGLETRANSLATE(B193, ""en"", ""pl"")"),"Ołtarz chwały")</f>
        <v>Ołtarz chwały</v>
      </c>
      <c r="J193" s="25" t="str">
        <f>IFERROR(__xludf.DUMMYFUNCTION("GOOGLETRANSLATE(B193, ""en"", ""zh"")"),"荣耀祭坛")</f>
        <v>荣耀祭坛</v>
      </c>
      <c r="K193" s="25" t="str">
        <f>IFERROR(__xludf.DUMMYFUNCTION("GOOGLETRANSLATE(B193, ""en"", ""vi"")"),"Glory Altar.")</f>
        <v>Glory Altar.</v>
      </c>
      <c r="L193" s="26" t="str">
        <f>IFERROR(__xludf.DUMMYFUNCTION("GOOGLETRANSLATE(B193, ""en"", ""hr"")"),"Oltara")</f>
        <v>Oltara</v>
      </c>
      <c r="M193" s="28"/>
      <c r="N193" s="28"/>
      <c r="O193" s="28"/>
      <c r="P193" s="28"/>
      <c r="Q193" s="28"/>
      <c r="R193" s="28"/>
      <c r="S193" s="28"/>
      <c r="T193" s="28"/>
      <c r="U193" s="28"/>
      <c r="V193" s="28"/>
      <c r="W193" s="28"/>
      <c r="X193" s="28"/>
      <c r="Y193" s="28"/>
      <c r="Z193" s="28"/>
      <c r="AA193" s="28"/>
      <c r="AB193" s="28"/>
    </row>
    <row r="194">
      <c r="A194" s="21" t="s">
        <v>378</v>
      </c>
      <c r="B194" s="22" t="s">
        <v>379</v>
      </c>
      <c r="C194" s="23" t="str">
        <f>IFERROR(__xludf.DUMMYFUNCTION("GOOGLETRANSLATE(B194, ""en"", ""fr"")"),"Votre inventaire est plein.")</f>
        <v>Votre inventaire est plein.</v>
      </c>
      <c r="D194" s="23" t="str">
        <f>IFERROR(__xludf.DUMMYFUNCTION("GOOGLETRANSLATE(B194, ""en"", ""es"")"),"Tu inventario está lleno.")</f>
        <v>Tu inventario está lleno.</v>
      </c>
      <c r="E194" s="23" t="str">
        <f>IFERROR(__xludf.DUMMYFUNCTION("GOOGLETRANSLATE(B194, ""en"", ""ru"")"),"Ваш инвентарь заполнен.")</f>
        <v>Ваш инвентарь заполнен.</v>
      </c>
      <c r="F194" s="23" t="str">
        <f>IFERROR(__xludf.DUMMYFUNCTION("GOOGLETRANSLATE(B194, ""en"", ""tr"")"),"Envanterin dolu.")</f>
        <v>Envanterin dolu.</v>
      </c>
      <c r="G194" s="23" t="str">
        <f>IFERROR(__xludf.DUMMYFUNCTION("GOOGLETRANSLATE(B194, ""en"", ""pt"")"),"Seu inventário está cheio.")</f>
        <v>Seu inventário está cheio.</v>
      </c>
      <c r="H194" s="24" t="str">
        <f>IFERROR(__xludf.DUMMYFUNCTION("GOOGLETRANSLATE(B194, ""en"", ""de"")"),"Dein Inventar ist voll.")</f>
        <v>Dein Inventar ist voll.</v>
      </c>
      <c r="I194" s="23" t="str">
        <f>IFERROR(__xludf.DUMMYFUNCTION("GOOGLETRANSLATE(B194, ""en"", ""pl"")"),"Twój inwentaryzacja jest pełna.")</f>
        <v>Twój inwentaryzacja jest pełna.</v>
      </c>
      <c r="J194" s="25" t="str">
        <f>IFERROR(__xludf.DUMMYFUNCTION("GOOGLETRANSLATE(B194, ""en"", ""zh"")"),"您的库存已满。")</f>
        <v>您的库存已满。</v>
      </c>
      <c r="K194" s="25" t="str">
        <f>IFERROR(__xludf.DUMMYFUNCTION("GOOGLETRANSLATE(B194, ""en"", ""vi"")"),"Hàng tồn kho của bạn đã đầy.")</f>
        <v>Hàng tồn kho của bạn đã đầy.</v>
      </c>
      <c r="L194" s="26" t="str">
        <f>IFERROR(__xludf.DUMMYFUNCTION("GOOGLETRANSLATE(B194, ""en"", ""hr"")"),"Vaš inventar je pun.")</f>
        <v>Vaš inventar je pun.</v>
      </c>
      <c r="M194" s="28"/>
      <c r="N194" s="28"/>
      <c r="O194" s="28"/>
      <c r="P194" s="28"/>
      <c r="Q194" s="28"/>
      <c r="R194" s="28"/>
      <c r="S194" s="28"/>
      <c r="T194" s="28"/>
      <c r="U194" s="28"/>
      <c r="V194" s="28"/>
      <c r="W194" s="28"/>
      <c r="X194" s="28"/>
      <c r="Y194" s="28"/>
      <c r="Z194" s="28"/>
      <c r="AA194" s="28"/>
      <c r="AB194" s="28"/>
    </row>
    <row r="195">
      <c r="A195" s="21" t="s">
        <v>380</v>
      </c>
      <c r="B195" s="22" t="s">
        <v>381</v>
      </c>
      <c r="C195" s="23" t="str">
        <f>IFERROR(__xludf.DUMMYFUNCTION("GOOGLETRANSLATE(B195, ""en"", ""fr"")"),"Vous ne pouvez pas laisser tomber cet article ici.
Il y a quelque chose dans le chemin.")</f>
        <v>Vous ne pouvez pas laisser tomber cet article ici.
Il y a quelque chose dans le chemin.</v>
      </c>
      <c r="D195" s="23" t="str">
        <f>IFERROR(__xludf.DUMMYFUNCTION("GOOGLETRANSLATE(B195, ""en"", ""es"")"),"No puedes dejar caer ese artículo aquí.
Hay algo en el camino.")</f>
        <v>No puedes dejar caer ese artículo aquí.
Hay algo en el camino.</v>
      </c>
      <c r="E195" s="23" t="str">
        <f>IFERROR(__xludf.DUMMYFUNCTION("GOOGLETRANSLATE(B195, ""en"", ""ru"")"),"Вы не можете бросить этот предмет здесь.
Есть что-то в пути.")</f>
        <v>Вы не можете бросить этот предмет здесь.
Есть что-то в пути.</v>
      </c>
      <c r="F195" s="23" t="str">
        <f>IFERROR(__xludf.DUMMYFUNCTION("GOOGLETRANSLATE(B195, ""en"", ""tr"")"),"Bu öğeyi buraya bırakamazsın.
Yolda bir şey var.")</f>
        <v>Bu öğeyi buraya bırakamazsın.
Yolda bir şey var.</v>
      </c>
      <c r="G195" s="23" t="str">
        <f>IFERROR(__xludf.DUMMYFUNCTION("GOOGLETRANSLATE(B195, ""en"", ""pt"")"),"Você não pode deixar cair esse item aqui.
Há algo no caminho.")</f>
        <v>Você não pode deixar cair esse item aqui.
Há algo no caminho.</v>
      </c>
      <c r="H195" s="24" t="str">
        <f>IFERROR(__xludf.DUMMYFUNCTION("GOOGLETRANSLATE(B195, ""en"", ""de"")"),"Sie können diesen Artikel nicht hier fallen lassen.
Es gibt etwas im Weg.")</f>
        <v>Sie können diesen Artikel nicht hier fallen lassen.
Es gibt etwas im Weg.</v>
      </c>
      <c r="I195" s="23" t="str">
        <f>IFERROR(__xludf.DUMMYFUNCTION("GOOGLETRANSLATE(B195, ""en"", ""pl"")"),"Nie możesz tu upuścić tego przedmiotu.
Jest coś na drodze.")</f>
        <v>Nie możesz tu upuścić tego przedmiotu.
Jest coś na drodze.</v>
      </c>
      <c r="J195" s="25" t="str">
        <f>IFERROR(__xludf.DUMMYFUNCTION("GOOGLETRANSLATE(B195, ""en"", ""zh"")"),"你不能把那个物品放在这里。
途中有一些东西。")</f>
        <v>你不能把那个物品放在这里。
途中有一些东西。</v>
      </c>
      <c r="K195" s="25" t="str">
        <f>IFERROR(__xludf.DUMMYFUNCTION("GOOGLETRANSLATE(B195, ""en"", ""vi"")"),"Bạn không thể bỏ mục đó ở đây.
Có một cái gì đó trên đường.")</f>
        <v>Bạn không thể bỏ mục đó ở đây.
Có một cái gì đó trên đường.</v>
      </c>
      <c r="L195" s="26" t="str">
        <f>IFERROR(__xludf.DUMMYFUNCTION("GOOGLETRANSLATE(B195, ""en"", ""hr"")"),"Ne možete ispustiti tu stavku ovdje.
Postoji nešto na putu.")</f>
        <v>Ne možete ispustiti tu stavku ovdje.
Postoji nešto na putu.</v>
      </c>
      <c r="M195" s="28"/>
      <c r="N195" s="28"/>
      <c r="O195" s="28"/>
      <c r="P195" s="28"/>
      <c r="Q195" s="28"/>
      <c r="R195" s="28"/>
      <c r="S195" s="28"/>
      <c r="T195" s="28"/>
      <c r="U195" s="28"/>
      <c r="V195" s="28"/>
      <c r="W195" s="28"/>
      <c r="X195" s="28"/>
      <c r="Y195" s="28"/>
      <c r="Z195" s="28"/>
      <c r="AA195" s="28"/>
      <c r="AB195" s="28"/>
    </row>
    <row r="196">
      <c r="A196" s="21"/>
      <c r="B196" s="22"/>
      <c r="C196" s="23"/>
      <c r="D196" s="23"/>
      <c r="E196" s="30"/>
      <c r="F196" s="23"/>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382</v>
      </c>
      <c r="B9" s="22" t="s">
        <v>383</v>
      </c>
      <c r="C9" s="23" t="str">
        <f>IFERROR(__xludf.DUMMYFUNCTION("GOOGLETRANSLATE(B9, ""en"", ""fr"")"),"Exp Orb: Melee")</f>
        <v>Exp Orb: Melee</v>
      </c>
      <c r="D9" s="23" t="str">
        <f>IFERROR(__xludf.DUMMYFUNCTION("GOOGLETRANSLATE(B9, ""en"", ""es"")"),"Exp orb: cuerpo a cuerpo")</f>
        <v>Exp orb: cuerpo a cuerpo</v>
      </c>
      <c r="E9" s="23" t="s">
        <v>384</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385</v>
      </c>
      <c r="B10" s="22" t="s">
        <v>386</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387</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388</v>
      </c>
      <c r="B11" s="22" t="s">
        <v>389</v>
      </c>
      <c r="C11" s="23" t="str">
        <f>IFERROR(__xludf.DUMMYFUNCTION("GOOGLETRANSLATE(B11, ""en"", ""fr"")"),"EXP ORB: allait")</f>
        <v>EXP ORB: allait</v>
      </c>
      <c r="D11" s="23" t="str">
        <f>IFERROR(__xludf.DUMMYFUNCTION("GOOGLETRANSLATE(B11, ""en"", ""es"")"),"Exp orbe: a distancia")</f>
        <v>Exp orbe: a distancia</v>
      </c>
      <c r="E11" s="23" t="s">
        <v>390</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391</v>
      </c>
      <c r="B12" s="22" t="s">
        <v>392</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393</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394</v>
      </c>
      <c r="B13" s="22" t="s">
        <v>395</v>
      </c>
      <c r="C13" s="23" t="str">
        <f>IFERROR(__xludf.DUMMYFUNCTION("GOOGLETRANSLATE(B13, ""en"", ""fr"")"),"Exp Orb: magie")</f>
        <v>Exp Orb: magie</v>
      </c>
      <c r="D13" s="23" t="str">
        <f>IFERROR(__xludf.DUMMYFUNCTION("GOOGLETRANSLATE(B13, ""en"", ""es"")"),"Exp orb: magia")</f>
        <v>Exp orb: magia</v>
      </c>
      <c r="E13" s="23" t="s">
        <v>396</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397</v>
      </c>
      <c r="B14" s="22" t="s">
        <v>398</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399</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400</v>
      </c>
      <c r="B15" s="22" t="s">
        <v>401</v>
      </c>
      <c r="C15" s="23" t="str">
        <f>IFERROR(__xludf.DUMMYFUNCTION("GOOGLETRANSLATE(B15, ""en"", ""fr"")"),"Exp Orb: rassemblement")</f>
        <v>Exp Orb: rassemblement</v>
      </c>
      <c r="D15" s="23" t="str">
        <f>IFERROR(__xludf.DUMMYFUNCTION("GOOGLETRANSLATE(B15, ""en"", ""es"")"),"Exp orbe: reunión")</f>
        <v>Exp orbe: reunión</v>
      </c>
      <c r="E15" s="23" t="s">
        <v>402</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403</v>
      </c>
      <c r="B16" s="22" t="s">
        <v>404</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405</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406</v>
      </c>
      <c r="B17" s="22" t="s">
        <v>407</v>
      </c>
      <c r="C17" s="23" t="str">
        <f>IFERROR(__xludf.DUMMYFUNCTION("GOOGLETRANSLATE(B17, ""en"", ""fr"")"),"Exp Orb: Armes")</f>
        <v>Exp Orb: Armes</v>
      </c>
      <c r="D17" s="23" t="str">
        <f>IFERROR(__xludf.DUMMYFUNCTION("GOOGLETRANSLATE(B17, ""en"", ""es"")"),"Exp orbe: armamento")</f>
        <v>Exp orbe: armamento</v>
      </c>
      <c r="E17" s="23" t="s">
        <v>408</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409</v>
      </c>
      <c r="B18" s="22" t="s">
        <v>410</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411</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412</v>
      </c>
      <c r="B19" s="22" t="s">
        <v>413</v>
      </c>
      <c r="C19" s="23" t="str">
        <f>IFERROR(__xludf.DUMMYFUNCTION("GOOGLETRANSLATE(B19, ""en"", ""fr"")"),"EXP Orb: Armoire")</f>
        <v>EXP Orb: Armoire</v>
      </c>
      <c r="D19" s="23" t="str">
        <f>IFERROR(__xludf.DUMMYFUNCTION("GOOGLETRANSLATE(B19, ""en"", ""es"")"),"Exp orb: armería")</f>
        <v>Exp orb: armería</v>
      </c>
      <c r="E19" s="23" t="s">
        <v>414</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415</v>
      </c>
      <c r="B20" s="22" t="s">
        <v>416</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417</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418</v>
      </c>
      <c r="B21" s="22" t="s">
        <v>419</v>
      </c>
      <c r="C21" s="23" t="str">
        <f>IFERROR(__xludf.DUMMYFUNCTION("GOOGLETRANSLATE(B21, ""en"", ""fr"")"),"EXP ORB: TOIILLEURS")</f>
        <v>EXP ORB: TOIILLEURS</v>
      </c>
      <c r="D21" s="23" t="str">
        <f>IFERROR(__xludf.DUMMYFUNCTION("GOOGLETRANSLATE(B21, ""en"", ""es"")"),"EXP ORB: LAS TERRAERIALES")</f>
        <v>EXP ORB: LAS TERRAERIALES</v>
      </c>
      <c r="E21" s="23" t="s">
        <v>420</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421</v>
      </c>
      <c r="B22" s="22" t="s">
        <v>422</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423</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424</v>
      </c>
      <c r="B23" s="22" t="s">
        <v>425</v>
      </c>
      <c r="C23" s="23" t="str">
        <f>IFERROR(__xludf.DUMMYFUNCTION("GOOGLETRANSLATE(B23, ""en"", ""fr"")"),"Exp Orb: Potionry")</f>
        <v>Exp Orb: Potionry</v>
      </c>
      <c r="D23" s="23" t="str">
        <f>IFERROR(__xludf.DUMMYFUNCTION("GOOGLETRANSLATE(B23, ""en"", ""es"")"),"Exp orb: Potión")</f>
        <v>Exp orb: Potión</v>
      </c>
      <c r="E23" s="23" t="s">
        <v>426</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427</v>
      </c>
      <c r="B24" s="22" t="s">
        <v>428</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429</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430</v>
      </c>
      <c r="B25" s="22" t="s">
        <v>431</v>
      </c>
      <c r="C25" s="23" t="str">
        <f>IFERROR(__xludf.DUMMYFUNCTION("GOOGLETRANSLATE(B25, ""en"", ""fr"")"),"Gloire orbe")</f>
        <v>Gloire orbe</v>
      </c>
      <c r="D25" s="23" t="str">
        <f>IFERROR(__xludf.DUMMYFUNCTION("GOOGLETRANSLATE(B25, ""en"", ""es"")"),"Orbe de gloria")</f>
        <v>Orbe de gloria</v>
      </c>
      <c r="E25" s="23" t="s">
        <v>432</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433</v>
      </c>
      <c r="B26" s="22" t="s">
        <v>434</v>
      </c>
      <c r="C26" s="23" t="str">
        <f>IFERROR(__xludf.DUMMYFUNCTION("GOOGLETRANSLATE(B26, ""en"", ""fr"")"),"Donne beaucoup de gloire lorsqu'il est utilisé.")</f>
        <v>Donne beaucoup de gloire lorsqu'il est utilisé.</v>
      </c>
      <c r="D26" s="23" t="str">
        <f>IFERROR(__xludf.DUMMYFUNCTION("GOOGLETRANSLATE(B26, ""en"", ""es"")"),"Da mucha gloria cuando se usa.")</f>
        <v>Da mucha gloria cuando se usa.</v>
      </c>
      <c r="E26" s="23" t="s">
        <v>435</v>
      </c>
      <c r="F26" s="23" t="str">
        <f>IFERROR(__xludf.DUMMYFUNCTION("GOOGLETRANSLATE(B26, ""en"", ""tr"")"),"Kullanıldığında çok zafer verir.")</f>
        <v>Kullanıldığında çok zafer verir.</v>
      </c>
      <c r="G26" s="23" t="str">
        <f>IFERROR(__xludf.DUMMYFUNCTION("GOOGLETRANSLATE(B26, ""en"", ""pt"")"),"Dá muita glória quando usada.")</f>
        <v>Dá muita glória quando usada.</v>
      </c>
      <c r="H26" s="24" t="str">
        <f>IFERROR(__xludf.DUMMYFUNCTION("GOOGLETRANSLATE(B26, ""en"", ""de"")"),"Gibt viel Ruhm, wenn sie verwendet wird.")</f>
        <v>Gibt viel Ruhm, wenn sie verwendet wird.</v>
      </c>
      <c r="I26" s="23" t="str">
        <f>IFERROR(__xludf.DUMMYFUNCTION("GOOGLETRANSLATE(B26, ""en"", ""pl"")"),"Daje dużo chwały, gdy jest używany.")</f>
        <v>Daje dużo chwały, gdy jest używany.</v>
      </c>
      <c r="J26" s="25" t="str">
        <f>IFERROR(__xludf.DUMMYFUNCTION("GOOGLETRANSLATE(B26, ""en"", ""zh"")"),"使用时提供了很多荣耀。")</f>
        <v>使用时提供了很多荣耀。</v>
      </c>
      <c r="K26" s="25" t="str">
        <f>IFERROR(__xludf.DUMMYFUNCTION("GOOGLETRANSLATE(B26, ""en"", ""vi"")"),"Cho rất nhiều vinh quang khi sử dụng.")</f>
        <v>Cho rất nhiều vinh quang khi sử dụng.</v>
      </c>
      <c r="L26" s="26" t="str">
        <f>IFERROR(__xludf.DUMMYFUNCTION("GOOGLETRANSLATE(B26, ""en"", ""hr"")"),"Daje mnogo slave kad se koristi.")</f>
        <v>Daje mnogo slave kad se koristi.</v>
      </c>
      <c r="M26" s="28"/>
      <c r="N26" s="28"/>
      <c r="O26" s="28"/>
      <c r="P26" s="28"/>
      <c r="Q26" s="28"/>
      <c r="R26" s="28"/>
      <c r="S26" s="28"/>
      <c r="T26" s="28"/>
      <c r="U26" s="28"/>
      <c r="V26" s="28"/>
      <c r="W26" s="28"/>
      <c r="X26" s="28"/>
      <c r="Y26" s="28"/>
      <c r="Z26" s="28"/>
      <c r="AA26" s="28"/>
      <c r="AB26" s="28"/>
    </row>
    <row r="27">
      <c r="A27" s="21" t="s">
        <v>436</v>
      </c>
      <c r="B27" s="22" t="s">
        <v>437</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438</v>
      </c>
      <c r="B28" s="22" t="s">
        <v>439</v>
      </c>
      <c r="C28" s="23" t="str">
        <f>IFERROR(__xludf.DUMMYFUNCTION("GOOGLETRANSLATE(B28, ""en"", ""fr"")"),"Donne 1 élément aléatoire lorsqu'il est utilisé.")</f>
        <v>Donne 1 élément aléatoire lorsqu'il est utilisé.</v>
      </c>
      <c r="D28" s="23" t="str">
        <f>IFERROR(__xludf.DUMMYFUNCTION("GOOGLETRANSLATE(B28, ""en"", ""es"")"),"Da 1 artículo aleatorio cuando se usa.")</f>
        <v>Da 1 artículo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440</v>
      </c>
      <c r="B29" s="22" t="s">
        <v>441</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442</v>
      </c>
      <c r="B30" s="22" t="s">
        <v>443</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zwei zufällige Gegenstände bei Verwendung an.")</f>
        <v>Gibt zwei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444</v>
      </c>
      <c r="B31" s="22" t="s">
        <v>445</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446</v>
      </c>
      <c r="B32" s="22" t="s">
        <v>447</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448</v>
      </c>
      <c r="B33" s="22" t="s">
        <v>449</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450</v>
      </c>
      <c r="B34" s="22" t="s">
        <v>451</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452</v>
      </c>
      <c r="B35" s="22" t="s">
        <v>453</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454</v>
      </c>
      <c r="B36" s="22" t="s">
        <v>455</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456</v>
      </c>
      <c r="B37" s="22" t="s">
        <v>457</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458</v>
      </c>
      <c r="B38" s="22" t="s">
        <v>459</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460</v>
      </c>
      <c r="B39" s="22" t="s">
        <v>461</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462</v>
      </c>
      <c r="B40" s="22" t="s">
        <v>463</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464</v>
      </c>
      <c r="B41" s="22" t="s">
        <v>465</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466</v>
      </c>
      <c r="B42" s="22" t="s">
        <v>467</v>
      </c>
      <c r="C42" s="23" t="str">
        <f>IFERROR(__xludf.DUMMYFUNCTION("GOOGLETRANSLATE(B42, ""en"", ""fr"")"),"Peut être conçu dans un équipement de Dunchium.")</f>
        <v>Peut être conçu dans un équipement de Dunchium.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468</v>
      </c>
      <c r="B43" s="22" t="s">
        <v>469</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470</v>
      </c>
      <c r="B44" s="22" t="s">
        <v>471</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472</v>
      </c>
      <c r="B45" s="22" t="s">
        <v>473</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474</v>
      </c>
      <c r="B46" s="22" t="s">
        <v>475</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476</v>
      </c>
      <c r="B47" s="22" t="s">
        <v>477</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478</v>
      </c>
      <c r="B48" s="22" t="s">
        <v>479</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480</v>
      </c>
      <c r="B49" s="22" t="s">
        <v>481</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482</v>
      </c>
      <c r="B50" s="22" t="s">
        <v>483</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484</v>
      </c>
      <c r="B51" s="22" t="s">
        <v>485</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486</v>
      </c>
      <c r="B52" s="22" t="s">
        <v>487</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488</v>
      </c>
      <c r="B53" s="22" t="s">
        <v>489</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490</v>
      </c>
      <c r="B54" s="22" t="s">
        <v>491</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492</v>
      </c>
      <c r="B55" s="22" t="s">
        <v>493</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494</v>
      </c>
      <c r="B56" s="22" t="s">
        <v>491</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495</v>
      </c>
      <c r="B57" s="22" t="s">
        <v>496</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497</v>
      </c>
      <c r="B58" s="22" t="s">
        <v>491</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498</v>
      </c>
      <c r="B59" s="22" t="s">
        <v>499</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500</v>
      </c>
      <c r="B60" s="22" t="s">
        <v>501</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502</v>
      </c>
      <c r="B61" s="22" t="s">
        <v>503</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504</v>
      </c>
      <c r="B62" s="22" t="s">
        <v>505</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506</v>
      </c>
      <c r="B63" s="22" t="s">
        <v>507</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508</v>
      </c>
      <c r="B64" s="22" t="s">
        <v>509</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510</v>
      </c>
      <c r="B65" s="22" t="s">
        <v>511</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512</v>
      </c>
      <c r="B66" s="22" t="s">
        <v>513</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514</v>
      </c>
      <c r="B67" s="22" t="s">
        <v>515</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516</v>
      </c>
      <c r="B68" s="22" t="s">
        <v>517</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518</v>
      </c>
      <c r="B69" s="22" t="s">
        <v>519</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520</v>
      </c>
      <c r="B70" s="22" t="s">
        <v>521</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522</v>
      </c>
      <c r="B71" s="22" t="s">
        <v>523</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524</v>
      </c>
      <c r="B72" s="22" t="s">
        <v>525</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526</v>
      </c>
      <c r="B73" s="22" t="s">
        <v>527</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528</v>
      </c>
      <c r="B74" s="22" t="s">
        <v>525</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529</v>
      </c>
      <c r="B75" s="22" t="s">
        <v>530</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531</v>
      </c>
      <c r="B76" s="22" t="s">
        <v>525</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532</v>
      </c>
      <c r="B77" s="22" t="s">
        <v>533</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534</v>
      </c>
      <c r="B78" s="22" t="s">
        <v>525</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535</v>
      </c>
      <c r="B79" s="22" t="s">
        <v>536</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537</v>
      </c>
      <c r="B80" s="22" t="s">
        <v>538</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539</v>
      </c>
      <c r="B81" s="22" t="s">
        <v>540</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541</v>
      </c>
      <c r="B82" s="22" t="s">
        <v>542</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543</v>
      </c>
      <c r="B83" s="22" t="s">
        <v>544</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545</v>
      </c>
      <c r="B84" s="22" t="s">
        <v>546</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547</v>
      </c>
      <c r="B85" s="22" t="s">
        <v>548</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549</v>
      </c>
      <c r="B86" s="22" t="s">
        <v>550</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551</v>
      </c>
      <c r="B87" s="22" t="s">
        <v>552</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553</v>
      </c>
      <c r="B88" s="22" t="s">
        <v>554</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555</v>
      </c>
      <c r="B89" s="22" t="s">
        <v>556</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557</v>
      </c>
      <c r="B90" s="22" t="s">
        <v>558</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559</v>
      </c>
      <c r="B91" s="22" t="s">
        <v>560</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561</v>
      </c>
      <c r="B92" s="22" t="s">
        <v>562</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563</v>
      </c>
      <c r="B93" s="22" t="s">
        <v>564</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565</v>
      </c>
      <c r="B94" s="22" t="s">
        <v>558</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566</v>
      </c>
      <c r="B95" s="22" t="s">
        <v>567</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568</v>
      </c>
      <c r="B96" s="22" t="s">
        <v>562</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569</v>
      </c>
      <c r="B97" s="22" t="s">
        <v>570</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571</v>
      </c>
      <c r="B98" s="22" t="s">
        <v>572</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573</v>
      </c>
      <c r="B99" s="22" t="s">
        <v>574</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575</v>
      </c>
      <c r="B100" s="22" t="s">
        <v>576</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577</v>
      </c>
      <c r="B101" s="22" t="s">
        <v>578</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579</v>
      </c>
      <c r="B102" s="22" t="s">
        <v>580</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581</v>
      </c>
      <c r="B103" s="22" t="s">
        <v>582</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583</v>
      </c>
      <c r="B104" s="22" t="s">
        <v>584</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585</v>
      </c>
      <c r="B105" s="22" t="s">
        <v>586</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587</v>
      </c>
      <c r="B106" s="22" t="s">
        <v>588</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589</v>
      </c>
      <c r="B107" s="22" t="s">
        <v>590</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591</v>
      </c>
      <c r="B108" s="22" t="s">
        <v>592</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593</v>
      </c>
      <c r="B109" s="22" t="s">
        <v>594</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595</v>
      </c>
      <c r="B110" s="22" t="s">
        <v>558</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596</v>
      </c>
      <c r="B111" s="22" t="s">
        <v>597</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598</v>
      </c>
      <c r="B112" s="22" t="s">
        <v>562</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599</v>
      </c>
      <c r="B113" s="22" t="s">
        <v>600</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601</v>
      </c>
      <c r="B114" s="22" t="s">
        <v>572</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602</v>
      </c>
      <c r="B115" s="22" t="s">
        <v>603</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604</v>
      </c>
      <c r="B116" s="22" t="s">
        <v>576</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605</v>
      </c>
      <c r="B117" s="22" t="s">
        <v>606</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607</v>
      </c>
      <c r="B118" s="22" t="s">
        <v>580</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608</v>
      </c>
      <c r="B119" s="22" t="s">
        <v>609</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610</v>
      </c>
      <c r="B120" s="22" t="s">
        <v>584</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611</v>
      </c>
      <c r="B121" s="22" t="s">
        <v>612</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613</v>
      </c>
      <c r="B122" s="22" t="s">
        <v>588</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614</v>
      </c>
      <c r="B123" s="22" t="s">
        <v>615</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Dungium.")</f>
        <v>Armadura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616</v>
      </c>
      <c r="B124" s="22" t="s">
        <v>617</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618</v>
      </c>
      <c r="B125" s="22" t="s">
        <v>619</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620</v>
      </c>
      <c r="B126" s="22" t="s">
        <v>558</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621</v>
      </c>
      <c r="B127" s="22" t="s">
        <v>622</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623</v>
      </c>
      <c r="B128" s="22" t="s">
        <v>562</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624</v>
      </c>
      <c r="B129" s="22" t="s">
        <v>625</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626</v>
      </c>
      <c r="B130" s="22" t="s">
        <v>572</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627</v>
      </c>
      <c r="B131" s="22" t="s">
        <v>628</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629</v>
      </c>
      <c r="B132" s="22" t="s">
        <v>576</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630</v>
      </c>
      <c r="B133" s="22" t="s">
        <v>631</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632</v>
      </c>
      <c r="B134" s="22" t="s">
        <v>580</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633</v>
      </c>
      <c r="B135" s="22" t="s">
        <v>634</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635</v>
      </c>
      <c r="B136" s="22" t="s">
        <v>584</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636</v>
      </c>
      <c r="B137" s="22" t="s">
        <v>637</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638</v>
      </c>
      <c r="B138" s="22" t="s">
        <v>588</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639</v>
      </c>
      <c r="B139" s="22" t="s">
        <v>640</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641</v>
      </c>
      <c r="B140" s="22" t="s">
        <v>642</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643</v>
      </c>
      <c r="B141" s="22" t="s">
        <v>644</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645</v>
      </c>
      <c r="B142" s="22" t="s">
        <v>558</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646</v>
      </c>
      <c r="B143" s="22" t="s">
        <v>647</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648</v>
      </c>
      <c r="B144" s="22" t="s">
        <v>562</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649</v>
      </c>
      <c r="B145" s="22" t="s">
        <v>650</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651</v>
      </c>
      <c r="B146" s="22" t="s">
        <v>572</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652</v>
      </c>
      <c r="B147" s="22" t="s">
        <v>653</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654</v>
      </c>
      <c r="B148" s="22" t="s">
        <v>576</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655</v>
      </c>
      <c r="B149" s="22" t="s">
        <v>656</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657</v>
      </c>
      <c r="B150" s="22" t="s">
        <v>580</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658</v>
      </c>
      <c r="B151" s="22" t="s">
        <v>659</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660</v>
      </c>
      <c r="B152" s="22" t="s">
        <v>584</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661</v>
      </c>
      <c r="B153" s="22" t="s">
        <v>662</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663</v>
      </c>
      <c r="B154" s="22" t="s">
        <v>588</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664</v>
      </c>
      <c r="B155" s="22" t="s">
        <v>665</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666</v>
      </c>
      <c r="B156" s="22" t="s">
        <v>667</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668</v>
      </c>
      <c r="B157" s="22" t="s">
        <v>669</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670</v>
      </c>
      <c r="B158" s="22" t="s">
        <v>671</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672</v>
      </c>
      <c r="B159" s="22" t="s">
        <v>673</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674</v>
      </c>
      <c r="B160" s="22" t="s">
        <v>675</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676</v>
      </c>
      <c r="B161" s="22" t="s">
        <v>677</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678</v>
      </c>
      <c r="B162" s="22" t="s">
        <v>679</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680</v>
      </c>
      <c r="B163" s="22" t="s">
        <v>681</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682</v>
      </c>
      <c r="B164" s="22" t="s">
        <v>683</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42" t="s">
        <v>684</v>
      </c>
      <c r="B165" s="43" t="s">
        <v>685</v>
      </c>
      <c r="C165" s="23" t="str">
        <f>IFERROR(__xludf.DUMMYFUNCTION("GOOGLETRANSLATE(B165, ""en"", ""fr"")"),"Flèches de glace")</f>
        <v>Flèches de glace</v>
      </c>
      <c r="D165" s="23" t="str">
        <f>IFERROR(__xludf.DUMMYFUNCTION("GOOGLETRANSLATE(B165, ""en"", ""es"")"),"Flechas de hielo")</f>
        <v>Flechas de hielo</v>
      </c>
      <c r="E165" s="23" t="str">
        <f>IFERROR(__xludf.DUMMYFUNCTION("GOOGLETRANSLATE(B165, ""en"", ""ru"")"),"Ледяные стрелки")</f>
        <v>Ледяные стрелки</v>
      </c>
      <c r="F165" s="23" t="str">
        <f>IFERROR(__xludf.DUMMYFUNCTION("GOOGLETRANSLATE(B165, ""en"", ""tr"")"),"Buz okları")</f>
        <v>Buz okları</v>
      </c>
      <c r="G165" s="23" t="str">
        <f>IFERROR(__xludf.DUMMYFUNCTION("GOOGLETRANSLATE(B165, ""en"", ""pt"")"),"Flechas de gelo")</f>
        <v>Flechas de gelo</v>
      </c>
      <c r="H165" s="24" t="str">
        <f>IFERROR(__xludf.DUMMYFUNCTION("GOOGLETRANSLATE(B165, ""en"", ""de"")"),"Eispfeile")</f>
        <v>Eispfeile</v>
      </c>
      <c r="I165" s="23" t="str">
        <f>IFERROR(__xludf.DUMMYFUNCTION("GOOGLETRANSLATE(B165, ""en"", ""pl"")"),"Strzały lodowe.")</f>
        <v>Strzały lodowe.</v>
      </c>
      <c r="J165" s="25" t="str">
        <f>IFERROR(__xludf.DUMMYFUNCTION("GOOGLETRANSLATE(B165, ""en"", ""zh"")"),"冰箭头")</f>
        <v>冰箭头</v>
      </c>
      <c r="K165" s="25" t="str">
        <f>IFERROR(__xludf.DUMMYFUNCTION("GOOGLETRANSLATE(B165, ""en"", ""vi"")"),"Mũi tên băng")</f>
        <v>Mũi tên băng</v>
      </c>
      <c r="L165" s="26" t="str">
        <f>IFERROR(__xludf.DUMMYFUNCTION("GOOGLETRANSLATE(B165, ""en"", ""hr"")"),"Strijele leda")</f>
        <v>Strijele leda</v>
      </c>
      <c r="M165" s="28"/>
      <c r="N165" s="28"/>
      <c r="O165" s="28"/>
      <c r="P165" s="28"/>
      <c r="Q165" s="28"/>
      <c r="R165" s="28"/>
      <c r="S165" s="28"/>
      <c r="T165" s="28"/>
      <c r="U165" s="28"/>
      <c r="V165" s="28"/>
      <c r="W165" s="28"/>
      <c r="X165" s="28"/>
      <c r="Y165" s="28"/>
      <c r="Z165" s="28"/>
      <c r="AA165" s="28"/>
      <c r="AB165" s="28"/>
    </row>
    <row r="166">
      <c r="A166" s="42" t="s">
        <v>686</v>
      </c>
      <c r="B166" s="43" t="s">
        <v>687</v>
      </c>
      <c r="C166" s="23" t="str">
        <f>IFERROR(__xludf.DUMMYFUNCTION("GOOGLETRANSLATE(B166, ""en"", ""fr"")"),"Utilisé comme munition pour un arc. S'applique refroidir quand il frappe.")</f>
        <v>Utilisé comme munition pour un arc. S'applique refroidir quand il frappe.</v>
      </c>
      <c r="D166" s="23" t="str">
        <f>IFERROR(__xludf.DUMMYFUNCTION("GOOGLETRANSLATE(B166, ""en"", ""es"")"),"Utilizado como municiones para un arco. Se aplica el frío cuando golpea.")</f>
        <v>Utilizado como municiones para un arco. Se aplica el frío cuando golpea.</v>
      </c>
      <c r="E166" s="23" t="str">
        <f>IFERROR(__xludf.DUMMYFUNCTION("GOOGLETRANSLATE(B166, ""en"", ""ru"")"),"Используется в качестве боеприпасов для лука. Применяет холод, когда он попадает.")</f>
        <v>Используется в качестве боеприпасов для лука. Применяет холод, когда он попадает.</v>
      </c>
      <c r="F166" s="23" t="str">
        <f>IFERROR(__xludf.DUMMYFUNCTION("GOOGLETRANSLATE(B166, ""en"", ""tr"")"),"Bir yay için mühimmat olarak kullanılır. İsabet ettiğinde chill uygular.")</f>
        <v>Bir yay için mühimmat olarak kullanılır. İsabet ettiğinde chill uygular.</v>
      </c>
      <c r="G166" s="23" t="str">
        <f>IFERROR(__xludf.DUMMYFUNCTION("GOOGLETRANSLATE(B166, ""en"", ""pt"")"),"Usado como munição para um arco. Aplica-se frio quando ele atinge.")</f>
        <v>Usado como munição para um arco. Aplica-se frio quando ele atinge.</v>
      </c>
      <c r="H166" s="24" t="str">
        <f>IFERROR(__xludf.DUMMYFUNCTION("GOOGLETRANSLATE(B166, ""en"", ""de"")"),"Als Munition für einen Bogen verwendet. Gilt kühlen, wenn es trifft.")</f>
        <v>Als Munition für einen Bogen verwendet. Gilt kühlen, wenn es trifft.</v>
      </c>
      <c r="I166" s="23" t="str">
        <f>IFERROR(__xludf.DUMMYFUNCTION("GOOGLETRANSLATE(B166, ""en"", ""pl"")"),"Używany jako amunicja na łuk. Stosuje chłód, gdy trafia.")</f>
        <v>Używany jako amunicja na łuk. Stosuje chłód, gdy trafia.</v>
      </c>
      <c r="J166" s="25" t="str">
        <f>IFERROR(__xludf.DUMMYFUNCTION("GOOGLETRANSLATE(B166, ""en"", ""zh"")"),"用作弓的弹药。当它命中时，请扼杀。")</f>
        <v>用作弓的弹药。当它命中时，请扼杀。</v>
      </c>
      <c r="K166" s="25" t="str">
        <f>IFERROR(__xludf.DUMMYFUNCTION("GOOGLETRANSLATE(B166, ""en"", ""vi"")"),"Dùng làm đạn cho một cây cung. Áp dụng Chill khi nó hit.")</f>
        <v>Dùng làm đạn cho một cây cung. Áp dụng Chill khi nó hit.</v>
      </c>
      <c r="L166" s="26" t="str">
        <f>IFERROR(__xludf.DUMMYFUNCTION("GOOGLETRANSLATE(B166, ""en"", ""hr"")"),"Koristi se kao streljivo za luk. Primjenjuje se hladno kada pogodi.")</f>
        <v>Koristi se kao streljivo za luk. Primjenjuje se hladno kada pogodi.</v>
      </c>
      <c r="M166" s="28"/>
      <c r="N166" s="28"/>
      <c r="O166" s="28"/>
      <c r="P166" s="28"/>
      <c r="Q166" s="28"/>
      <c r="R166" s="28"/>
      <c r="S166" s="28"/>
      <c r="T166" s="28"/>
      <c r="U166" s="28"/>
      <c r="V166" s="28"/>
      <c r="W166" s="28"/>
      <c r="X166" s="28"/>
      <c r="Y166" s="28"/>
      <c r="Z166" s="28"/>
      <c r="AA166" s="28"/>
      <c r="AB166" s="28"/>
    </row>
    <row r="167">
      <c r="A167" s="21" t="s">
        <v>688</v>
      </c>
      <c r="B167" s="22" t="s">
        <v>689</v>
      </c>
      <c r="C167" s="23" t="str">
        <f>IFERROR(__xludf.DUMMYFUNCTION("GOOGLETRANSLATE(B167, ""en"", ""fr"")"),"Flèches de poison")</f>
        <v>Flèches de poison</v>
      </c>
      <c r="D167" s="23" t="str">
        <f>IFERROR(__xludf.DUMMYFUNCTION("GOOGLETRANSLATE(B167, ""en"", ""es"")"),"Flechas de veneno")</f>
        <v>Flechas de veneno</v>
      </c>
      <c r="E167" s="23" t="str">
        <f>IFERROR(__xludf.DUMMYFUNCTION("GOOGLETRANSLATE(B167, ""en"", ""ru"")"),"Ядовитые стрелы")</f>
        <v>Ядовитые стрелы</v>
      </c>
      <c r="F167" s="23" t="str">
        <f>IFERROR(__xludf.DUMMYFUNCTION("GOOGLETRANSLATE(B167, ""en"", ""tr"")"),"Zehir okları")</f>
        <v>Zehir okları</v>
      </c>
      <c r="G167" s="23" t="str">
        <f>IFERROR(__xludf.DUMMYFUNCTION("GOOGLETRANSLATE(B167, ""en"", ""pt"")"),"Flechas de veneno")</f>
        <v>Flechas de veneno</v>
      </c>
      <c r="H167" s="24" t="str">
        <f>IFERROR(__xludf.DUMMYFUNCTION("GOOGLETRANSLATE(B167, ""en"", ""de"")"),"Giftpfeile")</f>
        <v>Giftpfeile</v>
      </c>
      <c r="I167" s="23" t="str">
        <f>IFERROR(__xludf.DUMMYFUNCTION("GOOGLETRANSLATE(B167, ""en"", ""pl"")"),"Trucizny strzałki")</f>
        <v>Trucizny strzałki</v>
      </c>
      <c r="J167" s="25" t="str">
        <f>IFERROR(__xludf.DUMMYFUNCTION("GOOGLETRANSLATE(B167, ""en"", ""zh"")"),"毒箭")</f>
        <v>毒箭</v>
      </c>
      <c r="K167" s="25" t="str">
        <f>IFERROR(__xludf.DUMMYFUNCTION("GOOGLETRANSLATE(B167, ""en"", ""vi"")"),"Mũi tên độc")</f>
        <v>Mũi tên độc</v>
      </c>
      <c r="L167" s="26" t="str">
        <f>IFERROR(__xludf.DUMMYFUNCTION("GOOGLETRANSLATE(B167, ""en"", ""hr"")"),"Strelice otrova")</f>
        <v>Strelice otrova</v>
      </c>
      <c r="M167" s="28"/>
      <c r="N167" s="28"/>
      <c r="O167" s="28"/>
      <c r="P167" s="28"/>
      <c r="Q167" s="28"/>
      <c r="R167" s="28"/>
      <c r="S167" s="28"/>
      <c r="T167" s="28"/>
      <c r="U167" s="28"/>
      <c r="V167" s="28"/>
      <c r="W167" s="28"/>
      <c r="X167" s="28"/>
      <c r="Y167" s="28"/>
      <c r="Z167" s="28"/>
      <c r="AA167" s="28"/>
      <c r="AB167" s="28"/>
    </row>
    <row r="168">
      <c r="A168" s="21" t="s">
        <v>690</v>
      </c>
      <c r="B168" s="22" t="s">
        <v>691</v>
      </c>
      <c r="C168" s="23" t="str">
        <f>IFERROR(__xludf.DUMMYFUNCTION("GOOGLETRANSLATE(B168, ""en"", ""fr"")"),"Utilisé comme munition pour un arc. Applique du poison quand il frappe.")</f>
        <v>Utilisé comme munition pour un arc. Applique du poison quand il frappe.</v>
      </c>
      <c r="D168" s="23" t="str">
        <f>IFERROR(__xludf.DUMMYFUNCTION("GOOGLETRANSLATE(B168, ""en"", ""es"")"),"Utilizado como municiones para un arco. Aplica veneno cuando golpea.")</f>
        <v>Utilizado como municiones para un arco. Aplica veneno cuando golpea.</v>
      </c>
      <c r="E168" s="23" t="str">
        <f>IFERROR(__xludf.DUMMYFUNCTION("GOOGLETRANSLATE(B168, ""en"", ""ru"")"),"Используется в качестве боеприпасов для лука. Применяет яд, когда он попадает.")</f>
        <v>Используется в качестве боеприпасов для лука. Применяет яд, когда он попадает.</v>
      </c>
      <c r="F168" s="23" t="str">
        <f>IFERROR(__xludf.DUMMYFUNCTION("GOOGLETRANSLATE(B168, ""en"", ""tr"")"),"Bir yay için mühimmat olarak kullanılır. Vurduğunda zehir uygular.")</f>
        <v>Bir yay için mühimmat olarak kullanılır. Vurduğunda zehir uygular.</v>
      </c>
      <c r="G168" s="23" t="str">
        <f>IFERROR(__xludf.DUMMYFUNCTION("GOOGLETRANSLATE(B168, ""en"", ""pt"")"),"Usado como munição para um arco. Aplica veneno quando atinge.")</f>
        <v>Usado como munição para um arco. Aplica veneno quando atinge.</v>
      </c>
      <c r="H168" s="24" t="str">
        <f>IFERROR(__xludf.DUMMYFUNCTION("GOOGLETRANSLATE(B168, ""en"", ""de"")"),"Als Munition für einen Bogen verwendet. Wendet Gift an, wenn es trifft.")</f>
        <v>Als Munition für einen Bogen verwendet. Wendet Gift an, wenn es trifft.</v>
      </c>
      <c r="I168" s="23" t="str">
        <f>IFERROR(__xludf.DUMMYFUNCTION("GOOGLETRANSLATE(B168, ""en"", ""pl"")"),"Używany jako amunicja na łuk. Dotyczy trucizny, gdy trafia.")</f>
        <v>Używany jako amunicja na łuk. Dotyczy trucizny, gdy trafia.</v>
      </c>
      <c r="J168" s="25" t="str">
        <f>IFERROR(__xludf.DUMMYFUNCTION("GOOGLETRANSLATE(B168, ""en"", ""zh"")"),"用作弓的弹药。当它命中时适用毒药。")</f>
        <v>用作弓的弹药。当它命中时适用毒药。</v>
      </c>
      <c r="K168" s="25" t="str">
        <f>IFERROR(__xludf.DUMMYFUNCTION("GOOGLETRANSLATE(B168, ""en"", ""vi"")"),"Dùng làm đạn cho một cây cung. Áp dụng chất độc khi nó đạt.")</f>
        <v>Dùng làm đạn cho một cây cung. Áp dụng chất độc khi nó đạt.</v>
      </c>
      <c r="L168" s="26" t="str">
        <f>IFERROR(__xludf.DUMMYFUNCTION("GOOGLETRANSLATE(B168, ""en"", ""hr"")"),"Koristi se kao streljivo za luk. Primjenjuje otrov kada pogodi.")</f>
        <v>Koristi se kao streljivo za luk. Primjenjuje otrov kada pogodi.</v>
      </c>
      <c r="M168" s="28"/>
      <c r="N168" s="28"/>
      <c r="O168" s="28"/>
      <c r="P168" s="28"/>
      <c r="Q168" s="28"/>
      <c r="R168" s="28"/>
      <c r="S168" s="28"/>
      <c r="T168" s="28"/>
      <c r="U168" s="28"/>
      <c r="V168" s="28"/>
      <c r="W168" s="28"/>
      <c r="X168" s="28"/>
      <c r="Y168" s="28"/>
      <c r="Z168" s="28"/>
      <c r="AA168" s="28"/>
      <c r="AB168" s="28"/>
    </row>
    <row r="169">
      <c r="A169" s="21" t="s">
        <v>692</v>
      </c>
      <c r="B169" s="22" t="s">
        <v>693</v>
      </c>
      <c r="C169" s="23" t="str">
        <f>IFERROR(__xludf.DUMMYFUNCTION("GOOGLETRANSLATE(B169, ""en"", ""fr"")"),"Flèches explosives")</f>
        <v>Flèches explosives</v>
      </c>
      <c r="D169" s="23" t="str">
        <f>IFERROR(__xludf.DUMMYFUNCTION("GOOGLETRANSLATE(B169, ""en"", ""es"")"),"Flechas explosivas")</f>
        <v>Flechas explosivas</v>
      </c>
      <c r="E169" s="23" t="str">
        <f>IFERROR(__xludf.DUMMYFUNCTION("GOOGLETRANSLATE(B169, ""en"", ""ru"")"),"Взрывоопасные стрелки")</f>
        <v>Взрывоопасные стрелки</v>
      </c>
      <c r="F169" s="23" t="str">
        <f>IFERROR(__xludf.DUMMYFUNCTION("GOOGLETRANSLATE(B169, ""en"", ""tr"")"),"Patlayıcı oklar")</f>
        <v>Patlayıcı oklar</v>
      </c>
      <c r="G169" s="23" t="str">
        <f>IFERROR(__xludf.DUMMYFUNCTION("GOOGLETRANSLATE(B169, ""en"", ""pt"")"),"Flechas explosivas")</f>
        <v>Flechas explosivas</v>
      </c>
      <c r="H169" s="24" t="str">
        <f>IFERROR(__xludf.DUMMYFUNCTION("GOOGLETRANSLATE(B169, ""en"", ""de"")"),"Explosive Pfeile")</f>
        <v>Explosive Pfeile</v>
      </c>
      <c r="I169" s="23" t="str">
        <f>IFERROR(__xludf.DUMMYFUNCTION("GOOGLETRANSLATE(B169, ""en"", ""pl"")"),"Wybuchowe strzałki")</f>
        <v>Wybuchowe strzałki</v>
      </c>
      <c r="J169" s="25" t="str">
        <f>IFERROR(__xludf.DUMMYFUNCTION("GOOGLETRANSLATE(B169, ""en"", ""zh"")"),"爆炸箭头")</f>
        <v>爆炸箭头</v>
      </c>
      <c r="K169" s="25" t="str">
        <f>IFERROR(__xludf.DUMMYFUNCTION("GOOGLETRANSLATE(B169, ""en"", ""vi"")"),"Mũi tên nổ")</f>
        <v>Mũi tên nổ</v>
      </c>
      <c r="L169" s="26" t="str">
        <f>IFERROR(__xludf.DUMMYFUNCTION("GOOGLETRANSLATE(B169, ""en"", ""hr"")"),"Eksplozivne strelice")</f>
        <v>Eksplozivne strelice</v>
      </c>
      <c r="M169" s="28"/>
      <c r="N169" s="28"/>
      <c r="O169" s="28"/>
      <c r="P169" s="28"/>
      <c r="Q169" s="28"/>
      <c r="R169" s="28"/>
      <c r="S169" s="28"/>
      <c r="T169" s="28"/>
      <c r="U169" s="28"/>
      <c r="V169" s="28"/>
      <c r="W169" s="28"/>
      <c r="X169" s="28"/>
      <c r="Y169" s="28"/>
      <c r="Z169" s="28"/>
      <c r="AA169" s="28"/>
      <c r="AB169" s="28"/>
    </row>
    <row r="170">
      <c r="A170" s="21" t="s">
        <v>694</v>
      </c>
      <c r="B170" s="22" t="s">
        <v>695</v>
      </c>
      <c r="C170" s="23" t="str">
        <f>IFERROR(__xludf.DUMMYFUNCTION("GOOGLETRANSLATE(B170, ""en"", ""fr"")"),"Utilisé comme munition pour un arc. Inflige des dégâts et des brûlures dans une zone quand il frappe.")</f>
        <v>Utilisé comme munition pour un arc. Inflige des dégâts et des brûlures dans une zone quand il frappe.</v>
      </c>
      <c r="D170" s="23" t="str">
        <f>IFERROR(__xludf.DUMMYFUNCTION("GOOGLETRANSLATE(B170, ""en"", ""es"")"),"Utilizado como municiones para un arco. Ofrece daños y quemaduras en un área cuando golpea.")</f>
        <v>Utilizado como municiones para un arco. Ofrece daños y quemaduras en un área cuando golpea.</v>
      </c>
      <c r="E170" s="23" t="str">
        <f>IFERROR(__xludf.DUMMYFUNCTION("GOOGLETRANSLATE(B170, ""en"", ""ru"")"),"Используется в качестве боеприпасов для лука. Наносит урон и ожоги в районе, когда он попадает.")</f>
        <v>Используется в качестве боеприпасов для лука. Наносит урон и ожоги в районе, когда он попадает.</v>
      </c>
      <c r="F170" s="23" t="str">
        <f>IFERROR(__xludf.DUMMYFUNCTION("GOOGLETRANSLATE(B170, ""en"", ""tr"")"),"Bir yay için mühimmat olarak kullanılır. Hit olduğunda bir bölgede hasar verir ve yanar.")</f>
        <v>Bir yay için mühimmat olarak kullanılır. Hit olduğunda bir bölgede hasar verir ve yanar.</v>
      </c>
      <c r="G170" s="23" t="str">
        <f>IFERROR(__xludf.DUMMYFUNCTION("GOOGLETRANSLATE(B170, ""en"", ""pt"")"),"Usado como munição para um arco. Oferece dano e queimaduras em uma área quando ele atinge.")</f>
        <v>Usado como munição para um arco. Oferece dano e queimaduras em uma área quando ele atinge.</v>
      </c>
      <c r="H170" s="24" t="str">
        <f>IFERROR(__xludf.DUMMYFUNCTION("GOOGLETRANSLATE(B170, ""en"", ""de"")"),"Als Munition für einen Bogen verwendet. Fügt Schaden und Verbrennungen in einem Bereich zu, wenn es trifft.")</f>
        <v>Als Munition für einen Bogen verwendet. Fügt Schaden und Verbrennungen in einem Bereich zu, wenn es trifft.</v>
      </c>
      <c r="I170" s="23" t="str">
        <f>IFERROR(__xludf.DUMMYFUNCTION("GOOGLETRANSLATE(B170, ""en"", ""pl"")"),"Używany jako amunicja na łuk. Zadaje obrażenia i oparzenia w obszarze, gdy trafia.")</f>
        <v>Używany jako amunicja na łuk. Zadaje obrażenia i oparzenia w obszarze, gdy trafia.</v>
      </c>
      <c r="J170" s="25" t="str">
        <f>IFERROR(__xludf.DUMMYFUNCTION("GOOGLETRANSLATE(B170, ""en"", ""zh"")"),"用作弓的弹药。在击中时造成伤害并烧伤。")</f>
        <v>用作弓的弹药。在击中时造成伤害并烧伤。</v>
      </c>
      <c r="K170" s="25" t="str">
        <f>IFERROR(__xludf.DUMMYFUNCTION("GOOGLETRANSLATE(B170, ""en"", ""vi"")"),"Dùng làm đạn cho một cây cung. Gây sát thương và bỏng trong một khu vực khi nó hit.")</f>
        <v>Dùng làm đạn cho một cây cung. Gây sát thương và bỏng trong một khu vực khi nó hit.</v>
      </c>
      <c r="L170" s="26" t="str">
        <f>IFERROR(__xludf.DUMMYFUNCTION("GOOGLETRANSLATE(B170, ""en"", ""hr"")"),"Koristi se kao streljivo za luk. Ponudite štetu i opekline u području kada pogodi.")</f>
        <v>Koristi se kao streljivo za luk. Ponudite štetu i opekline u području kada pogodi.</v>
      </c>
      <c r="M170" s="28"/>
      <c r="N170" s="28"/>
      <c r="O170" s="28"/>
      <c r="P170" s="28"/>
      <c r="Q170" s="28"/>
      <c r="R170" s="28"/>
      <c r="S170" s="28"/>
      <c r="T170" s="28"/>
      <c r="U170" s="28"/>
      <c r="V170" s="28"/>
      <c r="W170" s="28"/>
      <c r="X170" s="28"/>
      <c r="Y170" s="28"/>
      <c r="Z170" s="28"/>
      <c r="AA170" s="28"/>
      <c r="AB170" s="28"/>
    </row>
    <row r="171">
      <c r="A171" s="21" t="s">
        <v>696</v>
      </c>
      <c r="B171" s="22" t="s">
        <v>697</v>
      </c>
      <c r="C171" s="23" t="str">
        <f>IFERROR(__xludf.DUMMYFUNCTION("GOOGLETRANSLATE(B171, ""en"", ""fr"")"),"Shuriken")</f>
        <v>Shuriken</v>
      </c>
      <c r="D171" s="23" t="str">
        <f>IFERROR(__xludf.DUMMYFUNCTION("GOOGLETRANSLATE(B171, ""en"", ""es"")"),"Shuriken")</f>
        <v>Shuriken</v>
      </c>
      <c r="E171" s="23" t="str">
        <f>IFERROR(__xludf.DUMMYFUNCTION("GOOGLETRANSLATE(B171, ""en"", ""ru"")"),"Шурикен")</f>
        <v>Шурикен</v>
      </c>
      <c r="F171" s="23" t="str">
        <f>IFERROR(__xludf.DUMMYFUNCTION("GOOGLETRANSLATE(B171, ""en"", ""tr"")"),"Shuriken")</f>
        <v>Shuriken</v>
      </c>
      <c r="G171" s="23" t="str">
        <f>IFERROR(__xludf.DUMMYFUNCTION("GOOGLETRANSLATE(B171, ""en"", ""pt"")"),"Shuriken.")</f>
        <v>Shuriken.</v>
      </c>
      <c r="H171" s="24" t="str">
        <f>IFERROR(__xludf.DUMMYFUNCTION("GOOGLETRANSLATE(B171, ""en"", ""de"")"),"Shuriken")</f>
        <v>Shuriken</v>
      </c>
      <c r="I171" s="23" t="str">
        <f>IFERROR(__xludf.DUMMYFUNCTION("GOOGLETRANSLATE(B171, ""en"", ""pl"")"),"Shuriken.")</f>
        <v>Shuriken.</v>
      </c>
      <c r="J171" s="25" t="str">
        <f>IFERROR(__xludf.DUMMYFUNCTION("GOOGLETRANSLATE(B171, ""en"", ""zh"")"),"Shuriken.")</f>
        <v>Shuriken.</v>
      </c>
      <c r="K171" s="25" t="str">
        <f>IFERROR(__xludf.DUMMYFUNCTION("GOOGLETRANSLATE(B171, ""en"", ""vi"")"),"Shuriken.")</f>
        <v>Shuriken.</v>
      </c>
      <c r="L171" s="26" t="str">
        <f>IFERROR(__xludf.DUMMYFUNCTION("GOOGLETRANSLATE(B171, ""en"", ""hr"")"),"Shuriken")</f>
        <v>Shuriken</v>
      </c>
      <c r="M171" s="28"/>
      <c r="N171" s="28"/>
      <c r="O171" s="28"/>
      <c r="P171" s="28"/>
      <c r="Q171" s="28"/>
      <c r="R171" s="28"/>
      <c r="S171" s="28"/>
      <c r="T171" s="28"/>
      <c r="U171" s="28"/>
      <c r="V171" s="28"/>
      <c r="W171" s="28"/>
      <c r="X171" s="28"/>
      <c r="Y171" s="28"/>
      <c r="Z171" s="28"/>
      <c r="AA171" s="28"/>
      <c r="AB171" s="28"/>
    </row>
    <row r="172">
      <c r="A172" s="21" t="s">
        <v>698</v>
      </c>
      <c r="B172" s="22" t="s">
        <v>699</v>
      </c>
      <c r="C172" s="23" t="str">
        <f>IFERROR(__xludf.DUMMYFUNCTION("GOOGLETRANSLATE(B172, ""en"", ""fr"")"),"Une arme à distance rapide déplaçante.")</f>
        <v>Une arme à distance rapide déplaçante.</v>
      </c>
      <c r="D172" s="23" t="str">
        <f>IFERROR(__xludf.DUMMYFUNCTION("GOOGLETRANSLATE(B172, ""en"", ""es"")"),"Una arma a distancia mediana rápida.")</f>
        <v>Una arma a distancia mediana rápida.</v>
      </c>
      <c r="E172" s="23" t="str">
        <f>IFERROR(__xludf.DUMMYFUNCTION("GOOGLETRANSLATE(B172, ""en"", ""ru"")"),"Быстрое перемещение среднего оружия.")</f>
        <v>Быстрое перемещение среднего оружия.</v>
      </c>
      <c r="F172" s="23" t="str">
        <f>IFERROR(__xludf.DUMMYFUNCTION("GOOGLETRANSLATE(B172, ""en"", ""tr"")"),"Hızlı hareket eden ortamlı bir silah.")</f>
        <v>Hızlı hareket eden ortamlı bir silah.</v>
      </c>
      <c r="G172" s="23" t="str">
        <f>IFERROR(__xludf.DUMMYFUNCTION("GOOGLETRANSLATE(B172, ""en"", ""pt"")"),"Uma arma movente rápida variou arma.")</f>
        <v>Uma arma movente rápida variou arma.</v>
      </c>
      <c r="H172" s="24" t="str">
        <f>IFERROR(__xludf.DUMMYFUNCTION("GOOGLETRANSLATE(B172, ""en"", ""de"")"),"Eine schnelles bewegte mittlere Waffe.")</f>
        <v>Eine schnelles bewegte mittlere Waffe.</v>
      </c>
      <c r="I172" s="23" t="str">
        <f>IFERROR(__xludf.DUMMYFUNCTION("GOOGLETRANSLATE(B172, ""en"", ""pl"")"),"Szybka przenoszona broń dystansowa.")</f>
        <v>Szybka przenoszona broń dystansowa.</v>
      </c>
      <c r="J172" s="25" t="str">
        <f>IFERROR(__xludf.DUMMYFUNCTION("GOOGLETRANSLATE(B172, ""en"", ""zh"")"),"快速移动的介质远程武器。")</f>
        <v>快速移动的介质远程武器。</v>
      </c>
      <c r="K172" s="25" t="str">
        <f>IFERROR(__xludf.DUMMYFUNCTION("GOOGLETRANSLATE(B172, ""en"", ""vi"")"),"Một vũ khí di chuyển nhanh chóng.")</f>
        <v>Một vũ khí di chuyển nhanh chóng.</v>
      </c>
      <c r="L172" s="26" t="str">
        <f>IFERROR(__xludf.DUMMYFUNCTION("GOOGLETRANSLATE(B172, ""en"", ""hr"")"),"Brzo kreće medijsko oružje.")</f>
        <v>Brzo kreće medijsko oružje.</v>
      </c>
      <c r="M172" s="28"/>
      <c r="N172" s="28"/>
      <c r="O172" s="28"/>
      <c r="P172" s="28"/>
      <c r="Q172" s="28"/>
      <c r="R172" s="28"/>
      <c r="S172" s="28"/>
      <c r="T172" s="28"/>
      <c r="U172" s="28"/>
      <c r="V172" s="28"/>
      <c r="W172" s="28"/>
      <c r="X172" s="28"/>
      <c r="Y172" s="28"/>
      <c r="Z172" s="28"/>
      <c r="AA172" s="28"/>
      <c r="AB172" s="28"/>
    </row>
    <row r="173">
      <c r="A173" s="21" t="s">
        <v>700</v>
      </c>
      <c r="B173" s="22" t="s">
        <v>701</v>
      </c>
      <c r="C173" s="23" t="str">
        <f>IFERROR(__xludf.DUMMYFUNCTION("GOOGLETRANSLATE(B173, ""en"", ""fr"")"),"Bombe")</f>
        <v>Bombe</v>
      </c>
      <c r="D173" s="23" t="str">
        <f>IFERROR(__xludf.DUMMYFUNCTION("GOOGLETRANSLATE(B173, ""en"", ""es"")"),"Bomba")</f>
        <v>Bomba</v>
      </c>
      <c r="E173" s="23" t="str">
        <f>IFERROR(__xludf.DUMMYFUNCTION("GOOGLETRANSLATE(B173, ""en"", ""ru"")"),"Бомбить")</f>
        <v>Бомбить</v>
      </c>
      <c r="F173" s="23" t="str">
        <f>IFERROR(__xludf.DUMMYFUNCTION("GOOGLETRANSLATE(B173, ""en"", ""tr"")"),"Bomba")</f>
        <v>Bomba</v>
      </c>
      <c r="G173" s="23" t="str">
        <f>IFERROR(__xludf.DUMMYFUNCTION("GOOGLETRANSLATE(B173, ""en"", ""pt"")"),"Bombear")</f>
        <v>Bombear</v>
      </c>
      <c r="H173" s="24" t="str">
        <f>IFERROR(__xludf.DUMMYFUNCTION("GOOGLETRANSLATE(B173, ""en"", ""de"")"),"Bombe")</f>
        <v>Bombe</v>
      </c>
      <c r="I173" s="23" t="str">
        <f>IFERROR(__xludf.DUMMYFUNCTION("GOOGLETRANSLATE(B173, ""en"", ""pl"")"),"Bomba")</f>
        <v>Bomba</v>
      </c>
      <c r="J173" s="25" t="str">
        <f>IFERROR(__xludf.DUMMYFUNCTION("GOOGLETRANSLATE(B173, ""en"", ""zh"")"),"炸弹")</f>
        <v>炸弹</v>
      </c>
      <c r="K173" s="25" t="str">
        <f>IFERROR(__xludf.DUMMYFUNCTION("GOOGLETRANSLATE(B173, ""en"", ""vi"")"),"Bom")</f>
        <v>Bom</v>
      </c>
      <c r="L173" s="26" t="str">
        <f>IFERROR(__xludf.DUMMYFUNCTION("GOOGLETRANSLATE(B173, ""en"", ""hr"")"),"Bomba")</f>
        <v>Bomba</v>
      </c>
      <c r="M173" s="28"/>
      <c r="N173" s="28"/>
      <c r="O173" s="28"/>
      <c r="P173" s="28"/>
      <c r="Q173" s="28"/>
      <c r="R173" s="28"/>
      <c r="S173" s="28"/>
      <c r="T173" s="28"/>
      <c r="U173" s="28"/>
      <c r="V173" s="28"/>
      <c r="W173" s="28"/>
      <c r="X173" s="28"/>
      <c r="Y173" s="28"/>
      <c r="Z173" s="28"/>
      <c r="AA173" s="28"/>
      <c r="AB173" s="28"/>
    </row>
    <row r="174">
      <c r="A174" s="21" t="s">
        <v>702</v>
      </c>
      <c r="B174" s="22" t="s">
        <v>703</v>
      </c>
      <c r="C174" s="23" t="str">
        <f>IFERROR(__xludf.DUMMYFUNCTION("GOOGLETRANSLATE(B174, ""en"", ""fr"")"),"Crée une explosion qui endommageait et brûle n'importe quoi à proximité après un court délai.")</f>
        <v>Crée une explosion qui endommageait et brûle n'importe quoi à proximité après un court délai.</v>
      </c>
      <c r="D174" s="23" t="str">
        <f>IFERROR(__xludf.DUMMYFUNCTION("GOOGLETRANSLATE(B174, ""en"", ""es"")"),"Crea una explosión que daña y quema cualquier cosa cerca después de un breve retraso.")</f>
        <v>Crea una explosión que daña y quema cualquier cosa cerca después de un breve retraso.</v>
      </c>
      <c r="E174" s="23" t="str">
        <f>IFERROR(__xludf.DUMMYFUNCTION("GOOGLETRANSLATE(B174, ""en"", ""ru"")"),"Создает взрыв, который ущерб и ожогает что-нибудь поблизости после короткой задержки.")</f>
        <v>Создает взрыв, который ущерб и ожогает что-нибудь поблизости после короткой задержки.</v>
      </c>
      <c r="F174" s="23" t="str">
        <f>IFERROR(__xludf.DUMMYFUNCTION("GOOGLETRANSLATE(B174, ""en"", ""tr"")"),"Kısa bir gecikmeden sonra yakındaki herhangi bir şey zarar gören ve yanan bir patlama yaratır.")</f>
        <v>Kısa bir gecikmeden sonra yakındaki herhangi bir şey zarar gören ve yanan bir patlama yaratır.</v>
      </c>
      <c r="G174" s="23" t="str">
        <f>IFERROR(__xludf.DUMMYFUNCTION("GOOGLETRANSLATE(B174, ""en"", ""pt"")"),"Cria uma explosão que danifica e queima qualquer coisa próxima após um breve atraso.")</f>
        <v>Cria uma explosão que danifica e queima qualquer coisa próxima após um breve atraso.</v>
      </c>
      <c r="H174" s="24" t="str">
        <f>IFERROR(__xludf.DUMMYFUNCTION("GOOGLETRANSLATE(B174, ""en"", ""de"")"),"Erzeugt eine Explosion, die nach einer kurzen Verzögerung etwas in der Nähe beschädigt und verbrennt.")</f>
        <v>Erzeugt eine Explosion, die nach einer kurzen Verzögerung etwas in der Nähe beschädigt und verbrennt.</v>
      </c>
      <c r="I174" s="23" t="str">
        <f>IFERROR(__xludf.DUMMYFUNCTION("GOOGLETRANSLATE(B174, ""en"", ""pl"")"),"Tworzy eksplozję, która szkodzi i spala wszystko w pobliżu po krótkim opóźnieniu.")</f>
        <v>Tworzy eksplozję, która szkodzi i spala wszystko w pobliżu po krótkim opóźnieniu.</v>
      </c>
      <c r="J174" s="25" t="str">
        <f>IFERROR(__xludf.DUMMYFUNCTION("GOOGLETRANSLATE(B174, ""en"", ""zh"")"),"在短暂延迟后，造成损害和燃烧任何内容的爆炸。")</f>
        <v>在短暂延迟后，造成损害和燃烧任何内容的爆炸。</v>
      </c>
      <c r="K174" s="25" t="str">
        <f>IFERROR(__xludf.DUMMYFUNCTION("GOOGLETRANSLATE(B174, ""en"", ""vi"")"),"Tạo ra một vụ nổ làm hỏng và đốt cháy bất cứ thứ gì gần đó sau một thời gian chậm trễ.")</f>
        <v>Tạo ra một vụ nổ làm hỏng và đốt cháy bất cứ thứ gì gần đó sau một thời gian chậm trễ.</v>
      </c>
      <c r="L174" s="26" t="str">
        <f>IFERROR(__xludf.DUMMYFUNCTION("GOOGLETRANSLATE(B174, ""en"", ""hr"")"),"Stvara eksploziju koja oštećuje i gori bilo što u blizini nakon kratkog kašnjenja.")</f>
        <v>Stvara eksploziju koja oštećuje i gori bilo što u blizini nakon kratkog kašnjenja.</v>
      </c>
      <c r="M174" s="28"/>
      <c r="N174" s="28"/>
      <c r="O174" s="28"/>
      <c r="P174" s="28"/>
      <c r="Q174" s="28"/>
      <c r="R174" s="28"/>
      <c r="S174" s="28"/>
      <c r="T174" s="28"/>
      <c r="U174" s="28"/>
      <c r="V174" s="28"/>
      <c r="W174" s="28"/>
      <c r="X174" s="28"/>
      <c r="Y174" s="28"/>
      <c r="Z174" s="28"/>
      <c r="AA174" s="28"/>
      <c r="AB174" s="28"/>
    </row>
    <row r="175">
      <c r="A175" s="21" t="s">
        <v>704</v>
      </c>
      <c r="B175" s="22" t="s">
        <v>705</v>
      </c>
      <c r="C175" s="23" t="str">
        <f>IFERROR(__xludf.DUMMYFUNCTION("GOOGLETRANSLATE(B175, ""en"", ""fr"")"),"Piéger")</f>
        <v>Piéger</v>
      </c>
      <c r="D175" s="23" t="str">
        <f>IFERROR(__xludf.DUMMYFUNCTION("GOOGLETRANSLATE(B175, ""en"", ""es"")"),"Trampa")</f>
        <v>Trampa</v>
      </c>
      <c r="E175" s="23" t="str">
        <f>IFERROR(__xludf.DUMMYFUNCTION("GOOGLETRANSLATE(B175, ""en"", ""ru"")"),"Ловушка")</f>
        <v>Ловушка</v>
      </c>
      <c r="F175" s="23" t="str">
        <f>IFERROR(__xludf.DUMMYFUNCTION("GOOGLETRANSLATE(B175, ""en"", ""tr"")"),"Tuzak kurmak")</f>
        <v>Tuzak kurmak</v>
      </c>
      <c r="G175" s="23" t="str">
        <f>IFERROR(__xludf.DUMMYFUNCTION("GOOGLETRANSLATE(B175, ""en"", ""pt"")"),"Armadilha")</f>
        <v>Armadilha</v>
      </c>
      <c r="H175" s="24" t="str">
        <f>IFERROR(__xludf.DUMMYFUNCTION("GOOGLETRANSLATE(B175, ""en"", ""de"")"),"Fangen")</f>
        <v>Fangen</v>
      </c>
      <c r="I175" s="23" t="str">
        <f>IFERROR(__xludf.DUMMYFUNCTION("GOOGLETRANSLATE(B175, ""en"", ""pl"")"),"Pułapka")</f>
        <v>Pułapka</v>
      </c>
      <c r="J175" s="25" t="str">
        <f>IFERROR(__xludf.DUMMYFUNCTION("GOOGLETRANSLATE(B175, ""en"", ""zh"")"),"陷阱")</f>
        <v>陷阱</v>
      </c>
      <c r="K175" s="25" t="str">
        <f>IFERROR(__xludf.DUMMYFUNCTION("GOOGLETRANSLATE(B175, ""en"", ""vi"")"),"Cạm bẫy")</f>
        <v>Cạm bẫy</v>
      </c>
      <c r="L175" s="26" t="str">
        <f>IFERROR(__xludf.DUMMYFUNCTION("GOOGLETRANSLATE(B175, ""en"", ""hr"")"),"Zamka")</f>
        <v>Zamka</v>
      </c>
      <c r="M175" s="28"/>
      <c r="N175" s="28"/>
      <c r="O175" s="28"/>
      <c r="P175" s="28"/>
      <c r="Q175" s="28"/>
      <c r="R175" s="28"/>
      <c r="S175" s="28"/>
      <c r="T175" s="28"/>
      <c r="U175" s="28"/>
      <c r="V175" s="28"/>
      <c r="W175" s="28"/>
      <c r="X175" s="28"/>
      <c r="Y175" s="28"/>
      <c r="Z175" s="28"/>
      <c r="AA175" s="28"/>
      <c r="AB175" s="28"/>
    </row>
    <row r="176">
      <c r="A176" s="21" t="s">
        <v>706</v>
      </c>
      <c r="B176" s="22" t="s">
        <v>707</v>
      </c>
      <c r="C176" s="23" t="str">
        <f>IFERROR(__xludf.DUMMYFUNCTION("GOOGLETRANSLATE(B176, ""en"", ""fr"")"),"Endommage quelque chose qui marche sur elle.")</f>
        <v>Endommage quelque chose qui marche sur elle.</v>
      </c>
      <c r="D176" s="23" t="str">
        <f>IFERROR(__xludf.DUMMYFUNCTION("GOOGLETRANSLATE(B176, ""en"", ""es"")"),"Daña cualquier cosa que eso le pase.")</f>
        <v>Daña cualquier cosa que eso le pase.</v>
      </c>
      <c r="E176" s="23" t="str">
        <f>IFERROR(__xludf.DUMMYFUNCTION("GOOGLETRANSLATE(B176, ""en"", ""ru"")"),"Ущерб чему по этим шагам на нем.")</f>
        <v>Ущерб чему по этим шагам на нем.</v>
      </c>
      <c r="F176" s="23" t="str">
        <f>IFERROR(__xludf.DUMMYFUNCTION("GOOGLETRANSLATE(B176, ""en"", ""tr"")"),"Üzerinde adım atan bir şeye zarar verir.")</f>
        <v>Üzerinde adım atan bir şeye zarar verir.</v>
      </c>
      <c r="G176" s="23" t="str">
        <f>IFERROR(__xludf.DUMMYFUNCTION("GOOGLETRANSLATE(B176, ""en"", ""pt"")"),"Danifica qualquer coisa que passe nele.")</f>
        <v>Danifica qualquer coisa que passe nele.</v>
      </c>
      <c r="H176" s="24" t="str">
        <f>IFERROR(__xludf.DUMMYFUNCTION("GOOGLETRANSLATE(B176, ""en"", ""de"")"),"Beschädigt alles, was dran ist.")</f>
        <v>Beschädigt alles, was dran ist.</v>
      </c>
      <c r="I176" s="23" t="str">
        <f>IFERROR(__xludf.DUMMYFUNCTION("GOOGLETRANSLATE(B176, ""en"", ""pl"")"),"Uszkadza wszystko, co się na niej kroki.")</f>
        <v>Uszkadza wszystko, co się na niej kroki.</v>
      </c>
      <c r="J176" s="25" t="str">
        <f>IFERROR(__xludf.DUMMYFUNCTION("GOOGLETRANSLATE(B176, ""en"", ""zh"")"),"损害任何踩到它的东西。")</f>
        <v>损害任何踩到它的东西。</v>
      </c>
      <c r="K176" s="25" t="str">
        <f>IFERROR(__xludf.DUMMYFUNCTION("GOOGLETRANSLATE(B176, ""en"", ""vi"")"),"Làm hỏng bất cứ điều gì các bước trên nó.")</f>
        <v>Làm hỏng bất cứ điều gì các bước trên nó.</v>
      </c>
      <c r="L176" s="26" t="str">
        <f>IFERROR(__xludf.DUMMYFUNCTION("GOOGLETRANSLATE(B176, ""en"", ""hr"")"),"Šteti sve što se kreće na njega.")</f>
        <v>Šteti sve što se kreće na njega.</v>
      </c>
      <c r="M176" s="28"/>
      <c r="N176" s="28"/>
      <c r="O176" s="28"/>
      <c r="P176" s="28"/>
      <c r="Q176" s="28"/>
      <c r="R176" s="28"/>
      <c r="S176" s="28"/>
      <c r="T176" s="28"/>
      <c r="U176" s="28"/>
      <c r="V176" s="28"/>
      <c r="W176" s="28"/>
      <c r="X176" s="28"/>
      <c r="Y176" s="28"/>
      <c r="Z176" s="28"/>
      <c r="AA176" s="28"/>
      <c r="AB176" s="28"/>
    </row>
    <row r="177">
      <c r="A177" s="21" t="s">
        <v>708</v>
      </c>
      <c r="B177" s="22" t="s">
        <v>709</v>
      </c>
      <c r="C177" s="23" t="str">
        <f>IFERROR(__xludf.DUMMYFUNCTION("GOOGLETRANSLATE(B177, ""en"", ""fr"")"),"Shard de glace")</f>
        <v>Shard de glace</v>
      </c>
      <c r="D177" s="23" t="str">
        <f>IFERROR(__xludf.DUMMYFUNCTION("GOOGLETRANSLATE(B177, ""en"", ""es"")"),"Fragmento de hielo")</f>
        <v>Fragmento de hielo</v>
      </c>
      <c r="E177" s="23" t="str">
        <f>IFERROR(__xludf.DUMMYFUNCTION("GOOGLETRANSLATE(B177, ""en"", ""ru"")"),"Ощупь")</f>
        <v>Ощупь</v>
      </c>
      <c r="F177" s="23" t="str">
        <f>IFERROR(__xludf.DUMMYFUNCTION("GOOGLETRANSLATE(B177, ""en"", ""tr"")"),"Buz Shard")</f>
        <v>Buz Shard</v>
      </c>
      <c r="G177" s="23" t="str">
        <f>IFERROR(__xludf.DUMMYFUNCTION("GOOGLETRANSLATE(B177, ""en"", ""pt"")"),"Pedaço de gelo")</f>
        <v>Pedaço de gelo</v>
      </c>
      <c r="H177" s="24" t="str">
        <f>IFERROR(__xludf.DUMMYFUNCTION("GOOGLETRANSLATE(B177, ""en"", ""de"")"),"Eisscholle")</f>
        <v>Eisscholle</v>
      </c>
      <c r="I177" s="23" t="str">
        <f>IFERROR(__xludf.DUMMYFUNCTION("GOOGLETRANSLATE(B177, ""en"", ""pl"")"),"Odłamek lodu")</f>
        <v>Odłamek lodu</v>
      </c>
      <c r="J177" s="25" t="str">
        <f>IFERROR(__xludf.DUMMYFUNCTION("GOOGLETRANSLATE(B177, ""en"", ""zh"")"),"冰碎片")</f>
        <v>冰碎片</v>
      </c>
      <c r="K177" s="25" t="str">
        <f>IFERROR(__xludf.DUMMYFUNCTION("GOOGLETRANSLATE(B177, ""en"", ""vi"")"),"Mảnh băng")</f>
        <v>Mảnh băng</v>
      </c>
      <c r="L177" s="26" t="str">
        <f>IFERROR(__xludf.DUMMYFUNCTION("GOOGLETRANSLATE(B177, ""en"", ""hr"")"),"Krhotina")</f>
        <v>Krhotina</v>
      </c>
      <c r="M177" s="28"/>
      <c r="N177" s="28"/>
      <c r="O177" s="28"/>
      <c r="P177" s="28"/>
      <c r="Q177" s="28"/>
      <c r="R177" s="28"/>
      <c r="S177" s="28"/>
      <c r="T177" s="28"/>
      <c r="U177" s="28"/>
      <c r="V177" s="28"/>
      <c r="W177" s="28"/>
      <c r="X177" s="28"/>
      <c r="Y177" s="28"/>
      <c r="Z177" s="28"/>
      <c r="AA177" s="28"/>
      <c r="AB177" s="28"/>
    </row>
    <row r="178">
      <c r="A178" s="21" t="s">
        <v>710</v>
      </c>
      <c r="B178" s="22" t="s">
        <v>711</v>
      </c>
      <c r="C178" s="23" t="str">
        <f>IFERROR(__xludf.DUMMYFUNCTION("GOOGLETRANSLATE(B178, ""en"", ""fr"")"),"Un morceau de glace. Utilisé pour fabriquer des objets avec un effet de froid.")</f>
        <v>Un morceau de glace. Utilisé pour fabriquer des objets avec un effet de froid.</v>
      </c>
      <c r="D178" s="23" t="str">
        <f>IFERROR(__xludf.DUMMYFUNCTION("GOOGLETRANSLATE(B178, ""en"", ""es"")"),"Un trozo de hielo. Se utiliza para elaborar artículos con un efecto frío.")</f>
        <v>Un trozo de hielo. Se utiliza para elaborar artículos con un efecto frío.</v>
      </c>
      <c r="E178" s="23" t="str">
        <f>IFERROR(__xludf.DUMMYFUNCTION("GOOGLETRANSLATE(B178, ""en"", ""ru"")"),"Кусок льда. Используется для создания предметов с помощью холода.")</f>
        <v>Кусок льда. Используется для создания предметов с помощью холода.</v>
      </c>
      <c r="F178" s="23" t="str">
        <f>IFERROR(__xludf.DUMMYFUNCTION("GOOGLETRANSLATE(B178, ""en"", ""tr"")"),"Bir buz parçası. Ürperti bir etkisi olan eşyaları zanaat etmek için kullanılır.")</f>
        <v>Bir buz parçası. Ürperti bir etkisi olan eşyaları zanaat etmek için kullanılır.</v>
      </c>
      <c r="G178" s="23" t="str">
        <f>IFERROR(__xludf.DUMMYFUNCTION("GOOGLETRANSLATE(B178, ""en"", ""pt"")"),"Um pedaço de gelo. Usado para criar itens com efeito frio.")</f>
        <v>Um pedaço de gelo. Usado para criar itens com efeito frio.</v>
      </c>
      <c r="H178" s="24" t="str">
        <f>IFERROR(__xludf.DUMMYFUNCTION("GOOGLETRANSLATE(B178, ""en"", ""de"")"),"Ein Stück Eis. Verwendet, um Gegenstände mit einem Kühl-Effekt zu erzeugen.")</f>
        <v>Ein Stück Eis. Verwendet, um Gegenstände mit einem Kühl-Effekt zu erzeugen.</v>
      </c>
      <c r="I178" s="23" t="str">
        <f>IFERROR(__xludf.DUMMYFUNCTION("GOOGLETRANSLATE(B178, ""en"", ""pl"")"),"Kawałek lodu. Używany do rzemieślniczych przedmiotów z szybkim efektem.")</f>
        <v>Kawałek lodu. Używany do rzemieślniczych przedmiotów z szybkim efektem.</v>
      </c>
      <c r="J178" s="25" t="str">
        <f>IFERROR(__xludf.DUMMYFUNCTION("GOOGLETRANSLATE(B178, ""en"", ""zh"")"),"一块冰。用来用寒冷效果来制作物品。")</f>
        <v>一块冰。用来用寒冷效果来制作物品。</v>
      </c>
      <c r="K178" s="25" t="str">
        <f>IFERROR(__xludf.DUMMYFUNCTION("GOOGLETRANSLATE(B178, ""en"", ""vi"")"),"Một khối băng. Được sử dụng để thủ công các mặt hàng với hiệu ứng lạnh.")</f>
        <v>Một khối băng. Được sử dụng để thủ công các mặt hàng với hiệu ứng lạnh.</v>
      </c>
      <c r="L178" s="26" t="str">
        <f>IFERROR(__xludf.DUMMYFUNCTION("GOOGLETRANSLATE(B178, ""en"", ""hr"")"),"Komad leda. Koristi se za obrt stavke s chill efekt.")</f>
        <v>Komad leda. Koristi se za obrt stavke s chill efekt.</v>
      </c>
      <c r="M178" s="28"/>
      <c r="N178" s="28"/>
      <c r="O178" s="28"/>
      <c r="P178" s="28"/>
      <c r="Q178" s="28"/>
      <c r="R178" s="28"/>
      <c r="S178" s="28"/>
      <c r="T178" s="28"/>
      <c r="U178" s="28"/>
      <c r="V178" s="28"/>
      <c r="W178" s="28"/>
      <c r="X178" s="28"/>
      <c r="Y178" s="28"/>
      <c r="Z178" s="28"/>
      <c r="AA178" s="28"/>
      <c r="AB178" s="28"/>
    </row>
    <row r="179">
      <c r="A179" s="21" t="s">
        <v>712</v>
      </c>
      <c r="B179" s="22" t="s">
        <v>713</v>
      </c>
      <c r="C179" s="23" t="str">
        <f>IFERROR(__xludf.DUMMYFUNCTION("GOOGLETRANSLATE(B179, ""en"", ""fr"")"),"Gemme")</f>
        <v>Gemme</v>
      </c>
      <c r="D179" s="23" t="str">
        <f>IFERROR(__xludf.DUMMYFUNCTION("GOOGLETRANSLATE(B179, ""en"", ""es"")"),"Joya")</f>
        <v>Joya</v>
      </c>
      <c r="E179" s="23" t="str">
        <f>IFERROR(__xludf.DUMMYFUNCTION("GOOGLETRANSLATE(B179, ""en"", ""ru"")"),"Драгоценность")</f>
        <v>Драгоценность</v>
      </c>
      <c r="F179" s="23" t="str">
        <f>IFERROR(__xludf.DUMMYFUNCTION("GOOGLETRANSLATE(B179, ""en"", ""tr"")"),"Mücevher")</f>
        <v>Mücevher</v>
      </c>
      <c r="G179" s="23" t="str">
        <f>IFERROR(__xludf.DUMMYFUNCTION("GOOGLETRANSLATE(B179, ""en"", ""pt"")"),"Gema")</f>
        <v>Gema</v>
      </c>
      <c r="H179" s="24" t="str">
        <f>IFERROR(__xludf.DUMMYFUNCTION("GOOGLETRANSLATE(B179, ""en"", ""de"")"),"Juwel")</f>
        <v>Juwel</v>
      </c>
      <c r="I179" s="23" t="str">
        <f>IFERROR(__xludf.DUMMYFUNCTION("GOOGLETRANSLATE(B179, ""en"", ""pl"")"),"Klejnot")</f>
        <v>Klejnot</v>
      </c>
      <c r="J179" s="25" t="str">
        <f>IFERROR(__xludf.DUMMYFUNCTION("GOOGLETRANSLATE(B179, ""en"", ""zh"")"),"宝石")</f>
        <v>宝石</v>
      </c>
      <c r="K179" s="25" t="str">
        <f>IFERROR(__xludf.DUMMYFUNCTION("GOOGLETRANSLATE(B179, ""en"", ""vi"")"),"Gem.")</f>
        <v>Gem.</v>
      </c>
      <c r="L179" s="26" t="str">
        <f>IFERROR(__xludf.DUMMYFUNCTION("GOOGLETRANSLATE(B179, ""en"", ""hr"")"),"Dragulj")</f>
        <v>Dragulj</v>
      </c>
      <c r="M179" s="28"/>
      <c r="N179" s="28"/>
      <c r="O179" s="28"/>
      <c r="P179" s="28"/>
      <c r="Q179" s="28"/>
      <c r="R179" s="28"/>
      <c r="S179" s="28"/>
      <c r="T179" s="28"/>
      <c r="U179" s="28"/>
      <c r="V179" s="28"/>
      <c r="W179" s="28"/>
      <c r="X179" s="28"/>
      <c r="Y179" s="28"/>
      <c r="Z179" s="28"/>
      <c r="AA179" s="28"/>
      <c r="AB179" s="28"/>
    </row>
    <row r="180">
      <c r="A180" s="21" t="s">
        <v>714</v>
      </c>
      <c r="B180" s="22" t="s">
        <v>715</v>
      </c>
      <c r="C180" s="23" t="str">
        <f>IFERROR(__xludf.DUMMYFUNCTION("GOOGLETRANSLATE(B180, ""en"", ""fr"")"),"Peut être chargé à un autel magique à l'aide de la gloire pour ajouter un effet élémentaire.")</f>
        <v>Peut être chargé à un autel magique à l'aide de la gloire pour ajouter un effet élémentaire.</v>
      </c>
      <c r="D180" s="23" t="str">
        <f>IFERROR(__xludf.DUMMYFUNCTION("GOOGLETRANSLATE(B180, ""en"", ""es"")"),"Se puede cargar en un altar mágico con gloria para agregar un efecto elemental.")</f>
        <v>Se puede cargar en un altar mágico con gloria para agregar un efecto elemental.</v>
      </c>
      <c r="E180" s="23" t="str">
        <f>IFERROR(__xludf.DUMMYFUNCTION("GOOGLETRANSLATE(B180,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80" s="23" t="str">
        <f>IFERROR(__xludf.DUMMYFUNCTION("GOOGLETRANSLATE(B180, ""en"", ""tr"")"),"Elemental bir etki eklemek için zafer kullanarak sihirli bir sunakta şarj edilebilir.")</f>
        <v>Elemental bir etki eklemek için zafer kullanarak sihirli bir sunakta şarj edilebilir.</v>
      </c>
      <c r="G180" s="23" t="str">
        <f>IFERROR(__xludf.DUMMYFUNCTION("GOOGLETRANSLATE(B180, ""en"", ""pt"")"),"Pode ser cobrado em um altar mágico usando glória para adicionar um efeito elementar.")</f>
        <v>Pode ser cobrado em um altar mágico usando glória para adicionar um efeito elementar.</v>
      </c>
      <c r="H180" s="24" t="str">
        <f>IFERROR(__xludf.DUMMYFUNCTION("GOOGLETRANSLATE(B180, ""en"", ""de"")"),"Kann in einem magischen Altar mit Ehre aufgeladen werden, um einen elementaren Effekt hinzuzufügen.")</f>
        <v>Kann in einem magischen Altar mit Ehre aufgeladen werden, um einen elementaren Effekt hinzuzufügen.</v>
      </c>
      <c r="I180" s="23" t="str">
        <f>IFERROR(__xludf.DUMMYFUNCTION("GOOGLETRANSLATE(B180, ""en"", ""pl"")"),"Może być ładowany w magicznym ołtarzu przy użyciu chwały, aby dodać efekt elementarny.")</f>
        <v>Może być ładowany w magicznym ołtarzu przy użyciu chwały, aby dodać efekt elementarny.</v>
      </c>
      <c r="J180" s="25" t="str">
        <f>IFERROR(__xludf.DUMMYFUNCTION("GOOGLETRANSLATE(B180, ""en"", ""zh"")"),"可以在魔术祭坛上充电，使用辉光添加元素效果。")</f>
        <v>可以在魔术祭坛上充电，使用辉光添加元素效果。</v>
      </c>
      <c r="K180" s="25" t="str">
        <f>IFERROR(__xludf.DUMMYFUNCTION("GOOGLETRANSLATE(B180, ""en"", ""vi"")"),"Có thể bị buộc tội tại một bàn thờ ma thuật sử dụng vinh quang để thêm một hiệu ứng nguyên tố.")</f>
        <v>Có thể bị buộc tội tại một bàn thờ ma thuật sử dụng vinh quang để thêm một hiệu ứng nguyên tố.</v>
      </c>
      <c r="L180" s="26" t="str">
        <f>IFERROR(__xludf.DUMMYFUNCTION("GOOGLETRANSLATE(B180, ""en"", ""hr"")"),"Može se naplaćivati ​​na čarobnom oltaru pomoću slave za dodavanje elementarnog učinka.")</f>
        <v>Može se naplaćivati ​​na čarobnom oltaru pomoću slave za dodavanje elementarnog učinka.</v>
      </c>
      <c r="M180" s="28"/>
      <c r="N180" s="28"/>
      <c r="O180" s="28"/>
      <c r="P180" s="28"/>
      <c r="Q180" s="28"/>
      <c r="R180" s="28"/>
      <c r="S180" s="28"/>
      <c r="T180" s="28"/>
      <c r="U180" s="28"/>
      <c r="V180" s="28"/>
      <c r="W180" s="28"/>
      <c r="X180" s="28"/>
      <c r="Y180" s="28"/>
      <c r="Z180" s="28"/>
      <c r="AA180" s="28"/>
      <c r="AB180" s="28"/>
    </row>
    <row r="181">
      <c r="A181" s="21" t="s">
        <v>716</v>
      </c>
      <c r="B181" s="22" t="s">
        <v>717</v>
      </c>
      <c r="C181" s="23" t="str">
        <f>IFERROR(__xludf.DUMMYFUNCTION("GOOGLETRANSLATE(B181, ""en"", ""fr"")"),"Gemme de feu")</f>
        <v>Gemme de feu</v>
      </c>
      <c r="D181" s="23" t="str">
        <f>IFERROR(__xludf.DUMMYFUNCTION("GOOGLETRANSLATE(B181, ""en"", ""es"")"),"Gema de fuego")</f>
        <v>Gema de fuego</v>
      </c>
      <c r="E181" s="23" t="str">
        <f>IFERROR(__xludf.DUMMYFUNCTION("GOOGLETRANSLATE(B181, ""en"", ""ru"")"),"Пожарная драгоценность")</f>
        <v>Пожарная драгоценность</v>
      </c>
      <c r="F181" s="23" t="str">
        <f>IFERROR(__xludf.DUMMYFUNCTION("GOOGLETRANSLATE(B181, ""en"", ""tr"")"),"Ateş mücevher")</f>
        <v>Ateş mücevher</v>
      </c>
      <c r="G181" s="23" t="str">
        <f>IFERROR(__xludf.DUMMYFUNCTION("GOOGLETRANSLATE(B181, ""en"", ""pt"")"),"Gema de fogo")</f>
        <v>Gema de fogo</v>
      </c>
      <c r="H181" s="24" t="str">
        <f>IFERROR(__xludf.DUMMYFUNCTION("GOOGLETRANSLATE(B181, ""en"", ""de"")"),"Feuerwein")</f>
        <v>Feuerwein</v>
      </c>
      <c r="I181" s="23" t="str">
        <f>IFERROR(__xludf.DUMMYFUNCTION("GOOGLETRANSLATE(B181, ""en"", ""pl"")"),"Gem ognia")</f>
        <v>Gem ognia</v>
      </c>
      <c r="J181" s="25" t="str">
        <f>IFERROR(__xludf.DUMMYFUNCTION("GOOGLETRANSLATE(B181, ""en"", ""zh"")"),"火宝石")</f>
        <v>火宝石</v>
      </c>
      <c r="K181" s="25" t="str">
        <f>IFERROR(__xludf.DUMMYFUNCTION("GOOGLETRANSLATE(B181, ""en"", ""vi"")"),"Ngọc hỏa")</f>
        <v>Ngọc hỏa</v>
      </c>
      <c r="L181" s="26" t="str">
        <f>IFERROR(__xludf.DUMMYFUNCTION("GOOGLETRANSLATE(B181, ""en"", ""hr"")"),"Vatra")</f>
        <v>Vatra</v>
      </c>
      <c r="M181" s="28"/>
      <c r="N181" s="28"/>
      <c r="O181" s="28"/>
      <c r="P181" s="28"/>
      <c r="Q181" s="28"/>
      <c r="R181" s="28"/>
      <c r="S181" s="28"/>
      <c r="T181" s="28"/>
      <c r="U181" s="28"/>
      <c r="V181" s="28"/>
      <c r="W181" s="28"/>
      <c r="X181" s="28"/>
      <c r="Y181" s="28"/>
      <c r="Z181" s="28"/>
      <c r="AA181" s="28"/>
      <c r="AB181" s="28"/>
    </row>
    <row r="182">
      <c r="A182" s="21" t="s">
        <v>718</v>
      </c>
      <c r="B182" s="22" t="s">
        <v>719</v>
      </c>
      <c r="C182" s="23" t="str">
        <f>IFERROR(__xludf.DUMMYFUNCTION("GOOGLETRANSLATE(B182, ""en"", ""fr"")"),"Utilisé pour fabriquer des objets avec un effet de feu.")</f>
        <v>Utilisé pour fabriquer des objets avec un effet de feu.</v>
      </c>
      <c r="D182" s="23" t="str">
        <f>IFERROR(__xludf.DUMMYFUNCTION("GOOGLETRANSLATE(B182, ""en"", ""es"")"),"Se utiliza para crear artículos con un efecto de incendio.")</f>
        <v>Se utiliza para crear artículos con un efecto de incendio.</v>
      </c>
      <c r="E182" s="23" t="str">
        <f>IFERROR(__xludf.DUMMYFUNCTION("GOOGLETRANSLATE(B182, ""en"", ""ru"")"),"Используется для создания предметов с пожарным эффектом.")</f>
        <v>Используется для создания предметов с пожарным эффектом.</v>
      </c>
      <c r="F182" s="23" t="str">
        <f>IFERROR(__xludf.DUMMYFUNCTION("GOOGLETRANSLATE(B182, ""en"", ""tr"")"),"Yangın etkisi olan eşyaları zanaat etmek için kullanılır.")</f>
        <v>Yangın etkisi olan eşyaları zanaat etmek için kullanılır.</v>
      </c>
      <c r="G182" s="23" t="str">
        <f>IFERROR(__xludf.DUMMYFUNCTION("GOOGLETRANSLATE(B182, ""en"", ""pt"")"),"Usado para artesanais com efeito de incêndio.")</f>
        <v>Usado para artesanais com efeito de incêndio.</v>
      </c>
      <c r="H182" s="24" t="str">
        <f>IFERROR(__xludf.DUMMYFUNCTION("GOOGLETRANSLATE(B182, ""en"", ""de"")"),"Verwendet, um Gegenstände mit einem Brandwirkung zu erzeugen.")</f>
        <v>Verwendet, um Gegenstände mit einem Brandwirkung zu erzeugen.</v>
      </c>
      <c r="I182" s="23" t="str">
        <f>IFERROR(__xludf.DUMMYFUNCTION("GOOGLETRANSLATE(B182, ""en"", ""pl"")"),"Używane do rzemiosła przedmiotów z efektem pożarowym.")</f>
        <v>Używane do rzemiosła przedmiotów z efektem pożarowym.</v>
      </c>
      <c r="J182" s="25" t="str">
        <f>IFERROR(__xludf.DUMMYFUNCTION("GOOGLETRANSLATE(B182, ""en"", ""zh"")"),"用来用火效效果来制作物品。")</f>
        <v>用来用火效效果来制作物品。</v>
      </c>
      <c r="K182" s="25" t="str">
        <f>IFERROR(__xludf.DUMMYFUNCTION("GOOGLETRANSLATE(B182, ""en"", ""vi"")"),"Được sử dụng để thủ công các vật phẩm có hiệu ứng hỏa hoạn.")</f>
        <v>Được sử dụng để thủ công các vật phẩm có hiệu ứng hỏa hoạn.</v>
      </c>
      <c r="L182" s="26" t="str">
        <f>IFERROR(__xludf.DUMMYFUNCTION("GOOGLETRANSLATE(B182, ""en"", ""hr"")"),"Koristi se za obrt stavke s efektom požara.")</f>
        <v>Koristi se za obrt stavke s efektom požara.</v>
      </c>
      <c r="M182" s="28"/>
      <c r="N182" s="28"/>
      <c r="O182" s="28"/>
      <c r="P182" s="28"/>
      <c r="Q182" s="28"/>
      <c r="R182" s="28"/>
      <c r="S182" s="28"/>
      <c r="T182" s="28"/>
      <c r="U182" s="28"/>
      <c r="V182" s="28"/>
      <c r="W182" s="28"/>
      <c r="X182" s="28"/>
      <c r="Y182" s="28"/>
      <c r="Z182" s="28"/>
      <c r="AA182" s="28"/>
      <c r="AB182" s="28"/>
    </row>
    <row r="183">
      <c r="A183" s="21" t="s">
        <v>720</v>
      </c>
      <c r="B183" s="22" t="s">
        <v>721</v>
      </c>
      <c r="C183" s="23" t="str">
        <f>IFERROR(__xludf.DUMMYFUNCTION("GOOGLETRANSLATE(B183, ""en"", ""fr"")"),"Flamme éternelle")</f>
        <v>Flamme éternelle</v>
      </c>
      <c r="D183" s="23" t="str">
        <f>IFERROR(__xludf.DUMMYFUNCTION("GOOGLETRANSLATE(B183, ""en"", ""es"")"),"Llama eterna")</f>
        <v>Llama eterna</v>
      </c>
      <c r="E183" s="23" t="str">
        <f>IFERROR(__xludf.DUMMYFUNCTION("GOOGLETRANSLATE(B183, ""en"", ""ru"")"),"Вечный огонь")</f>
        <v>Вечный огонь</v>
      </c>
      <c r="F183" s="23" t="str">
        <f>IFERROR(__xludf.DUMMYFUNCTION("GOOGLETRANSLATE(B183, ""en"", ""tr"")"),"Ebedi Alev")</f>
        <v>Ebedi Alev</v>
      </c>
      <c r="G183" s="23" t="str">
        <f>IFERROR(__xludf.DUMMYFUNCTION("GOOGLETRANSLATE(B183, ""en"", ""pt"")"),"Chama eterna")</f>
        <v>Chama eterna</v>
      </c>
      <c r="H183" s="24" t="str">
        <f>IFERROR(__xludf.DUMMYFUNCTION("GOOGLETRANSLATE(B183, ""en"", ""de"")"),"Ewige Flamme")</f>
        <v>Ewige Flamme</v>
      </c>
      <c r="I183" s="23" t="str">
        <f>IFERROR(__xludf.DUMMYFUNCTION("GOOGLETRANSLATE(B183, ""en"", ""pl"")"),"Wieczny płomień")</f>
        <v>Wieczny płomień</v>
      </c>
      <c r="J183" s="25" t="str">
        <f>IFERROR(__xludf.DUMMYFUNCTION("GOOGLETRANSLATE(B183, ""en"", ""zh"")"),"永恒之火")</f>
        <v>永恒之火</v>
      </c>
      <c r="K183" s="25" t="str">
        <f>IFERROR(__xludf.DUMMYFUNCTION("GOOGLETRANSLATE(B183, ""en"", ""vi"")"),"Ngọn lửa vĩnh cửu")</f>
        <v>Ngọn lửa vĩnh cửu</v>
      </c>
      <c r="L183" s="26" t="str">
        <f>IFERROR(__xludf.DUMMYFUNCTION("GOOGLETRANSLATE(B183, ""en"", ""hr"")"),"Vječni plamen")</f>
        <v>Vječni plamen</v>
      </c>
      <c r="M183" s="28"/>
      <c r="N183" s="28"/>
      <c r="O183" s="28"/>
      <c r="P183" s="28"/>
      <c r="Q183" s="28"/>
      <c r="R183" s="28"/>
      <c r="S183" s="28"/>
      <c r="T183" s="28"/>
      <c r="U183" s="28"/>
      <c r="V183" s="28"/>
      <c r="W183" s="28"/>
      <c r="X183" s="28"/>
      <c r="Y183" s="28"/>
      <c r="Z183" s="28"/>
      <c r="AA183" s="28"/>
      <c r="AB183" s="28"/>
    </row>
    <row r="184">
      <c r="A184" s="21" t="s">
        <v>722</v>
      </c>
      <c r="B184" s="22" t="s">
        <v>723</v>
      </c>
      <c r="C184" s="23" t="str">
        <f>IFERROR(__xludf.DUMMYFUNCTION("GOOGLETRANSLATE(B184, ""en"", ""fr"")"),"Une essence de feu volée du monde souterrain qui peut brûler pour toujours.")</f>
        <v>Une essence de feu volée du monde souterrain qui peut brûler pour toujours.</v>
      </c>
      <c r="D184" s="23" t="str">
        <f>IFERROR(__xludf.DUMMYFUNCTION("GOOGLETRANSLATE(B184, ""en"", ""es"")"),"Una esencia de fuego robada del inframundo que puede quemar para siempre.")</f>
        <v>Una esencia de fuego robada del inframundo que puede quemar para siempre.</v>
      </c>
      <c r="E184" s="23" t="str">
        <f>IFERROR(__xludf.DUMMYFUNCTION("GOOGLETRANSLATE(B184, ""en"", ""ru"")"),"Суть огня украдена от подземного мира, который может гореть вечно.")</f>
        <v>Суть огня украдена от подземного мира, который может гореть вечно.</v>
      </c>
      <c r="F184" s="23" t="str">
        <f>IFERROR(__xludf.DUMMYFUNCTION("GOOGLETRANSLATE(B184, ""en"", ""tr"")"),"Sonsuza dek yakabilen yeraltı dünyasından çalınan bir esans.")</f>
        <v>Sonsuza dek yakabilen yeraltı dünyasından çalınan bir esans.</v>
      </c>
      <c r="G184" s="23" t="str">
        <f>IFERROR(__xludf.DUMMYFUNCTION("GOOGLETRANSLATE(B184, ""en"", ""pt"")"),"Uma essência de fogo roubado do submundo que pode queimar para sempre.")</f>
        <v>Uma essência de fogo roubado do submundo que pode queimar para sempre.</v>
      </c>
      <c r="H184" s="24" t="str">
        <f>IFERROR(__xludf.DUMMYFUNCTION("GOOGLETRANSLATE(B184, ""en"", ""de"")"),"Ein Wesen des Feuers, das aus der Unterwelt gestohlen wurde, die für immer verbrennen kann.")</f>
        <v>Ein Wesen des Feuers, das aus der Unterwelt gestohlen wurde, die für immer verbrennen kann.</v>
      </c>
      <c r="I184" s="23" t="str">
        <f>IFERROR(__xludf.DUMMYFUNCTION("GOOGLETRANSLATE(B184, ""en"", ""pl"")"),"Istota pożaru skradziona z podziemia, która może palić na zawsze.")</f>
        <v>Istota pożaru skradziona z podziemia, która może palić na zawsze.</v>
      </c>
      <c r="J184" s="25" t="str">
        <f>IFERROR(__xludf.DUMMYFUNCTION("GOOGLETRANSLATE(B184, ""en"", ""zh"")"),"从黑社会中偷了火焰的精髓，可以永远燃烧。")</f>
        <v>从黑社会中偷了火焰的精髓，可以永远燃烧。</v>
      </c>
      <c r="K184" s="25" t="str">
        <f>IFERROR(__xludf.DUMMYFUNCTION("GOOGLETRANSLATE(B184, ""en"", ""vi"")"),"Một bản chất của lửa bị đánh cắp từ thế giới ngầm có thể đốt cháy mãi mãi.")</f>
        <v>Một bản chất của lửa bị đánh cắp từ thế giới ngầm có thể đốt cháy mãi mãi.</v>
      </c>
      <c r="L184" s="26" t="str">
        <f>IFERROR(__xludf.DUMMYFUNCTION("GOOGLETRANSLATE(B184, ""en"", ""hr"")"),"Suština požara ukradena iz podzemlja koja može zauvijek spaliti.")</f>
        <v>Suština požara ukradena iz podzemlja koja može zauvijek spaliti.</v>
      </c>
      <c r="M184" s="28"/>
      <c r="N184" s="28"/>
      <c r="O184" s="28"/>
      <c r="P184" s="28"/>
      <c r="Q184" s="28"/>
      <c r="R184" s="28"/>
      <c r="S184" s="28"/>
      <c r="T184" s="28"/>
      <c r="U184" s="28"/>
      <c r="V184" s="28"/>
      <c r="W184" s="28"/>
      <c r="X184" s="28"/>
      <c r="Y184" s="28"/>
      <c r="Z184" s="28"/>
      <c r="AA184" s="28"/>
      <c r="AB184" s="28"/>
    </row>
    <row r="185">
      <c r="A185" s="21" t="s">
        <v>724</v>
      </c>
      <c r="B185" s="22" t="s">
        <v>725</v>
      </c>
      <c r="C185" s="23" t="str">
        <f>IFERROR(__xludf.DUMMYFUNCTION("GOOGLETRANSLATE(B185, ""en"", ""fr"")"),"Gemme de vent")</f>
        <v>Gemme de vent</v>
      </c>
      <c r="D185" s="23" t="str">
        <f>IFERROR(__xludf.DUMMYFUNCTION("GOOGLETRANSLATE(B185, ""en"", ""es"")"),"Gema del viento")</f>
        <v>Gema del viento</v>
      </c>
      <c r="E185" s="23" t="str">
        <f>IFERROR(__xludf.DUMMYFUNCTION("GOOGLETRANSLATE(B185, ""en"", ""ru"")"),"Ветер драгоценный")</f>
        <v>Ветер драгоценный</v>
      </c>
      <c r="F185" s="23" t="str">
        <f>IFERROR(__xludf.DUMMYFUNCTION("GOOGLETRANSLATE(B185, ""en"", ""tr"")"),"Rüzgâr mücevher")</f>
        <v>Rüzgâr mücevher</v>
      </c>
      <c r="G185" s="23" t="str">
        <f>IFERROR(__xludf.DUMMYFUNCTION("GOOGLETRANSLATE(B185, ""en"", ""pt"")"),"Jóia eólica")</f>
        <v>Jóia eólica</v>
      </c>
      <c r="H185" s="24" t="str">
        <f>IFERROR(__xludf.DUMMYFUNCTION("GOOGLETRANSLATE(B185, ""en"", ""de"")"),"Windseih")</f>
        <v>Windseih</v>
      </c>
      <c r="I185" s="23" t="str">
        <f>IFERROR(__xludf.DUMMYFUNCTION("GOOGLETRANSLATE(B185, ""en"", ""pl"")"),"Wiatrowy klejnot")</f>
        <v>Wiatrowy klejnot</v>
      </c>
      <c r="J185" s="25" t="str">
        <f>IFERROR(__xludf.DUMMYFUNCTION("GOOGLETRANSLATE(B185, ""en"", ""zh"")"),"风宝石")</f>
        <v>风宝石</v>
      </c>
      <c r="K185" s="25" t="str">
        <f>IFERROR(__xludf.DUMMYFUNCTION("GOOGLETRANSLATE(B185, ""en"", ""vi"")"),"Gem Gem.")</f>
        <v>Gem Gem.</v>
      </c>
      <c r="L185" s="26" t="str">
        <f>IFERROR(__xludf.DUMMYFUNCTION("GOOGLETRANSLATE(B185, ""en"", ""hr"")"),"Vjetar")</f>
        <v>Vjetar</v>
      </c>
      <c r="M185" s="28"/>
      <c r="N185" s="28"/>
      <c r="O185" s="28"/>
      <c r="P185" s="28"/>
      <c r="Q185" s="28"/>
      <c r="R185" s="28"/>
      <c r="S185" s="28"/>
      <c r="T185" s="28"/>
      <c r="U185" s="28"/>
      <c r="V185" s="28"/>
      <c r="W185" s="28"/>
      <c r="X185" s="28"/>
      <c r="Y185" s="28"/>
      <c r="Z185" s="28"/>
      <c r="AA185" s="28"/>
      <c r="AB185" s="28"/>
    </row>
    <row r="186">
      <c r="A186" s="21" t="s">
        <v>726</v>
      </c>
      <c r="B186" s="22" t="s">
        <v>727</v>
      </c>
      <c r="C186" s="23" t="str">
        <f>IFERROR(__xludf.DUMMYFUNCTION("GOOGLETRANSLATE(B186, ""en"", ""fr"")"),"Utilisé pour fabriquer des objets avec un effet de vent.")</f>
        <v>Utilisé pour fabriquer des objets avec un effet de vent.</v>
      </c>
      <c r="D186" s="23" t="str">
        <f>IFERROR(__xludf.DUMMYFUNCTION("GOOGLETRANSLATE(B186, ""en"", ""es"")"),"Se utiliza para crear artículos con un efecto eólico.")</f>
        <v>Se utiliza para crear artículos con un efecto eólico.</v>
      </c>
      <c r="E186" s="23" t="str">
        <f>IFERROR(__xludf.DUMMYFUNCTION("GOOGLETRANSLATE(B186, ""en"", ""ru"")"),"Используется для создания предметов с эффектом ветра.")</f>
        <v>Используется для создания предметов с эффектом ветра.</v>
      </c>
      <c r="F186" s="23" t="str">
        <f>IFERROR(__xludf.DUMMYFUNCTION("GOOGLETRANSLATE(B186, ""en"", ""tr"")"),"Rüzgar etkisi olan eşyaları zanaat etmek için kullanılır.")</f>
        <v>Rüzgar etkisi olan eşyaları zanaat etmek için kullanılır.</v>
      </c>
      <c r="G186" s="23" t="str">
        <f>IFERROR(__xludf.DUMMYFUNCTION("GOOGLETRANSLATE(B186, ""en"", ""pt"")"),"Usado para artesanais com efeito de vento.")</f>
        <v>Usado para artesanais com efeito de vento.</v>
      </c>
      <c r="H186" s="24" t="str">
        <f>IFERROR(__xludf.DUMMYFUNCTION("GOOGLETRANSLATE(B186, ""en"", ""de"")"),"Verwendet, um Gegenstände mit einem Wind-Effekt zu erzeugen.")</f>
        <v>Verwendet, um Gegenstände mit einem Wind-Effekt zu erzeugen.</v>
      </c>
      <c r="I186" s="23" t="str">
        <f>IFERROR(__xludf.DUMMYFUNCTION("GOOGLETRANSLATE(B186, ""en"", ""pl"")"),"Używany do rzemieślniczych przedmiotów z efektem wiatru.")</f>
        <v>Używany do rzemieślniczych przedmiotów z efektem wiatru.</v>
      </c>
      <c r="J186" s="25" t="str">
        <f>IFERROR(__xludf.DUMMYFUNCTION("GOOGLETRANSLATE(B186, ""en"", ""zh"")"),"用来用风效应制作物品。")</f>
        <v>用来用风效应制作物品。</v>
      </c>
      <c r="K186" s="25" t="str">
        <f>IFERROR(__xludf.DUMMYFUNCTION("GOOGLETRANSLATE(B186, ""en"", ""vi"")"),"Được sử dụng để thủ công các mặt hàng với một hiệu ứng gió.")</f>
        <v>Được sử dụng để thủ công các mặt hàng với một hiệu ứng gió.</v>
      </c>
      <c r="L186" s="26" t="str">
        <f>IFERROR(__xludf.DUMMYFUNCTION("GOOGLETRANSLATE(B186, ""en"", ""hr"")"),"Koristi se za obrt stavke s vjetrom.")</f>
        <v>Koristi se za obrt stavke s vjetrom.</v>
      </c>
      <c r="M186" s="28"/>
      <c r="N186" s="28"/>
      <c r="O186" s="28"/>
      <c r="P186" s="28"/>
      <c r="Q186" s="28"/>
      <c r="R186" s="28"/>
      <c r="S186" s="28"/>
      <c r="T186" s="28"/>
      <c r="U186" s="28"/>
      <c r="V186" s="28"/>
      <c r="W186" s="28"/>
      <c r="X186" s="28"/>
      <c r="Y186" s="28"/>
      <c r="Z186" s="28"/>
      <c r="AA186" s="28"/>
      <c r="AB186" s="28"/>
    </row>
    <row r="187">
      <c r="A187" s="21" t="s">
        <v>728</v>
      </c>
      <c r="B187" s="22" t="s">
        <v>729</v>
      </c>
      <c r="C187" s="23" t="str">
        <f>IFERROR(__xludf.DUMMYFUNCTION("GOOGLETRANSLATE(B187, ""en"", ""fr"")"),"L'œil du cyclone")</f>
        <v>L'œil du cyclone</v>
      </c>
      <c r="D187" s="23" t="str">
        <f>IFERROR(__xludf.DUMMYFUNCTION("GOOGLETRANSLATE(B187, ""en"", ""es"")"),"Ojo de la tormenta")</f>
        <v>Ojo de la tormenta</v>
      </c>
      <c r="E187" s="23" t="str">
        <f>IFERROR(__xludf.DUMMYFUNCTION("GOOGLETRANSLATE(B187, ""en"", ""ru"")"),"Центр урагана")</f>
        <v>Центр урагана</v>
      </c>
      <c r="F187" s="23" t="str">
        <f>IFERROR(__xludf.DUMMYFUNCTION("GOOGLETRANSLATE(B187, ""en"", ""tr"")"),"Fırtınanın gözü")</f>
        <v>Fırtınanın gözü</v>
      </c>
      <c r="G187" s="23" t="str">
        <f>IFERROR(__xludf.DUMMYFUNCTION("GOOGLETRANSLATE(B187, ""en"", ""pt"")"),"Olho da tempestade")</f>
        <v>Olho da tempestade</v>
      </c>
      <c r="H187" s="24" t="str">
        <f>IFERROR(__xludf.DUMMYFUNCTION("GOOGLETRANSLATE(B187, ""en"", ""de"")"),"Das Auge des Sturms")</f>
        <v>Das Auge des Sturms</v>
      </c>
      <c r="I187" s="23" t="str">
        <f>IFERROR(__xludf.DUMMYFUNCTION("GOOGLETRANSLATE(B187, ""en"", ""pl"")"),"Oko cyklonu")</f>
        <v>Oko cyklonu</v>
      </c>
      <c r="J187" s="25" t="str">
        <f>IFERROR(__xludf.DUMMYFUNCTION("GOOGLETRANSLATE(B187, ""en"", ""zh"")"),"风暴之眼")</f>
        <v>风暴之眼</v>
      </c>
      <c r="K187" s="25" t="str">
        <f>IFERROR(__xludf.DUMMYFUNCTION("GOOGLETRANSLATE(B187, ""en"", ""vi"")"),"Mắt Bão")</f>
        <v>Mắt Bão</v>
      </c>
      <c r="L187" s="26" t="str">
        <f>IFERROR(__xludf.DUMMYFUNCTION("GOOGLETRANSLATE(B187, ""en"", ""hr"")"),"Oko oluje")</f>
        <v>Oko oluje</v>
      </c>
      <c r="M187" s="28"/>
      <c r="N187" s="28"/>
      <c r="O187" s="28"/>
      <c r="P187" s="28"/>
      <c r="Q187" s="28"/>
      <c r="R187" s="28"/>
      <c r="S187" s="28"/>
      <c r="T187" s="28"/>
      <c r="U187" s="28"/>
      <c r="V187" s="28"/>
      <c r="W187" s="28"/>
      <c r="X187" s="28"/>
      <c r="Y187" s="28"/>
      <c r="Z187" s="28"/>
      <c r="AA187" s="28"/>
      <c r="AB187" s="28"/>
    </row>
    <row r="188">
      <c r="A188" s="21" t="s">
        <v>730</v>
      </c>
      <c r="B188" s="22" t="s">
        <v>731</v>
      </c>
      <c r="C188" s="23" t="str">
        <f>IFERROR(__xludf.DUMMYFUNCTION("GOOGLETRANSLATE(B188, ""en"", ""fr"")"),"La force d'un ouragan contenait dans un petit gemme.")</f>
        <v>La force d'un ouragan contenait dans un petit gemme.</v>
      </c>
      <c r="D188" s="23" t="str">
        <f>IFERROR(__xludf.DUMMYFUNCTION("GOOGLETRANSLATE(B188, ""en"", ""es"")"),"La fuerza de un huracán contenida dentro de una pequeña gema.")</f>
        <v>La fuerza de un huracán contenida dentro de una pequeña gema.</v>
      </c>
      <c r="E188" s="23" t="str">
        <f>IFERROR(__xludf.DUMMYFUNCTION("GOOGLETRANSLATE(B188, ""en"", ""ru"")"),"Сила урагана, содержащаяся в маленьком жеребене.")</f>
        <v>Сила урагана, содержащаяся в маленьком жеребене.</v>
      </c>
      <c r="F188" s="23" t="str">
        <f>IFERROR(__xludf.DUMMYFUNCTION("GOOGLETRANSLATE(B188, ""en"", ""tr"")"),"Küçük bir mücevher içinde bulunan bir kasırganın gücü.")</f>
        <v>Küçük bir mücevher içinde bulunan bir kasırganın gücü.</v>
      </c>
      <c r="G188" s="23" t="str">
        <f>IFERROR(__xludf.DUMMYFUNCTION("GOOGLETRANSLATE(B188, ""en"", ""pt"")"),"A força de um furacão contido dentro de uma pequena jóia.")</f>
        <v>A força de um furacão contido dentro de uma pequena jóia.</v>
      </c>
      <c r="H188" s="24" t="str">
        <f>IFERROR(__xludf.DUMMYFUNCTION("GOOGLETRANSLATE(B188, ""en"", ""de"")"),"Die Kraft eines Hurrikanes, der in einem kleinen Juwel enthalten ist.")</f>
        <v>Die Kraft eines Hurrikanes, der in einem kleinen Juwel enthalten ist.</v>
      </c>
      <c r="I188" s="23" t="str">
        <f>IFERROR(__xludf.DUMMYFUNCTION("GOOGLETRANSLATE(B188, ""en"", ""pl"")"),"Siła huraganu zawarta w małym klejnonie.")</f>
        <v>Siła huraganu zawarta w małym klejnonie.</v>
      </c>
      <c r="J188" s="25" t="str">
        <f>IFERROR(__xludf.DUMMYFUNCTION("GOOGLETRANSLATE(B188, ""en"", ""zh"")"),"飓风中含有小宝石的力量。")</f>
        <v>飓风中含有小宝石的力量。</v>
      </c>
      <c r="K188" s="25" t="str">
        <f>IFERROR(__xludf.DUMMYFUNCTION("GOOGLETRANSLATE(B188, ""en"", ""vi"")"),"Lực của một cơn bão chứa trong một viên đá quý nhỏ.")</f>
        <v>Lực của một cơn bão chứa trong một viên đá quý nhỏ.</v>
      </c>
      <c r="L188" s="26" t="str">
        <f>IFERROR(__xludf.DUMMYFUNCTION("GOOGLETRANSLATE(B188, ""en"", ""hr"")"),"Sila uragana sadržavala je unutar malog dragulja.")</f>
        <v>Sila uragana sadržavala je unutar malog dragulja.</v>
      </c>
      <c r="M188" s="28"/>
      <c r="N188" s="28"/>
      <c r="O188" s="28"/>
      <c r="P188" s="28"/>
      <c r="Q188" s="28"/>
      <c r="R188" s="28"/>
      <c r="S188" s="28"/>
      <c r="T188" s="28"/>
      <c r="U188" s="28"/>
      <c r="V188" s="28"/>
      <c r="W188" s="28"/>
      <c r="X188" s="28"/>
      <c r="Y188" s="28"/>
      <c r="Z188" s="28"/>
      <c r="AA188" s="28"/>
      <c r="AB188" s="28"/>
    </row>
    <row r="189">
      <c r="A189" s="21" t="s">
        <v>732</v>
      </c>
      <c r="B189" s="22" t="s">
        <v>733</v>
      </c>
      <c r="C189" s="23" t="str">
        <f>IFERROR(__xludf.DUMMYFUNCTION("GOOGLETRANSLATE(B189, ""en"", ""fr"")"),"Gemme de sang")</f>
        <v>Gemme de sang</v>
      </c>
      <c r="D189" s="23" t="str">
        <f>IFERROR(__xludf.DUMMYFUNCTION("GOOGLETRANSLATE(B189, ""en"", ""es"")"),"Gema de sangre")</f>
        <v>Gema de sangre</v>
      </c>
      <c r="E189" s="23" t="str">
        <f>IFERROR(__xludf.DUMMYFUNCTION("GOOGLETRANSLATE(B189, ""en"", ""ru"")"),"Кровная драгоценность")</f>
        <v>Кровная драгоценность</v>
      </c>
      <c r="F189" s="23" t="str">
        <f>IFERROR(__xludf.DUMMYFUNCTION("GOOGLETRANSLATE(B189, ""en"", ""tr"")"),"Kan Gem")</f>
        <v>Kan Gem</v>
      </c>
      <c r="G189" s="23" t="str">
        <f>IFERROR(__xludf.DUMMYFUNCTION("GOOGLETRANSLATE(B189, ""en"", ""pt"")"),"Gema do Sangue")</f>
        <v>Gema do Sangue</v>
      </c>
      <c r="H189" s="24" t="str">
        <f>IFERROR(__xludf.DUMMYFUNCTION("GOOGLETRANSLATE(B189, ""en"", ""de"")"),"Blutsohle")</f>
        <v>Blutsohle</v>
      </c>
      <c r="I189" s="23" t="str">
        <f>IFERROR(__xludf.DUMMYFUNCTION("GOOGLETRANSLATE(B189, ""en"", ""pl"")"),"Klejnot krwi")</f>
        <v>Klejnot krwi</v>
      </c>
      <c r="J189" s="25" t="str">
        <f>IFERROR(__xludf.DUMMYFUNCTION("GOOGLETRANSLATE(B189, ""en"", ""zh"")"),"血宝石")</f>
        <v>血宝石</v>
      </c>
      <c r="K189" s="25" t="str">
        <f>IFERROR(__xludf.DUMMYFUNCTION("GOOGLETRANSLATE(B189, ""en"", ""vi"")"),"Đá quý máu")</f>
        <v>Đá quý máu</v>
      </c>
      <c r="L189" s="26" t="str">
        <f>IFERROR(__xludf.DUMMYFUNCTION("GOOGLETRANSLATE(B189, ""en"", ""hr"")"),"Krvni dragulj")</f>
        <v>Krvni dragulj</v>
      </c>
      <c r="M189" s="28"/>
      <c r="N189" s="28"/>
      <c r="O189" s="28"/>
      <c r="P189" s="28"/>
      <c r="Q189" s="28"/>
      <c r="R189" s="28"/>
      <c r="S189" s="28"/>
      <c r="T189" s="28"/>
      <c r="U189" s="28"/>
      <c r="V189" s="28"/>
      <c r="W189" s="28"/>
      <c r="X189" s="28"/>
      <c r="Y189" s="28"/>
      <c r="Z189" s="28"/>
      <c r="AA189" s="28"/>
      <c r="AB189" s="28"/>
    </row>
    <row r="190">
      <c r="A190" s="21" t="s">
        <v>734</v>
      </c>
      <c r="B190" s="22" t="s">
        <v>735</v>
      </c>
      <c r="C190" s="23" t="str">
        <f>IFERROR(__xludf.DUMMYFUNCTION("GOOGLETRANSLATE(B190, ""en"", ""fr"")"),"Utilisé pour fabriquer des objets avec un effet de vie.")</f>
        <v>Utilisé pour fabriquer des objets avec un effet de vie.</v>
      </c>
      <c r="D190" s="23" t="str">
        <f>IFERROR(__xludf.DUMMYFUNCTION("GOOGLETRANSLATE(B190, ""en"", ""es"")"),"Se utiliza para crear artículos con un efecto de vida.")</f>
        <v>Se utiliza para crear artículos con un efecto de vida.</v>
      </c>
      <c r="E190" s="23" t="str">
        <f>IFERROR(__xludf.DUMMYFUNCTION("GOOGLETRANSLATE(B190, ""en"", ""ru"")"),"Используется для создания предметов с эффектом жизни.")</f>
        <v>Используется для создания предметов с эффектом жизни.</v>
      </c>
      <c r="F190" s="23" t="str">
        <f>IFERROR(__xludf.DUMMYFUNCTION("GOOGLETRANSLATE(B190, ""en"", ""tr"")"),"Bir yaşam etkisi olan eşyaları zanaat etmek için kullanılır.")</f>
        <v>Bir yaşam etkisi olan eşyaları zanaat etmek için kullanılır.</v>
      </c>
      <c r="G190" s="23" t="str">
        <f>IFERROR(__xludf.DUMMYFUNCTION("GOOGLETRANSLATE(B190, ""en"", ""pt"")"),"Usado para artesanais com efeito de vida.")</f>
        <v>Usado para artesanais com efeito de vida.</v>
      </c>
      <c r="H190" s="24" t="str">
        <f>IFERROR(__xludf.DUMMYFUNCTION("GOOGLETRANSLATE(B190, ""en"", ""de"")"),"Verwendet, um Gegenstände mit einem lebenslangen Effekt zu erzeugen.")</f>
        <v>Verwendet, um Gegenstände mit einem lebenslangen Effekt zu erzeugen.</v>
      </c>
      <c r="I190" s="23" t="str">
        <f>IFERROR(__xludf.DUMMYFUNCTION("GOOGLETRANSLATE(B190, ""en"", ""pl"")"),"Używany do rzemieślniczych przedmiotów z efektem życia.")</f>
        <v>Używany do rzemieślniczych przedmiotów z efektem życia.</v>
      </c>
      <c r="J190" s="25" t="str">
        <f>IFERROR(__xludf.DUMMYFUNCTION("GOOGLETRANSLATE(B190, ""en"", ""zh"")"),"用来用生活效应来制作物品。")</f>
        <v>用来用生活效应来制作物品。</v>
      </c>
      <c r="K190" s="25" t="str">
        <f>IFERROR(__xludf.DUMMYFUNCTION("GOOGLETRANSLATE(B190, ""en"", ""vi"")"),"Được sử dụng để thủ công các mặt hàng với một hiệu ứng sống.")</f>
        <v>Được sử dụng để thủ công các mặt hàng với một hiệu ứng sống.</v>
      </c>
      <c r="L190" s="26" t="str">
        <f>IFERROR(__xludf.DUMMYFUNCTION("GOOGLETRANSLATE(B190, ""en"", ""hr"")"),"Koristi se za obrt stavke s načinom života.")</f>
        <v>Koristi se za obrt stavke s načinom života.</v>
      </c>
      <c r="M190" s="28"/>
      <c r="N190" s="28"/>
      <c r="O190" s="28"/>
      <c r="P190" s="28"/>
      <c r="Q190" s="28"/>
      <c r="R190" s="28"/>
      <c r="S190" s="28"/>
      <c r="T190" s="28"/>
      <c r="U190" s="28"/>
      <c r="V190" s="28"/>
      <c r="W190" s="28"/>
      <c r="X190" s="28"/>
      <c r="Y190" s="28"/>
      <c r="Z190" s="28"/>
      <c r="AA190" s="28"/>
      <c r="AB190" s="28"/>
    </row>
    <row r="191">
      <c r="A191" s="21" t="s">
        <v>736</v>
      </c>
      <c r="B191" s="22" t="s">
        <v>737</v>
      </c>
      <c r="C191" s="23" t="str">
        <f>IFERROR(__xludf.DUMMYFUNCTION("GOOGLETRANSLATE(B191, ""en"", ""fr"")"),"Coeur de la montagne")</f>
        <v>Coeur de la montagne</v>
      </c>
      <c r="D191" s="23" t="str">
        <f>IFERROR(__xludf.DUMMYFUNCTION("GOOGLETRANSLATE(B191, ""en"", ""es"")"),"Corazón de la montaña")</f>
        <v>Corazón de la montaña</v>
      </c>
      <c r="E191" s="23" t="str">
        <f>IFERROR(__xludf.DUMMYFUNCTION("GOOGLETRANSLATE(B191, ""en"", ""ru"")"),"Сердце горы")</f>
        <v>Сердце горы</v>
      </c>
      <c r="F191" s="23" t="str">
        <f>IFERROR(__xludf.DUMMYFUNCTION("GOOGLETRANSLATE(B191, ""en"", ""tr"")"),"Dağın kalbi")</f>
        <v>Dağın kalbi</v>
      </c>
      <c r="G191" s="23" t="str">
        <f>IFERROR(__xludf.DUMMYFUNCTION("GOOGLETRANSLATE(B191, ""en"", ""pt"")"),"Coração da montanha")</f>
        <v>Coração da montanha</v>
      </c>
      <c r="H191" s="24" t="str">
        <f>IFERROR(__xludf.DUMMYFUNCTION("GOOGLETRANSLATE(B191, ""en"", ""de"")"),"Herz des Berges")</f>
        <v>Herz des Berges</v>
      </c>
      <c r="I191" s="23" t="str">
        <f>IFERROR(__xludf.DUMMYFUNCTION("GOOGLETRANSLATE(B191, ""en"", ""pl"")"),"Serce góry")</f>
        <v>Serce góry</v>
      </c>
      <c r="J191" s="25" t="str">
        <f>IFERROR(__xludf.DUMMYFUNCTION("GOOGLETRANSLATE(B191, ""en"", ""zh"")"),"mountain")</f>
        <v>mountain</v>
      </c>
      <c r="K191" s="25" t="str">
        <f>IFERROR(__xludf.DUMMYFUNCTION("GOOGLETRANSLATE(B191, ""en"", ""vi"")"),"Trái tim của ngọn núi")</f>
        <v>Trái tim của ngọn núi</v>
      </c>
      <c r="L191" s="26" t="str">
        <f>IFERROR(__xludf.DUMMYFUNCTION("GOOGLETRANSLATE(B191, ""en"", ""hr"")"),"Srce planine")</f>
        <v>Srce planine</v>
      </c>
      <c r="M191" s="28"/>
      <c r="N191" s="28"/>
      <c r="O191" s="28"/>
      <c r="P191" s="28"/>
      <c r="Q191" s="28"/>
      <c r="R191" s="28"/>
      <c r="S191" s="28"/>
      <c r="T191" s="28"/>
      <c r="U191" s="28"/>
      <c r="V191" s="28"/>
      <c r="W191" s="28"/>
      <c r="X191" s="28"/>
      <c r="Y191" s="28"/>
      <c r="Z191" s="28"/>
      <c r="AA191" s="28"/>
      <c r="AB191" s="28"/>
    </row>
    <row r="192">
      <c r="A192" s="21" t="s">
        <v>738</v>
      </c>
      <c r="B192" s="22" t="s">
        <v>739</v>
      </c>
      <c r="C192" s="23" t="str">
        <f>IFERROR(__xludf.DUMMYFUNCTION("GOOGLETRANSLATE(B192, ""en"", ""fr"")"),"Une anomalie géologique qui soulève un terrain au-dessus, créant des montagnes artificielles.")</f>
        <v>Une anomalie géologique qui soulève un terrain au-dessus, créant des montagnes artificielles.</v>
      </c>
      <c r="D192" s="23" t="str">
        <f>IFERROR(__xludf.DUMMYFUNCTION("GOOGLETRANSLATE(B192, ""en"", ""es"")"),"Una anomalía geológica que eleva cualquier suelo por encima de él, creando montañas artificiales.")</f>
        <v>Una anomalía geológica que eleva cualquier suelo por encima de él, creando montañas artificiales.</v>
      </c>
      <c r="E192" s="23" t="str">
        <f>IFERROR(__xludf.DUMMYFUNCTION("GOOGLETRANSLATE(B192,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92" s="23" t="str">
        <f>IFERROR(__xludf.DUMMYFUNCTION("GOOGLETRANSLATE(B192, ""en"", ""tr"")"),"Yukarıda herhangi bir zemin yaratan jeolojik bir anomali, yapay dağlar yaratır.")</f>
        <v>Yukarıda herhangi bir zemin yaratan jeolojik bir anomali, yapay dağlar yaratır.</v>
      </c>
      <c r="G192" s="23" t="str">
        <f>IFERROR(__xludf.DUMMYFUNCTION("GOOGLETRANSLATE(B192, ""en"", ""pt"")"),"Uma anomalia geológica que levanta qualquer terra acima, criando montanhas artificiais.")</f>
        <v>Uma anomalia geológica que levanta qualquer terra acima, criando montanhas artificiais.</v>
      </c>
      <c r="H192" s="24" t="str">
        <f>IFERROR(__xludf.DUMMYFUNCTION("GOOGLETRANSLATE(B192, ""en"", ""de"")"),"Eine geologische Anomalie, die jeden Boden darüber erhöht, künstliche Berge erzeugt.")</f>
        <v>Eine geologische Anomalie, die jeden Boden darüber erhöht, künstliche Berge erzeugt.</v>
      </c>
      <c r="I192" s="23" t="str">
        <f>IFERROR(__xludf.DUMMYFUNCTION("GOOGLETRANSLATE(B192, ""en"", ""pl"")"),"Anomalia geologiczna, która podnosi jakąkolwiek ziemię, tworząc sztuczne góry.")</f>
        <v>Anomalia geologiczna, która podnosi jakąkolwiek ziemię, tworząc sztuczne góry.</v>
      </c>
      <c r="J192" s="25" t="str">
        <f>IFERROR(__xludf.DUMMYFUNCTION("GOOGLETRANSLATE(B192, ""en"", ""zh"")"),"一个地质异常，在它上面提出任何地面，创造人造山脉。")</f>
        <v>一个地质异常，在它上面提出任何地面，创造人造山脉。</v>
      </c>
      <c r="K192" s="25" t="str">
        <f>IFERROR(__xludf.DUMMYFUNCTION("GOOGLETRANSLATE(B192, ""en"", ""vi"")"),"Một dị thường địa chất tăng bất kỳ mặt đất nào trên nó, tạo ra những ngọn núi nhân tạo.")</f>
        <v>Một dị thường địa chất tăng bất kỳ mặt đất nào trên nó, tạo ra những ngọn núi nhân tạo.</v>
      </c>
      <c r="L192" s="26" t="str">
        <f>IFERROR(__xludf.DUMMYFUNCTION("GOOGLETRANSLATE(B192, ""en"", ""hr"")"),"Geološka anomalija koja podiže bilo koju zemlju iznad njega, stvarajući umjetne planine.")</f>
        <v>Geološka anomalija koja podiže bilo koju zemlju iznad njega, stvarajući umjetne planine.</v>
      </c>
      <c r="M192" s="28"/>
      <c r="N192" s="28"/>
      <c r="O192" s="28"/>
      <c r="P192" s="28"/>
      <c r="Q192" s="28"/>
      <c r="R192" s="28"/>
      <c r="S192" s="28"/>
      <c r="T192" s="28"/>
      <c r="U192" s="28"/>
      <c r="V192" s="28"/>
      <c r="W192" s="28"/>
      <c r="X192" s="28"/>
      <c r="Y192" s="28"/>
      <c r="Z192" s="28"/>
      <c r="AA192" s="28"/>
      <c r="AB192" s="28"/>
    </row>
    <row r="193">
      <c r="A193" s="21" t="s">
        <v>740</v>
      </c>
      <c r="B193" s="22" t="s">
        <v>741</v>
      </c>
      <c r="C193" s="23" t="str">
        <f>IFERROR(__xludf.DUMMYFUNCTION("GOOGLETRANSLATE(B193, ""en"", ""fr"")"),"Personnel d'incendie")</f>
        <v>Personnel d'incendie</v>
      </c>
      <c r="D193" s="23" t="str">
        <f>IFERROR(__xludf.DUMMYFUNCTION("GOOGLETRANSLATE(B193, ""en"", ""es"")"),"Personal de bomberos")</f>
        <v>Personal de bomberos</v>
      </c>
      <c r="E193" s="23" t="str">
        <f>IFERROR(__xludf.DUMMYFUNCTION("GOOGLETRANSLATE(B193, ""en"", ""ru"")"),"Пожарный персонал")</f>
        <v>Пожарный персонал</v>
      </c>
      <c r="F193" s="23" t="str">
        <f>IFERROR(__xludf.DUMMYFUNCTION("GOOGLETRANSLATE(B193, ""en"", ""tr"")"),"İtfaiyeci")</f>
        <v>İtfaiyeci</v>
      </c>
      <c r="G193" s="23" t="str">
        <f>IFERROR(__xludf.DUMMYFUNCTION("GOOGLETRANSLATE(B193, ""en"", ""pt"")"),"Equipe de fogo")</f>
        <v>Equipe de fogo</v>
      </c>
      <c r="H193" s="24" t="str">
        <f>IFERROR(__xludf.DUMMYFUNCTION("GOOGLETRANSLATE(B193, ""en"", ""de"")"),"Feuerpersonal")</f>
        <v>Feuerpersonal</v>
      </c>
      <c r="I193" s="23" t="str">
        <f>IFERROR(__xludf.DUMMYFUNCTION("GOOGLETRANSLATE(B193, ""en"", ""pl"")"),"Personel pożarowy")</f>
        <v>Personel pożarowy</v>
      </c>
      <c r="J193" s="25" t="str">
        <f>IFERROR(__xludf.DUMMYFUNCTION("GOOGLETRANSLATE(B193, ""en"", ""zh"")"),"消防人员")</f>
        <v>消防人员</v>
      </c>
      <c r="K193" s="25" t="str">
        <f>IFERROR(__xludf.DUMMYFUNCTION("GOOGLETRANSLATE(B193, ""en"", ""vi"")"),"Nhân viên cứu hỏa")</f>
        <v>Nhân viên cứu hỏa</v>
      </c>
      <c r="L193" s="26" t="str">
        <f>IFERROR(__xludf.DUMMYFUNCTION("GOOGLETRANSLATE(B193, ""en"", ""hr"")"),"Požar")</f>
        <v>Požar</v>
      </c>
      <c r="M193" s="28"/>
      <c r="N193" s="28"/>
      <c r="O193" s="28"/>
      <c r="P193" s="28"/>
      <c r="Q193" s="28"/>
      <c r="R193" s="28"/>
      <c r="S193" s="28"/>
      <c r="T193" s="28"/>
      <c r="U193" s="28"/>
      <c r="V193" s="28"/>
      <c r="W193" s="28"/>
      <c r="X193" s="28"/>
      <c r="Y193" s="28"/>
      <c r="Z193" s="28"/>
      <c r="AA193" s="28"/>
      <c r="AB193" s="28"/>
    </row>
    <row r="194">
      <c r="A194" s="21" t="s">
        <v>742</v>
      </c>
      <c r="B194" s="22" t="s">
        <v>743</v>
      </c>
      <c r="C194" s="23" t="str">
        <f>IFERROR(__xludf.DUMMYFUNCTION("GOOGLETRANSLATE(B194, ""en"", ""fr"")"),"Tire le feu qui inflige des dégâts.")</f>
        <v>Tire le feu qui inflige des dégâts.</v>
      </c>
      <c r="D194" s="23" t="str">
        <f>IFERROR(__xludf.DUMMYFUNCTION("GOOGLETRANSLATE(B194, ""en"", ""es"")"),"Dispara fuego que inflige daño.")</f>
        <v>Dispara fuego que inflige daño.</v>
      </c>
      <c r="E194" s="23" t="str">
        <f>IFERROR(__xludf.DUMMYFUNCTION("GOOGLETRANSLATE(B194, ""en"", ""ru"")"),"Стрелявает огонь, который наносит урон.")</f>
        <v>Стрелявает огонь, который наносит урон.</v>
      </c>
      <c r="F194" s="23" t="str">
        <f>IFERROR(__xludf.DUMMYFUNCTION("GOOGLETRANSLATE(B194, ""en"", ""tr"")"),"Hasar veren ateşi ateş eder.")</f>
        <v>Hasar veren ateşi ateş eder.</v>
      </c>
      <c r="G194" s="23" t="str">
        <f>IFERROR(__xludf.DUMMYFUNCTION("GOOGLETRANSLATE(B194, ""en"", ""pt"")"),"Atira fogo que causa dano.")</f>
        <v>Atira fogo que causa dano.</v>
      </c>
      <c r="H194" s="24" t="str">
        <f>IFERROR(__xludf.DUMMYFUNCTION("GOOGLETRANSLATE(B194, ""en"", ""de"")"),"Schießt Feuer, die Schaden zufügen.")</f>
        <v>Schießt Feuer, die Schaden zufügen.</v>
      </c>
      <c r="I194" s="23" t="str">
        <f>IFERROR(__xludf.DUMMYFUNCTION("GOOGLETRANSLATE(B194, ""en"", ""pl"")"),"Strzela ogień, który dotyczy obrażeń.")</f>
        <v>Strzela ogień, który dotyczy obrażeń.</v>
      </c>
      <c r="J194" s="25" t="str">
        <f>IFERROR(__xludf.DUMMYFUNCTION("GOOGLETRANSLATE(B194, ""en"", ""zh"")"),"射击造成伤害的火灾。")</f>
        <v>射击造成伤害的火灾。</v>
      </c>
      <c r="K194" s="25" t="str">
        <f>IFERROR(__xludf.DUMMYFUNCTION("GOOGLETRANSLATE(B194, ""en"", ""vi"")"),"Bắn lửa gây sát thương.")</f>
        <v>Bắn lửa gây sát thương.</v>
      </c>
      <c r="L194" s="26" t="str">
        <f>IFERROR(__xludf.DUMMYFUNCTION("GOOGLETRANSLATE(B194, ""en"", ""hr"")"),"Pucaj vatra koja se bavi štetom.")</f>
        <v>Pucaj vatra koja se bavi štetom.</v>
      </c>
      <c r="M194" s="28"/>
      <c r="N194" s="28"/>
      <c r="O194" s="28"/>
      <c r="P194" s="28"/>
      <c r="Q194" s="28"/>
      <c r="R194" s="28"/>
      <c r="S194" s="28"/>
      <c r="T194" s="28"/>
      <c r="U194" s="28"/>
      <c r="V194" s="28"/>
      <c r="W194" s="28"/>
      <c r="X194" s="28"/>
      <c r="Y194" s="28"/>
      <c r="Z194" s="28"/>
      <c r="AA194" s="28"/>
      <c r="AB194" s="28"/>
    </row>
    <row r="195">
      <c r="A195" s="21" t="s">
        <v>744</v>
      </c>
      <c r="B195" s="22" t="s">
        <v>745</v>
      </c>
      <c r="C195" s="23" t="str">
        <f>IFERROR(__xludf.DUMMYFUNCTION("GOOGLETRANSLATE(B195, ""en"", ""fr"")"),"Personnel Super Fire")</f>
        <v>Personnel Super Fire</v>
      </c>
      <c r="D195" s="23" t="str">
        <f>IFERROR(__xludf.DUMMYFUNCTION("GOOGLETRANSLATE(B195, ""en"", ""es"")"),"Personal de Super Fire")</f>
        <v>Personal de Super Fire</v>
      </c>
      <c r="E195" s="23" t="str">
        <f>IFERROR(__xludf.DUMMYFUNCTION("GOOGLETRANSLATE(B195, ""en"", ""ru"")"),"Супер пожарный персонал")</f>
        <v>Супер пожарный персонал</v>
      </c>
      <c r="F195" s="23" t="str">
        <f>IFERROR(__xludf.DUMMYFUNCTION("GOOGLETRANSLATE(B195, ""en"", ""tr"")"),"Süper ateş personeli")</f>
        <v>Süper ateş personeli</v>
      </c>
      <c r="G195" s="23" t="str">
        <f>IFERROR(__xludf.DUMMYFUNCTION("GOOGLETRANSLATE(B195, ""en"", ""pt"")"),"Super Fire Staff.")</f>
        <v>Super Fire Staff.</v>
      </c>
      <c r="H195" s="24" t="str">
        <f>IFERROR(__xludf.DUMMYFUNCTION("GOOGLETRANSLATE(B195, ""en"", ""de"")"),"Superfeuerpersonal")</f>
        <v>Superfeuerpersonal</v>
      </c>
      <c r="I195" s="23" t="str">
        <f>IFERROR(__xludf.DUMMYFUNCTION("GOOGLETRANSLATE(B195, ""en"", ""pl"")"),"Super Fire Staff.")</f>
        <v>Super Fire Staff.</v>
      </c>
      <c r="J195" s="25" t="str">
        <f>IFERROR(__xludf.DUMMYFUNCTION("GOOGLETRANSLATE(B195, ""en"", ""zh"")"),"超级火人员")</f>
        <v>超级火人员</v>
      </c>
      <c r="K195" s="25" t="str">
        <f>IFERROR(__xludf.DUMMYFUNCTION("GOOGLETRANSLATE(B195, ""en"", ""vi"")"),"Nhân viên siêu cháy")</f>
        <v>Nhân viên siêu cháy</v>
      </c>
      <c r="L195" s="26" t="str">
        <f>IFERROR(__xludf.DUMMYFUNCTION("GOOGLETRANSLATE(B195, ""en"", ""hr"")"),"Super vatrogasno osoblje")</f>
        <v>Super vatrogasno osoblje</v>
      </c>
      <c r="M195" s="28"/>
      <c r="N195" s="28"/>
      <c r="O195" s="28"/>
      <c r="P195" s="28"/>
      <c r="Q195" s="28"/>
      <c r="R195" s="28"/>
      <c r="S195" s="28"/>
      <c r="T195" s="28"/>
      <c r="U195" s="28"/>
      <c r="V195" s="28"/>
      <c r="W195" s="28"/>
      <c r="X195" s="28"/>
      <c r="Y195" s="28"/>
      <c r="Z195" s="28"/>
      <c r="AA195" s="28"/>
      <c r="AB195" s="28"/>
    </row>
    <row r="196">
      <c r="A196" s="21" t="s">
        <v>746</v>
      </c>
      <c r="B196" s="22" t="s">
        <v>747</v>
      </c>
      <c r="C196" s="23" t="str">
        <f>IFERROR(__xludf.DUMMYFUNCTION("GOOGLETRANSLATE(B196, ""en"", ""fr"")"),"Tire le feu qui tire plus de feu.")</f>
        <v>Tire le feu qui tire plus de feu.</v>
      </c>
      <c r="D196" s="23" t="str">
        <f>IFERROR(__xludf.DUMMYFUNCTION("GOOGLETRANSLATE(B196, ""en"", ""es"")"),"Dispara al fuego que dispara más fuego.")</f>
        <v>Dispara al fuego que dispara más fuego.</v>
      </c>
      <c r="E196" s="23" t="str">
        <f>IFERROR(__xludf.DUMMYFUNCTION("GOOGLETRANSLATE(B196, ""en"", ""ru"")"),"Стреляет огонь, который стреляет больше огня.")</f>
        <v>Стреляет огонь, который стреляет больше огня.</v>
      </c>
      <c r="F196" s="23" t="str">
        <f>IFERROR(__xludf.DUMMYFUNCTION("GOOGLETRANSLATE(B196, ""en"", ""tr"")"),"Daha fazla ateş çeken ateşi vurur.")</f>
        <v>Daha fazla ateş çeken ateşi vurur.</v>
      </c>
      <c r="G196" s="23" t="str">
        <f>IFERROR(__xludf.DUMMYFUNCTION("GOOGLETRANSLATE(B196, ""en"", ""pt"")"),"Atira fogo que atira mais fogo.")</f>
        <v>Atira fogo que atira mais fogo.</v>
      </c>
      <c r="H196" s="24" t="str">
        <f>IFERROR(__xludf.DUMMYFUNCTION("GOOGLETRANSLATE(B196, ""en"", ""de"")"),"Schießt Feuer, das mehr Feuer erschießt.")</f>
        <v>Schießt Feuer, das mehr Feuer erschießt.</v>
      </c>
      <c r="I196" s="23" t="str">
        <f>IFERROR(__xludf.DUMMYFUNCTION("GOOGLETRANSLATE(B196, ""en"", ""pl"")"),"Strzela ogień, który strzela więcej ognia.")</f>
        <v>Strzela ogień, który strzela więcej ognia.</v>
      </c>
      <c r="J196" s="25" t="str">
        <f>IFERROR(__xludf.DUMMYFUNCTION("GOOGLETRANSLATE(B196, ""en"", ""zh"")"),"射击射击更多火灾。")</f>
        <v>射击射击更多火灾。</v>
      </c>
      <c r="K196" s="25" t="str">
        <f>IFERROR(__xludf.DUMMYFUNCTION("GOOGLETRANSLATE(B196, ""en"", ""vi"")"),"Bắn lửa mà bắn súng nhiều hơn.")</f>
        <v>Bắn lửa mà bắn súng nhiều hơn.</v>
      </c>
      <c r="L196" s="26" t="str">
        <f>IFERROR(__xludf.DUMMYFUNCTION("GOOGLETRANSLATE(B196, ""en"", ""hr"")"),"Pucaj vatru koja puca više požara.")</f>
        <v>Pucaj vatru koja puca više požara.</v>
      </c>
      <c r="M196" s="28"/>
      <c r="N196" s="28"/>
      <c r="O196" s="28"/>
      <c r="P196" s="28"/>
      <c r="Q196" s="28"/>
      <c r="R196" s="28"/>
      <c r="S196" s="28"/>
      <c r="T196" s="28"/>
      <c r="U196" s="28"/>
      <c r="V196" s="28"/>
      <c r="W196" s="28"/>
      <c r="X196" s="28"/>
      <c r="Y196" s="28"/>
      <c r="Z196" s="28"/>
      <c r="AA196" s="28"/>
      <c r="AB196" s="28"/>
    </row>
    <row r="197">
      <c r="A197" s="21" t="s">
        <v>748</v>
      </c>
      <c r="B197" s="22" t="s">
        <v>749</v>
      </c>
      <c r="C197" s="23" t="str">
        <f>IFERROR(__xludf.DUMMYFUNCTION("GOOGLETRANSLATE(B197, ""en"", ""fr"")"),"Personnel éolien")</f>
        <v>Personnel éolien</v>
      </c>
      <c r="D197" s="23" t="str">
        <f>IFERROR(__xludf.DUMMYFUNCTION("GOOGLETRANSLATE(B197, ""en"", ""es"")"),"Estado de viento")</f>
        <v>Estado de viento</v>
      </c>
      <c r="E197" s="23" t="str">
        <f>IFERROR(__xludf.DUMMYFUNCTION("GOOGLETRANSLATE(B197, ""en"", ""ru"")"),"Ветер персонал")</f>
        <v>Ветер персонал</v>
      </c>
      <c r="F197" s="23" t="str">
        <f>IFERROR(__xludf.DUMMYFUNCTION("GOOGLETRANSLATE(B197, ""en"", ""tr"")"),"Rüzgar personeli")</f>
        <v>Rüzgar personeli</v>
      </c>
      <c r="G197" s="23" t="str">
        <f>IFERROR(__xludf.DUMMYFUNCTION("GOOGLETRANSLATE(B197, ""en"", ""pt"")"),"Equipe de vento")</f>
        <v>Equipe de vento</v>
      </c>
      <c r="H197" s="24" t="str">
        <f>IFERROR(__xludf.DUMMYFUNCTION("GOOGLETRANSLATE(B197, ""en"", ""de"")"),"Windpersonal")</f>
        <v>Windpersonal</v>
      </c>
      <c r="I197" s="23" t="str">
        <f>IFERROR(__xludf.DUMMYFUNCTION("GOOGLETRANSLATE(B197, ""en"", ""pl"")"),"Personel wiatru.")</f>
        <v>Personel wiatru.</v>
      </c>
      <c r="J197" s="25" t="str">
        <f>IFERROR(__xludf.DUMMYFUNCTION("GOOGLETRANSLATE(B197, ""en"", ""zh"")"),"风员工")</f>
        <v>风员工</v>
      </c>
      <c r="K197" s="25" t="str">
        <f>IFERROR(__xludf.DUMMYFUNCTION("GOOGLETRANSLATE(B197, ""en"", ""vi"")"),"Nhân viên gió")</f>
        <v>Nhân viên gió</v>
      </c>
      <c r="L197" s="26" t="str">
        <f>IFERROR(__xludf.DUMMYFUNCTION("GOOGLETRANSLATE(B197, ""en"", ""hr"")"),"Vjetropodžnjak")</f>
        <v>Vjetropodžnjak</v>
      </c>
      <c r="M197" s="28"/>
      <c r="N197" s="28"/>
      <c r="O197" s="28"/>
      <c r="P197" s="28"/>
      <c r="Q197" s="28"/>
      <c r="R197" s="28"/>
      <c r="S197" s="28"/>
      <c r="T197" s="28"/>
      <c r="U197" s="28"/>
      <c r="V197" s="28"/>
      <c r="W197" s="28"/>
      <c r="X197" s="28"/>
      <c r="Y197" s="28"/>
      <c r="Z197" s="28"/>
      <c r="AA197" s="28"/>
      <c r="AB197" s="28"/>
    </row>
    <row r="198">
      <c r="A198" s="21" t="s">
        <v>750</v>
      </c>
      <c r="B198" s="22" t="s">
        <v>751</v>
      </c>
      <c r="C198" s="23" t="str">
        <f>IFERROR(__xludf.DUMMYFUNCTION("GOOGLETRANSLATE(B198, ""en"", ""fr"")"),"Tire le vent qui frappe les choses.")</f>
        <v>Tire le vent qui frappe les choses.</v>
      </c>
      <c r="D198" s="23" t="str">
        <f>IFERROR(__xludf.DUMMYFUNCTION("GOOGLETRANSLATE(B198, ""en"", ""es"")"),"Dispara el viento que golpea las cosas.")</f>
        <v>Dispara el viento que golpea las cosas.</v>
      </c>
      <c r="E198" s="23" t="str">
        <f>IFERROR(__xludf.DUMMYFUNCTION("GOOGLETRANSLATE(B198, ""en"", ""ru"")"),"Стреляет ветер, который сбивает вещи обратно.")</f>
        <v>Стреляет ветер, который сбивает вещи обратно.</v>
      </c>
      <c r="F198" s="23" t="str">
        <f>IFERROR(__xludf.DUMMYFUNCTION("GOOGLETRANSLATE(B198, ""en"", ""tr"")"),"İşleri geri çeken rüzgarı vurur.")</f>
        <v>İşleri geri çeken rüzgarı vurur.</v>
      </c>
      <c r="G198" s="23" t="str">
        <f>IFERROR(__xludf.DUMMYFUNCTION("GOOGLETRANSLATE(B198, ""en"", ""pt"")"),"Atira o vento que bate as coisas de volta.")</f>
        <v>Atira o vento que bate as coisas de volta.</v>
      </c>
      <c r="H198" s="24" t="str">
        <f>IFERROR(__xludf.DUMMYFUNCTION("GOOGLETRANSLATE(B198, ""en"", ""de"")"),"Schießt Wind, der die Dinge zurückschlagen.")</f>
        <v>Schießt Wind, der die Dinge zurückschlagen.</v>
      </c>
      <c r="I198" s="23" t="str">
        <f>IFERROR(__xludf.DUMMYFUNCTION("GOOGLETRANSLATE(B198, ""en"", ""pl"")"),"Strzela wiatr, który puka rzeczy z powrotem.")</f>
        <v>Strzela wiatr, który puka rzeczy z powrotem.</v>
      </c>
      <c r="J198" s="25" t="str">
        <f>IFERROR(__xludf.DUMMYFUNCTION("GOOGLETRANSLATE(B198, ""en"", ""zh"")"),"射击击倒东西的风。")</f>
        <v>射击击倒东西的风。</v>
      </c>
      <c r="K198" s="25" t="str">
        <f>IFERROR(__xludf.DUMMYFUNCTION("GOOGLETRANSLATE(B198, ""en"", ""vi"")"),"Bắn gió đánh bật mọi thứ trở lại.")</f>
        <v>Bắn gió đánh bật mọi thứ trở lại.</v>
      </c>
      <c r="L198" s="26" t="str">
        <f>IFERROR(__xludf.DUMMYFUNCTION("GOOGLETRANSLATE(B198, ""en"", ""hr"")"),"Pucaj vjetar koji kuca stvari natrag.")</f>
        <v>Pucaj vjetar koji kuca stvari natrag.</v>
      </c>
      <c r="M198" s="28"/>
      <c r="N198" s="28"/>
      <c r="O198" s="28"/>
      <c r="P198" s="28"/>
      <c r="Q198" s="28"/>
      <c r="R198" s="28"/>
      <c r="S198" s="28"/>
      <c r="T198" s="28"/>
      <c r="U198" s="28"/>
      <c r="V198" s="28"/>
      <c r="W198" s="28"/>
      <c r="X198" s="28"/>
      <c r="Y198" s="28"/>
      <c r="Z198" s="28"/>
      <c r="AA198" s="28"/>
      <c r="AB198" s="28"/>
    </row>
    <row r="199">
      <c r="A199" s="21" t="s">
        <v>752</v>
      </c>
      <c r="B199" s="22" t="s">
        <v>753</v>
      </c>
      <c r="C199" s="23" t="str">
        <f>IFERROR(__xludf.DUMMYFUNCTION("GOOGLETRANSLATE(B199, ""en"", ""fr"")"),"Personnel Super Wind")</f>
        <v>Personnel Super Wind</v>
      </c>
      <c r="D199" s="23" t="str">
        <f>IFERROR(__xludf.DUMMYFUNCTION("GOOGLETRANSLATE(B199, ""en"", ""es"")"),"Súper personal")</f>
        <v>Súper personal</v>
      </c>
      <c r="E199" s="23" t="str">
        <f>IFERROR(__xludf.DUMMYFUNCTION("GOOGLETRANSLATE(B199, ""en"", ""ru"")"),"Супер ветер персонал")</f>
        <v>Супер ветер персонал</v>
      </c>
      <c r="F199" s="23" t="str">
        <f>IFERROR(__xludf.DUMMYFUNCTION("GOOGLETRANSLATE(B199, ""en"", ""tr"")"),"Süper rüzgar personeli")</f>
        <v>Süper rüzgar personeli</v>
      </c>
      <c r="G199" s="23" t="str">
        <f>IFERROR(__xludf.DUMMYFUNCTION("GOOGLETRANSLATE(B199, ""en"", ""pt"")"),"Super Wind Staff.")</f>
        <v>Super Wind Staff.</v>
      </c>
      <c r="H199" s="24" t="str">
        <f>IFERROR(__xludf.DUMMYFUNCTION("GOOGLETRANSLATE(B199, ""en"", ""de"")"),"Super Windpersonal.")</f>
        <v>Super Windpersonal.</v>
      </c>
      <c r="I199" s="23" t="str">
        <f>IFERROR(__xludf.DUMMYFUNCTION("GOOGLETRANSLATE(B199, ""en"", ""pl"")"),"Super personel wiatrowy")</f>
        <v>Super personel wiatrowy</v>
      </c>
      <c r="J199" s="25" t="str">
        <f>IFERROR(__xludf.DUMMYFUNCTION("GOOGLETRANSLATE(B199, ""en"", ""zh"")"),"超级风员工")</f>
        <v>超级风员工</v>
      </c>
      <c r="K199" s="25" t="str">
        <f>IFERROR(__xludf.DUMMYFUNCTION("GOOGLETRANSLATE(B199, ""en"", ""vi"")"),"Nhân viên siêu gió")</f>
        <v>Nhân viên siêu gió</v>
      </c>
      <c r="L199" s="26" t="str">
        <f>IFERROR(__xludf.DUMMYFUNCTION("GOOGLETRANSLATE(B199, ""en"", ""hr"")"),"Osoblje super vjetrom")</f>
        <v>Osoblje super vjetrom</v>
      </c>
      <c r="M199" s="28"/>
      <c r="N199" s="28"/>
      <c r="O199" s="28"/>
      <c r="P199" s="28"/>
      <c r="Q199" s="28"/>
      <c r="R199" s="28"/>
      <c r="S199" s="28"/>
      <c r="T199" s="28"/>
      <c r="U199" s="28"/>
      <c r="V199" s="28"/>
      <c r="W199" s="28"/>
      <c r="X199" s="28"/>
      <c r="Y199" s="28"/>
      <c r="Z199" s="28"/>
      <c r="AA199" s="28"/>
      <c r="AB199" s="28"/>
    </row>
    <row r="200">
      <c r="A200" s="21" t="s">
        <v>754</v>
      </c>
      <c r="B200" s="22" t="s">
        <v>755</v>
      </c>
      <c r="C200" s="23" t="str">
        <f>IFERROR(__xludf.DUMMYFUNCTION("GOOGLETRANSLATE(B200, ""en"", ""fr"")"),"Pousse le vent qui tire plus de vent.")</f>
        <v>Pousse le vent qui tire plus de vent.</v>
      </c>
      <c r="D200" s="23" t="str">
        <f>IFERROR(__xludf.DUMMYFUNCTION("GOOGLETRANSLATE(B200, ""en"", ""es"")"),"Dispara el viento que dispara más viento.")</f>
        <v>Dispara el viento que dispara más viento.</v>
      </c>
      <c r="E200" s="23" t="str">
        <f>IFERROR(__xludf.DUMMYFUNCTION("GOOGLETRANSLATE(B200, ""en"", ""ru"")"),"Стреляет ветер, который стреляет больше ветра.")</f>
        <v>Стреляет ветер, который стреляет больше ветра.</v>
      </c>
      <c r="F200" s="23" t="str">
        <f>IFERROR(__xludf.DUMMYFUNCTION("GOOGLETRANSLATE(B200, ""en"", ""tr"")"),"Daha fazla rüzgar çeken rüzgarı vurur.")</f>
        <v>Daha fazla rüzgar çeken rüzgarı vurur.</v>
      </c>
      <c r="G200" s="23" t="str">
        <f>IFERROR(__xludf.DUMMYFUNCTION("GOOGLETRANSLATE(B200, ""en"", ""pt"")"),"Atira o vento que atira mais vento.")</f>
        <v>Atira o vento que atira mais vento.</v>
      </c>
      <c r="H200" s="24" t="str">
        <f>IFERROR(__xludf.DUMMYFUNCTION("GOOGLETRANSLATE(B200, ""en"", ""de"")"),"Schießt Wind, der mehr Wind erschießt.")</f>
        <v>Schießt Wind, der mehr Wind erschießt.</v>
      </c>
      <c r="I200" s="23" t="str">
        <f>IFERROR(__xludf.DUMMYFUNCTION("GOOGLETRANSLATE(B200, ""en"", ""pl"")"),"Strzela wiatr, który strzela więcej wiatr.")</f>
        <v>Strzela wiatr, który strzela więcej wiatr.</v>
      </c>
      <c r="J200" s="25" t="str">
        <f>IFERROR(__xludf.DUMMYFUNCTION("GOOGLETRANSLATE(B200, ""en"", ""zh"")"),"射击射击更多风的风。")</f>
        <v>射击射击更多风的风。</v>
      </c>
      <c r="K200" s="25" t="str">
        <f>IFERROR(__xludf.DUMMYFUNCTION("GOOGLETRANSLATE(B200, ""en"", ""vi"")"),"Bắn gió mà bắn nhiều gió hơn.")</f>
        <v>Bắn gió mà bắn nhiều gió hơn.</v>
      </c>
      <c r="L200" s="26" t="str">
        <f>IFERROR(__xludf.DUMMYFUNCTION("GOOGLETRANSLATE(B200, ""en"", ""hr"")"),"Pucaj vjetar koji puca više vjetra.")</f>
        <v>Pucaj vjetar koji puca više vjetra.</v>
      </c>
      <c r="M200" s="28"/>
      <c r="N200" s="28"/>
      <c r="O200" s="28"/>
      <c r="P200" s="28"/>
      <c r="Q200" s="28"/>
      <c r="R200" s="28"/>
      <c r="S200" s="28"/>
      <c r="T200" s="28"/>
      <c r="U200" s="28"/>
      <c r="V200" s="28"/>
      <c r="W200" s="28"/>
      <c r="X200" s="28"/>
      <c r="Y200" s="28"/>
      <c r="Z200" s="28"/>
      <c r="AA200" s="28"/>
      <c r="AB200" s="28"/>
    </row>
    <row r="201">
      <c r="A201" s="21" t="s">
        <v>756</v>
      </c>
      <c r="B201" s="22" t="s">
        <v>757</v>
      </c>
      <c r="C201" s="23" t="str">
        <f>IFERROR(__xludf.DUMMYFUNCTION("GOOGLETRANSLATE(B201, ""en"", ""fr"")"),"Personnel de sang")</f>
        <v>Personnel de sang</v>
      </c>
      <c r="D201" s="23" t="str">
        <f>IFERROR(__xludf.DUMMYFUNCTION("GOOGLETRANSLATE(B201, ""en"", ""es"")"),"Personal de sangre")</f>
        <v>Personal de sangre</v>
      </c>
      <c r="E201" s="23" t="str">
        <f>IFERROR(__xludf.DUMMYFUNCTION("GOOGLETRANSLATE(B201, ""en"", ""ru"")"),"Персонал крови")</f>
        <v>Персонал крови</v>
      </c>
      <c r="F201" s="23" t="str">
        <f>IFERROR(__xludf.DUMMYFUNCTION("GOOGLETRANSLATE(B201, ""en"", ""tr"")"),"Kanocu")</f>
        <v>Kanocu</v>
      </c>
      <c r="G201" s="23" t="str">
        <f>IFERROR(__xludf.DUMMYFUNCTION("GOOGLETRANSLATE(B201, ""en"", ""pt"")"),"Pessoal de sangue")</f>
        <v>Pessoal de sangue</v>
      </c>
      <c r="H201" s="24" t="str">
        <f>IFERROR(__xludf.DUMMYFUNCTION("GOOGLETRANSLATE(B201, ""en"", ""de"")"),"Blutpersonal")</f>
        <v>Blutpersonal</v>
      </c>
      <c r="I201" s="23" t="str">
        <f>IFERROR(__xludf.DUMMYFUNCTION("GOOGLETRANSLATE(B201, ""en"", ""pl"")"),"Personel krwi")</f>
        <v>Personel krwi</v>
      </c>
      <c r="J201" s="25" t="str">
        <f>IFERROR(__xludf.DUMMYFUNCTION("GOOGLETRANSLATE(B201, ""en"", ""zh"")"),"血员工")</f>
        <v>血员工</v>
      </c>
      <c r="K201" s="25" t="str">
        <f>IFERROR(__xludf.DUMMYFUNCTION("GOOGLETRANSLATE(B201, ""en"", ""vi"")"),"Nhân viên máu")</f>
        <v>Nhân viên máu</v>
      </c>
      <c r="L201" s="26" t="str">
        <f>IFERROR(__xludf.DUMMYFUNCTION("GOOGLETRANSLATE(B201, ""en"", ""hr"")"),"Osoblje krvi")</f>
        <v>Osoblje krvi</v>
      </c>
      <c r="M201" s="28"/>
      <c r="N201" s="28"/>
      <c r="O201" s="28"/>
      <c r="P201" s="28"/>
      <c r="Q201" s="28"/>
      <c r="R201" s="28"/>
      <c r="S201" s="28"/>
      <c r="T201" s="28"/>
      <c r="U201" s="28"/>
      <c r="V201" s="28"/>
      <c r="W201" s="28"/>
      <c r="X201" s="28"/>
      <c r="Y201" s="28"/>
      <c r="Z201" s="28"/>
      <c r="AA201" s="28"/>
      <c r="AB201" s="28"/>
    </row>
    <row r="202">
      <c r="A202" s="21" t="s">
        <v>758</v>
      </c>
      <c r="B202" s="22" t="s">
        <v>759</v>
      </c>
      <c r="C202" s="23" t="str">
        <f>IFERROR(__xludf.DUMMYFUNCTION("GOOGLETRANSLATE(B202, ""en"", ""fr"")"),"Tire un projectile qui vole les points de vie. Consomme des points de vie lorsqu'il est utilisé.")</f>
        <v>Tire un projectile qui vole les points de vie. Consomme des points de vie lorsqu'il est utilisé.</v>
      </c>
      <c r="D202" s="23" t="str">
        <f>IFERROR(__xludf.DUMMYFUNCTION("GOOGLETRANSLATE(B202, ""en"", ""es"")"),"Dispara un proyectil que roba los puntos de golpe. Consume puntos de golpe cuando se usa.")</f>
        <v>Dispara un proyectil que roba los puntos de golpe. Consume puntos de golpe cuando se usa.</v>
      </c>
      <c r="E202" s="23" t="str">
        <f>IFERROR(__xludf.DUMMYFUNCTION("GOOGLETRANSLATE(B202,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202" s="23" t="str">
        <f>IFERROR(__xludf.DUMMYFUNCTION("GOOGLETRANSLATE(B202, ""en"", ""tr"")"),"Hitpoints çalan bir mermi vuruyor. Kullanıldığında hitpoints tüketir.")</f>
        <v>Hitpoints çalan bir mermi vuruyor. Kullanıldığında hitpoints tüketir.</v>
      </c>
      <c r="G202" s="23" t="str">
        <f>IFERROR(__xludf.DUMMYFUNCTION("GOOGLETRANSLATE(B202, ""en"", ""pt"")"),"Atira um projétil que rouba os pontos de vida. Consome hitpoints quando usado.")</f>
        <v>Atira um projétil que rouba os pontos de vida. Consome hitpoints quando usado.</v>
      </c>
      <c r="H202" s="24" t="str">
        <f>IFERROR(__xludf.DUMMYFUNCTION("GOOGLETRANSLATE(B202, ""en"", ""de"")"),"Schießt ein Projektil, das HITPOINTs stiehlt. Verbraucht HITPOINTs bei Verwendung.")</f>
        <v>Schießt ein Projektil, das HITPOINTs stiehlt. Verbraucht HITPOINTs bei Verwendung.</v>
      </c>
      <c r="I202" s="23" t="str">
        <f>IFERROR(__xludf.DUMMYFUNCTION("GOOGLETRANSLATE(B202, ""en"", ""pl"")"),"Strzela pocisk, który kradnie punkty życia. Zużywa punkty HIT, gdy są używane.")</f>
        <v>Strzela pocisk, który kradnie punkty życia. Zużywa punkty HIT, gdy są używane.</v>
      </c>
      <c r="J202" s="25" t="str">
        <f>IFERROR(__xludf.DUMMYFUNCTION("GOOGLETRANSLATE(B202, ""en"", ""zh"")"),"射击偷窃杀头点的射弹。使用时消耗Hitpoints。")</f>
        <v>射击偷窃杀头点的射弹。使用时消耗Hitpoints。</v>
      </c>
      <c r="K202" s="25" t="str">
        <f>IFERROR(__xludf.DUMMYFUNCTION("GOOGLETRANSLATE(B202, ""en"", ""vi"")"),"Bắn một viên đạn đánh cắp điểm nhấn. Tiêu thụ các điểm nhấn khi sử dụng.")</f>
        <v>Bắn một viên đạn đánh cắp điểm nhấn. Tiêu thụ các điểm nhấn khi sử dụng.</v>
      </c>
      <c r="L202" s="26" t="str">
        <f>IFERROR(__xludf.DUMMYFUNCTION("GOOGLETRANSLATE(B202, ""en"", ""hr"")"),"Snima projektil koji krade HitPoints. Troši hitpoints kada se koristi.")</f>
        <v>Snima projektil koji krade HitPoints. Troši hitpoints kada se koristi.</v>
      </c>
      <c r="M202" s="28"/>
      <c r="N202" s="28"/>
      <c r="O202" s="28"/>
      <c r="P202" s="28"/>
      <c r="Q202" s="28"/>
      <c r="R202" s="28"/>
      <c r="S202" s="28"/>
      <c r="T202" s="28"/>
      <c r="U202" s="28"/>
      <c r="V202" s="28"/>
      <c r="W202" s="28"/>
      <c r="X202" s="28"/>
      <c r="Y202" s="28"/>
      <c r="Z202" s="28"/>
      <c r="AA202" s="28"/>
      <c r="AB202" s="28"/>
    </row>
    <row r="203">
      <c r="A203" s="21" t="s">
        <v>760</v>
      </c>
      <c r="B203" s="22" t="s">
        <v>761</v>
      </c>
      <c r="C203" s="23" t="str">
        <f>IFERROR(__xludf.DUMMYFUNCTION("GOOGLETRANSLATE(B203, ""en"", ""fr"")"),"Personnel Super Blood")</f>
        <v>Personnel Super Blood</v>
      </c>
      <c r="D203" s="23" t="str">
        <f>IFERROR(__xludf.DUMMYFUNCTION("GOOGLETRANSLATE(B203, ""en"", ""es"")"),"Personal Super Blood")</f>
        <v>Personal Super Blood</v>
      </c>
      <c r="E203" s="23" t="str">
        <f>IFERROR(__xludf.DUMMYFUNCTION("GOOGLETRANSLATE(B203, ""en"", ""ru"")"),"Super крови персонал")</f>
        <v>Super крови персонал</v>
      </c>
      <c r="F203" s="23" t="str">
        <f>IFERROR(__xludf.DUMMYFUNCTION("GOOGLETRANSLATE(B203, ""en"", ""tr"")"),"Süper kan personeli")</f>
        <v>Süper kan personeli</v>
      </c>
      <c r="G203" s="23" t="str">
        <f>IFERROR(__xludf.DUMMYFUNCTION("GOOGLETRANSLATE(B203, ""en"", ""pt"")"),"Pessoal super de sangue")</f>
        <v>Pessoal super de sangue</v>
      </c>
      <c r="H203" s="24" t="str">
        <f>IFERROR(__xludf.DUMMYFUNCTION("GOOGLETRANSLATE(B203, ""en"", ""de"")"),"Super Blutpersonal")</f>
        <v>Super Blutpersonal</v>
      </c>
      <c r="I203" s="23" t="str">
        <f>IFERROR(__xludf.DUMMYFUNCTION("GOOGLETRANSLATE(B203, ""en"", ""pl"")"),"Super Blood Staff.")</f>
        <v>Super Blood Staff.</v>
      </c>
      <c r="J203" s="25" t="str">
        <f>IFERROR(__xludf.DUMMYFUNCTION("GOOGLETRANSLATE(B203, ""en"", ""zh"")"),"超级血员工")</f>
        <v>超级血员工</v>
      </c>
      <c r="K203" s="25" t="str">
        <f>IFERROR(__xludf.DUMMYFUNCTION("GOOGLETRANSLATE(B203, ""en"", ""vi"")"),"Nhân viên siêu máu")</f>
        <v>Nhân viên siêu máu</v>
      </c>
      <c r="L203" s="26" t="str">
        <f>IFERROR(__xludf.DUMMYFUNCTION("GOOGLETRANSLATE(B203, ""en"", ""hr"")"),"Osoblje super krvi")</f>
        <v>Osoblje super krvi</v>
      </c>
      <c r="M203" s="28"/>
      <c r="N203" s="28"/>
      <c r="O203" s="28"/>
      <c r="P203" s="28"/>
      <c r="Q203" s="28"/>
      <c r="R203" s="28"/>
      <c r="S203" s="28"/>
      <c r="T203" s="28"/>
      <c r="U203" s="28"/>
      <c r="V203" s="28"/>
      <c r="W203" s="28"/>
      <c r="X203" s="28"/>
      <c r="Y203" s="28"/>
      <c r="Z203" s="28"/>
      <c r="AA203" s="28"/>
      <c r="AB203" s="28"/>
    </row>
    <row r="204">
      <c r="A204" s="21" t="s">
        <v>762</v>
      </c>
      <c r="B204" s="22" t="s">
        <v>763</v>
      </c>
      <c r="C204" s="23" t="str">
        <f>IFERROR(__xludf.DUMMYFUNCTION("GOOGLETRANSLATE(B204, ""en"", ""fr"")"),"Tire un projectile de vie qui tire plus de projectiles de vie.")</f>
        <v>Tire un projectile de vie qui tire plus de projectiles de vie.</v>
      </c>
      <c r="D204" s="23" t="str">
        <f>IFERROR(__xludf.DUMMYFUNCTION("GOOGLETRANSLATE(B204, ""en"", ""es"")"),"Dispara a un proyectil de vida que dispara más proyectiles de forma de vida.")</f>
        <v>Dispara a un proyectil de vida que dispara más proyectiles de forma de vida.</v>
      </c>
      <c r="E204" s="23" t="str">
        <f>IFERROR(__xludf.DUMMYFUNCTION("GOOGLETRANSLATE(B204,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204" s="23" t="str">
        <f>IFERROR(__xludf.DUMMYFUNCTION("GOOGLETRANSLATE(B204, ""en"", ""tr"")"),"Daha fazla lifesteal mermi çeken bir yaşam mermi vuruyor.")</f>
        <v>Daha fazla lifesteal mermi çeken bir yaşam mermi vuruyor.</v>
      </c>
      <c r="G204" s="23" t="str">
        <f>IFERROR(__xludf.DUMMYFUNCTION("GOOGLETRANSLATE(B204, ""en"", ""pt"")"),"Atira um projétil de vida que atira mais projéteis de vida.")</f>
        <v>Atira um projétil de vida que atira mais projéteis de vida.</v>
      </c>
      <c r="H204" s="24" t="str">
        <f>IFERROR(__xludf.DUMMYFUNCTION("GOOGLETRANSLATE(B204, ""en"", ""de"")"),"Schießt ein lebenslesses Projektil, das mehr Lebensläufe schießt.")</f>
        <v>Schießt ein lebenslesses Projektil, das mehr Lebensläufe schießt.</v>
      </c>
      <c r="I204" s="23" t="str">
        <f>IFERROR(__xludf.DUMMYFUNCTION("GOOGLETRANSLATE(B204, ""en"", ""pl"")"),"Strzeleje pocisku całe życie, który strzela więcej pocisków w stylu życia.")</f>
        <v>Strzeleje pocisku całe życie, który strzela więcej pocisków w stylu życia.</v>
      </c>
      <c r="J204" s="25" t="str">
        <f>IFERROR(__xludf.DUMMYFUNCTION("GOOGLETRANSLATE(B204, ""en"", ""zh"")"),"射击一个射击更多生活射弹的生活射弹。")</f>
        <v>射击一个射击更多生活射弹的生活射弹。</v>
      </c>
      <c r="K204" s="25" t="str">
        <f>IFERROR(__xludf.DUMMYFUNCTION("GOOGLETRANSLATE(B204, ""en"", ""vi"")"),"Bắn một viên đạn vòng đời bắn nhiều hơn đạn cứu sinh.")</f>
        <v>Bắn một viên đạn vòng đời bắn nhiều hơn đạn cứu sinh.</v>
      </c>
      <c r="L204" s="26" t="str">
        <f>IFERROR(__xludf.DUMMYFUNCTION("GOOGLETRANSLATE(B204, ""en"", ""hr"")"),"Snima životni projektil koji puca više života projektila.")</f>
        <v>Snima životni projektil koji puca više života projektila.</v>
      </c>
      <c r="M204" s="28"/>
      <c r="N204" s="28"/>
      <c r="O204" s="28"/>
      <c r="P204" s="28"/>
      <c r="Q204" s="28"/>
      <c r="R204" s="28"/>
      <c r="S204" s="28"/>
      <c r="T204" s="28"/>
      <c r="U204" s="28"/>
      <c r="V204" s="28"/>
      <c r="W204" s="28"/>
      <c r="X204" s="28"/>
      <c r="Y204" s="28"/>
      <c r="Z204" s="28"/>
      <c r="AA204" s="28"/>
      <c r="AB204" s="28"/>
    </row>
    <row r="205">
      <c r="A205" s="21" t="s">
        <v>764</v>
      </c>
      <c r="B205" s="22" t="s">
        <v>765</v>
      </c>
      <c r="C205" s="23" t="str">
        <f>IFERROR(__xludf.DUMMYFUNCTION("GOOGLETRANSLATE(B205, ""en"", ""fr"")"),"Flèches osseuses")</f>
        <v>Flèches osseuses</v>
      </c>
      <c r="D205" s="23" t="str">
        <f>IFERROR(__xludf.DUMMYFUNCTION("GOOGLETRANSLATE(B205, ""en"", ""es"")"),"Flechas óseas")</f>
        <v>Flechas óseas</v>
      </c>
      <c r="E205" s="23" t="str">
        <f>IFERROR(__xludf.DUMMYFUNCTION("GOOGLETRANSLATE(B205, ""en"", ""ru"")"),"Стрелки костей")</f>
        <v>Стрелки костей</v>
      </c>
      <c r="F205" s="23" t="str">
        <f>IFERROR(__xludf.DUMMYFUNCTION("GOOGLETRANSLATE(B205, ""en"", ""tr"")"),"Kemik okları")</f>
        <v>Kemik okları</v>
      </c>
      <c r="G205" s="23" t="str">
        <f>IFERROR(__xludf.DUMMYFUNCTION("GOOGLETRANSLATE(B205, ""en"", ""pt"")"),"Flechas ósseas")</f>
        <v>Flechas ósseas</v>
      </c>
      <c r="H205" s="24" t="str">
        <f>IFERROR(__xludf.DUMMYFUNCTION("GOOGLETRANSLATE(B205, ""en"", ""de"")"),"Knochenpfeile")</f>
        <v>Knochenpfeile</v>
      </c>
      <c r="I205" s="23" t="str">
        <f>IFERROR(__xludf.DUMMYFUNCTION("GOOGLETRANSLATE(B205, ""en"", ""pl"")"),"Strzałki kości")</f>
        <v>Strzałki kości</v>
      </c>
      <c r="J205" s="25" t="str">
        <f>IFERROR(__xludf.DUMMYFUNCTION("GOOGLETRANSLATE(B205, ""en"", ""zh"")"),"骨箭头")</f>
        <v>骨箭头</v>
      </c>
      <c r="K205" s="25" t="str">
        <f>IFERROR(__xludf.DUMMYFUNCTION("GOOGLETRANSLATE(B205, ""en"", ""vi"")"),"Mũi tên xương")</f>
        <v>Mũi tên xương</v>
      </c>
      <c r="L205" s="26" t="str">
        <f>IFERROR(__xludf.DUMMYFUNCTION("GOOGLETRANSLATE(B205, ""en"", ""hr"")"),"Strijele kostiju")</f>
        <v>Strijele kostiju</v>
      </c>
      <c r="M205" s="28"/>
      <c r="N205" s="28"/>
      <c r="O205" s="28"/>
      <c r="P205" s="28"/>
      <c r="Q205" s="28"/>
      <c r="R205" s="28"/>
      <c r="S205" s="28"/>
      <c r="T205" s="28"/>
      <c r="U205" s="28"/>
      <c r="V205" s="28"/>
      <c r="W205" s="28"/>
      <c r="X205" s="28"/>
      <c r="Y205" s="28"/>
      <c r="Z205" s="28"/>
      <c r="AA205" s="28"/>
      <c r="AB205" s="28"/>
    </row>
    <row r="206">
      <c r="A206" s="21" t="s">
        <v>766</v>
      </c>
      <c r="B206" s="22" t="s">
        <v>576</v>
      </c>
      <c r="C206" s="23" t="str">
        <f>IFERROR(__xludf.DUMMYFUNCTION("GOOGLETRANSLATE(B206, ""en"", ""fr"")"),"Utilisé comme munition pour un arc.")</f>
        <v>Utilisé comme munition pour un arc.</v>
      </c>
      <c r="D206" s="23" t="str">
        <f>IFERROR(__xludf.DUMMYFUNCTION("GOOGLETRANSLATE(B206, ""en"", ""es"")"),"Utilizado como municiones para un arco.")</f>
        <v>Utilizado como municiones para un arco.</v>
      </c>
      <c r="E206" s="23" t="str">
        <f>IFERROR(__xludf.DUMMYFUNCTION("GOOGLETRANSLATE(B206, ""en"", ""ru"")"),"Используется в качестве боеприпасов для лука.")</f>
        <v>Используется в качестве боеприпасов для лука.</v>
      </c>
      <c r="F206" s="23" t="str">
        <f>IFERROR(__xludf.DUMMYFUNCTION("GOOGLETRANSLATE(B206, ""en"", ""tr"")"),"Bir yay için mühimmat olarak kullanılır.")</f>
        <v>Bir yay için mühimmat olarak kullanılır.</v>
      </c>
      <c r="G206" s="23" t="str">
        <f>IFERROR(__xludf.DUMMYFUNCTION("GOOGLETRANSLATE(B206, ""en"", ""pt"")"),"Usado como munição para um arco.")</f>
        <v>Usado como munição para um arco.</v>
      </c>
      <c r="H206" s="24" t="str">
        <f>IFERROR(__xludf.DUMMYFUNCTION("GOOGLETRANSLATE(B206, ""en"", ""de"")"),"Als Munition für einen Bogen verwendet.")</f>
        <v>Als Munition für einen Bogen verwendet.</v>
      </c>
      <c r="I206" s="23" t="str">
        <f>IFERROR(__xludf.DUMMYFUNCTION("GOOGLETRANSLATE(B206, ""en"", ""pl"")"),"Używany jako amunicja na łuk.")</f>
        <v>Używany jako amunicja na łuk.</v>
      </c>
      <c r="J206" s="25" t="str">
        <f>IFERROR(__xludf.DUMMYFUNCTION("GOOGLETRANSLATE(B206, ""en"", ""zh"")"),"用作弓的弹药。")</f>
        <v>用作弓的弹药。</v>
      </c>
      <c r="K206" s="25" t="str">
        <f>IFERROR(__xludf.DUMMYFUNCTION("GOOGLETRANSLATE(B206, ""en"", ""vi"")"),"Dùng làm đạn cho một cây cung.")</f>
        <v>Dùng làm đạn cho một cây cung.</v>
      </c>
      <c r="L206" s="26" t="str">
        <f>IFERROR(__xludf.DUMMYFUNCTION("GOOGLETRANSLATE(B206, ""en"", ""hr"")"),"Koristi se kao streljivo za luk.")</f>
        <v>Koristi se kao streljivo za luk.</v>
      </c>
      <c r="M206" s="28"/>
      <c r="N206" s="28"/>
      <c r="O206" s="28"/>
      <c r="P206" s="28"/>
      <c r="Q206" s="28"/>
      <c r="R206" s="28"/>
      <c r="S206" s="28"/>
      <c r="T206" s="28"/>
      <c r="U206" s="28"/>
      <c r="V206" s="28"/>
      <c r="W206" s="28"/>
      <c r="X206" s="28"/>
      <c r="Y206" s="28"/>
      <c r="Z206" s="28"/>
      <c r="AA206" s="28"/>
      <c r="AB206" s="28"/>
    </row>
    <row r="207">
      <c r="A207" s="21" t="s">
        <v>767</v>
      </c>
      <c r="B207" s="22" t="s">
        <v>768</v>
      </c>
      <c r="C207" s="23" t="str">
        <f>IFERROR(__xludf.DUMMYFUNCTION("GOOGLETRANSLATE(B207, ""en"", ""fr"")"),"Peignoir")</f>
        <v>Peignoir</v>
      </c>
      <c r="D207" s="23" t="str">
        <f>IFERROR(__xludf.DUMMYFUNCTION("GOOGLETRANSLATE(B207, ""en"", ""es"")"),"Túnica")</f>
        <v>Túnica</v>
      </c>
      <c r="E207" s="23" t="str">
        <f>IFERROR(__xludf.DUMMYFUNCTION("GOOGLETRANSLATE(B207, ""en"", ""ru"")"),"Халат")</f>
        <v>Халат</v>
      </c>
      <c r="F207" s="23" t="str">
        <f>IFERROR(__xludf.DUMMYFUNCTION("GOOGLETRANSLATE(B207, ""en"", ""tr"")"),"Elbise")</f>
        <v>Elbise</v>
      </c>
      <c r="G207" s="23" t="str">
        <f>IFERROR(__xludf.DUMMYFUNCTION("GOOGLETRANSLATE(B207, ""en"", ""pt"")"),"Robe.")</f>
        <v>Robe.</v>
      </c>
      <c r="H207" s="24" t="str">
        <f>IFERROR(__xludf.DUMMYFUNCTION("GOOGLETRANSLATE(B207, ""en"", ""de"")"),"Kleid")</f>
        <v>Kleid</v>
      </c>
      <c r="I207" s="23" t="str">
        <f>IFERROR(__xludf.DUMMYFUNCTION("GOOGLETRANSLATE(B207, ""en"", ""pl"")"),"Szata")</f>
        <v>Szata</v>
      </c>
      <c r="J207" s="25" t="str">
        <f>IFERROR(__xludf.DUMMYFUNCTION("GOOGLETRANSLATE(B207, ""en"", ""zh"")"),"长袍")</f>
        <v>长袍</v>
      </c>
      <c r="K207" s="25" t="str">
        <f>IFERROR(__xludf.DUMMYFUNCTION("GOOGLETRANSLATE(B207, ""en"", ""vi"")"),"Áo choàng")</f>
        <v>Áo choàng</v>
      </c>
      <c r="L207" s="26" t="str">
        <f>IFERROR(__xludf.DUMMYFUNCTION("GOOGLETRANSLATE(B207, ""en"", ""hr"")"),"Haljina")</f>
        <v>Haljina</v>
      </c>
      <c r="M207" s="28"/>
      <c r="N207" s="28"/>
      <c r="O207" s="28"/>
      <c r="P207" s="28"/>
      <c r="Q207" s="28"/>
      <c r="R207" s="28"/>
      <c r="S207" s="28"/>
      <c r="T207" s="28"/>
      <c r="U207" s="28"/>
      <c r="V207" s="28"/>
      <c r="W207" s="28"/>
      <c r="X207" s="28"/>
      <c r="Y207" s="28"/>
      <c r="Z207" s="28"/>
      <c r="AA207" s="28"/>
      <c r="AB207" s="28"/>
    </row>
    <row r="208">
      <c r="A208" s="21" t="s">
        <v>769</v>
      </c>
      <c r="B208" s="22" t="s">
        <v>770</v>
      </c>
      <c r="C208" s="23" t="str">
        <f>IFERROR(__xludf.DUMMYFUNCTION("GOOGLETRANSLATE(B208, ""en"", ""fr"")"),"Une robe simple. Augmente votre statistique de potionry tout en porté.")</f>
        <v>Une robe simple. Augmente votre statistique de potionry tout en porté.</v>
      </c>
      <c r="D208" s="23" t="str">
        <f>IFERROR(__xludf.DUMMYFUNCTION("GOOGLETRANSLATE(B208, ""en"", ""es"")"),"Una túnica llana. Aumenta tu estadística de Potión mientras se usa.")</f>
        <v>Una túnica llana. Aumenta tu estadística de Potión mientras se usa.</v>
      </c>
      <c r="E208" s="23" t="str">
        <f>IFERROR(__xludf.DUMMYFUNCTION("GOOGLETRANSLATE(B208, ""en"", ""ru"")"),"Простой халат. Увеличивает вашу статурию для носителя.")</f>
        <v>Простой халат. Увеличивает вашу статурию для носителя.</v>
      </c>
      <c r="F208" s="23" t="str">
        <f>IFERROR(__xludf.DUMMYFUNCTION("GOOGLETRANSLATE(B208, ""en"", ""tr"")"),"Düz bir bornoz. Yıpranırken kovsırı statünüzü arttırır.")</f>
        <v>Düz bir bornoz. Yıpranırken kovsırı statünüzü arttırır.</v>
      </c>
      <c r="G208" s="23" t="str">
        <f>IFERROR(__xludf.DUMMYFUNCTION("GOOGLETRANSLATE(B208, ""en"", ""pt"")"),"Um robe simples. Aumenta sua estatística de potionia enquanto estiver desgastada.")</f>
        <v>Um robe simples. Aumenta sua estatística de potionia enquanto estiver desgastada.</v>
      </c>
      <c r="H208" s="24" t="str">
        <f>IFERROR(__xludf.DUMMYFUNCTION("GOOGLETRANSLATE(B208, ""en"", ""de"")"),"Eine einfache Robe. Erhöht Ihre Potionry-Stat, während Sie getragen werden.")</f>
        <v>Eine einfache Robe. Erhöht Ihre Potionry-Stat, während Sie getragen werden.</v>
      </c>
      <c r="I208" s="23" t="str">
        <f>IFERROR(__xludf.DUMMYFUNCTION("GOOGLETRANSLATE(B208, ""en"", ""pl"")"),"Zwykła szata. Zwiększa statystykę Potionry podczas noszenia.")</f>
        <v>Zwykła szata. Zwiększa statystykę Potionry podczas noszenia.</v>
      </c>
      <c r="J208" s="25" t="str">
        <f>IFERROR(__xludf.DUMMYFUNCTION("GOOGLETRANSLATE(B208, ""en"", ""zh"")"),"一个普通的长袍。在磨损时增加了你的药水统计数据。")</f>
        <v>一个普通的长袍。在磨损时增加了你的药水统计数据。</v>
      </c>
      <c r="K208" s="25" t="str">
        <f>IFERROR(__xludf.DUMMYFUNCTION("GOOGLETRANSLATE(B208, ""en"", ""vi"")"),"Một chiếc áo choàng đơn giản. Tăng số liệu thống kê Potionry của bạn trong khi mặc.")</f>
        <v>Một chiếc áo choàng đơn giản. Tăng số liệu thống kê Potionry của bạn trong khi mặc.</v>
      </c>
      <c r="L208" s="26" t="str">
        <f>IFERROR(__xludf.DUMMYFUNCTION("GOOGLETRANSLATE(B208, ""en"", ""hr"")"),"Običan ogrtač. Povećava vašu stationry stat dok je nošen.")</f>
        <v>Običan ogrtač. Povećava vašu stationry stat dok je nošen.</v>
      </c>
      <c r="M208" s="28"/>
      <c r="N208" s="28"/>
      <c r="O208" s="28"/>
      <c r="P208" s="28"/>
      <c r="Q208" s="28"/>
      <c r="R208" s="28"/>
      <c r="S208" s="28"/>
      <c r="T208" s="28"/>
      <c r="U208" s="28"/>
      <c r="V208" s="28"/>
      <c r="W208" s="28"/>
      <c r="X208" s="28"/>
      <c r="Y208" s="28"/>
      <c r="Z208" s="28"/>
      <c r="AA208" s="28"/>
      <c r="AB208" s="28"/>
    </row>
    <row r="209">
      <c r="A209" s="21" t="s">
        <v>771</v>
      </c>
      <c r="B209" s="22" t="s">
        <v>772</v>
      </c>
      <c r="C209" s="23" t="str">
        <f>IFERROR(__xludf.DUMMYFUNCTION("GOOGLETRANSLATE(B209, ""en"", ""fr"")"),"Robe de mage")</f>
        <v>Robe de mage</v>
      </c>
      <c r="D209" s="23" t="str">
        <f>IFERROR(__xludf.DUMMYFUNCTION("GOOGLETRANSLATE(B209, ""en"", ""es"")"),"Mago túnica")</f>
        <v>Mago túnica</v>
      </c>
      <c r="E209" s="23" t="str">
        <f>IFERROR(__xludf.DUMMYFUNCTION("GOOGLETRANSLATE(B209, ""en"", ""ru"")"),"Маг халат")</f>
        <v>Маг халат</v>
      </c>
      <c r="F209" s="23" t="str">
        <f>IFERROR(__xludf.DUMMYFUNCTION("GOOGLETRANSLATE(B209, ""en"", ""tr"")"),"Kamçı borusu")</f>
        <v>Kamçı borusu</v>
      </c>
      <c r="G209" s="23" t="str">
        <f>IFERROR(__xludf.DUMMYFUNCTION("GOOGLETRANSLATE(B209, ""en"", ""pt"")"),"Mage roupão.")</f>
        <v>Mage roupão.</v>
      </c>
      <c r="H209" s="24" t="str">
        <f>IFERROR(__xludf.DUMMYFUNCTION("GOOGLETRANSLATE(B209, ""en"", ""de"")"),"Magierrobe")</f>
        <v>Magierrobe</v>
      </c>
      <c r="I209" s="23" t="str">
        <f>IFERROR(__xludf.DUMMYFUNCTION("GOOGLETRANSLATE(B209, ""en"", ""pl"")"),"Szata Maga.")</f>
        <v>Szata Maga.</v>
      </c>
      <c r="J209" s="25" t="str">
        <f>IFERROR(__xludf.DUMMYFUNCTION("GOOGLETRANSLATE(B209, ""en"", ""zh"")"),"法师长袍")</f>
        <v>法师长袍</v>
      </c>
      <c r="K209" s="25" t="str">
        <f>IFERROR(__xludf.DUMMYFUNCTION("GOOGLETRANSLATE(B209, ""en"", ""vi"")"),"Pháp sư robe.")</f>
        <v>Pháp sư robe.</v>
      </c>
      <c r="L209" s="26" t="str">
        <f>IFERROR(__xludf.DUMMYFUNCTION("GOOGLETRANSLATE(B209, ""en"", ""hr"")"),"Haljina")</f>
        <v>Haljina</v>
      </c>
      <c r="M209" s="28"/>
      <c r="N209" s="28"/>
      <c r="O209" s="28"/>
      <c r="P209" s="28"/>
      <c r="Q209" s="28"/>
      <c r="R209" s="28"/>
      <c r="S209" s="28"/>
      <c r="T209" s="28"/>
      <c r="U209" s="28"/>
      <c r="V209" s="28"/>
      <c r="W209" s="28"/>
      <c r="X209" s="28"/>
      <c r="Y209" s="28"/>
      <c r="Z209" s="28"/>
      <c r="AA209" s="28"/>
      <c r="AB209" s="28"/>
    </row>
    <row r="210">
      <c r="A210" s="21" t="s">
        <v>773</v>
      </c>
      <c r="B210" s="22" t="s">
        <v>774</v>
      </c>
      <c r="C210" s="23" t="str">
        <f>IFERROR(__xludf.DUMMYFUNCTION("GOOGLETRANSLATE(B210, ""en"", ""fr"")"),"Une robe de base pour faire de la magie. Augmente votre statistique magique tout en porté.")</f>
        <v>Une robe de base pour faire de la magie. Augmente votre statistique magique tout en porté.</v>
      </c>
      <c r="D210" s="23" t="str">
        <f>IFERROR(__xludf.DUMMYFUNCTION("GOOGLETRANSLATE(B210, ""en"", ""es"")"),"Una túnica básica para hacer magia. Aumenta tu estadística mágica mientras está usada.")</f>
        <v>Una túnica básica para hacer magia. Aumenta tu estadística mágica mientras está usada.</v>
      </c>
      <c r="E210" s="23" t="str">
        <f>IFERROR(__xludf.DUMMYFUNCTION("GOOGLETRANSLATE(B210,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0" s="23" t="str">
        <f>IFERROR(__xludf.DUMMYFUNCTION("GOOGLETRANSLATE(B210, ""en"", ""tr"")"),"Büyü yapmak için temel bir bornoz. Yıpranırken sihirli statünüzü arttırır.")</f>
        <v>Büyü yapmak için temel bir bornoz. Yıpranırken sihirli statünüzü arttırır.</v>
      </c>
      <c r="G210" s="23" t="str">
        <f>IFERROR(__xludf.DUMMYFUNCTION("GOOGLETRANSLATE(B210, ""en"", ""pt"")"),"Um manto básico para fazer magia dentro Aumenta sua estatística mágica enquanto estiver desgastada.")</f>
        <v>Um manto básico para fazer magia dentro Aumenta sua estatística mágica enquanto estiver desgastada.</v>
      </c>
      <c r="H210" s="24" t="str">
        <f>IFERROR(__xludf.DUMMYFUNCTION("GOOGLETRANSLATE(B210, ""en"", ""de"")"),"Ein grundlegender Gewand für die Magie in. Erhöht Ihren Zauberstat während getragen.")</f>
        <v>Ein grundlegender Gewand für die Magie in. Erhöht Ihren Zauberstat während getragen.</v>
      </c>
      <c r="I210" s="23" t="str">
        <f>IFERROR(__xludf.DUMMYFUNCTION("GOOGLETRANSLATE(B210, ""en"", ""pl"")"),"Podstawowa szata do robienia magii. Zwiększa twoją magiczną statystykę podczas noszenia.")</f>
        <v>Podstawowa szata do robienia magii. Zwiększa twoją magiczną statystykę podczas noszenia.</v>
      </c>
      <c r="J210" s="25" t="str">
        <f>IFERROR(__xludf.DUMMYFUNCTION("GOOGLETRANSLATE(B210, ""en"", ""zh"")"),"一个基本的长袍做魔术。在磨损时增加了你的魔法统计数据。")</f>
        <v>一个基本的长袍做魔术。在磨损时增加了你的魔法统计数据。</v>
      </c>
      <c r="K210" s="25" t="str">
        <f>IFERROR(__xludf.DUMMYFUNCTION("GOOGLETRANSLATE(B210,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0" s="26" t="str">
        <f>IFERROR(__xludf.DUMMYFUNCTION("GOOGLETRANSLATE(B210, ""en"", ""hr"")"),"Osnovna haljina za magiju. Povećava vašu čarobnu statistiku dok se nosi.")</f>
        <v>Osnovna haljina za magiju. Povećava vašu čarobnu statistiku dok se nosi.</v>
      </c>
      <c r="M210" s="28"/>
      <c r="N210" s="28"/>
      <c r="O210" s="28"/>
      <c r="P210" s="28"/>
      <c r="Q210" s="28"/>
      <c r="R210" s="28"/>
      <c r="S210" s="28"/>
      <c r="T210" s="28"/>
      <c r="U210" s="28"/>
      <c r="V210" s="28"/>
      <c r="W210" s="28"/>
      <c r="X210" s="28"/>
      <c r="Y210" s="28"/>
      <c r="Z210" s="28"/>
      <c r="AA210" s="28"/>
      <c r="AB210" s="28"/>
    </row>
    <row r="211">
      <c r="A211" s="21" t="s">
        <v>775</v>
      </c>
      <c r="B211" s="22" t="s">
        <v>776</v>
      </c>
      <c r="C211" s="23" t="str">
        <f>IFERROR(__xludf.DUMMYFUNCTION("GOOGLETRANSLATE(B211, ""en"", ""fr"")"),"Robe nécromancienne")</f>
        <v>Robe nécromancienne</v>
      </c>
      <c r="D211" s="23" t="str">
        <f>IFERROR(__xludf.DUMMYFUNCTION("GOOGLETRANSLATE(B211, ""en"", ""es"")"),"Bata de nigromante")</f>
        <v>Bata de nigromante</v>
      </c>
      <c r="E211" s="23" t="str">
        <f>IFERROR(__xludf.DUMMYFUNCTION("GOOGLETRANSLATE(B211, ""en"", ""ru"")"),"Некромансер")</f>
        <v>Некромансер</v>
      </c>
      <c r="F211" s="23" t="str">
        <f>IFERROR(__xludf.DUMMYFUNCTION("GOOGLETRANSLATE(B211, ""en"", ""tr"")"),"Necromancer robe")</f>
        <v>Necromancer robe</v>
      </c>
      <c r="G211" s="23" t="str">
        <f>IFERROR(__xludf.DUMMYFUNCTION("GOOGLETRANSLATE(B211, ""en"", ""pt"")"),"Robe do Necromancer.")</f>
        <v>Robe do Necromancer.</v>
      </c>
      <c r="H211" s="24" t="str">
        <f>IFERROR(__xludf.DUMMYFUNCTION("GOOGLETRANSLATE(B211, ""en"", ""de"")"),"Nekromantrobe")</f>
        <v>Nekromantrobe</v>
      </c>
      <c r="I211" s="23" t="str">
        <f>IFERROR(__xludf.DUMMYFUNCTION("GOOGLETRANSLATE(B211, ""en"", ""pl"")"),"Szata Nekromanta")</f>
        <v>Szata Nekromanta</v>
      </c>
      <c r="J211" s="25" t="str">
        <f>IFERROR(__xludf.DUMMYFUNCTION("GOOGLETRANSLATE(B211, ""en"", ""zh"")"),"死灵法师长袍")</f>
        <v>死灵法师长袍</v>
      </c>
      <c r="K211" s="25" t="str">
        <f>IFERROR(__xludf.DUMMYFUNCTION("GOOGLETRANSLATE(B211, ""en"", ""vi"")"),"Áo choàng necromancer.")</f>
        <v>Áo choàng necromancer.</v>
      </c>
      <c r="L211" s="26" t="str">
        <f>IFERROR(__xludf.DUMMYFUNCTION("GOOGLETRANSLATE(B211, ""en"", ""hr"")"),"Haljina nekromanta")</f>
        <v>Haljina nekromanta</v>
      </c>
      <c r="M211" s="28"/>
      <c r="N211" s="28"/>
      <c r="O211" s="28"/>
      <c r="P211" s="28"/>
      <c r="Q211" s="28"/>
      <c r="R211" s="28"/>
      <c r="S211" s="28"/>
      <c r="T211" s="28"/>
      <c r="U211" s="28"/>
      <c r="V211" s="28"/>
      <c r="W211" s="28"/>
      <c r="X211" s="28"/>
      <c r="Y211" s="28"/>
      <c r="Z211" s="28"/>
      <c r="AA211" s="28"/>
      <c r="AB211" s="28"/>
    </row>
    <row r="212">
      <c r="A212" s="21" t="s">
        <v>777</v>
      </c>
      <c r="B212" s="22" t="s">
        <v>774</v>
      </c>
      <c r="C212" s="23" t="str">
        <f>IFERROR(__xludf.DUMMYFUNCTION("GOOGLETRANSLATE(B212, ""en"", ""fr"")"),"Une robe de base pour faire de la magie. Augmente votre statistique magique tout en porté.")</f>
        <v>Une robe de base pour faire de la magie. Augmente votre statistique magique tout en porté.</v>
      </c>
      <c r="D212" s="23" t="str">
        <f>IFERROR(__xludf.DUMMYFUNCTION("GOOGLETRANSLATE(B212, ""en"", ""es"")"),"Una túnica básica para hacer magia. Aumenta tu estadística mágica mientras está usada.")</f>
        <v>Una túnica básica para hacer magia. Aumenta tu estadística mágica mientras está usada.</v>
      </c>
      <c r="E212" s="23" t="str">
        <f>IFERROR(__xludf.DUMMYFUNCTION("GOOGLETRANSLATE(B212,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12" s="23" t="str">
        <f>IFERROR(__xludf.DUMMYFUNCTION("GOOGLETRANSLATE(B212, ""en"", ""tr"")"),"Büyü yapmak için temel bir bornoz. Yıpranırken sihirli statünüzü arttırır.")</f>
        <v>Büyü yapmak için temel bir bornoz. Yıpranırken sihirli statünüzü arttırır.</v>
      </c>
      <c r="G212" s="23" t="str">
        <f>IFERROR(__xludf.DUMMYFUNCTION("GOOGLETRANSLATE(B212, ""en"", ""pt"")"),"Um manto básico para fazer magia dentro Aumenta sua estatística mágica enquanto estiver desgastada.")</f>
        <v>Um manto básico para fazer magia dentro Aumenta sua estatística mágica enquanto estiver desgastada.</v>
      </c>
      <c r="H212" s="24" t="str">
        <f>IFERROR(__xludf.DUMMYFUNCTION("GOOGLETRANSLATE(B212, ""en"", ""de"")"),"Ein grundlegender Gewand für die Magie in. Erhöht Ihren Zauberstat während getragen.")</f>
        <v>Ein grundlegender Gewand für die Magie in. Erhöht Ihren Zauberstat während getragen.</v>
      </c>
      <c r="I212" s="23" t="str">
        <f>IFERROR(__xludf.DUMMYFUNCTION("GOOGLETRANSLATE(B212, ""en"", ""pl"")"),"Podstawowa szata do robienia magii. Zwiększa twoją magiczną statystykę podczas noszenia.")</f>
        <v>Podstawowa szata do robienia magii. Zwiększa twoją magiczną statystykę podczas noszenia.</v>
      </c>
      <c r="J212" s="25" t="str">
        <f>IFERROR(__xludf.DUMMYFUNCTION("GOOGLETRANSLATE(B212, ""en"", ""zh"")"),"一个基本的长袍做魔术。在磨损时增加了你的魔法统计数据。")</f>
        <v>一个基本的长袍做魔术。在磨损时增加了你的魔法统计数据。</v>
      </c>
      <c r="K212" s="25" t="str">
        <f>IFERROR(__xludf.DUMMYFUNCTION("GOOGLETRANSLATE(B212,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12" s="26" t="str">
        <f>IFERROR(__xludf.DUMMYFUNCTION("GOOGLETRANSLATE(B212, ""en"", ""hr"")"),"Osnovna haljina za magiju. Povećava vašu čarobnu statistiku dok se nosi.")</f>
        <v>Osnovna haljina za magiju. Povećava vašu čarobnu statistiku dok se nosi.</v>
      </c>
      <c r="M212" s="28"/>
      <c r="N212" s="28"/>
      <c r="O212" s="28"/>
      <c r="P212" s="28"/>
      <c r="Q212" s="28"/>
      <c r="R212" s="28"/>
      <c r="S212" s="28"/>
      <c r="T212" s="28"/>
      <c r="U212" s="28"/>
      <c r="V212" s="28"/>
      <c r="W212" s="28"/>
      <c r="X212" s="28"/>
      <c r="Y212" s="28"/>
      <c r="Z212" s="28"/>
      <c r="AA212" s="28"/>
      <c r="AB212" s="28"/>
    </row>
    <row r="213">
      <c r="A213" s="21" t="s">
        <v>778</v>
      </c>
      <c r="B213" s="22" t="s">
        <v>779</v>
      </c>
      <c r="C213" s="23" t="str">
        <f>IFERROR(__xludf.DUMMYFUNCTION("GOOGLETRANSLATE(B213, ""en"", ""fr"")"),"Manteau")</f>
        <v>Manteau</v>
      </c>
      <c r="D213" s="23" t="str">
        <f>IFERROR(__xludf.DUMMYFUNCTION("GOOGLETRANSLATE(B213, ""en"", ""es"")"),"Capa")</f>
        <v>Capa</v>
      </c>
      <c r="E213" s="23" t="str">
        <f>IFERROR(__xludf.DUMMYFUNCTION("GOOGLETRANSLATE(B213, ""en"", ""ru"")"),"Плащ")</f>
        <v>Плащ</v>
      </c>
      <c r="F213" s="23" t="str">
        <f>IFERROR(__xludf.DUMMYFUNCTION("GOOGLETRANSLATE(B213, ""en"", ""tr"")"),"Pelerin")</f>
        <v>Pelerin</v>
      </c>
      <c r="G213" s="23" t="str">
        <f>IFERROR(__xludf.DUMMYFUNCTION("GOOGLETRANSLATE(B213, ""en"", ""pt"")"),"Capa")</f>
        <v>Capa</v>
      </c>
      <c r="H213" s="24" t="str">
        <f>IFERROR(__xludf.DUMMYFUNCTION("GOOGLETRANSLATE(B213, ""en"", ""de"")"),"Mantel")</f>
        <v>Mantel</v>
      </c>
      <c r="I213" s="23" t="str">
        <f>IFERROR(__xludf.DUMMYFUNCTION("GOOGLETRANSLATE(B213, ""en"", ""pl"")"),"Płaszcz")</f>
        <v>Płaszcz</v>
      </c>
      <c r="J213" s="25" t="str">
        <f>IFERROR(__xludf.DUMMYFUNCTION("GOOGLETRANSLATE(B213, ""en"", ""zh"")"),"披风")</f>
        <v>披风</v>
      </c>
      <c r="K213" s="25" t="str">
        <f>IFERROR(__xludf.DUMMYFUNCTION("GOOGLETRANSLATE(B213, ""en"", ""vi"")"),"Áo choàng")</f>
        <v>Áo choàng</v>
      </c>
      <c r="L213" s="26" t="str">
        <f>IFERROR(__xludf.DUMMYFUNCTION("GOOGLETRANSLATE(B213, ""en"", ""hr"")"),"Plašt")</f>
        <v>Plašt</v>
      </c>
      <c r="M213" s="28"/>
      <c r="N213" s="28"/>
      <c r="O213" s="28"/>
      <c r="P213" s="28"/>
      <c r="Q213" s="28"/>
      <c r="R213" s="28"/>
      <c r="S213" s="28"/>
      <c r="T213" s="28"/>
      <c r="U213" s="28"/>
      <c r="V213" s="28"/>
      <c r="W213" s="28"/>
      <c r="X213" s="28"/>
      <c r="Y213" s="28"/>
      <c r="Z213" s="28"/>
      <c r="AA213" s="28"/>
      <c r="AB213" s="28"/>
    </row>
    <row r="214">
      <c r="A214" s="21" t="s">
        <v>780</v>
      </c>
      <c r="B214" s="22" t="s">
        <v>781</v>
      </c>
      <c r="C214" s="23" t="str">
        <f>IFERROR(__xludf.DUMMYFUNCTION("GOOGLETRANSLATE(B214, ""en"", ""fr"")"),"Une manteau de base pour faire varie. Augmente votre statistique à distance tout en portant.")</f>
        <v>Une manteau de base pour faire varie. Augmente votre statistique à distance tout en portant.</v>
      </c>
      <c r="D214" s="23" t="str">
        <f>IFERROR(__xludf.DUMMYFUNCTION("GOOGLETRANSLATE(B214, ""en"", ""es"")"),"Una capa básica para hacer iban. Aumenta tu estadística a la izquierda mientras usa.")</f>
        <v>Una capa básica para hacer iban. Aumenta tu estadística a la izquierda mientras usa.</v>
      </c>
      <c r="E214" s="23" t="str">
        <f>IFERROR(__xludf.DUMMYFUNCTION("GOOGLETRANSLATE(B214,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4" s="23" t="str">
        <f>IFERROR(__xludf.DUMMYFUNCTION("GOOGLETRANSLATE(B214, ""en"", ""tr"")"),"Değişmek için temel bir pelerin. Yıpranırken değişen statünüzü arttırır.")</f>
        <v>Değişmek için temel bir pelerin. Yıpranırken değişen statünüzü arttırır.</v>
      </c>
      <c r="G214" s="23" t="str">
        <f>IFERROR(__xludf.DUMMYFUNCTION("GOOGLETRANSLATE(B214, ""en"", ""pt"")"),"Um manto básico para fazer variou. Aumenta sua estatística à distância enquanto usava.")</f>
        <v>Um manto básico para fazer variou. Aumenta sua estatística à distância enquanto usava.</v>
      </c>
      <c r="H214" s="24" t="str">
        <f>IFERROR(__xludf.DUMMYFUNCTION("GOOGLETRANSLATE(B214, ""en"", ""de"")"),"Ein grundlegender Mantel für das Tuning in. Erhöht Ihre Fernkampfstat, während Sie getragen werden.")</f>
        <v>Ein grundlegender Mantel für das Tuning in. Erhöht Ihre Fernkampfstat, während Sie getragen werden.</v>
      </c>
      <c r="I214" s="23" t="str">
        <f>IFERROR(__xludf.DUMMYFUNCTION("GOOGLETRANSLATE(B214, ""en"", ""pl"")"),"Podstawowy płaszcz do wykrycia. Zwiększa twój dystansowy statystykę podczas noszenia.")</f>
        <v>Podstawowy płaszcz do wykrycia. Zwiększa twój dystansowy statystykę podczas noszenia.</v>
      </c>
      <c r="J214" s="25" t="str">
        <f>IFERROR(__xludf.DUMMYFUNCTION("GOOGLETRANSLATE(B214, ""en"", ""zh"")"),"用于做的基本斗篷。磨损时增加了你的范围的统计数据。")</f>
        <v>用于做的基本斗篷。磨损时增加了你的范围的统计数据。</v>
      </c>
      <c r="K214" s="25" t="str">
        <f>IFERROR(__xludf.DUMMYFUNCTION("GOOGLETRANSLATE(B214, ""en"", ""vi"")"),"Một chiếc áo choàng cơ bản để thực hiện trong. Tăng số liệu thống kê tầm xa của bạn trong khi mặc.")</f>
        <v>Một chiếc áo choàng cơ bản để thực hiện trong. Tăng số liệu thống kê tầm xa của bạn trong khi mặc.</v>
      </c>
      <c r="L214" s="26" t="str">
        <f>IFERROR(__xludf.DUMMYFUNCTION("GOOGLETRANSLATE(B214, ""en"", ""hr"")"),"Osnovni ogrtač za rad u rasponu. Povećava vašu statu dok je nosila.")</f>
        <v>Osnovni ogrtač za rad u rasponu. Povećava vašu statu dok je nosila.</v>
      </c>
      <c r="M214" s="28"/>
      <c r="N214" s="28"/>
      <c r="O214" s="28"/>
      <c r="P214" s="28"/>
      <c r="Q214" s="28"/>
      <c r="R214" s="28"/>
      <c r="S214" s="28"/>
      <c r="T214" s="28"/>
      <c r="U214" s="28"/>
      <c r="V214" s="28"/>
      <c r="W214" s="28"/>
      <c r="X214" s="28"/>
      <c r="Y214" s="28"/>
      <c r="Z214" s="28"/>
      <c r="AA214" s="28"/>
      <c r="AB214" s="28"/>
    </row>
    <row r="215">
      <c r="A215" s="21" t="s">
        <v>782</v>
      </c>
      <c r="B215" s="22" t="s">
        <v>783</v>
      </c>
      <c r="C215" s="23" t="str">
        <f>IFERROR(__xludf.DUMMYFUNCTION("GOOGLETRANSLATE(B215, ""en"", ""fr"")"),"Ninja Garb")</f>
        <v>Ninja Garb</v>
      </c>
      <c r="D215" s="23" t="str">
        <f>IFERROR(__xludf.DUMMYFUNCTION("GOOGLETRANSLATE(B215, ""en"", ""es"")"),"Ninja garb")</f>
        <v>Ninja garb</v>
      </c>
      <c r="E215" s="23" t="str">
        <f>IFERROR(__xludf.DUMMYFUNCTION("GOOGLETRANSLATE(B215, ""en"", ""ru"")"),"Ниндзя одеваться")</f>
        <v>Ниндзя одеваться</v>
      </c>
      <c r="F215" s="23" t="str">
        <f>IFERROR(__xludf.DUMMYFUNCTION("GOOGLETRANSLATE(B215, ""en"", ""tr"")"),"Ninja garb")</f>
        <v>Ninja garb</v>
      </c>
      <c r="G215" s="23" t="str">
        <f>IFERROR(__xludf.DUMMYFUNCTION("GOOGLETRANSLATE(B215, ""en"", ""pt"")"),"Ninja Garb.")</f>
        <v>Ninja Garb.</v>
      </c>
      <c r="H215" s="24" t="str">
        <f>IFERROR(__xludf.DUMMYFUNCTION("GOOGLETRANSLATE(B215, ""en"", ""de"")"),"Ninja GARB.")</f>
        <v>Ninja GARB.</v>
      </c>
      <c r="I215" s="23" t="str">
        <f>IFERROR(__xludf.DUMMYFUNCTION("GOOGLETRANSLATE(B215, ""en"", ""pl"")"),"Ninja Garb.")</f>
        <v>Ninja Garb.</v>
      </c>
      <c r="J215" s="25" t="str">
        <f>IFERROR(__xludf.DUMMYFUNCTION("GOOGLETRANSLATE(B215, ""en"", ""zh"")"),"忍者服装")</f>
        <v>忍者服装</v>
      </c>
      <c r="K215" s="25" t="str">
        <f>IFERROR(__xludf.DUMMYFUNCTION("GOOGLETRANSLATE(B215, ""en"", ""vi"")"),"Ninja Garb.")</f>
        <v>Ninja Garb.</v>
      </c>
      <c r="L215" s="26" t="str">
        <f>IFERROR(__xludf.DUMMYFUNCTION("GOOGLETRANSLATE(B215, ""en"", ""hr"")"),"Ninja odjeća")</f>
        <v>Ninja odjeća</v>
      </c>
      <c r="M215" s="28"/>
      <c r="N215" s="28"/>
      <c r="O215" s="28"/>
      <c r="P215" s="28"/>
      <c r="Q215" s="28"/>
      <c r="R215" s="28"/>
      <c r="S215" s="28"/>
      <c r="T215" s="28"/>
      <c r="U215" s="28"/>
      <c r="V215" s="28"/>
      <c r="W215" s="28"/>
      <c r="X215" s="28"/>
      <c r="Y215" s="28"/>
      <c r="Z215" s="28"/>
      <c r="AA215" s="28"/>
      <c r="AB215" s="28"/>
    </row>
    <row r="216">
      <c r="A216" s="21" t="s">
        <v>784</v>
      </c>
      <c r="B216" s="22" t="s">
        <v>785</v>
      </c>
      <c r="C216" s="23" t="str">
        <f>IFERROR(__xludf.DUMMYFUNCTION("GOOGLETRANSLATE(B216, ""en"", ""fr"")"),"Augmente vos statistiques de mêlée et à distance et cache votre nom tout en porté.")</f>
        <v>Augmente vos statistiques de mêlée et à distance et cache votre nom tout en porté.</v>
      </c>
      <c r="D216" s="23" t="str">
        <f>IFERROR(__xludf.DUMMYFUNCTION("GOOGLETRANSLATE(B216, ""en"", ""es"")"),"Aumenta tus estadísticas cuerpo a cuerpo y a distancia y esconde tu nombre mientras estaba usado.")</f>
        <v>Aumenta tus estadísticas cuerpo a cuerpo y a distancia y esconde tu nombre mientras estaba usado.</v>
      </c>
      <c r="E216" s="23" t="str">
        <f>IFERROR(__xludf.DUMMYFUNCTION("GOOGLETRANSLATE(B216,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6" s="23" t="str">
        <f>IFERROR(__xludf.DUMMYFUNCTION("GOOGLETRANSLATE(B216, ""en"", ""tr"")"),"Yakın muharebeyi ve değişken istatistiklerinizi arttırır ve yıpranırken adınızı gizler.")</f>
        <v>Yakın muharebeyi ve değişken istatistiklerinizi arttırır ve yıpranırken adınızı gizler.</v>
      </c>
      <c r="G216" s="23" t="str">
        <f>IFERROR(__xludf.DUMMYFUNCTION("GOOGLETRANSLATE(B216, ""en"", ""pt"")"),"Aumenta suas estatísticas corpo-a-corpo e variadas e esconde seu nome enquanto estiver desgastado.")</f>
        <v>Aumenta suas estatísticas corpo-a-corpo e variadas e esconde seu nome enquanto estiver desgastado.</v>
      </c>
      <c r="H216" s="24" t="str">
        <f>IFERROR(__xludf.DUMMYFUNCTION("GOOGLETRANSLATE(B216, ""en"", ""de"")"),"Erhöht Ihren Nahkampf- und Fernbedienungsstat und versteckt Ihren Namen, während Sie getragen werden.")</f>
        <v>Erhöht Ihren Nahkampf- und Fernbedienungsstat und versteckt Ihren Namen, während Sie getragen werden.</v>
      </c>
      <c r="I216" s="23" t="str">
        <f>IFERROR(__xludf.DUMMYFUNCTION("GOOGLETRANSLATE(B216, ""en"", ""pl"")"),"Zwiększa statywy wręcz i dystansowały i ukrywa swoje imię podczas noszenia.")</f>
        <v>Zwiększa statywy wręcz i dystansowały i ukrywa swoje imię podczas noszenia.</v>
      </c>
      <c r="J216" s="25" t="str">
        <f>IFERROR(__xludf.DUMMYFUNCTION("GOOGLETRANSLATE(B216, ""en"", ""zh"")"),"增加你的近战和范围的统计数据，并在磨损时隐藏你的名字。")</f>
        <v>增加你的近战和范围的统计数据，并在磨损时隐藏你的名字。</v>
      </c>
      <c r="K216" s="25" t="str">
        <f>IFERROR(__xludf.DUMMYFUNCTION("GOOGLETRANSLATE(B216, ""en"", ""vi"")"),"Tăng số liệu thống kê cận chiến và tầm xa của bạn và che giấu tên của bạn trong khi bị mòn.")</f>
        <v>Tăng số liệu thống kê cận chiến và tầm xa của bạn và che giấu tên của bạn trong khi bị mòn.</v>
      </c>
      <c r="L216" s="26" t="str">
        <f>IFERROR(__xludf.DUMMYFUNCTION("GOOGLETRANSLATE(B216, ""en"", ""hr"")"),"Povećava gužvu i kreće se i skriva vaše ime dok je istrošeno.")</f>
        <v>Povećava gužvu i kreće se i skriva vaše ime dok je istrošeno.</v>
      </c>
      <c r="M216" s="28"/>
      <c r="N216" s="28"/>
      <c r="O216" s="28"/>
      <c r="P216" s="28"/>
      <c r="Q216" s="28"/>
      <c r="R216" s="28"/>
      <c r="S216" s="28"/>
      <c r="T216" s="28"/>
      <c r="U216" s="28"/>
      <c r="V216" s="28"/>
      <c r="W216" s="28"/>
      <c r="X216" s="28"/>
      <c r="Y216" s="28"/>
      <c r="Z216" s="28"/>
      <c r="AA216" s="28"/>
      <c r="AB216" s="28"/>
    </row>
    <row r="217">
      <c r="A217" s="21" t="s">
        <v>786</v>
      </c>
      <c r="B217" s="22" t="s">
        <v>787</v>
      </c>
      <c r="C217" s="23" t="str">
        <f>IFERROR(__xludf.DUMMYFUNCTION("GOOGLETRANSLATE(B217, ""en"", ""fr"")"),"Charte")</f>
        <v>Charte</v>
      </c>
      <c r="D217" s="23" t="str">
        <f>IFERROR(__xludf.DUMMYFUNCTION("GOOGLETRANSLATE(B217, ""en"", ""es"")"),"Carta")</f>
        <v>Carta</v>
      </c>
      <c r="E217" s="23" t="str">
        <f>IFERROR(__xludf.DUMMYFUNCTION("GOOGLETRANSLATE(B217, ""en"", ""ru"")"),"Шартер")</f>
        <v>Шартер</v>
      </c>
      <c r="F217" s="23" t="str">
        <f>IFERROR(__xludf.DUMMYFUNCTION("GOOGLETRANSLATE(B217, ""en"", ""tr"")"),"Tüzük")</f>
        <v>Tüzük</v>
      </c>
      <c r="G217" s="23" t="str">
        <f>IFERROR(__xludf.DUMMYFUNCTION("GOOGLETRANSLATE(B217, ""en"", ""pt"")"),"Carta")</f>
        <v>Carta</v>
      </c>
      <c r="H217" s="24" t="str">
        <f>IFERROR(__xludf.DUMMYFUNCTION("GOOGLETRANSLATE(B217, ""en"", ""de"")"),"Charta")</f>
        <v>Charta</v>
      </c>
      <c r="I217" s="23" t="str">
        <f>IFERROR(__xludf.DUMMYFUNCTION("GOOGLETRANSLATE(B217, ""en"", ""pl"")"),"Czarter")</f>
        <v>Czarter</v>
      </c>
      <c r="J217" s="25" t="str">
        <f>IFERROR(__xludf.DUMMYFUNCTION("GOOGLETRANSLATE(B217, ""en"", ""zh"")"),"宪章")</f>
        <v>宪章</v>
      </c>
      <c r="K217" s="25" t="str">
        <f>IFERROR(__xludf.DUMMYFUNCTION("GOOGLETRANSLATE(B217, ""en"", ""vi"")"),"Điều lệ")</f>
        <v>Điều lệ</v>
      </c>
      <c r="L217" s="26" t="str">
        <f>IFERROR(__xludf.DUMMYFUNCTION("GOOGLETRANSLATE(B217, ""en"", ""hr"")"),"Čarter")</f>
        <v>Čarter</v>
      </c>
      <c r="M217" s="28"/>
      <c r="N217" s="28"/>
      <c r="O217" s="28"/>
      <c r="P217" s="28"/>
      <c r="Q217" s="28"/>
      <c r="R217" s="28"/>
      <c r="S217" s="28"/>
      <c r="T217" s="28"/>
      <c r="U217" s="28"/>
      <c r="V217" s="28"/>
      <c r="W217" s="28"/>
      <c r="X217" s="28"/>
      <c r="Y217" s="28"/>
      <c r="Z217" s="28"/>
      <c r="AA217" s="28"/>
      <c r="AB217" s="28"/>
    </row>
    <row r="218">
      <c r="A218" s="21" t="s">
        <v>788</v>
      </c>
      <c r="B218" s="22" t="s">
        <v>789</v>
      </c>
      <c r="C218" s="23" t="str">
        <f>IFERROR(__xludf.DUMMYFUNCTION("GOOGLETRANSLATE(B218,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8" s="23" t="str">
        <f>IFERROR(__xludf.DUMMYFUNCTION("GOOGLETRANSLATE(B218,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8" s="23" t="str">
        <f>IFERROR(__xludf.DUMMYFUNCTION("GOOGLETRANSLATE(B218,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8" s="23" t="str">
        <f>IFERROR(__xludf.DUMMYFUNCTION("GOOGLETRANSLATE(B218,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8" s="23" t="str">
        <f>IFERROR(__xludf.DUMMYFUNCTION("GOOGLETRANSLATE(B218, ""en"", ""pt"")"),"Estrutura de clã. Lugar para começar um clã. Usado para criar outras estruturas de clã. Se isso for destruído, o clã e todas as estruturas também são destruídos.")</f>
        <v>Estrutura de clã. Lugar para começar um clã. Usado para criar outras estruturas de clã. Se isso for destruído, o clã e todas as estruturas também são destruídos.</v>
      </c>
      <c r="H218" s="24" t="str">
        <f>IFERROR(__xludf.DUMMYFUNCTION("GOOGLETRANSLATE(B218,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8" s="23" t="str">
        <f>IFERROR(__xludf.DUMMYFUNCTION("GOOGLETRANSLATE(B218,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8" s="25" t="str">
        <f>IFERROR(__xludf.DUMMYFUNCTION("GOOGLETRANSLATE(B218, ""en"", ""zh"")"),"氏族结构。一个开始氏族的地方。用于制作其他氏族结构。如果这被销毁，氏族和所有结构也被摧毁。")</f>
        <v>氏族结构。一个开始氏族的地方。用于制作其他氏族结构。如果这被销毁，氏族和所有结构也被摧毁。</v>
      </c>
      <c r="K218" s="25" t="str">
        <f>IFERROR(__xludf.DUMMYFUNCTION("GOOGLETRANSLATE(B218,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8" s="26" t="str">
        <f>IFERROR(__xludf.DUMMYFUNCTION("GOOGLETRANSLATE(B218,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8" s="28"/>
      <c r="N218" s="28"/>
      <c r="O218" s="28"/>
      <c r="P218" s="28"/>
      <c r="Q218" s="28"/>
      <c r="R218" s="28"/>
      <c r="S218" s="28"/>
      <c r="T218" s="28"/>
      <c r="U218" s="28"/>
      <c r="V218" s="28"/>
      <c r="W218" s="28"/>
      <c r="X218" s="28"/>
      <c r="Y218" s="28"/>
      <c r="Z218" s="28"/>
      <c r="AA218" s="28"/>
      <c r="AB218" s="28"/>
    </row>
    <row r="219">
      <c r="A219" s="21" t="s">
        <v>790</v>
      </c>
      <c r="B219" s="22" t="s">
        <v>791</v>
      </c>
      <c r="C219" s="23" t="str">
        <f>IFERROR(__xludf.DUMMYFUNCTION("GOOGLETRANSLATE(B219, ""en"", ""fr"")"),"Mur de bois")</f>
        <v>Mur de bois</v>
      </c>
      <c r="D219" s="23" t="str">
        <f>IFERROR(__xludf.DUMMYFUNCTION("GOOGLETRANSLATE(B219, ""en"", ""es"")"),"Pared de madera")</f>
        <v>Pared de madera</v>
      </c>
      <c r="E219" s="23" t="str">
        <f>IFERROR(__xludf.DUMMYFUNCTION("GOOGLETRANSLATE(B219, ""en"", ""ru"")"),"Деревянная стена")</f>
        <v>Деревянная стена</v>
      </c>
      <c r="F219" s="23" t="str">
        <f>IFERROR(__xludf.DUMMYFUNCTION("GOOGLETRANSLATE(B219, ""en"", ""tr"")"),"Tahta duvar")</f>
        <v>Tahta duvar</v>
      </c>
      <c r="G219" s="23" t="str">
        <f>IFERROR(__xludf.DUMMYFUNCTION("GOOGLETRANSLATE(B219, ""en"", ""pt"")"),"Parede de madeira")</f>
        <v>Parede de madeira</v>
      </c>
      <c r="H219" s="24" t="str">
        <f>IFERROR(__xludf.DUMMYFUNCTION("GOOGLETRANSLATE(B219, ""en"", ""de"")"),"Holzwand")</f>
        <v>Holzwand</v>
      </c>
      <c r="I219" s="23" t="str">
        <f>IFERROR(__xludf.DUMMYFUNCTION("GOOGLETRANSLATE(B219, ""en"", ""pl"")"),"Drewniana ściana")</f>
        <v>Drewniana ściana</v>
      </c>
      <c r="J219" s="25" t="str">
        <f>IFERROR(__xludf.DUMMYFUNCTION("GOOGLETRANSLATE(B219, ""en"", ""zh"")"),"木墙")</f>
        <v>木墙</v>
      </c>
      <c r="K219" s="25" t="str">
        <f>IFERROR(__xludf.DUMMYFUNCTION("GOOGLETRANSLATE(B219, ""en"", ""vi"")"),"Bức tường gỗ")</f>
        <v>Bức tường gỗ</v>
      </c>
      <c r="L219" s="26" t="str">
        <f>IFERROR(__xludf.DUMMYFUNCTION("GOOGLETRANSLATE(B219, ""en"", ""hr"")"),"Drveni zid")</f>
        <v>Drveni zid</v>
      </c>
      <c r="M219" s="28"/>
      <c r="N219" s="28"/>
      <c r="O219" s="28"/>
      <c r="P219" s="28"/>
      <c r="Q219" s="28"/>
      <c r="R219" s="28"/>
      <c r="S219" s="28"/>
      <c r="T219" s="28"/>
      <c r="U219" s="28"/>
      <c r="V219" s="28"/>
      <c r="W219" s="28"/>
      <c r="X219" s="28"/>
      <c r="Y219" s="28"/>
      <c r="Z219" s="28"/>
      <c r="AA219" s="28"/>
      <c r="AB219" s="28"/>
    </row>
    <row r="220">
      <c r="A220" s="21" t="s">
        <v>792</v>
      </c>
      <c r="B220" s="22" t="s">
        <v>793</v>
      </c>
      <c r="C220" s="23" t="str">
        <f>IFERROR(__xludf.DUMMYFUNCTION("GOOGLETRANSLATE(B220, ""en"", ""fr"")"),"Structure du clan. Une faible défense pour une base.")</f>
        <v>Structure du clan. Une faible défense pour une base.</v>
      </c>
      <c r="D220" s="23" t="str">
        <f>IFERROR(__xludf.DUMMYFUNCTION("GOOGLETRANSLATE(B220, ""en"", ""es"")"),"Estructura del clan. Una defensa débil para una base.")</f>
        <v>Estructura del clan. Una defensa débil para una base.</v>
      </c>
      <c r="E220" s="23" t="str">
        <f>IFERROR(__xludf.DUMMYFUNCTION("GOOGLETRANSLATE(B220, ""en"", ""ru"")"),"Клановая структура. Слабая защита для базы.")</f>
        <v>Клановая структура. Слабая защита для базы.</v>
      </c>
      <c r="F220" s="23" t="str">
        <f>IFERROR(__xludf.DUMMYFUNCTION("GOOGLETRANSLATE(B220, ""en"", ""tr"")"),"Klan yapısı. Bir taban için zayıf bir savunma.")</f>
        <v>Klan yapısı. Bir taban için zayıf bir savunma.</v>
      </c>
      <c r="G220" s="23" t="str">
        <f>IFERROR(__xludf.DUMMYFUNCTION("GOOGLETRANSLATE(B220, ""en"", ""pt"")"),"Estrutura de clã. Uma defesa fraca para uma base.")</f>
        <v>Estrutura de clã. Uma defesa fraca para uma base.</v>
      </c>
      <c r="H220" s="24" t="str">
        <f>IFERROR(__xludf.DUMMYFUNCTION("GOOGLETRANSLATE(B220, ""en"", ""de"")"),"Clanstruktur. Eine schwache Verteidigung für eine Basis.")</f>
        <v>Clanstruktur. Eine schwache Verteidigung für eine Basis.</v>
      </c>
      <c r="I220" s="23" t="str">
        <f>IFERROR(__xludf.DUMMYFUNCTION("GOOGLETRANSLATE(B220, ""en"", ""pl"")"),"Struktura klanu. Słaba obrona dla bazy.")</f>
        <v>Struktura klanu. Słaba obrona dla bazy.</v>
      </c>
      <c r="J220" s="25" t="str">
        <f>IFERROR(__xludf.DUMMYFUNCTION("GOOGLETRANSLATE(B220, ""en"", ""zh"")"),"氏族结构。一个基地的防守。")</f>
        <v>氏族结构。一个基地的防守。</v>
      </c>
      <c r="K220" s="25" t="str">
        <f>IFERROR(__xludf.DUMMYFUNCTION("GOOGLETRANSLATE(B220, ""en"", ""vi"")"),"Cấu trúc gia tộc. Một sự bảo vệ yếu cho một căn cứ.")</f>
        <v>Cấu trúc gia tộc. Một sự bảo vệ yếu cho một căn cứ.</v>
      </c>
      <c r="L220" s="26" t="str">
        <f>IFERROR(__xludf.DUMMYFUNCTION("GOOGLETRANSLATE(B220, ""en"", ""hr"")"),"Struktura klana. Slaba obrana za bazu.")</f>
        <v>Struktura klana. Slaba obrana za bazu.</v>
      </c>
      <c r="M220" s="28"/>
      <c r="N220" s="28"/>
      <c r="O220" s="28"/>
      <c r="P220" s="28"/>
      <c r="Q220" s="28"/>
      <c r="R220" s="28"/>
      <c r="S220" s="28"/>
      <c r="T220" s="28"/>
      <c r="U220" s="28"/>
      <c r="V220" s="28"/>
      <c r="W220" s="28"/>
      <c r="X220" s="28"/>
      <c r="Y220" s="28"/>
      <c r="Z220" s="28"/>
      <c r="AA220" s="28"/>
      <c r="AB220" s="28"/>
    </row>
    <row r="221">
      <c r="A221" s="21" t="s">
        <v>794</v>
      </c>
      <c r="B221" s="22" t="s">
        <v>795</v>
      </c>
      <c r="C221" s="23" t="str">
        <f>IFERROR(__xludf.DUMMYFUNCTION("GOOGLETRANSLATE(B221, ""en"", ""fr"")"),"Porte de bois")</f>
        <v>Porte de bois</v>
      </c>
      <c r="D221" s="23" t="str">
        <f>IFERROR(__xludf.DUMMYFUNCTION("GOOGLETRANSLATE(B221, ""en"", ""es"")"),"Puerta de madera")</f>
        <v>Puerta de madera</v>
      </c>
      <c r="E221" s="23" t="str">
        <f>IFERROR(__xludf.DUMMYFUNCTION("GOOGLETRANSLATE(B221, ""en"", ""ru"")"),"Деревянная дверь")</f>
        <v>Деревянная дверь</v>
      </c>
      <c r="F221" s="23" t="str">
        <f>IFERROR(__xludf.DUMMYFUNCTION("GOOGLETRANSLATE(B221, ""en"", ""tr"")"),"Tahta kapı")</f>
        <v>Tahta kapı</v>
      </c>
      <c r="G221" s="23" t="str">
        <f>IFERROR(__xludf.DUMMYFUNCTION("GOOGLETRANSLATE(B221, ""en"", ""pt"")"),"Porta de madeira")</f>
        <v>Porta de madeira</v>
      </c>
      <c r="H221" s="24" t="str">
        <f>IFERROR(__xludf.DUMMYFUNCTION("GOOGLETRANSLATE(B221, ""en"", ""de"")"),"Holztür")</f>
        <v>Holztür</v>
      </c>
      <c r="I221" s="23" t="str">
        <f>IFERROR(__xludf.DUMMYFUNCTION("GOOGLETRANSLATE(B221, ""en"", ""pl"")"),"Drewniane drzwi")</f>
        <v>Drewniane drzwi</v>
      </c>
      <c r="J221" s="25" t="str">
        <f>IFERROR(__xludf.DUMMYFUNCTION("GOOGLETRANSLATE(B221, ""en"", ""zh"")"),"木门")</f>
        <v>木门</v>
      </c>
      <c r="K221" s="25" t="str">
        <f>IFERROR(__xludf.DUMMYFUNCTION("GOOGLETRANSLATE(B221, ""en"", ""vi"")"),"Cửa gô")</f>
        <v>Cửa gô</v>
      </c>
      <c r="L221" s="26" t="str">
        <f>IFERROR(__xludf.DUMMYFUNCTION("GOOGLETRANSLATE(B221, ""en"", ""hr"")"),"Drvena vrata")</f>
        <v>Drvena vrata</v>
      </c>
      <c r="M221" s="28"/>
      <c r="N221" s="28"/>
      <c r="O221" s="28"/>
      <c r="P221" s="28"/>
      <c r="Q221" s="28"/>
      <c r="R221" s="28"/>
      <c r="S221" s="28"/>
      <c r="T221" s="28"/>
      <c r="U221" s="28"/>
      <c r="V221" s="28"/>
      <c r="W221" s="28"/>
      <c r="X221" s="28"/>
      <c r="Y221" s="28"/>
      <c r="Z221" s="28"/>
      <c r="AA221" s="28"/>
      <c r="AB221" s="28"/>
    </row>
    <row r="222">
      <c r="A222" s="21" t="s">
        <v>796</v>
      </c>
      <c r="B222" s="22" t="s">
        <v>797</v>
      </c>
      <c r="C222" s="23" t="str">
        <f>IFERROR(__xludf.DUMMYFUNCTION("GOOGLETRANSLATE(B222, ""en"", ""fr"")"),"Structure du clan. Ne peut être ouvert que par des membres du clan.")</f>
        <v>Structure du clan. Ne peut être ouvert que par des membres du clan.</v>
      </c>
      <c r="D222" s="23" t="str">
        <f>IFERROR(__xludf.DUMMYFUNCTION("GOOGLETRANSLATE(B222, ""en"", ""es"")"),"Estructura del clan. Solo se puede abrir por miembros del clan.")</f>
        <v>Estructura del clan. Solo se puede abrir por miembros del clan.</v>
      </c>
      <c r="E222" s="23" t="str">
        <f>IFERROR(__xludf.DUMMYFUNCTION("GOOGLETRANSLATE(B222, ""en"", ""ru"")"),"Клановая структура. Может быть открыт только членами клана.")</f>
        <v>Клановая структура. Может быть открыт только членами клана.</v>
      </c>
      <c r="F222" s="23" t="str">
        <f>IFERROR(__xludf.DUMMYFUNCTION("GOOGLETRANSLATE(B222, ""en"", ""tr"")"),"Klan yapısı. Sadece klan üyeleri tarafından açılabilir.")</f>
        <v>Klan yapısı. Sadece klan üyeleri tarafından açılabilir.</v>
      </c>
      <c r="G222" s="23" t="str">
        <f>IFERROR(__xludf.DUMMYFUNCTION("GOOGLETRANSLATE(B222, ""en"", ""pt"")"),"Estrutura de clã. Só pode ser aberto pelos membros do clã.")</f>
        <v>Estrutura de clã. Só pode ser aberto pelos membros do clã.</v>
      </c>
      <c r="H222" s="24" t="str">
        <f>IFERROR(__xludf.DUMMYFUNCTION("GOOGLETRANSLATE(B222, ""en"", ""de"")"),"Clanstruktur. Kann nur von Clan-Mitgliedern geöffnet werden.")</f>
        <v>Clanstruktur. Kann nur von Clan-Mitgliedern geöffnet werden.</v>
      </c>
      <c r="I222" s="23" t="str">
        <f>IFERROR(__xludf.DUMMYFUNCTION("GOOGLETRANSLATE(B222, ""en"", ""pl"")"),"Struktura klanu. Można otworzyć tylko przez członków klanu.")</f>
        <v>Struktura klanu. Można otworzyć tylko przez członków klanu.</v>
      </c>
      <c r="J222" s="25" t="str">
        <f>IFERROR(__xludf.DUMMYFUNCTION("GOOGLETRANSLATE(B222, ""en"", ""zh"")"),"氏族结构。只能由氏族成员开放。")</f>
        <v>氏族结构。只能由氏族成员开放。</v>
      </c>
      <c r="K222" s="25" t="str">
        <f>IFERROR(__xludf.DUMMYFUNCTION("GOOGLETRANSLATE(B222, ""en"", ""vi"")"),"Cấu trúc gia tộc. Chỉ có thể được mở bởi các thành viên bang hội.")</f>
        <v>Cấu trúc gia tộc. Chỉ có thể được mở bởi các thành viên bang hội.</v>
      </c>
      <c r="L222" s="26" t="str">
        <f>IFERROR(__xludf.DUMMYFUNCTION("GOOGLETRANSLATE(B222, ""en"", ""hr"")"),"Struktura klana. Mogu otvoriti samo članovi klana.")</f>
        <v>Struktura klana. Mogu otvoriti samo članovi klana.</v>
      </c>
      <c r="M222" s="28"/>
      <c r="N222" s="28"/>
      <c r="O222" s="28"/>
      <c r="P222" s="28"/>
      <c r="Q222" s="28"/>
      <c r="R222" s="28"/>
      <c r="S222" s="28"/>
      <c r="T222" s="28"/>
      <c r="U222" s="28"/>
      <c r="V222" s="28"/>
      <c r="W222" s="28"/>
      <c r="X222" s="28"/>
      <c r="Y222" s="28"/>
      <c r="Z222" s="28"/>
      <c r="AA222" s="28"/>
      <c r="AB222" s="28"/>
    </row>
    <row r="223">
      <c r="A223" s="42" t="s">
        <v>798</v>
      </c>
      <c r="B223" s="22" t="s">
        <v>799</v>
      </c>
      <c r="C223" s="23" t="str">
        <f>IFERROR(__xludf.DUMMYFUNCTION("GOOGLETRANSLATE(B223, ""en"", ""fr"")"),"Mur de briques")</f>
        <v>Mur de briques</v>
      </c>
      <c r="D223" s="23" t="str">
        <f>IFERROR(__xludf.DUMMYFUNCTION("GOOGLETRANSLATE(B223, ""en"", ""es"")"),"Pared de ladrillo")</f>
        <v>Pared de ladrillo</v>
      </c>
      <c r="E223" s="23" t="str">
        <f>IFERROR(__xludf.DUMMYFUNCTION("GOOGLETRANSLATE(B223, ""en"", ""ru"")"),"Кирпичная стена")</f>
        <v>Кирпичная стена</v>
      </c>
      <c r="F223" s="23" t="str">
        <f>IFERROR(__xludf.DUMMYFUNCTION("GOOGLETRANSLATE(B223, ""en"", ""tr"")"),"Tuğla duvar")</f>
        <v>Tuğla duvar</v>
      </c>
      <c r="G223" s="23" t="str">
        <f>IFERROR(__xludf.DUMMYFUNCTION("GOOGLETRANSLATE(B223, ""en"", ""pt"")"),"Parede de tijolos")</f>
        <v>Parede de tijolos</v>
      </c>
      <c r="H223" s="24" t="str">
        <f>IFERROR(__xludf.DUMMYFUNCTION("GOOGLETRANSLATE(B223, ""en"", ""de"")"),"Ziegelwand")</f>
        <v>Ziegelwand</v>
      </c>
      <c r="I223" s="23" t="str">
        <f>IFERROR(__xludf.DUMMYFUNCTION("GOOGLETRANSLATE(B223, ""en"", ""pl"")"),"Ceglana ściana")</f>
        <v>Ceglana ściana</v>
      </c>
      <c r="J223" s="25" t="str">
        <f>IFERROR(__xludf.DUMMYFUNCTION("GOOGLETRANSLATE(B223, ""en"", ""zh"")"),"砖墙")</f>
        <v>砖墙</v>
      </c>
      <c r="K223" s="25" t="str">
        <f>IFERROR(__xludf.DUMMYFUNCTION("GOOGLETRANSLATE(B223, ""en"", ""vi"")"),"Tường gạch")</f>
        <v>Tường gạch</v>
      </c>
      <c r="L223" s="26" t="str">
        <f>IFERROR(__xludf.DUMMYFUNCTION("GOOGLETRANSLATE(B223, ""en"", ""hr"")"),"Zid od cigli")</f>
        <v>Zid od cigli</v>
      </c>
      <c r="M223" s="28"/>
      <c r="N223" s="28"/>
      <c r="O223" s="28"/>
      <c r="P223" s="28"/>
      <c r="Q223" s="28"/>
      <c r="R223" s="28"/>
      <c r="S223" s="28"/>
      <c r="T223" s="28"/>
      <c r="U223" s="28"/>
      <c r="V223" s="28"/>
      <c r="W223" s="28"/>
      <c r="X223" s="28"/>
      <c r="Y223" s="28"/>
      <c r="Z223" s="28"/>
      <c r="AA223" s="28"/>
      <c r="AB223" s="28"/>
    </row>
    <row r="224">
      <c r="A224" s="42" t="s">
        <v>800</v>
      </c>
      <c r="B224" s="22" t="s">
        <v>801</v>
      </c>
      <c r="C224" s="23" t="str">
        <f>IFERROR(__xludf.DUMMYFUNCTION("GOOGLETRANSLATE(B224, ""en"", ""fr"")"),"Structure du clan. Une bonne défense pour une base.")</f>
        <v>Structure du clan. Une bonne défense pour une base.</v>
      </c>
      <c r="D224" s="23" t="str">
        <f>IFERROR(__xludf.DUMMYFUNCTION("GOOGLETRANSLATE(B224, ""en"", ""es"")"),"Estructura del clan. Una buena defensa para una base.")</f>
        <v>Estructura del clan. Una buena defensa para una base.</v>
      </c>
      <c r="E224" s="23" t="str">
        <f>IFERROR(__xludf.DUMMYFUNCTION("GOOGLETRANSLATE(B224, ""en"", ""ru"")"),"Клановая структура. Хорошая защита для базы.")</f>
        <v>Клановая структура. Хорошая защита для базы.</v>
      </c>
      <c r="F224" s="23" t="str">
        <f>IFERROR(__xludf.DUMMYFUNCTION("GOOGLETRANSLATE(B224, ""en"", ""tr"")"),"Klan yapısı. Bir taban için iyi bir savunma.")</f>
        <v>Klan yapısı. Bir taban için iyi bir savunma.</v>
      </c>
      <c r="G224" s="23" t="str">
        <f>IFERROR(__xludf.DUMMYFUNCTION("GOOGLETRANSLATE(B224, ""en"", ""pt"")"),"Estrutura de clã. Uma boa defesa para uma base.")</f>
        <v>Estrutura de clã. Uma boa defesa para uma base.</v>
      </c>
      <c r="H224" s="24" t="str">
        <f>IFERROR(__xludf.DUMMYFUNCTION("GOOGLETRANSLATE(B224, ""en"", ""de"")"),"Clanstruktur. Eine gute Verteidigung für eine Basis.")</f>
        <v>Clanstruktur. Eine gute Verteidigung für eine Basis.</v>
      </c>
      <c r="I224" s="23" t="str">
        <f>IFERROR(__xludf.DUMMYFUNCTION("GOOGLETRANSLATE(B224, ""en"", ""pl"")"),"Struktura klanu. Dobra obrona na bazę.")</f>
        <v>Struktura klanu. Dobra obrona na bazę.</v>
      </c>
      <c r="J224" s="25" t="str">
        <f>IFERROR(__xludf.DUMMYFUNCTION("GOOGLETRANSLATE(B224, ""en"", ""zh"")"),"氏族结构。良好的辩护。")</f>
        <v>氏族结构。良好的辩护。</v>
      </c>
      <c r="K224" s="25" t="str">
        <f>IFERROR(__xludf.DUMMYFUNCTION("GOOGLETRANSLATE(B224, ""en"", ""vi"")"),"Cấu trúc gia tộc. Một phòng thủ tốt cho một căn cứ.")</f>
        <v>Cấu trúc gia tộc. Một phòng thủ tốt cho một căn cứ.</v>
      </c>
      <c r="L224" s="26" t="str">
        <f>IFERROR(__xludf.DUMMYFUNCTION("GOOGLETRANSLATE(B224, ""en"", ""hr"")"),"Struktura klana. Dobra obrana za bazu.")</f>
        <v>Struktura klana. Dobra obrana za bazu.</v>
      </c>
      <c r="M224" s="28"/>
      <c r="N224" s="28"/>
      <c r="O224" s="28"/>
      <c r="P224" s="28"/>
      <c r="Q224" s="28"/>
      <c r="R224" s="28"/>
      <c r="S224" s="28"/>
      <c r="T224" s="28"/>
      <c r="U224" s="28"/>
      <c r="V224" s="28"/>
      <c r="W224" s="28"/>
      <c r="X224" s="28"/>
      <c r="Y224" s="28"/>
      <c r="Z224" s="28"/>
      <c r="AA224" s="28"/>
      <c r="AB224" s="28"/>
    </row>
    <row r="225">
      <c r="A225" s="42" t="s">
        <v>802</v>
      </c>
      <c r="B225" s="22" t="s">
        <v>803</v>
      </c>
      <c r="C225" s="23" t="str">
        <f>IFERROR(__xludf.DUMMYFUNCTION("GOOGLETRANSLATE(B225, ""en"", ""fr"")"),"Porte-brique")</f>
        <v>Porte-brique</v>
      </c>
      <c r="D225" s="23" t="str">
        <f>IFERROR(__xludf.DUMMYFUNCTION("GOOGLETRANSLATE(B225, ""en"", ""es"")"),"Puerta de ladrillo")</f>
        <v>Puerta de ladrillo</v>
      </c>
      <c r="E225" s="23" t="str">
        <f>IFERROR(__xludf.DUMMYFUNCTION("GOOGLETRANSLATE(B225, ""en"", ""ru"")"),"Кирпичная дверь")</f>
        <v>Кирпичная дверь</v>
      </c>
      <c r="F225" s="23" t="str">
        <f>IFERROR(__xludf.DUMMYFUNCTION("GOOGLETRANSLATE(B225, ""en"", ""tr"")"),"Tuğla kapı")</f>
        <v>Tuğla kapı</v>
      </c>
      <c r="G225" s="23" t="str">
        <f>IFERROR(__xludf.DUMMYFUNCTION("GOOGLETRANSLATE(B225, ""en"", ""pt"")"),"Porta de tijolo")</f>
        <v>Porta de tijolo</v>
      </c>
      <c r="H225" s="24" t="str">
        <f>IFERROR(__xludf.DUMMYFUNCTION("GOOGLETRANSLATE(B225, ""en"", ""de"")"),"Ziegeltür")</f>
        <v>Ziegeltür</v>
      </c>
      <c r="I225" s="23" t="str">
        <f>IFERROR(__xludf.DUMMYFUNCTION("GOOGLETRANSLATE(B225, ""en"", ""pl"")"),"Brick Drzwi")</f>
        <v>Brick Drzwi</v>
      </c>
      <c r="J225" s="25" t="str">
        <f>IFERROR(__xludf.DUMMYFUNCTION("GOOGLETRANSLATE(B225, ""en"", ""zh"")"),"砖门")</f>
        <v>砖门</v>
      </c>
      <c r="K225" s="25" t="str">
        <f>IFERROR(__xludf.DUMMYFUNCTION("GOOGLETRANSLATE(B225, ""en"", ""vi"")"),"Cửa gạch")</f>
        <v>Cửa gạch</v>
      </c>
      <c r="L225" s="26" t="str">
        <f>IFERROR(__xludf.DUMMYFUNCTION("GOOGLETRANSLATE(B225, ""en"", ""hr"")"),"Vrata od opeke")</f>
        <v>Vrata od opeke</v>
      </c>
      <c r="M225" s="28"/>
      <c r="N225" s="28"/>
      <c r="O225" s="28"/>
      <c r="P225" s="28"/>
      <c r="Q225" s="28"/>
      <c r="R225" s="28"/>
      <c r="S225" s="28"/>
      <c r="T225" s="28"/>
      <c r="U225" s="28"/>
      <c r="V225" s="28"/>
      <c r="W225" s="28"/>
      <c r="X225" s="28"/>
      <c r="Y225" s="28"/>
      <c r="Z225" s="28"/>
      <c r="AA225" s="28"/>
      <c r="AB225" s="28"/>
    </row>
    <row r="226">
      <c r="A226" s="42" t="s">
        <v>804</v>
      </c>
      <c r="B226" s="22" t="s">
        <v>805</v>
      </c>
      <c r="C226" s="23" t="str">
        <f>IFERROR(__xludf.DUMMYFUNCTION("GOOGLETRANSLATE(B226, ""en"", ""fr"")"),"Structure du clan. Ne peut être ouvert que par des membres du clan. Plus fort qu'une porte en bois.")</f>
        <v>Structure du clan. Ne peut être ouvert que par des membres du clan. Plus fort qu'une porte en bois.</v>
      </c>
      <c r="D226" s="23" t="str">
        <f>IFERROR(__xludf.DUMMYFUNCTION("GOOGLETRANSLATE(B226, ""en"", ""es"")"),"Estructura del clan. Solo se puede abrir por miembros del clan. Más fuerte que una puerta de madera.")</f>
        <v>Estructura del clan. Solo se puede abrir por miembros del clan. Más fuerte que una puerta de madera.</v>
      </c>
      <c r="E226" s="23" t="str">
        <f>IFERROR(__xludf.DUMMYFUNCTION("GOOGLETRANSLATE(B226,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6" s="23" t="str">
        <f>IFERROR(__xludf.DUMMYFUNCTION("GOOGLETRANSLATE(B226, ""en"", ""tr"")"),"Klan yapısı. Sadece klan üyeleri tarafından açılabilir. Ahşap kapıdan daha güçlü.")</f>
        <v>Klan yapısı. Sadece klan üyeleri tarafından açılabilir. Ahşap kapıdan daha güçlü.</v>
      </c>
      <c r="G226" s="23" t="str">
        <f>IFERROR(__xludf.DUMMYFUNCTION("GOOGLETRANSLATE(B226, ""en"", ""pt"")"),"Estrutura de clã. Só pode ser aberto pelos membros do clã. Mais forte que uma porta de madeira.")</f>
        <v>Estrutura de clã. Só pode ser aberto pelos membros do clã. Mais forte que uma porta de madeira.</v>
      </c>
      <c r="H226" s="24" t="str">
        <f>IFERROR(__xludf.DUMMYFUNCTION("GOOGLETRANSLATE(B226, ""en"", ""de"")"),"Clanstruktur. Kann nur von Clan-Mitgliedern geöffnet werden. Stärker als eine Holztür.")</f>
        <v>Clanstruktur. Kann nur von Clan-Mitgliedern geöffnet werden. Stärker als eine Holztür.</v>
      </c>
      <c r="I226" s="23" t="str">
        <f>IFERROR(__xludf.DUMMYFUNCTION("GOOGLETRANSLATE(B226, ""en"", ""pl"")"),"Struktura klanu. Można otworzyć tylko przez członków klanu. Silniejszy niż drewniane drzwi.")</f>
        <v>Struktura klanu. Można otworzyć tylko przez członków klanu. Silniejszy niż drewniane drzwi.</v>
      </c>
      <c r="J226" s="25" t="str">
        <f>IFERROR(__xludf.DUMMYFUNCTION("GOOGLETRANSLATE(B226, ""en"", ""zh"")"),"氏族结构。只能由氏族成员开放。比木门更强壮。")</f>
        <v>氏族结构。只能由氏族成员开放。比木门更强壮。</v>
      </c>
      <c r="K226" s="25" t="str">
        <f>IFERROR(__xludf.DUMMYFUNCTION("GOOGLETRANSLATE(B226, ""en"", ""vi"")"),"Cấu trúc gia tộc. Chỉ có thể được mở bởi các thành viên bang hội. Mạnh hơn một cánh cửa gỗ.")</f>
        <v>Cấu trúc gia tộc. Chỉ có thể được mở bởi các thành viên bang hội. Mạnh hơn một cánh cửa gỗ.</v>
      </c>
      <c r="L226" s="26" t="str">
        <f>IFERROR(__xludf.DUMMYFUNCTION("GOOGLETRANSLATE(B226, ""en"", ""hr"")"),"Struktura klana. Mogu otvoriti samo članovi klana. Jači od drvenih vrata.")</f>
        <v>Struktura klana. Mogu otvoriti samo članovi klana. Jači od drvenih vrata.</v>
      </c>
      <c r="M226" s="28"/>
      <c r="N226" s="28"/>
      <c r="O226" s="28"/>
      <c r="P226" s="28"/>
      <c r="Q226" s="28"/>
      <c r="R226" s="28"/>
      <c r="S226" s="28"/>
      <c r="T226" s="28"/>
      <c r="U226" s="28"/>
      <c r="V226" s="28"/>
      <c r="W226" s="28"/>
      <c r="X226" s="28"/>
      <c r="Y226" s="28"/>
      <c r="Z226" s="28"/>
      <c r="AA226" s="28"/>
      <c r="AB226" s="28"/>
    </row>
    <row r="227">
      <c r="A227" s="42" t="s">
        <v>806</v>
      </c>
      <c r="B227" s="22" t="s">
        <v>807</v>
      </c>
      <c r="C227" s="23" t="str">
        <f>IFERROR(__xludf.DUMMYFUNCTION("GOOGLETRANSLATE(B227, ""en"", ""fr"")"),"Mur de fer")</f>
        <v>Mur de fer</v>
      </c>
      <c r="D227" s="23" t="str">
        <f>IFERROR(__xludf.DUMMYFUNCTION("GOOGLETRANSLATE(B227, ""en"", ""es"")"),"Muro de hierro")</f>
        <v>Muro de hierro</v>
      </c>
      <c r="E227" s="23" t="str">
        <f>IFERROR(__xludf.DUMMYFUNCTION("GOOGLETRANSLATE(B227, ""en"", ""ru"")"),"Железная стена")</f>
        <v>Железная стена</v>
      </c>
      <c r="F227" s="23" t="str">
        <f>IFERROR(__xludf.DUMMYFUNCTION("GOOGLETRANSLATE(B227, ""en"", ""tr"")"),"Demir duvar")</f>
        <v>Demir duvar</v>
      </c>
      <c r="G227" s="23" t="str">
        <f>IFERROR(__xludf.DUMMYFUNCTION("GOOGLETRANSLATE(B227, ""en"", ""pt"")"),"Parede de ferro")</f>
        <v>Parede de ferro</v>
      </c>
      <c r="H227" s="24" t="str">
        <f>IFERROR(__xludf.DUMMYFUNCTION("GOOGLETRANSLATE(B227, ""en"", ""de"")"),"Eisenwand")</f>
        <v>Eisenwand</v>
      </c>
      <c r="I227" s="23" t="str">
        <f>IFERROR(__xludf.DUMMYFUNCTION("GOOGLETRANSLATE(B227, ""en"", ""pl"")"),"Żelazna ściana")</f>
        <v>Żelazna ściana</v>
      </c>
      <c r="J227" s="25" t="str">
        <f>IFERROR(__xludf.DUMMYFUNCTION("GOOGLETRANSLATE(B227, ""en"", ""zh"")"),"铁墙")</f>
        <v>铁墙</v>
      </c>
      <c r="K227" s="25" t="str">
        <f>IFERROR(__xludf.DUMMYFUNCTION("GOOGLETRANSLATE(B227, ""en"", ""vi"")"),"Bức tường sắt")</f>
        <v>Bức tường sắt</v>
      </c>
      <c r="L227" s="26" t="str">
        <f>IFERROR(__xludf.DUMMYFUNCTION("GOOGLETRANSLATE(B227, ""en"", ""hr"")"),"Željezni zid")</f>
        <v>Željezni zid</v>
      </c>
      <c r="M227" s="28"/>
      <c r="N227" s="28"/>
      <c r="O227" s="28"/>
      <c r="P227" s="28"/>
      <c r="Q227" s="28"/>
      <c r="R227" s="28"/>
      <c r="S227" s="28"/>
      <c r="T227" s="28"/>
      <c r="U227" s="28"/>
      <c r="V227" s="28"/>
      <c r="W227" s="28"/>
      <c r="X227" s="28"/>
      <c r="Y227" s="28"/>
      <c r="Z227" s="28"/>
      <c r="AA227" s="28"/>
      <c r="AB227" s="28"/>
    </row>
    <row r="228">
      <c r="A228" s="42" t="s">
        <v>808</v>
      </c>
      <c r="B228" s="22" t="s">
        <v>809</v>
      </c>
      <c r="C228" s="23" t="str">
        <f>IFERROR(__xludf.DUMMYFUNCTION("GOOGLETRANSLATE(B228, ""en"", ""fr"")"),"Structure du clan. Une grande défense pour une base.")</f>
        <v>Structure du clan. Une grande défense pour une base.</v>
      </c>
      <c r="D228" s="23" t="str">
        <f>IFERROR(__xludf.DUMMYFUNCTION("GOOGLETRANSLATE(B228, ""en"", ""es"")"),"Estructura del clan. Una gran defensa para una base.")</f>
        <v>Estructura del clan. Una gran defensa para una base.</v>
      </c>
      <c r="E228" s="23" t="str">
        <f>IFERROR(__xludf.DUMMYFUNCTION("GOOGLETRANSLATE(B228, ""en"", ""ru"")"),"Клановая структура. Великая защита для базы.")</f>
        <v>Клановая структура. Великая защита для базы.</v>
      </c>
      <c r="F228" s="23" t="str">
        <f>IFERROR(__xludf.DUMMYFUNCTION("GOOGLETRANSLATE(B228, ""en"", ""tr"")"),"Klan yapısı. Bir taban için büyük bir savunma.")</f>
        <v>Klan yapısı. Bir taban için büyük bir savunma.</v>
      </c>
      <c r="G228" s="23" t="str">
        <f>IFERROR(__xludf.DUMMYFUNCTION("GOOGLETRANSLATE(B228, ""en"", ""pt"")"),"Estrutura de clã. Uma grande defesa para uma base.")</f>
        <v>Estrutura de clã. Uma grande defesa para uma base.</v>
      </c>
      <c r="H228" s="24" t="str">
        <f>IFERROR(__xludf.DUMMYFUNCTION("GOOGLETRANSLATE(B228, ""en"", ""de"")"),"Clanstruktur. Eine große Verteidigung für eine Basis.")</f>
        <v>Clanstruktur. Eine große Verteidigung für eine Basis.</v>
      </c>
      <c r="I228" s="23" t="str">
        <f>IFERROR(__xludf.DUMMYFUNCTION("GOOGLETRANSLATE(B228, ""en"", ""pl"")"),"Struktura klanu. Wielka obrona na bazę.")</f>
        <v>Struktura klanu. Wielka obrona na bazę.</v>
      </c>
      <c r="J228" s="25" t="str">
        <f>IFERROR(__xludf.DUMMYFUNCTION("GOOGLETRANSLATE(B228, ""en"", ""zh"")"),"氏族结构。对基地的伟大辩护。")</f>
        <v>氏族结构。对基地的伟大辩护。</v>
      </c>
      <c r="K228" s="25" t="str">
        <f>IFERROR(__xludf.DUMMYFUNCTION("GOOGLETRANSLATE(B228, ""en"", ""vi"")"),"Cấu trúc gia tộc. Một sự bảo vệ tuyệt vời cho một căn cứ.")</f>
        <v>Cấu trúc gia tộc. Một sự bảo vệ tuyệt vời cho một căn cứ.</v>
      </c>
      <c r="L228" s="26" t="str">
        <f>IFERROR(__xludf.DUMMYFUNCTION("GOOGLETRANSLATE(B228, ""en"", ""hr"")"),"Struktura klana. Velika obrana za bazu.")</f>
        <v>Struktura klana. Velika obrana za bazu.</v>
      </c>
      <c r="M228" s="28"/>
      <c r="N228" s="28"/>
      <c r="O228" s="28"/>
      <c r="P228" s="28"/>
      <c r="Q228" s="28"/>
      <c r="R228" s="28"/>
      <c r="S228" s="28"/>
      <c r="T228" s="28"/>
      <c r="U228" s="28"/>
      <c r="V228" s="28"/>
      <c r="W228" s="28"/>
      <c r="X228" s="28"/>
      <c r="Y228" s="28"/>
      <c r="Z228" s="28"/>
      <c r="AA228" s="28"/>
      <c r="AB228" s="28"/>
    </row>
    <row r="229">
      <c r="A229" s="42" t="s">
        <v>810</v>
      </c>
      <c r="B229" s="22" t="s">
        <v>811</v>
      </c>
      <c r="C229" s="23" t="str">
        <f>IFERROR(__xludf.DUMMYFUNCTION("GOOGLETRANSLATE(B229, ""en"", ""fr"")"),"Porte en fer")</f>
        <v>Porte en fer</v>
      </c>
      <c r="D229" s="23" t="str">
        <f>IFERROR(__xludf.DUMMYFUNCTION("GOOGLETRANSLATE(B229, ""en"", ""es"")"),"Puerta de Hierro")</f>
        <v>Puerta de Hierro</v>
      </c>
      <c r="E229" s="23" t="str">
        <f>IFERROR(__xludf.DUMMYFUNCTION("GOOGLETRANSLATE(B229, ""en"", ""ru"")"),"Железная дверь")</f>
        <v>Железная дверь</v>
      </c>
      <c r="F229" s="23" t="str">
        <f>IFERROR(__xludf.DUMMYFUNCTION("GOOGLETRANSLATE(B229, ""en"", ""tr"")"),"Demir kapı")</f>
        <v>Demir kapı</v>
      </c>
      <c r="G229" s="23" t="str">
        <f>IFERROR(__xludf.DUMMYFUNCTION("GOOGLETRANSLATE(B229, ""en"", ""pt"")"),"Porta de ferro")</f>
        <v>Porta de ferro</v>
      </c>
      <c r="H229" s="24" t="str">
        <f>IFERROR(__xludf.DUMMYFUNCTION("GOOGLETRANSLATE(B229, ""en"", ""de"")"),"Eiserne Tür")</f>
        <v>Eiserne Tür</v>
      </c>
      <c r="I229" s="23" t="str">
        <f>IFERROR(__xludf.DUMMYFUNCTION("GOOGLETRANSLATE(B229, ""en"", ""pl"")"),"Żelazne drzwi")</f>
        <v>Żelazne drzwi</v>
      </c>
      <c r="J229" s="25" t="str">
        <f>IFERROR(__xludf.DUMMYFUNCTION("GOOGLETRANSLATE(B229, ""en"", ""zh"")"),"铁门")</f>
        <v>铁门</v>
      </c>
      <c r="K229" s="25" t="str">
        <f>IFERROR(__xludf.DUMMYFUNCTION("GOOGLETRANSLATE(B229, ""en"", ""vi"")"),"Cửa sắt")</f>
        <v>Cửa sắt</v>
      </c>
      <c r="L229" s="26" t="str">
        <f>IFERROR(__xludf.DUMMYFUNCTION("GOOGLETRANSLATE(B229, ""en"", ""hr"")"),"Željezna vrata")</f>
        <v>Željezna vrata</v>
      </c>
      <c r="M229" s="28"/>
      <c r="N229" s="28"/>
      <c r="O229" s="28"/>
      <c r="P229" s="28"/>
      <c r="Q229" s="28"/>
      <c r="R229" s="28"/>
      <c r="S229" s="28"/>
      <c r="T229" s="28"/>
      <c r="U229" s="28"/>
      <c r="V229" s="28"/>
      <c r="W229" s="28"/>
      <c r="X229" s="28"/>
      <c r="Y229" s="28"/>
      <c r="Z229" s="28"/>
      <c r="AA229" s="28"/>
      <c r="AB229" s="28"/>
    </row>
    <row r="230">
      <c r="A230" s="42" t="s">
        <v>812</v>
      </c>
      <c r="B230" s="22" t="s">
        <v>813</v>
      </c>
      <c r="C230" s="23" t="str">
        <f>IFERROR(__xludf.DUMMYFUNCTION("GOOGLETRANSLATE(B230, ""en"", ""fr"")"),"Structure du clan. Ne peut être ouvert que par des membres du clan. Plus fort qu'une porte en briques.")</f>
        <v>Structure du clan. Ne peut être ouvert que par des membres du clan. Plus fort qu'une porte en briques.</v>
      </c>
      <c r="D230" s="23" t="str">
        <f>IFERROR(__xludf.DUMMYFUNCTION("GOOGLETRANSLATE(B230, ""en"", ""es"")"),"Estructura del clan. Solo se puede abrir por miembros del clan. Más fuerte que una puerta de ladrillo.")</f>
        <v>Estructura del clan. Solo se puede abrir por miembros del clan. Más fuerte que una puerta de ladrillo.</v>
      </c>
      <c r="E230" s="23" t="str">
        <f>IFERROR(__xludf.DUMMYFUNCTION("GOOGLETRANSLATE(B230,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30" s="23" t="str">
        <f>IFERROR(__xludf.DUMMYFUNCTION("GOOGLETRANSLATE(B230, ""en"", ""tr"")"),"Klan yapısı. Sadece klan üyeleri tarafından açılabilir. Bir tuğla kaptan daha güçlü.")</f>
        <v>Klan yapısı. Sadece klan üyeleri tarafından açılabilir. Bir tuğla kaptan daha güçlü.</v>
      </c>
      <c r="G230" s="23" t="str">
        <f>IFERROR(__xludf.DUMMYFUNCTION("GOOGLETRANSLATE(B230, ""en"", ""pt"")"),"Estrutura de clã. Só pode ser aberto pelos membros do clã. Mais forte que uma porta de tijolo.")</f>
        <v>Estrutura de clã. Só pode ser aberto pelos membros do clã. Mais forte que uma porta de tijolo.</v>
      </c>
      <c r="H230" s="24" t="str">
        <f>IFERROR(__xludf.DUMMYFUNCTION("GOOGLETRANSLATE(B230, ""en"", ""de"")"),"Clanstruktur. Kann nur von Clan-Mitgliedern geöffnet werden. Stärker als eine Backsteintür.")</f>
        <v>Clanstruktur. Kann nur von Clan-Mitgliedern geöffnet werden. Stärker als eine Backsteintür.</v>
      </c>
      <c r="I230" s="23" t="str">
        <f>IFERROR(__xludf.DUMMYFUNCTION("GOOGLETRANSLATE(B230, ""en"", ""pl"")"),"Struktura klanu. Można otworzyć tylko przez członków klanu. Silniejszy niż ceglane drzwi.")</f>
        <v>Struktura klanu. Można otworzyć tylko przez członków klanu. Silniejszy niż ceglane drzwi.</v>
      </c>
      <c r="J230" s="25" t="str">
        <f>IFERROR(__xludf.DUMMYFUNCTION("GOOGLETRANSLATE(B230, ""en"", ""zh"")"),"氏族结构。只能由氏族成员开放。比砖头更强壮。")</f>
        <v>氏族结构。只能由氏族成员开放。比砖头更强壮。</v>
      </c>
      <c r="K230" s="25" t="str">
        <f>IFERROR(__xludf.DUMMYFUNCTION("GOOGLETRANSLATE(B230, ""en"", ""vi"")"),"Cấu trúc gia tộc. Chỉ có thể được mở bởi các thành viên bang hội. Mạnh hơn một cánh cửa gạch.")</f>
        <v>Cấu trúc gia tộc. Chỉ có thể được mở bởi các thành viên bang hội. Mạnh hơn một cánh cửa gạch.</v>
      </c>
      <c r="L230" s="26" t="str">
        <f>IFERROR(__xludf.DUMMYFUNCTION("GOOGLETRANSLATE(B230, ""en"", ""hr"")"),"Struktura klana. Mogu otvoriti samo članovi klana. Jača od vrata od opeke.")</f>
        <v>Struktura klana. Mogu otvoriti samo članovi klana. Jača od vrata od opeke.</v>
      </c>
      <c r="M230" s="28"/>
      <c r="N230" s="28"/>
      <c r="O230" s="28"/>
      <c r="P230" s="28"/>
      <c r="Q230" s="28"/>
      <c r="R230" s="28"/>
      <c r="S230" s="28"/>
      <c r="T230" s="28"/>
      <c r="U230" s="28"/>
      <c r="V230" s="28"/>
      <c r="W230" s="28"/>
      <c r="X230" s="28"/>
      <c r="Y230" s="28"/>
      <c r="Z230" s="28"/>
      <c r="AA230" s="28"/>
      <c r="AB230" s="28"/>
    </row>
    <row r="231">
      <c r="A231" s="21" t="s">
        <v>814</v>
      </c>
      <c r="B231" s="22" t="s">
        <v>815</v>
      </c>
      <c r="C231" s="23" t="str">
        <f>IFERROR(__xludf.DUMMYFUNCTION("GOOGLETRANSLATE(B231, ""en"", ""fr"")"),"Coffre bancaire")</f>
        <v>Coffre bancaire</v>
      </c>
      <c r="D231" s="23" t="str">
        <f>IFERROR(__xludf.DUMMYFUNCTION("GOOGLETRANSLATE(B231, ""en"", ""es"")"),"Cofre bancario")</f>
        <v>Cofre bancario</v>
      </c>
      <c r="E231" s="23" t="str">
        <f>IFERROR(__xludf.DUMMYFUNCTION("GOOGLETRANSLATE(B231, ""en"", ""ru"")"),"Банковский сундук")</f>
        <v>Банковский сундук</v>
      </c>
      <c r="F231" s="23" t="str">
        <f>IFERROR(__xludf.DUMMYFUNCTION("GOOGLETRANSLATE(B231, ""en"", ""tr"")"),"Banka göğsü")</f>
        <v>Banka göğsü</v>
      </c>
      <c r="G231" s="23" t="str">
        <f>IFERROR(__xludf.DUMMYFUNCTION("GOOGLETRANSLATE(B231, ""en"", ""pt"")"),"Baú de banco")</f>
        <v>Baú de banco</v>
      </c>
      <c r="H231" s="24" t="str">
        <f>IFERROR(__xludf.DUMMYFUNCTION("GOOGLETRANSLATE(B231, ""en"", ""de"")"),"Bankkasten")</f>
        <v>Bankkasten</v>
      </c>
      <c r="I231" s="23" t="str">
        <f>IFERROR(__xludf.DUMMYFUNCTION("GOOGLETRANSLATE(B231, ""en"", ""pl"")"),"Skrzynia bankowa")</f>
        <v>Skrzynia bankowa</v>
      </c>
      <c r="J231" s="25" t="str">
        <f>IFERROR(__xludf.DUMMYFUNCTION("GOOGLETRANSLATE(B231, ""en"", ""zh"")"),"银行胸部")</f>
        <v>银行胸部</v>
      </c>
      <c r="K231" s="25" t="str">
        <f>IFERROR(__xludf.DUMMYFUNCTION("GOOGLETRANSLATE(B231, ""en"", ""vi"")"),"Ngực ngân hàng.")</f>
        <v>Ngực ngân hàng.</v>
      </c>
      <c r="L231" s="26" t="str">
        <f>IFERROR(__xludf.DUMMYFUNCTION("GOOGLETRANSLATE(B231, ""en"", ""hr"")"),"Banke")</f>
        <v>Banke</v>
      </c>
      <c r="M231" s="28"/>
      <c r="N231" s="28"/>
      <c r="O231" s="28"/>
      <c r="P231" s="28"/>
      <c r="Q231" s="28"/>
      <c r="R231" s="28"/>
      <c r="S231" s="28"/>
      <c r="T231" s="28"/>
      <c r="U231" s="28"/>
      <c r="V231" s="28"/>
      <c r="W231" s="28"/>
      <c r="X231" s="28"/>
      <c r="Y231" s="28"/>
      <c r="Z231" s="28"/>
      <c r="AA231" s="28"/>
      <c r="AB231" s="28"/>
    </row>
    <row r="232">
      <c r="A232" s="21" t="s">
        <v>816</v>
      </c>
      <c r="B232" s="22" t="s">
        <v>817</v>
      </c>
      <c r="C232" s="23" t="str">
        <f>IFERROR(__xludf.DUMMYFUNCTION("GOOGLETRANSLATE(B232, ""en"", ""fr"")"),"Structure du clan. Donne accès à votre stockage bancaire personnel.")</f>
        <v>Structure du clan. Donne accès à votre stockage bancaire personnel.</v>
      </c>
      <c r="D232" s="23" t="str">
        <f>IFERROR(__xludf.DUMMYFUNCTION("GOOGLETRANSLATE(B232, ""en"", ""es"")"),"Estructura del clan. Da acceso a su almacenamiento de bancos personales.")</f>
        <v>Estructura del clan. Da acceso a su almacenamiento de bancos personales.</v>
      </c>
      <c r="E232" s="23" t="str">
        <f>IFERROR(__xludf.DUMMYFUNCTION("GOOGLETRANSLATE(B232, ""en"", ""ru"")"),"Клановая структура. Дает доступ к вашему личному банке хранилище.")</f>
        <v>Клановая структура. Дает доступ к вашему личному банке хранилище.</v>
      </c>
      <c r="F232" s="23" t="str">
        <f>IFERROR(__xludf.DUMMYFUNCTION("GOOGLETRANSLATE(B232, ""en"", ""tr"")"),"Klan yapısı. Kişisel banka deposuna erişim sağlar.")</f>
        <v>Klan yapısı. Kişisel banka deposuna erişim sağlar.</v>
      </c>
      <c r="G232" s="23" t="str">
        <f>IFERROR(__xludf.DUMMYFUNCTION("GOOGLETRANSLATE(B232, ""en"", ""pt"")"),"Estrutura de clã. Dá acesso ao seu armazenamento pessoal do banco.")</f>
        <v>Estrutura de clã. Dá acesso ao seu armazenamento pessoal do banco.</v>
      </c>
      <c r="H232" s="24" t="str">
        <f>IFERROR(__xludf.DUMMYFUNCTION("GOOGLETRANSLATE(B232, ""en"", ""de"")"),"Clanstruktur. Erläutert Zugriff auf Ihren persönlichen Bankenspeicher.")</f>
        <v>Clanstruktur. Erläutert Zugriff auf Ihren persönlichen Bankenspeicher.</v>
      </c>
      <c r="I232" s="23" t="str">
        <f>IFERROR(__xludf.DUMMYFUNCTION("GOOGLETRANSLATE(B232, ""en"", ""pl"")"),"Struktura klanu. Zapewnia dostęp do osobistego przechowywania banków.")</f>
        <v>Struktura klanu. Zapewnia dostęp do osobistego przechowywania banków.</v>
      </c>
      <c r="J232" s="25" t="str">
        <f>IFERROR(__xludf.DUMMYFUNCTION("GOOGLETRANSLATE(B232, ""en"", ""zh"")"),"氏族结构。访问您的个人银行存储。")</f>
        <v>氏族结构。访问您的个人银行存储。</v>
      </c>
      <c r="K232" s="25" t="str">
        <f>IFERROR(__xludf.DUMMYFUNCTION("GOOGLETRANSLATE(B232, ""en"", ""vi"")"),"Cấu trúc gia tộc. Cung cấp quyền truy cập vào lưu trữ ngân hàng cá nhân của bạn.")</f>
        <v>Cấu trúc gia tộc. Cung cấp quyền truy cập vào lưu trữ ngân hàng cá nhân của bạn.</v>
      </c>
      <c r="L232" s="26" t="str">
        <f>IFERROR(__xludf.DUMMYFUNCTION("GOOGLETRANSLATE(B232, ""en"", ""hr"")"),"Struktura klana. Daje pristup vašem osobnom bankovnom spremištu.")</f>
        <v>Struktura klana. Daje pristup vašem osobnom bankovnom spremištu.</v>
      </c>
      <c r="M232" s="28"/>
      <c r="N232" s="28"/>
      <c r="O232" s="28"/>
      <c r="P232" s="28"/>
      <c r="Q232" s="28"/>
      <c r="R232" s="28"/>
      <c r="S232" s="28"/>
      <c r="T232" s="28"/>
      <c r="U232" s="28"/>
      <c r="V232" s="28"/>
      <c r="W232" s="28"/>
      <c r="X232" s="28"/>
      <c r="Y232" s="28"/>
      <c r="Z232" s="28"/>
      <c r="AA232" s="28"/>
      <c r="AB232" s="28"/>
    </row>
    <row r="233">
      <c r="A233" s="21" t="s">
        <v>818</v>
      </c>
      <c r="B233" s="22" t="s">
        <v>376</v>
      </c>
      <c r="C233" s="23" t="str">
        <f>IFERROR(__xludf.DUMMYFUNCTION("GOOGLETRANSLATE(B233, ""en"", ""fr"")"),"Table de travail")</f>
        <v>Table de travail</v>
      </c>
      <c r="D233" s="23" t="str">
        <f>IFERROR(__xludf.DUMMYFUNCTION("GOOGLETRANSLATE(B233, ""en"", ""es"")"),"Banco de trabajo")</f>
        <v>Banco de trabajo</v>
      </c>
      <c r="E233" s="23" t="str">
        <f>IFERROR(__xludf.DUMMYFUNCTION("GOOGLETRANSLATE(B233, ""en"", ""ru"")"),"Workbench.")</f>
        <v>Workbench.</v>
      </c>
      <c r="F233" s="23" t="str">
        <f>IFERROR(__xludf.DUMMYFUNCTION("GOOGLETRANSLATE(B233, ""en"", ""tr"")"),"Tezgâh")</f>
        <v>Tezgâh</v>
      </c>
      <c r="G233" s="23" t="str">
        <f>IFERROR(__xludf.DUMMYFUNCTION("GOOGLETRANSLATE(B233, ""en"", ""pt"")"),"Workbench")</f>
        <v>Workbench</v>
      </c>
      <c r="H233" s="24" t="str">
        <f>IFERROR(__xludf.DUMMYFUNCTION("GOOGLETRANSLATE(B233, ""en"", ""de"")"),"Werkbank")</f>
        <v>Werkbank</v>
      </c>
      <c r="I233" s="23" t="str">
        <f>IFERROR(__xludf.DUMMYFUNCTION("GOOGLETRANSLATE(B233, ""en"", ""pl"")"),"stoł warsztatowy")</f>
        <v>stoł warsztatowy</v>
      </c>
      <c r="J233" s="25" t="str">
        <f>IFERROR(__xludf.DUMMYFUNCTION("GOOGLETRANSLATE(B233, ""en"", ""zh"")"),"工作台")</f>
        <v>工作台</v>
      </c>
      <c r="K233" s="25" t="str">
        <f>IFERROR(__xludf.DUMMYFUNCTION("GOOGLETRANSLATE(B233, ""en"", ""vi"")"),"Workbench.")</f>
        <v>Workbench.</v>
      </c>
      <c r="L233" s="26" t="str">
        <f>IFERROR(__xludf.DUMMYFUNCTION("GOOGLETRANSLATE(B233, ""en"", ""hr"")"),"Radni stol")</f>
        <v>Radni stol</v>
      </c>
      <c r="M233" s="28"/>
      <c r="N233" s="28"/>
      <c r="O233" s="28"/>
      <c r="P233" s="28"/>
      <c r="Q233" s="28"/>
      <c r="R233" s="28"/>
      <c r="S233" s="28"/>
      <c r="T233" s="28"/>
      <c r="U233" s="28"/>
      <c r="V233" s="28"/>
      <c r="W233" s="28"/>
      <c r="X233" s="28"/>
      <c r="Y233" s="28"/>
      <c r="Z233" s="28"/>
      <c r="AA233" s="28"/>
      <c r="AB233" s="28"/>
    </row>
    <row r="234">
      <c r="A234" s="21" t="s">
        <v>819</v>
      </c>
      <c r="B234" s="22" t="s">
        <v>820</v>
      </c>
      <c r="C234" s="23" t="str">
        <f>IFERROR(__xludf.DUMMYFUNCTION("GOOGLETRANSLATE(B234, ""en"", ""fr"")"),"Structure du clan. Utilisé pour fabriquer divers articles.")</f>
        <v>Structure du clan. Utilisé pour fabriquer divers articles.</v>
      </c>
      <c r="D234" s="23" t="str">
        <f>IFERROR(__xludf.DUMMYFUNCTION("GOOGLETRANSLATE(B234, ""en"", ""es"")"),"Estructura del clan. Se utiliza para crear varios artículos.")</f>
        <v>Estructura del clan. Se utiliza para crear varios artículos.</v>
      </c>
      <c r="E234" s="23" t="str">
        <f>IFERROR(__xludf.DUMMYFUNCTION("GOOGLETRANSLATE(B234, ""en"", ""ru"")"),"Клановая структура. Используется для создания различных предметов.")</f>
        <v>Клановая структура. Используется для создания различных предметов.</v>
      </c>
      <c r="F234" s="23" t="str">
        <f>IFERROR(__xludf.DUMMYFUNCTION("GOOGLETRANSLATE(B234, ""en"", ""tr"")"),"Klan yapısı. Çeşitli eşyaları hazırlamak için kullanılır.")</f>
        <v>Klan yapısı. Çeşitli eşyaları hazırlamak için kullanılır.</v>
      </c>
      <c r="G234" s="23" t="str">
        <f>IFERROR(__xludf.DUMMYFUNCTION("GOOGLETRANSLATE(B234, ""en"", ""pt"")"),"Estrutura de clã. Usado para criar vários itens.")</f>
        <v>Estrutura de clã. Usado para criar vários itens.</v>
      </c>
      <c r="H234" s="24" t="str">
        <f>IFERROR(__xludf.DUMMYFUNCTION("GOOGLETRANSLATE(B234, ""en"", ""de"")"),"Clanstruktur. Zum Herstellen verschiedener Gegenstände.")</f>
        <v>Clanstruktur. Zum Herstellen verschiedener Gegenstände.</v>
      </c>
      <c r="I234" s="23" t="str">
        <f>IFERROR(__xludf.DUMMYFUNCTION("GOOGLETRANSLATE(B234, ""en"", ""pl"")"),"Struktura klanu. Używane do rzemiosła różnych przedmiotów.")</f>
        <v>Struktura klanu. Używane do rzemiosła różnych przedmiotów.</v>
      </c>
      <c r="J234" s="25" t="str">
        <f>IFERROR(__xludf.DUMMYFUNCTION("GOOGLETRANSLATE(B234, ""en"", ""zh"")"),"氏族结构。用来制作各种物品。")</f>
        <v>氏族结构。用来制作各种物品。</v>
      </c>
      <c r="K234" s="25" t="str">
        <f>IFERROR(__xludf.DUMMYFUNCTION("GOOGLETRANSLATE(B234, ""en"", ""vi"")"),"Cấu trúc gia tộc. Được sử dụng để chế tạo các mặt hàng khác nhau.")</f>
        <v>Cấu trúc gia tộc. Được sử dụng để chế tạo các mặt hàng khác nhau.</v>
      </c>
      <c r="L234" s="26" t="str">
        <f>IFERROR(__xludf.DUMMYFUNCTION("GOOGLETRANSLATE(B234, ""en"", ""hr"")"),"Struktura klana. Koristi se za izradu raznih predmeta.")</f>
        <v>Struktura klana. Koristi se za izradu raznih predmeta.</v>
      </c>
      <c r="M234" s="28"/>
      <c r="N234" s="28"/>
      <c r="O234" s="28"/>
      <c r="P234" s="28"/>
      <c r="Q234" s="28"/>
      <c r="R234" s="28"/>
      <c r="S234" s="28"/>
      <c r="T234" s="28"/>
      <c r="U234" s="28"/>
      <c r="V234" s="28"/>
      <c r="W234" s="28"/>
      <c r="X234" s="28"/>
      <c r="Y234" s="28"/>
      <c r="Z234" s="28"/>
      <c r="AA234" s="28"/>
      <c r="AB234" s="28"/>
    </row>
    <row r="235">
      <c r="A235" s="21" t="s">
        <v>821</v>
      </c>
      <c r="B235" s="22" t="s">
        <v>374</v>
      </c>
      <c r="C235" s="23" t="str">
        <f>IFERROR(__xludf.DUMMYFUNCTION("GOOGLETRANSLATE(B235, ""en"", ""fr"")"),"fourneau")</f>
        <v>fourneau</v>
      </c>
      <c r="D235" s="23" t="str">
        <f>IFERROR(__xludf.DUMMYFUNCTION("GOOGLETRANSLATE(B235, ""en"", ""es"")"),"Horno")</f>
        <v>Horno</v>
      </c>
      <c r="E235" s="23" t="str">
        <f>IFERROR(__xludf.DUMMYFUNCTION("GOOGLETRANSLATE(B235, ""en"", ""ru"")"),"Печь")</f>
        <v>Печь</v>
      </c>
      <c r="F235" s="23" t="str">
        <f>IFERROR(__xludf.DUMMYFUNCTION("GOOGLETRANSLATE(B235, ""en"", ""tr"")"),"Fırın")</f>
        <v>Fırın</v>
      </c>
      <c r="G235" s="23" t="str">
        <f>IFERROR(__xludf.DUMMYFUNCTION("GOOGLETRANSLATE(B235, ""en"", ""pt"")"),"Forno")</f>
        <v>Forno</v>
      </c>
      <c r="H235" s="24" t="str">
        <f>IFERROR(__xludf.DUMMYFUNCTION("GOOGLETRANSLATE(B235, ""en"", ""de"")"),"Ofen")</f>
        <v>Ofen</v>
      </c>
      <c r="I235" s="23" t="str">
        <f>IFERROR(__xludf.DUMMYFUNCTION("GOOGLETRANSLATE(B235, ""en"", ""pl"")"),"Piec")</f>
        <v>Piec</v>
      </c>
      <c r="J235" s="25" t="str">
        <f>IFERROR(__xludf.DUMMYFUNCTION("GOOGLETRANSLATE(B235, ""en"", ""zh"")"),"炉")</f>
        <v>炉</v>
      </c>
      <c r="K235" s="25" t="str">
        <f>IFERROR(__xludf.DUMMYFUNCTION("GOOGLETRANSLATE(B235, ""en"", ""vi"")"),"Lò lửa")</f>
        <v>Lò lửa</v>
      </c>
      <c r="L235" s="26" t="str">
        <f>IFERROR(__xludf.DUMMYFUNCTION("GOOGLETRANSLATE(B235, ""en"", ""hr"")"),"Peć")</f>
        <v>Peć</v>
      </c>
      <c r="M235" s="28"/>
      <c r="N235" s="28"/>
      <c r="O235" s="28"/>
      <c r="P235" s="28"/>
      <c r="Q235" s="28"/>
      <c r="R235" s="28"/>
      <c r="S235" s="28"/>
      <c r="T235" s="28"/>
      <c r="U235" s="28"/>
      <c r="V235" s="28"/>
      <c r="W235" s="28"/>
      <c r="X235" s="28"/>
      <c r="Y235" s="28"/>
      <c r="Z235" s="28"/>
      <c r="AA235" s="28"/>
      <c r="AB235" s="28"/>
    </row>
    <row r="236">
      <c r="A236" s="21" t="s">
        <v>822</v>
      </c>
      <c r="B236" s="22" t="s">
        <v>823</v>
      </c>
      <c r="C236" s="23" t="str">
        <f>IFERROR(__xludf.DUMMYFUNCTION("GOOGLETRANSLATE(B236, ""en"", ""fr"")"),"Structure du clan. Utilisé pour transformer les minerais en barres métalliques.")</f>
        <v>Structure du clan. Utilisé pour transformer les minerais en barres métalliques.</v>
      </c>
      <c r="D236" s="23" t="str">
        <f>IFERROR(__xludf.DUMMYFUNCTION("GOOGLETRANSLATE(B236, ""en"", ""es"")"),"Estructura del clan. Se utiliza para convertir minerales en barras de metal.")</f>
        <v>Estructura del clan. Se utiliza para convertir minerales en barras de metal.</v>
      </c>
      <c r="E236" s="23" t="str">
        <f>IFERROR(__xludf.DUMMYFUNCTION("GOOGLETRANSLATE(B236,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6" s="23" t="str">
        <f>IFERROR(__xludf.DUMMYFUNCTION("GOOGLETRANSLATE(B236, ""en"", ""tr"")"),"Klan yapısı. Oraları metal çubuklara dönüştürmek için kullanılır.")</f>
        <v>Klan yapısı. Oraları metal çubuklara dönüştürmek için kullanılır.</v>
      </c>
      <c r="G236" s="23" t="str">
        <f>IFERROR(__xludf.DUMMYFUNCTION("GOOGLETRANSLATE(B236, ""en"", ""pt"")"),"Estrutura de clã. Usado para virar os minérios em barras de metal.")</f>
        <v>Estrutura de clã. Usado para virar os minérios em barras de metal.</v>
      </c>
      <c r="H236" s="24" t="str">
        <f>IFERROR(__xludf.DUMMYFUNCTION("GOOGLETRANSLATE(B236, ""en"", ""de"")"),"Clanstruktur. Verwendet, um Erze in Metallstäbe zu drehen.")</f>
        <v>Clanstruktur. Verwendet, um Erze in Metallstäbe zu drehen.</v>
      </c>
      <c r="I236" s="23" t="str">
        <f>IFERROR(__xludf.DUMMYFUNCTION("GOOGLETRANSLATE(B236, ""en"", ""pl"")"),"Struktura klanu. Używany do obracania rud do metalowych prętów.")</f>
        <v>Struktura klanu. Używany do obracania rud do metalowych prętów.</v>
      </c>
      <c r="J236" s="25" t="str">
        <f>IFERROR(__xludf.DUMMYFUNCTION("GOOGLETRANSLATE(B236, ""en"", ""zh"")"),"氏族结构。用来将矿石变成金属条。")</f>
        <v>氏族结构。用来将矿石变成金属条。</v>
      </c>
      <c r="K236" s="25" t="str">
        <f>IFERROR(__xludf.DUMMYFUNCTION("GOOGLETRANSLATE(B236, ""en"", ""vi"")"),"Cấu trúc gia tộc. Được sử dụng để biến quặng thành các thanh kim loại.")</f>
        <v>Cấu trúc gia tộc. Được sử dụng để biến quặng thành các thanh kim loại.</v>
      </c>
      <c r="L236" s="26" t="str">
        <f>IFERROR(__xludf.DUMMYFUNCTION("GOOGLETRANSLATE(B236, ""en"", ""hr"")"),"Struktura klana. Koristi se za okretanje ruda u metalne šipke.")</f>
        <v>Struktura klana. Koristi se za okretanje ruda u metalne šipke.</v>
      </c>
      <c r="M236" s="28"/>
      <c r="N236" s="28"/>
      <c r="O236" s="28"/>
      <c r="P236" s="28"/>
      <c r="Q236" s="28"/>
      <c r="R236" s="28"/>
      <c r="S236" s="28"/>
      <c r="T236" s="28"/>
      <c r="U236" s="28"/>
      <c r="V236" s="28"/>
      <c r="W236" s="28"/>
      <c r="X236" s="28"/>
      <c r="Y236" s="28"/>
      <c r="Z236" s="28"/>
      <c r="AA236" s="28"/>
      <c r="AB236" s="28"/>
    </row>
    <row r="237">
      <c r="A237" s="21" t="s">
        <v>824</v>
      </c>
      <c r="B237" s="22" t="s">
        <v>373</v>
      </c>
      <c r="C237" s="23" t="str">
        <f>IFERROR(__xludf.DUMMYFUNCTION("GOOGLETRANSLATE(B237, ""en"", ""fr"")"),"Enclume")</f>
        <v>Enclume</v>
      </c>
      <c r="D237" s="23" t="str">
        <f>IFERROR(__xludf.DUMMYFUNCTION("GOOGLETRANSLATE(B237, ""en"", ""es"")"),"Yunque")</f>
        <v>Yunque</v>
      </c>
      <c r="E237" s="23" t="str">
        <f>IFERROR(__xludf.DUMMYFUNCTION("GOOGLETRANSLATE(B237, ""en"", ""ru"")"),"Наковальня")</f>
        <v>Наковальня</v>
      </c>
      <c r="F237" s="23" t="str">
        <f>IFERROR(__xludf.DUMMYFUNCTION("GOOGLETRANSLATE(B237, ""en"", ""tr"")"),"Örs")</f>
        <v>Örs</v>
      </c>
      <c r="G237" s="23" t="str">
        <f>IFERROR(__xludf.DUMMYFUNCTION("GOOGLETRANSLATE(B237, ""en"", ""pt"")"),"Bigorna")</f>
        <v>Bigorna</v>
      </c>
      <c r="H237" s="24" t="str">
        <f>IFERROR(__xludf.DUMMYFUNCTION("GOOGLETRANSLATE(B237, ""en"", ""de"")"),"Amboss")</f>
        <v>Amboss</v>
      </c>
      <c r="I237" s="23" t="str">
        <f>IFERROR(__xludf.DUMMYFUNCTION("GOOGLETRANSLATE(B237, ""en"", ""pl"")"),"Kowadło")</f>
        <v>Kowadło</v>
      </c>
      <c r="J237" s="25" t="str">
        <f>IFERROR(__xludf.DUMMYFUNCTION("GOOGLETRANSLATE(B237, ""en"", ""zh"")"),"砧")</f>
        <v>砧</v>
      </c>
      <c r="K237" s="25" t="str">
        <f>IFERROR(__xludf.DUMMYFUNCTION("GOOGLETRANSLATE(B237, ""en"", ""vi"")"),"Anvil.")</f>
        <v>Anvil.</v>
      </c>
      <c r="L237" s="26" t="str">
        <f>IFERROR(__xludf.DUMMYFUNCTION("GOOGLETRANSLATE(B237, ""en"", ""hr"")"),"Nakovanj")</f>
        <v>Nakovanj</v>
      </c>
      <c r="M237" s="28"/>
      <c r="N237" s="28"/>
      <c r="O237" s="28"/>
      <c r="P237" s="28"/>
      <c r="Q237" s="28"/>
      <c r="R237" s="28"/>
      <c r="S237" s="28"/>
      <c r="T237" s="28"/>
      <c r="U237" s="28"/>
      <c r="V237" s="28"/>
      <c r="W237" s="28"/>
      <c r="X237" s="28"/>
      <c r="Y237" s="28"/>
      <c r="Z237" s="28"/>
      <c r="AA237" s="28"/>
      <c r="AB237" s="28"/>
    </row>
    <row r="238">
      <c r="A238" s="21" t="s">
        <v>825</v>
      </c>
      <c r="B238" s="22" t="s">
        <v>826</v>
      </c>
      <c r="C238" s="23" t="str">
        <f>IFERROR(__xludf.DUMMYFUNCTION("GOOGLETRANSLATE(B238, ""en"", ""fr"")"),"Structure du clan. Utilisé pour créer des articles en métal.")</f>
        <v>Structure du clan. Utilisé pour créer des articles en métal.</v>
      </c>
      <c r="D238" s="23" t="str">
        <f>IFERROR(__xludf.DUMMYFUNCTION("GOOGLETRANSLATE(B238, ""en"", ""es"")"),"Estructura del clan. Se utiliza para crear artículos de metal.")</f>
        <v>Estructura del clan. Se utiliza para crear artículos de metal.</v>
      </c>
      <c r="E238" s="23" t="str">
        <f>IFERROR(__xludf.DUMMYFUNCTION("GOOGLETRANSLATE(B238, ""en"", ""ru"")"),"Клановая структура. Используется для ремесла металлических предметов.")</f>
        <v>Клановая структура. Используется для ремесла металлических предметов.</v>
      </c>
      <c r="F238" s="23" t="str">
        <f>IFERROR(__xludf.DUMMYFUNCTION("GOOGLETRANSLATE(B238, ""en"", ""tr"")"),"Klan yapısı. Metal eşyaları zanaat etmek için kullanılır.")</f>
        <v>Klan yapısı. Metal eşyaları zanaat etmek için kullanılır.</v>
      </c>
      <c r="G238" s="23" t="str">
        <f>IFERROR(__xludf.DUMMYFUNCTION("GOOGLETRANSLATE(B238, ""en"", ""pt"")"),"Estrutura de clã. Usado para artesanais itens de metal.")</f>
        <v>Estrutura de clã. Usado para artesanais itens de metal.</v>
      </c>
      <c r="H238" s="24" t="str">
        <f>IFERROR(__xludf.DUMMYFUNCTION("GOOGLETRANSLATE(B238, ""en"", ""de"")"),"Clanstruktur. Verwendet, um Metallgegenstände herzustellen.")</f>
        <v>Clanstruktur. Verwendet, um Metallgegenstände herzustellen.</v>
      </c>
      <c r="I238" s="23" t="str">
        <f>IFERROR(__xludf.DUMMYFUNCTION("GOOGLETRANSLATE(B238, ""en"", ""pl"")"),"Struktura klanu. Używany do rzemieślniczych przedmiotów metalowych.")</f>
        <v>Struktura klanu. Używany do rzemieślniczych przedmiotów metalowych.</v>
      </c>
      <c r="J238" s="25" t="str">
        <f>IFERROR(__xludf.DUMMYFUNCTION("GOOGLETRANSLATE(B238, ""en"", ""zh"")"),"氏族结构。用于制作金属物品。")</f>
        <v>氏族结构。用于制作金属物品。</v>
      </c>
      <c r="K238" s="25" t="str">
        <f>IFERROR(__xludf.DUMMYFUNCTION("GOOGLETRANSLATE(B238, ""en"", ""vi"")"),"Cấu trúc gia tộc. Dùng để thủ công các mặt hàng kim loại.")</f>
        <v>Cấu trúc gia tộc. Dùng để thủ công các mặt hàng kim loại.</v>
      </c>
      <c r="L238" s="26" t="str">
        <f>IFERROR(__xludf.DUMMYFUNCTION("GOOGLETRANSLATE(B238, ""en"", ""hr"")"),"Struktura klana. Koristi se za obrt metalnih predmeta.")</f>
        <v>Struktura klana. Koristi se za obrt metalnih predmeta.</v>
      </c>
      <c r="M238" s="28"/>
      <c r="N238" s="28"/>
      <c r="O238" s="28"/>
      <c r="P238" s="28"/>
      <c r="Q238" s="28"/>
      <c r="R238" s="28"/>
      <c r="S238" s="28"/>
      <c r="T238" s="28"/>
      <c r="U238" s="28"/>
      <c r="V238" s="28"/>
      <c r="W238" s="28"/>
      <c r="X238" s="28"/>
      <c r="Y238" s="28"/>
      <c r="Z238" s="28"/>
      <c r="AA238" s="28"/>
      <c r="AB238" s="28"/>
    </row>
    <row r="239">
      <c r="A239" s="42" t="s">
        <v>827</v>
      </c>
      <c r="B239" s="22" t="s">
        <v>375</v>
      </c>
      <c r="C239" s="23" t="str">
        <f>IFERROR(__xludf.DUMMYFUNCTION("GOOGLETRANSLATE(B239, ""en"", ""fr"")"),"Laboratoire")</f>
        <v>Laboratoire</v>
      </c>
      <c r="D239" s="23" t="str">
        <f>IFERROR(__xludf.DUMMYFUNCTION("GOOGLETRANSLATE(B239, ""en"", ""es"")"),"Laboratorio")</f>
        <v>Laboratorio</v>
      </c>
      <c r="E239" s="23" t="str">
        <f>IFERROR(__xludf.DUMMYFUNCTION("GOOGLETRANSLATE(B239, ""en"", ""ru"")"),"Лаборатория")</f>
        <v>Лаборатория</v>
      </c>
      <c r="F239" s="23" t="str">
        <f>IFERROR(__xludf.DUMMYFUNCTION("GOOGLETRANSLATE(B239, ""en"", ""tr"")"),"Laboratuvar")</f>
        <v>Laboratuvar</v>
      </c>
      <c r="G239" s="23" t="str">
        <f>IFERROR(__xludf.DUMMYFUNCTION("GOOGLETRANSLATE(B239, ""en"", ""pt"")"),"Laboratório")</f>
        <v>Laboratório</v>
      </c>
      <c r="H239" s="24" t="str">
        <f>IFERROR(__xludf.DUMMYFUNCTION("GOOGLETRANSLATE(B239, ""en"", ""de"")"),"Labor")</f>
        <v>Labor</v>
      </c>
      <c r="I239" s="23" t="str">
        <f>IFERROR(__xludf.DUMMYFUNCTION("GOOGLETRANSLATE(B239, ""en"", ""pl"")"),"Laboratorium")</f>
        <v>Laboratorium</v>
      </c>
      <c r="J239" s="25" t="str">
        <f>IFERROR(__xludf.DUMMYFUNCTION("GOOGLETRANSLATE(B239, ""en"", ""zh"")"),"实验室")</f>
        <v>实验室</v>
      </c>
      <c r="K239" s="25" t="str">
        <f>IFERROR(__xludf.DUMMYFUNCTION("GOOGLETRANSLATE(B239, ""en"", ""vi"")"),"Phòng thí nghiệm")</f>
        <v>Phòng thí nghiệm</v>
      </c>
      <c r="L239" s="26" t="str">
        <f>IFERROR(__xludf.DUMMYFUNCTION("GOOGLETRANSLATE(B239, ""en"", ""hr"")"),"Laboratorija")</f>
        <v>Laboratorija</v>
      </c>
      <c r="M239" s="28"/>
      <c r="N239" s="28"/>
      <c r="O239" s="28"/>
      <c r="P239" s="28"/>
      <c r="Q239" s="28"/>
      <c r="R239" s="28"/>
      <c r="S239" s="28"/>
      <c r="T239" s="28"/>
      <c r="U239" s="28"/>
      <c r="V239" s="28"/>
      <c r="W239" s="28"/>
      <c r="X239" s="28"/>
      <c r="Y239" s="28"/>
      <c r="Z239" s="28"/>
      <c r="AA239" s="28"/>
      <c r="AB239" s="28"/>
    </row>
    <row r="240">
      <c r="A240" s="42" t="s">
        <v>828</v>
      </c>
      <c r="B240" s="22" t="s">
        <v>829</v>
      </c>
      <c r="C240" s="23" t="str">
        <f>IFERROR(__xludf.DUMMYFUNCTION("GOOGLETRANSLATE(B240, ""en"", ""fr"")"),"Structure du clan. Utilisé pour fabriquer des potions.")</f>
        <v>Structure du clan. Utilisé pour fabriquer des potions.</v>
      </c>
      <c r="D240" s="23" t="str">
        <f>IFERROR(__xludf.DUMMYFUNCTION("GOOGLETRANSLATE(B240, ""en"", ""es"")"),"Estructura del clan. Se utiliza para manipular pociones.")</f>
        <v>Estructura del clan. Se utiliza para manipular pociones.</v>
      </c>
      <c r="E240" s="23" t="str">
        <f>IFERROR(__xludf.DUMMYFUNCTION("GOOGLETRANSLATE(B240, ""en"", ""ru"")"),"Клановая структура. Используется для ремесла зелья.")</f>
        <v>Клановая структура. Используется для ремесла зелья.</v>
      </c>
      <c r="F240" s="23" t="str">
        <f>IFERROR(__xludf.DUMMYFUNCTION("GOOGLETRANSLATE(B240, ""en"", ""tr"")"),"Klan yapısı. İksirleri zanaat etmek için kullanılır.")</f>
        <v>Klan yapısı. İksirleri zanaat etmek için kullanılır.</v>
      </c>
      <c r="G240" s="23" t="str">
        <f>IFERROR(__xludf.DUMMYFUNCTION("GOOGLETRANSLATE(B240, ""en"", ""pt"")"),"Estrutura de clã. Usado para artesanato.")</f>
        <v>Estrutura de clã. Usado para artesanato.</v>
      </c>
      <c r="H240" s="24" t="str">
        <f>IFERROR(__xludf.DUMMYFUNCTION("GOOGLETRANSLATE(B240, ""en"", ""de"")"),"Clanstruktur. Verwendet, um Tränke zu büsten.")</f>
        <v>Clanstruktur. Verwendet, um Tränke zu büsten.</v>
      </c>
      <c r="I240" s="23" t="str">
        <f>IFERROR(__xludf.DUMMYFUNCTION("GOOGLETRANSLATE(B240, ""en"", ""pl"")"),"Struktura klanu. Używany do rzemieślniczych mikstur.")</f>
        <v>Struktura klanu. Używany do rzemieślniczych mikstur.</v>
      </c>
      <c r="J240" s="25" t="str">
        <f>IFERROR(__xludf.DUMMYFUNCTION("GOOGLETRANSLATE(B240, ""en"", ""zh"")"),"氏族结构。用来制作药水。")</f>
        <v>氏族结构。用来制作药水。</v>
      </c>
      <c r="K240" s="25" t="str">
        <f>IFERROR(__xludf.DUMMYFUNCTION("GOOGLETRANSLATE(B240, ""en"", ""vi"")"),"Cấu trúc gia tộc. Dùng để thủ công potions.")</f>
        <v>Cấu trúc gia tộc. Dùng để thủ công potions.</v>
      </c>
      <c r="L240" s="26" t="str">
        <f>IFERROR(__xludf.DUMMYFUNCTION("GOOGLETRANSLATE(B240, ""en"", ""hr"")"),"Struktura klana. Koristi se za obrt napitaka.")</f>
        <v>Struktura klana. Koristi se za obrt napitaka.</v>
      </c>
      <c r="M240" s="28"/>
      <c r="N240" s="28"/>
      <c r="O240" s="28"/>
      <c r="P240" s="28"/>
      <c r="Q240" s="28"/>
      <c r="R240" s="28"/>
      <c r="S240" s="28"/>
      <c r="T240" s="28"/>
      <c r="U240" s="28"/>
      <c r="V240" s="28"/>
      <c r="W240" s="28"/>
      <c r="X240" s="28"/>
      <c r="Y240" s="28"/>
      <c r="Z240" s="28"/>
      <c r="AA240" s="28"/>
      <c r="AB240" s="28"/>
    </row>
    <row r="241">
      <c r="A241" s="42" t="s">
        <v>830</v>
      </c>
      <c r="B241" s="22" t="s">
        <v>831</v>
      </c>
      <c r="C241" s="23" t="str">
        <f>IFERROR(__xludf.DUMMYFUNCTION("GOOGLETRANSLATE(B241, ""en"", ""fr"")"),"Générateur")</f>
        <v>Générateur</v>
      </c>
      <c r="D241" s="23" t="str">
        <f>IFERROR(__xludf.DUMMYFUNCTION("GOOGLETRANSLATE(B241, ""en"", ""es"")"),"Generador")</f>
        <v>Generador</v>
      </c>
      <c r="E241" s="23" t="str">
        <f>IFERROR(__xludf.DUMMYFUNCTION("GOOGLETRANSLATE(B241, ""en"", ""ru"")"),"Генератор")</f>
        <v>Генератор</v>
      </c>
      <c r="F241" s="23" t="str">
        <f>IFERROR(__xludf.DUMMYFUNCTION("GOOGLETRANSLATE(B241, ""en"", ""tr"")"),"Jeneratör")</f>
        <v>Jeneratör</v>
      </c>
      <c r="G241" s="23" t="str">
        <f>IFERROR(__xludf.DUMMYFUNCTION("GOOGLETRANSLATE(B241, ""en"", ""pt"")"),"Gerador")</f>
        <v>Gerador</v>
      </c>
      <c r="H241" s="24" t="str">
        <f>IFERROR(__xludf.DUMMYFUNCTION("GOOGLETRANSLATE(B241, ""en"", ""de"")"),"Generator")</f>
        <v>Generator</v>
      </c>
      <c r="I241" s="23" t="str">
        <f>IFERROR(__xludf.DUMMYFUNCTION("GOOGLETRANSLATE(B241, ""en"", ""pl"")"),"Generator")</f>
        <v>Generator</v>
      </c>
      <c r="J241" s="25" t="str">
        <f>IFERROR(__xludf.DUMMYFUNCTION("GOOGLETRANSLATE(B241, ""en"", ""zh"")"),"发电机")</f>
        <v>发电机</v>
      </c>
      <c r="K241" s="25" t="str">
        <f>IFERROR(__xludf.DUMMYFUNCTION("GOOGLETRANSLATE(B241, ""en"", ""vi"")"),"Máy phát điện")</f>
        <v>Máy phát điện</v>
      </c>
      <c r="L241" s="26" t="str">
        <f>IFERROR(__xludf.DUMMYFUNCTION("GOOGLETRANSLATE(B241, ""en"", ""hr"")"),"Generator")</f>
        <v>Generator</v>
      </c>
      <c r="M241" s="28"/>
      <c r="N241" s="28"/>
      <c r="O241" s="28"/>
      <c r="P241" s="28"/>
      <c r="Q241" s="28"/>
      <c r="R241" s="28"/>
      <c r="S241" s="28"/>
      <c r="T241" s="28"/>
      <c r="U241" s="28"/>
      <c r="V241" s="28"/>
      <c r="W241" s="28"/>
      <c r="X241" s="28"/>
      <c r="Y241" s="28"/>
      <c r="Z241" s="28"/>
      <c r="AA241" s="28"/>
      <c r="AB241" s="28"/>
    </row>
    <row r="242">
      <c r="A242" s="42" t="s">
        <v>832</v>
      </c>
      <c r="B242" s="22" t="s">
        <v>833</v>
      </c>
      <c r="C242" s="23" t="str">
        <f>IFERROR(__xludf.DUMMYFUNCTION("GOOGLETRANSLATE(B242,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42" s="23" t="str">
        <f>IFERROR(__xludf.DUMMYFUNCTION("GOOGLETRANSLATE(B242,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42" s="23" t="str">
        <f>IFERROR(__xludf.DUMMYFUNCTION("GOOGLETRANSLATE(B242,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42" s="23" t="str">
        <f>IFERROR(__xludf.DUMMYFUNCTION("GOOGLETRANSLATE(B242,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42" s="23" t="str">
        <f>IFERROR(__xludf.DUMMYFUNCTION("GOOGLETRANSLATE(B242,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42" s="24" t="str">
        <f>IFERROR(__xludf.DUMMYFUNCTION("GOOGLETRANSLATE(B242,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42" s="23" t="str">
        <f>IFERROR(__xludf.DUMMYFUNCTION("GOOGLETRANSLATE(B242,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42" s="25" t="str">
        <f>IFERROR(__xludf.DUMMYFUNCTION("GOOGLETRANSLATE(B242,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42" s="25" t="str">
        <f>IFERROR(__xludf.DUMMYFUNCTION("GOOGLETRANSLATE(B242,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42" s="26" t="str">
        <f>IFERROR(__xludf.DUMMYFUNCTION("GOOGLETRANSLATE(B242,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42" s="28"/>
      <c r="N242" s="28"/>
      <c r="O242" s="28"/>
      <c r="P242" s="28"/>
      <c r="Q242" s="28"/>
      <c r="R242" s="28"/>
      <c r="S242" s="28"/>
      <c r="T242" s="28"/>
      <c r="U242" s="28"/>
      <c r="V242" s="28"/>
      <c r="W242" s="28"/>
      <c r="X242" s="28"/>
      <c r="Y242" s="28"/>
      <c r="Z242" s="28"/>
      <c r="AA242" s="28"/>
      <c r="AB242" s="28"/>
    </row>
    <row r="243">
      <c r="A243" s="42" t="s">
        <v>834</v>
      </c>
      <c r="B243" s="22" t="s">
        <v>835</v>
      </c>
      <c r="C243" s="23" t="str">
        <f>IFERROR(__xludf.DUMMYFUNCTION("GOOGLETRANSLATE(B243, ""en"", ""fr"")"),"Clé de combat")</f>
        <v>Clé de combat</v>
      </c>
      <c r="D243" s="23" t="str">
        <f>IFERROR(__xludf.DUMMYFUNCTION("GOOGLETRANSLATE(B243, ""en"", ""es"")"),"Llave de combate")</f>
        <v>Llave de combate</v>
      </c>
      <c r="E243" s="23" t="str">
        <f>IFERROR(__xludf.DUMMYFUNCTION("GOOGLETRANSLATE(B243, ""en"", ""ru"")"),"Истребитель")</f>
        <v>Истребитель</v>
      </c>
      <c r="F243" s="23" t="str">
        <f>IFERROR(__xludf.DUMMYFUNCTION("GOOGLETRANSLATE(B243, ""en"", ""tr"")"),"Savaşçı anahtarı")</f>
        <v>Savaşçı anahtarı</v>
      </c>
      <c r="G243" s="23" t="str">
        <f>IFERROR(__xludf.DUMMYFUNCTION("GOOGLETRANSLATE(B243, ""en"", ""pt"")"),"Chave de lutador")</f>
        <v>Chave de lutador</v>
      </c>
      <c r="H243" s="24" t="str">
        <f>IFERROR(__xludf.DUMMYFUNCTION("GOOGLETRANSLATE(B243, ""en"", ""de"")"),"Kämpferschlüssel")</f>
        <v>Kämpferschlüssel</v>
      </c>
      <c r="I243" s="23" t="str">
        <f>IFERROR(__xludf.DUMMYFUNCTION("GOOGLETRANSLATE(B243, ""en"", ""pl"")"),"Kluczem myśliwski")</f>
        <v>Kluczem myśliwski</v>
      </c>
      <c r="J243" s="25" t="str">
        <f>IFERROR(__xludf.DUMMYFUNCTION("GOOGLETRANSLATE(B243, ""en"", ""zh"")"),"战斗机钥匙")</f>
        <v>战斗机钥匙</v>
      </c>
      <c r="K243" s="25" t="str">
        <f>IFERROR(__xludf.DUMMYFUNCTION("GOOGLETRANSLATE(B243, ""en"", ""vi"")"),"Phím chiến đấu")</f>
        <v>Phím chiến đấu</v>
      </c>
      <c r="L243" s="26" t="str">
        <f>IFERROR(__xludf.DUMMYFUNCTION("GOOGLETRANSLATE(B243, ""en"", ""hr"")"),"Ključ borbenog")</f>
        <v>Ključ borbenog</v>
      </c>
      <c r="M243" s="28"/>
      <c r="N243" s="28"/>
      <c r="O243" s="28"/>
      <c r="P243" s="28"/>
      <c r="Q243" s="28"/>
      <c r="R243" s="28"/>
      <c r="S243" s="28"/>
      <c r="T243" s="28"/>
      <c r="U243" s="28"/>
      <c r="V243" s="28"/>
      <c r="W243" s="28"/>
      <c r="X243" s="28"/>
      <c r="Y243" s="28"/>
      <c r="Z243" s="28"/>
      <c r="AA243" s="28"/>
      <c r="AB243" s="28"/>
    </row>
    <row r="244">
      <c r="A244" s="42" t="s">
        <v>836</v>
      </c>
      <c r="B244" s="22" t="s">
        <v>837</v>
      </c>
      <c r="C244" s="23" t="str">
        <f>IFERROR(__xludf.DUMMYFUNCTION("GOOGLETRANSLATE(B244, ""en"", ""fr"")"),"Ouvre la porte de la zone de préparation du PvP Arena. Avertissement! D'autres joueurs peuvent vous attaquer dans la fosse de combat!")</f>
        <v>Ouvre la porte de la zone de préparation du PvP Arena. Avertissement! D'autres joueurs peuvent vous attaquer dans la fosse de combat!</v>
      </c>
      <c r="D244" s="23" t="str">
        <f>IFERROR(__xludf.DUMMYFUNCTION("GOOGLETRANSLATE(B244, ""en"", ""es"")"),"Abre la puerta al área de preparación de la arena PVP. ¡Advertencia! ¡Otros jugadores pueden atacarte en el pozo de lucha!")</f>
        <v>Abre la puerta al área de preparación de la arena PVP. ¡Advertencia! ¡Otros jugadores pueden atacarte en el pozo de lucha!</v>
      </c>
      <c r="E244" s="23" t="str">
        <f>IFERROR(__xludf.DUMMYFUNCTION("GOOGLETRANSLATE(B244,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4" s="23" t="str">
        <f>IFERROR(__xludf.DUMMYFUNCTION("GOOGLETRANSLATE(B244, ""en"", ""tr"")"),"PVP Arena Hazırlık Alanına kapıyı açar. Uyarı! Diğer oyuncular size mücadele çukuruna saldırabilir!")</f>
        <v>PVP Arena Hazırlık Alanına kapıyı açar. Uyarı! Diğer oyuncular size mücadele çukuruna saldırabilir!</v>
      </c>
      <c r="G244" s="23" t="str">
        <f>IFERROR(__xludf.DUMMYFUNCTION("GOOGLETRANSLATE(B244, ""en"", ""pt"")"),"Abre a porta para a área de preparação de arena PVP. Aviso! Outros jogadores podem atacá-lo na luta!")</f>
        <v>Abre a porta para a área de preparação de arena PVP. Aviso! Outros jogadores podem atacá-lo na luta!</v>
      </c>
      <c r="H244" s="24" t="str">
        <f>IFERROR(__xludf.DUMMYFUNCTION("GOOGLETRANSLATE(B244, ""en"", ""de"")"),"Öffnet die Tür zum PVP-Arena-Vorbereitungsbereich. Warnung! Andere Spieler können Sie in der Kampfgrube angreifen!")</f>
        <v>Öffnet die Tür zum PVP-Arena-Vorbereitungsbereich. Warnung! Andere Spieler können Sie in der Kampfgrube angreifen!</v>
      </c>
      <c r="I244" s="23" t="str">
        <f>IFERROR(__xludf.DUMMYFUNCTION("GOOGLETRANSLATE(B244, ""en"", ""pl"")"),"Otwiera drzwi do obszaru przygotowania areny PVP. Ostrzeżenie! Inni gracze mogą cię zaatakować w walce!")</f>
        <v>Otwiera drzwi do obszaru przygotowania areny PVP. Ostrzeżenie! Inni gracze mogą cię zaatakować w walce!</v>
      </c>
      <c r="J244" s="25" t="str">
        <f>IFERROR(__xludf.DUMMYFUNCTION("GOOGLETRANSLATE(B244, ""en"", ""zh"")"),"打开PVP竞技场准备区的门。警告！其他玩家可以在战斗坑里攻击你！")</f>
        <v>打开PVP竞技场准备区的门。警告！其他玩家可以在战斗坑里攻击你！</v>
      </c>
      <c r="K244" s="25" t="str">
        <f>IFERROR(__xludf.DUMMYFUNCTION("GOOGLETRANSLATE(B244,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4" s="26" t="str">
        <f>IFERROR(__xludf.DUMMYFUNCTION("GOOGLETRANSLATE(B244, ""en"", ""hr"")"),"Otvara vrata pripreme PvP arene. Upozorenje! Drugi igrači vas mogu napasti u borbenoj jami!")</f>
        <v>Otvara vrata pripreme PvP arene. Upozorenje! Drugi igrači vas mogu napasti u borbenoj jami!</v>
      </c>
      <c r="M244" s="28"/>
      <c r="N244" s="28"/>
      <c r="O244" s="28"/>
      <c r="P244" s="28"/>
      <c r="Q244" s="28"/>
      <c r="R244" s="28"/>
      <c r="S244" s="28"/>
      <c r="T244" s="28"/>
      <c r="U244" s="28"/>
      <c r="V244" s="28"/>
      <c r="W244" s="28"/>
      <c r="X244" s="28"/>
      <c r="Y244" s="28"/>
      <c r="Z244" s="28"/>
      <c r="AA244" s="28"/>
      <c r="AB244" s="28"/>
    </row>
    <row r="245">
      <c r="A245" s="42" t="s">
        <v>838</v>
      </c>
      <c r="B245" s="22" t="s">
        <v>839</v>
      </c>
      <c r="C245" s="23" t="str">
        <f>IFERROR(__xludf.DUMMYFUNCTION("GOOGLETRANSLATE(B245, ""en"", ""fr"")"),"Touche de fosse")</f>
        <v>Touche de fosse</v>
      </c>
      <c r="D245" s="23" t="str">
        <f>IFERROR(__xludf.DUMMYFUNCTION("GOOGLETRANSLATE(B245, ""en"", ""es"")"),"Llavero")</f>
        <v>Llavero</v>
      </c>
      <c r="E245" s="23" t="str">
        <f>IFERROR(__xludf.DUMMYFUNCTION("GOOGLETRANSLATE(B245, ""en"", ""ru"")"),"Ключ")</f>
        <v>Ключ</v>
      </c>
      <c r="F245" s="23" t="str">
        <f>IFERROR(__xludf.DUMMYFUNCTION("GOOGLETRANSLATE(B245, ""en"", ""tr"")"),"Çukur anahtarı")</f>
        <v>Çukur anahtarı</v>
      </c>
      <c r="G245" s="23" t="str">
        <f>IFERROR(__xludf.DUMMYFUNCTION("GOOGLETRANSLATE(B245, ""en"", ""pt"")"),"Tecla pit")</f>
        <v>Tecla pit</v>
      </c>
      <c r="H245" s="24" t="str">
        <f>IFERROR(__xludf.DUMMYFUNCTION("GOOGLETRANSLATE(B245, ""en"", ""de"")"),"Pit-Key")</f>
        <v>Pit-Key</v>
      </c>
      <c r="I245" s="23" t="str">
        <f>IFERROR(__xludf.DUMMYFUNCTION("GOOGLETRANSLATE(B245, ""en"", ""pl"")"),"Klucz Pit.")</f>
        <v>Klucz Pit.</v>
      </c>
      <c r="J245" s="25" t="str">
        <f>IFERROR(__xludf.DUMMYFUNCTION("GOOGLETRANSLATE(B245, ""en"", ""zh"")"),"坑钥匙")</f>
        <v>坑钥匙</v>
      </c>
      <c r="K245" s="25" t="str">
        <f>IFERROR(__xludf.DUMMYFUNCTION("GOOGLETRANSLATE(B245, ""en"", ""vi"")"),"Phím pit.")</f>
        <v>Phím pit.</v>
      </c>
      <c r="L245" s="26" t="str">
        <f>IFERROR(__xludf.DUMMYFUNCTION("GOOGLETRANSLATE(B245, ""en"", ""hr"")"),"Ključ")</f>
        <v>Ključ</v>
      </c>
      <c r="M245" s="28"/>
      <c r="N245" s="28"/>
      <c r="O245" s="28"/>
      <c r="P245" s="28"/>
      <c r="Q245" s="28"/>
      <c r="R245" s="28"/>
      <c r="S245" s="28"/>
      <c r="T245" s="28"/>
      <c r="U245" s="28"/>
      <c r="V245" s="28"/>
      <c r="W245" s="28"/>
      <c r="X245" s="28"/>
      <c r="Y245" s="28"/>
      <c r="Z245" s="28"/>
      <c r="AA245" s="28"/>
      <c r="AB245" s="28"/>
    </row>
    <row r="246">
      <c r="A246" s="42" t="s">
        <v>840</v>
      </c>
      <c r="B246" s="22" t="s">
        <v>841</v>
      </c>
      <c r="C246" s="23" t="str">
        <f>IFERROR(__xludf.DUMMYFUNCTION("GOOGLETRANSLATE(B246, ""en"", ""fr"")"),"Ouvre les portes pour sortir de la fosse de combat.")</f>
        <v>Ouvre les portes pour sortir de la fosse de combat.</v>
      </c>
      <c r="D246" s="23" t="str">
        <f>IFERROR(__xludf.DUMMYFUNCTION("GOOGLETRANSLATE(B246, ""en"", ""es"")"),"Abre las puertas para salir del pozo de lucha.")</f>
        <v>Abre las puertas para salir del pozo de lucha.</v>
      </c>
      <c r="E246" s="23" t="str">
        <f>IFERROR(__xludf.DUMMYFUNCTION("GOOGLETRANSLATE(B246, ""en"", ""ru"")"),"Открывает двери, чтобы выйти из боевой ямы.")</f>
        <v>Открывает двери, чтобы выйти из боевой ямы.</v>
      </c>
      <c r="F246" s="23" t="str">
        <f>IFERROR(__xludf.DUMMYFUNCTION("GOOGLETRANSLATE(B246, ""en"", ""tr"")"),"Mücadele çukurundan çıkmak için kapıları açar.")</f>
        <v>Mücadele çukurundan çıkmak için kapıları açar.</v>
      </c>
      <c r="G246" s="23" t="str">
        <f>IFERROR(__xludf.DUMMYFUNCTION("GOOGLETRANSLATE(B246, ""en"", ""pt"")"),"Abre as portas para sair da luta.")</f>
        <v>Abre as portas para sair da luta.</v>
      </c>
      <c r="H246" s="24" t="str">
        <f>IFERROR(__xludf.DUMMYFUNCTION("GOOGLETRANSLATE(B246, ""en"", ""de"")"),"Öffnet die Türen, um aus der Kampfgrube zu verlassen.")</f>
        <v>Öffnet die Türen, um aus der Kampfgrube zu verlassen.</v>
      </c>
      <c r="I246" s="23" t="str">
        <f>IFERROR(__xludf.DUMMYFUNCTION("GOOGLETRANSLATE(B246, ""en"", ""pl"")"),"Otwiera drzwi, aby wyjść z bólu walki.")</f>
        <v>Otwiera drzwi, aby wyjść z bólu walki.</v>
      </c>
      <c r="J246" s="25" t="str">
        <f>IFERROR(__xludf.DUMMYFUNCTION("GOOGLETRANSLATE(B246, ""en"", ""zh"")"),"打开门以摆脱战斗坑。")</f>
        <v>打开门以摆脱战斗坑。</v>
      </c>
      <c r="K246" s="25" t="str">
        <f>IFERROR(__xludf.DUMMYFUNCTION("GOOGLETRANSLATE(B246, ""en"", ""vi"")"),"Mở ra những cánh cửa để thoát khỏi hố chiến đấu.")</f>
        <v>Mở ra những cánh cửa để thoát khỏi hố chiến đấu.</v>
      </c>
      <c r="L246" s="26" t="str">
        <f>IFERROR(__xludf.DUMMYFUNCTION("GOOGLETRANSLATE(B246, ""en"", ""hr"")"),"Otvara vrata da izađu iz borbene jame.")</f>
        <v>Otvara vrata da izađu iz borbene jame.</v>
      </c>
      <c r="M246" s="28"/>
      <c r="N246" s="28"/>
      <c r="O246" s="28"/>
      <c r="P246" s="28"/>
      <c r="Q246" s="28"/>
      <c r="R246" s="28"/>
      <c r="S246" s="28"/>
      <c r="T246" s="28"/>
      <c r="U246" s="28"/>
      <c r="V246" s="28"/>
      <c r="W246" s="28"/>
      <c r="X246" s="28"/>
      <c r="Y246" s="28"/>
      <c r="Z246" s="28"/>
      <c r="AA246" s="28"/>
      <c r="AB246" s="28"/>
    </row>
    <row r="247">
      <c r="A247" s="21" t="s">
        <v>842</v>
      </c>
      <c r="B247" s="22" t="s">
        <v>843</v>
      </c>
      <c r="C247" s="23" t="str">
        <f>IFERROR(__xludf.DUMMYFUNCTION("GOOGLETRANSLATE(B247, ""en"", ""fr"")"),"Scroll de la zone de guérison")</f>
        <v>Scroll de la zone de guérison</v>
      </c>
      <c r="D247" s="23" t="str">
        <f>IFERROR(__xludf.DUMMYFUNCTION("GOOGLETRANSLATE(B247, ""en"", ""es"")"),"Desplazamiento de la zona de sanidad")</f>
        <v>Desplazamiento de la zona de sanidad</v>
      </c>
      <c r="E247" s="23" t="str">
        <f>IFERROR(__xludf.DUMMYFUNCTION("GOOGLETRANSLATE(B247, ""en"", ""ru"")"),"Прокрутка полета")</f>
        <v>Прокрутка полета</v>
      </c>
      <c r="F247" s="23" t="str">
        <f>IFERROR(__xludf.DUMMYFUNCTION("GOOGLETRANSLATE(B247, ""en"", ""tr"")"),"İyileştirme alanı kaydırma")</f>
        <v>İyileştirme alanı kaydırma</v>
      </c>
      <c r="G247" s="23" t="str">
        <f>IFERROR(__xludf.DUMMYFUNCTION("GOOGLETRANSLATE(B247, ""en"", ""pt"")"),"Pergaminho da área de cura")</f>
        <v>Pergaminho da área de cura</v>
      </c>
      <c r="H247" s="24" t="str">
        <f>IFERROR(__xludf.DUMMYFUNCTION("GOOGLETRANSLATE(B247, ""en"", ""de"")"),"Blättern Sie vom Heilbereich")</f>
        <v>Blättern Sie vom Heilbereich</v>
      </c>
      <c r="I247" s="23" t="str">
        <f>IFERROR(__xludf.DUMMYFUNCTION("GOOGLETRANSLATE(B247, ""en"", ""pl"")"),"Przewiń obszar leczenia")</f>
        <v>Przewiń obszar leczenia</v>
      </c>
      <c r="J247" s="25" t="str">
        <f>IFERROR(__xludf.DUMMYFUNCTION("GOOGLETRANSLATE(B247, ""en"", ""zh"")"),"治疗区域卷轴")</f>
        <v>治疗区域卷轴</v>
      </c>
      <c r="K247" s="25" t="str">
        <f>IFERROR(__xludf.DUMMYFUNCTION("GOOGLETRANSLATE(B247, ""en"", ""vi"")"),"Cuộn diện tích chữa lành")</f>
        <v>Cuộn diện tích chữa lành</v>
      </c>
      <c r="L247" s="26" t="str">
        <f>IFERROR(__xludf.DUMMYFUNCTION("GOOGLETRANSLATE(B247, ""en"", ""hr"")"),"Pomicanje od liječenja područja")</f>
        <v>Pomicanje od liječenja područja</v>
      </c>
      <c r="M247" s="28"/>
      <c r="N247" s="28"/>
      <c r="O247" s="28"/>
      <c r="P247" s="28"/>
      <c r="Q247" s="28"/>
      <c r="R247" s="28"/>
      <c r="S247" s="28"/>
      <c r="T247" s="28"/>
      <c r="U247" s="28"/>
      <c r="V247" s="28"/>
      <c r="W247" s="28"/>
      <c r="X247" s="28"/>
      <c r="Y247" s="28"/>
      <c r="Z247" s="28"/>
      <c r="AA247" s="28"/>
      <c r="AB247" s="28"/>
    </row>
    <row r="248">
      <c r="A248" s="21" t="s">
        <v>844</v>
      </c>
      <c r="B248" s="22" t="s">
        <v>845</v>
      </c>
      <c r="C248" s="23" t="str">
        <f>IFERROR(__xludf.DUMMYFUNCTION("GOOGLETRANSLATE(B248, ""en"", ""fr"")"),"Guérit toutes les créatures autour de vous.")</f>
        <v>Guérit toutes les créatures autour de vous.</v>
      </c>
      <c r="D248" s="23" t="str">
        <f>IFERROR(__xludf.DUMMYFUNCTION("GOOGLETRANSLATE(B248, ""en"", ""es"")"),"Cura a todas las criaturas a su alrededor.")</f>
        <v>Cura a todas las criaturas a su alrededor.</v>
      </c>
      <c r="E248" s="23" t="str">
        <f>IFERROR(__xludf.DUMMYFUNCTION("GOOGLETRANSLATE(B248, ""en"", ""ru"")"),"Исцеляет все существа вокруг себя.")</f>
        <v>Исцеляет все существа вокруг себя.</v>
      </c>
      <c r="F248" s="23" t="str">
        <f>IFERROR(__xludf.DUMMYFUNCTION("GOOGLETRANSLATE(B248, ""en"", ""tr"")"),"Etrafındaki tüm canlıları iyileştirir.")</f>
        <v>Etrafındaki tüm canlıları iyileştirir.</v>
      </c>
      <c r="G248" s="23" t="str">
        <f>IFERROR(__xludf.DUMMYFUNCTION("GOOGLETRANSLATE(B248, ""en"", ""pt"")"),"Cura todas as criaturas ao seu redor.")</f>
        <v>Cura todas as criaturas ao seu redor.</v>
      </c>
      <c r="H248" s="24" t="str">
        <f>IFERROR(__xludf.DUMMYFUNCTION("GOOGLETRANSLATE(B248, ""en"", ""de"")"),"Heilt alle Kreaturen um sich selbst.")</f>
        <v>Heilt alle Kreaturen um sich selbst.</v>
      </c>
      <c r="I248" s="23" t="str">
        <f>IFERROR(__xludf.DUMMYFUNCTION("GOOGLETRANSLATE(B248, ""en"", ""pl"")"),"Utlenia się wokół wszystkich stworzeń.")</f>
        <v>Utlenia się wokół wszystkich stworzeń.</v>
      </c>
      <c r="J248" s="25" t="str">
        <f>IFERROR(__xludf.DUMMYFUNCTION("GOOGLETRANSLATE(B248, ""en"", ""zh"")"),"治愈自己周围的所有生物。")</f>
        <v>治愈自己周围的所有生物。</v>
      </c>
      <c r="K248" s="25" t="str">
        <f>IFERROR(__xludf.DUMMYFUNCTION("GOOGLETRANSLATE(B248, ""en"", ""vi"")"),"Chữa lành tất cả các sinh vật xung quanh mình.")</f>
        <v>Chữa lành tất cả các sinh vật xung quanh mình.</v>
      </c>
      <c r="L248" s="26" t="str">
        <f>IFERROR(__xludf.DUMMYFUNCTION("GOOGLETRANSLATE(B248, ""en"", ""hr"")"),"Liječi sva stvorenja oko sebe.")</f>
        <v>Liječi sva stvorenja oko sebe.</v>
      </c>
      <c r="M248" s="28"/>
      <c r="N248" s="28"/>
      <c r="O248" s="28"/>
      <c r="P248" s="28"/>
      <c r="Q248" s="28"/>
      <c r="R248" s="28"/>
      <c r="S248" s="28"/>
      <c r="T248" s="28"/>
      <c r="U248" s="28"/>
      <c r="V248" s="28"/>
      <c r="W248" s="28"/>
      <c r="X248" s="28"/>
      <c r="Y248" s="28"/>
      <c r="Z248" s="28"/>
      <c r="AA248" s="28"/>
      <c r="AB248" s="28"/>
    </row>
    <row r="249">
      <c r="A249" s="21" t="s">
        <v>846</v>
      </c>
      <c r="B249" s="22" t="s">
        <v>847</v>
      </c>
      <c r="C249" s="23" t="str">
        <f>IFERROR(__xludf.DUMMYFUNCTION("GOOGLETRANSLATE(B249, ""en"", ""fr"")"),"Faire défiler")</f>
        <v>Faire défiler</v>
      </c>
      <c r="D249" s="23" t="str">
        <f>IFERROR(__xludf.DUMMYFUNCTION("GOOGLETRANSLATE(B249, ""en"", ""es"")"),"Desplazamiento de guardia")</f>
        <v>Desplazamiento de guardia</v>
      </c>
      <c r="E249" s="23" t="str">
        <f>IFERROR(__xludf.DUMMYFUNCTION("GOOGLETRANSLATE(B249, ""en"", ""ru"")"),"Свиток Защита")</f>
        <v>Свиток Защита</v>
      </c>
      <c r="F249" s="23" t="str">
        <f>IFERROR(__xludf.DUMMYFUNCTION("GOOGLETRANSLATE(B249, ""en"", ""tr"")"),"Uğur alma kaydırma")</f>
        <v>Uğur alma kaydırma</v>
      </c>
      <c r="G249" s="23" t="str">
        <f>IFERROR(__xludf.DUMMYFUNCTION("GOOGLETRANSLATE(B249, ""en"", ""pt"")"),"Rolo de vigilância")</f>
        <v>Rolo de vigilância</v>
      </c>
      <c r="H249" s="24" t="str">
        <f>IFERROR(__xludf.DUMMYFUNCTION("GOOGLETRANSLATE(B249, ""en"", ""de"")"),"Scrollen von Abwehr")</f>
        <v>Scrollen von Abwehr</v>
      </c>
      <c r="I249" s="23" t="str">
        <f>IFERROR(__xludf.DUMMYFUNCTION("GOOGLETRANSLATE(B249, ""en"", ""pl"")"),"Przewiń Strażniczy")</f>
        <v>Przewiń Strażniczy</v>
      </c>
      <c r="J249" s="25" t="str">
        <f>IFERROR(__xludf.DUMMYFUNCTION("GOOGLETRANSLATE(B249, ""en"", ""zh"")"),"滚动")</f>
        <v>滚动</v>
      </c>
      <c r="K249" s="25" t="str">
        <f>IFERROR(__xludf.DUMMYFUNCTION("GOOGLETRANSLATE(B249, ""en"", ""vi"")"),"Cuộn phường")</f>
        <v>Cuộn phường</v>
      </c>
      <c r="L249" s="26" t="str">
        <f>IFERROR(__xludf.DUMMYFUNCTION("GOOGLETRANSLATE(B249, ""en"", ""hr"")"),"Pomicanje od čuvara")</f>
        <v>Pomicanje od čuvara</v>
      </c>
      <c r="M249" s="28"/>
      <c r="N249" s="28"/>
      <c r="O249" s="28"/>
      <c r="P249" s="28"/>
      <c r="Q249" s="28"/>
      <c r="R249" s="28"/>
      <c r="S249" s="28"/>
      <c r="T249" s="28"/>
      <c r="U249" s="28"/>
      <c r="V249" s="28"/>
      <c r="W249" s="28"/>
      <c r="X249" s="28"/>
      <c r="Y249" s="28"/>
      <c r="Z249" s="28"/>
      <c r="AA249" s="28"/>
      <c r="AB249" s="28"/>
    </row>
    <row r="250">
      <c r="A250" s="21" t="s">
        <v>848</v>
      </c>
      <c r="B250" s="22" t="s">
        <v>849</v>
      </c>
      <c r="C250" s="23" t="str">
        <f>IFERROR(__xludf.DUMMYFUNCTION("GOOGLETRANSLATE(B250,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50" s="23" t="str">
        <f>IFERROR(__xludf.DUMMYFUNCTION("GOOGLETRANSLATE(B250, ""en"", ""es"")"),"Encanta todas las criaturas a su alrededor. Esas criaturas no dañan la próxima vez que se dañen.")</f>
        <v>Encanta todas las criaturas a su alrededor. Esas criaturas no dañan la próxima vez que se dañen.</v>
      </c>
      <c r="E250" s="23" t="str">
        <f>IFERROR(__xludf.DUMMYFUNCTION("GOOGLETRANSLATE(B250,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50" s="23" t="str">
        <f>IFERROR(__xludf.DUMMYFUNCTION("GOOGLETRANSLATE(B250, ""en"", ""tr"")"),"Çevrenizdeki tüm canlıları inceler. Bu yaratıklar bir dahaki sefere zarar görmezler.")</f>
        <v>Çevrenizdeki tüm canlıları inceler. Bu yaratıklar bir dahaki sefere zarar görmezler.</v>
      </c>
      <c r="G250" s="23" t="str">
        <f>IFERROR(__xludf.DUMMYFUNCTION("GOOGLETRANSLATE(B250, ""en"", ""pt"")"),"Encanta todas as criaturas ao redor de si mesmo. Essas criaturas não tomam nenhum dano na próxima vez que ficariam danificados.")</f>
        <v>Encanta todas as criaturas ao redor de si mesmo. Essas criaturas não tomam nenhum dano na próxima vez que ficariam danificados.</v>
      </c>
      <c r="H250" s="24" t="str">
        <f>IFERROR(__xludf.DUMMYFUNCTION("GOOGLETRANSLATE(B250,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50" s="23" t="str">
        <f>IFERROR(__xludf.DUMMYFUNCTION("GOOGLETRANSLATE(B250, ""en"", ""pl"")"),"Uważamy wszystkie stworzenia wokół siebie. Te stworzenia nie biorą szkód następnym razem, gdy zostaną uszkodzone.")</f>
        <v>Uważamy wszystkie stworzenia wokół siebie. Te stworzenia nie biorą szkód następnym razem, gdy zostaną uszkodzone.</v>
      </c>
      <c r="J250" s="25" t="str">
        <f>IFERROR(__xludf.DUMMYFUNCTION("GOOGLETRANSLATE(B250, ""en"", ""zh"")"),"迷惑自己周围的所有生物。这些生物下次损坏时不会损坏。")</f>
        <v>迷惑自己周围的所有生物。这些生物下次损坏时不会损坏。</v>
      </c>
      <c r="K250" s="25" t="str">
        <f>IFERROR(__xludf.DUMMYFUNCTION("GOOGLETRANSLATE(B250,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50" s="26" t="str">
        <f>IFERROR(__xludf.DUMMYFUNCTION("GOOGLETRANSLATE(B250, ""en"", ""hr"")"),"Očarava sva stvorenja oko sebe. Ta stvorenja ne štete sljedeći put kad bi bili oštećeni.")</f>
        <v>Očarava sva stvorenja oko sebe. Ta stvorenja ne štete sljedeći put kad bi bili oštećeni.</v>
      </c>
      <c r="M250" s="28"/>
      <c r="N250" s="28"/>
      <c r="O250" s="28"/>
      <c r="P250" s="28"/>
      <c r="Q250" s="28"/>
      <c r="R250" s="28"/>
      <c r="S250" s="28"/>
      <c r="T250" s="28"/>
      <c r="U250" s="28"/>
      <c r="V250" s="28"/>
      <c r="W250" s="28"/>
      <c r="X250" s="28"/>
      <c r="Y250" s="28"/>
      <c r="Z250" s="28"/>
      <c r="AA250" s="28"/>
      <c r="AB250" s="28"/>
    </row>
    <row r="251">
      <c r="A251" s="21" t="s">
        <v>850</v>
      </c>
      <c r="B251" s="22" t="s">
        <v>851</v>
      </c>
      <c r="C251" s="23" t="str">
        <f>IFERROR(__xludf.DUMMYFUNCTION("GOOGLETRANSLATE(B251, ""en"", ""fr"")"),"Faire défiler le nettoyage")</f>
        <v>Faire défiler le nettoyage</v>
      </c>
      <c r="D251" s="23" t="str">
        <f>IFERROR(__xludf.DUMMYFUNCTION("GOOGLETRANSLATE(B251, ""en"", ""es"")"),"Desplazamiento de la limpieza")</f>
        <v>Desplazamiento de la limpieza</v>
      </c>
      <c r="E251" s="23" t="str">
        <f>IFERROR(__xludf.DUMMYFUNCTION("GOOGLETRANSLATE(B251, ""en"", ""ru"")"),"Свиток очищения")</f>
        <v>Свиток очищения</v>
      </c>
      <c r="F251" s="23" t="str">
        <f>IFERROR(__xludf.DUMMYFUNCTION("GOOGLETRANSLATE(B251, ""en"", ""tr"")"),"Temizleme kaydırma")</f>
        <v>Temizleme kaydırma</v>
      </c>
      <c r="G251" s="23" t="str">
        <f>IFERROR(__xludf.DUMMYFUNCTION("GOOGLETRANSLATE(B251, ""en"", ""pt"")"),"Rolo de limpeza")</f>
        <v>Rolo de limpeza</v>
      </c>
      <c r="H251" s="24" t="str">
        <f>IFERROR(__xludf.DUMMYFUNCTION("GOOGLETRANSLATE(B251, ""en"", ""de"")"),"Rollen der Reinigung")</f>
        <v>Rollen der Reinigung</v>
      </c>
      <c r="I251" s="23" t="str">
        <f>IFERROR(__xludf.DUMMYFUNCTION("GOOGLETRANSLATE(B251, ""en"", ""pl"")"),"Przewiń oczyszczanie")</f>
        <v>Przewiń oczyszczanie</v>
      </c>
      <c r="J251" s="25" t="str">
        <f>IFERROR(__xludf.DUMMYFUNCTION("GOOGLETRANSLATE(B251, ""en"", ""zh"")"),"卷轴清洁")</f>
        <v>卷轴清洁</v>
      </c>
      <c r="K251" s="25" t="str">
        <f>IFERROR(__xludf.DUMMYFUNCTION("GOOGLETRANSLATE(B251, ""en"", ""vi"")"),"Cuộn làm sạch")</f>
        <v>Cuộn làm sạch</v>
      </c>
      <c r="L251" s="26" t="str">
        <f>IFERROR(__xludf.DUMMYFUNCTION("GOOGLETRANSLATE(B251, ""en"", ""hr"")"),"Pomicanje čišćenja")</f>
        <v>Pomicanje čišćenja</v>
      </c>
      <c r="M251" s="28"/>
      <c r="N251" s="28"/>
      <c r="O251" s="28"/>
      <c r="P251" s="28"/>
      <c r="Q251" s="28"/>
      <c r="R251" s="28"/>
      <c r="S251" s="28"/>
      <c r="T251" s="28"/>
      <c r="U251" s="28"/>
      <c r="V251" s="28"/>
      <c r="W251" s="28"/>
      <c r="X251" s="28"/>
      <c r="Y251" s="28"/>
      <c r="Z251" s="28"/>
      <c r="AA251" s="28"/>
      <c r="AB251" s="28"/>
    </row>
    <row r="252">
      <c r="A252" s="21" t="s">
        <v>852</v>
      </c>
      <c r="B252" s="22" t="s">
        <v>853</v>
      </c>
      <c r="C252" s="23" t="str">
        <f>IFERROR(__xludf.DUMMYFUNCTION("GOOGLETRANSLATE(B252, ""en"", ""fr"")"),"Supprime les malédictions sur toutes les créatures autour de vous. Guérit pour chaque malédiction supprimée.")</f>
        <v>Supprime les malédictions sur toutes les créatures autour de vous. Guérit pour chaque malédiction supprimée.</v>
      </c>
      <c r="D252" s="23" t="str">
        <f>IFERROR(__xludf.DUMMYFUNCTION("GOOGLETRANSLATE(B252, ""en"", ""es"")"),"Elimina maldiciones en todas las criaturas a su alrededor. Cura por cada maldición eliminada.")</f>
        <v>Elimina maldiciones en todas las criaturas a su alrededor. Cura por cada maldición eliminada.</v>
      </c>
      <c r="E252" s="23" t="str">
        <f>IFERROR(__xludf.DUMMYFUNCTION("GOOGLETRANSLATE(B252,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52" s="23" t="str">
        <f>IFERROR(__xludf.DUMMYFUNCTION("GOOGLETRANSLATE(B252, ""en"", ""tr"")"),"Etrafınızdaki tüm canlılardaki lanetleri kaldırır. Kaldırılan her lanet için iyileşir.")</f>
        <v>Etrafınızdaki tüm canlılardaki lanetleri kaldırır. Kaldırılan her lanet için iyileşir.</v>
      </c>
      <c r="G252" s="23" t="str">
        <f>IFERROR(__xludf.DUMMYFUNCTION("GOOGLETRANSLATE(B252, ""en"", ""pt"")"),"Remove as maldições em todas as criaturas ao seu redor. Cura para cada maldição removida.")</f>
        <v>Remove as maldições em todas as criaturas ao seu redor. Cura para cada maldição removida.</v>
      </c>
      <c r="H252" s="24" t="str">
        <f>IFERROR(__xludf.DUMMYFUNCTION("GOOGLETRANSLATE(B252, ""en"", ""de"")"),"Entfernt Flüche auf allen Kreaturen um sich selbst. Heilt für jeden Fluch entfernt.")</f>
        <v>Entfernt Flüche auf allen Kreaturen um sich selbst. Heilt für jeden Fluch entfernt.</v>
      </c>
      <c r="I252" s="23" t="str">
        <f>IFERROR(__xludf.DUMMYFUNCTION("GOOGLETRANSLATE(B252, ""en"", ""pl"")"),"Usuwa przekleństwa na wszystkie stworzenia wokół siebie. Uzdrawiają się na każdą klątwę.")</f>
        <v>Usuwa przekleństwa na wszystkie stworzenia wokół siebie. Uzdrawiają się na każdą klątwę.</v>
      </c>
      <c r="J252" s="25" t="str">
        <f>IFERROR(__xludf.DUMMYFUNCTION("GOOGLETRANSLATE(B252, ""en"", ""zh"")"),"在自己周围的所有生物上删除诅咒。删除每个诅咒的治愈。")</f>
        <v>在自己周围的所有生物上删除诅咒。删除每个诅咒的治愈。</v>
      </c>
      <c r="K252" s="25" t="str">
        <f>IFERROR(__xludf.DUMMYFUNCTION("GOOGLETRANSLATE(B252,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52" s="26" t="str">
        <f>IFERROR(__xludf.DUMMYFUNCTION("GOOGLETRANSLATE(B252, ""en"", ""hr"")"),"Uklanja prokletstva na svim stvorenjima oko sebe. Liječi za svaki prokletstvo.")</f>
        <v>Uklanja prokletstva na svim stvorenjima oko sebe. Liječi za svaki prokletstvo.</v>
      </c>
      <c r="M252" s="28"/>
      <c r="N252" s="28"/>
      <c r="O252" s="28"/>
      <c r="P252" s="28"/>
      <c r="Q252" s="28"/>
      <c r="R252" s="28"/>
      <c r="S252" s="28"/>
      <c r="T252" s="28"/>
      <c r="U252" s="28"/>
      <c r="V252" s="28"/>
      <c r="W252" s="28"/>
      <c r="X252" s="28"/>
      <c r="Y252" s="28"/>
      <c r="Z252" s="28"/>
      <c r="AA252" s="28"/>
      <c r="AB252" s="28"/>
    </row>
    <row r="253">
      <c r="A253" s="21" t="s">
        <v>854</v>
      </c>
      <c r="B253" s="22" t="s">
        <v>855</v>
      </c>
      <c r="C253" s="23" t="str">
        <f>IFERROR(__xludf.DUMMYFUNCTION("GOOGLETRANSLATE(B253, ""en"", ""fr"")"),"Faire défiler de pacifier")</f>
        <v>Faire défiler de pacifier</v>
      </c>
      <c r="D253" s="23" t="str">
        <f>IFERROR(__xludf.DUMMYFUNCTION("GOOGLETRANSLATE(B253, ""en"", ""es"")"),"Desplazamiento de pacificar")</f>
        <v>Desplazamiento de pacificar</v>
      </c>
      <c r="E253" s="23" t="str">
        <f>IFERROR(__xludf.DUMMYFUNCTION("GOOGLETRANSLATE(B253, ""en"", ""ru"")"),"Прокрутка умиротворения")</f>
        <v>Прокрутка умиротворения</v>
      </c>
      <c r="F253" s="23" t="str">
        <f>IFERROR(__xludf.DUMMYFUNCTION("GOOGLETRANSLATE(B253, ""en"", ""tr"")"),"Pasifikasyonun kaydırılması")</f>
        <v>Pasifikasyonun kaydırılması</v>
      </c>
      <c r="G253" s="23" t="str">
        <f>IFERROR(__xludf.DUMMYFUNCTION("GOOGLETRANSLATE(B253, ""en"", ""pt"")"),"Rolar de pacificar")</f>
        <v>Rolar de pacificar</v>
      </c>
      <c r="H253" s="24" t="str">
        <f>IFERROR(__xludf.DUMMYFUNCTION("GOOGLETRANSLATE(B253, ""en"", ""de"")"),"Scrollen von Pecify.")</f>
        <v>Scrollen von Pecify.</v>
      </c>
      <c r="I253" s="23" t="str">
        <f>IFERROR(__xludf.DUMMYFUNCTION("GOOGLETRANSLATE(B253, ""en"", ""pl"")"),"Przewiń pacyfikacji.")</f>
        <v>Przewiń pacyfikacji.</v>
      </c>
      <c r="J253" s="25" t="str">
        <f>IFERROR(__xludf.DUMMYFUNCTION("GOOGLETRANSLATE(B253, ""en"", ""zh"")"),"安抚抚平卷轴")</f>
        <v>安抚抚平卷轴</v>
      </c>
      <c r="K253" s="25" t="str">
        <f>IFERROR(__xludf.DUMMYFUNCTION("GOOGLETRANSLATE(B253, ""en"", ""vi"")"),"Cuộn bình định")</f>
        <v>Cuộn bình định</v>
      </c>
      <c r="L253" s="26" t="str">
        <f>IFERROR(__xludf.DUMMYFUNCTION("GOOGLETRANSLATE(B253, ""en"", ""hr"")"),"Pomicanje da smiri smiriti smiriti")</f>
        <v>Pomicanje da smiri smiriti smiriti</v>
      </c>
      <c r="M253" s="28"/>
      <c r="N253" s="28"/>
      <c r="O253" s="28"/>
      <c r="P253" s="28"/>
      <c r="Q253" s="28"/>
      <c r="R253" s="28"/>
      <c r="S253" s="28"/>
      <c r="T253" s="28"/>
      <c r="U253" s="28"/>
      <c r="V253" s="28"/>
      <c r="W253" s="28"/>
      <c r="X253" s="28"/>
      <c r="Y253" s="28"/>
      <c r="Z253" s="28"/>
      <c r="AA253" s="28"/>
      <c r="AB253" s="28"/>
    </row>
    <row r="254">
      <c r="A254" s="21" t="s">
        <v>856</v>
      </c>
      <c r="B254" s="22" t="s">
        <v>857</v>
      </c>
      <c r="C254" s="23" t="str">
        <f>IFERROR(__xludf.DUMMYFUNCTION("GOOGLETRANSLATE(B254, ""en"", ""fr"")"),"Malédiction de la cible. Pour une courte durée, la cible ne peut pas attaquer.")</f>
        <v>Malédiction de la cible. Pour une courte durée, la cible ne peut pas attaquer.</v>
      </c>
      <c r="D254" s="23" t="str">
        <f>IFERROR(__xludf.DUMMYFUNCTION("GOOGLETRANSLATE(B254, ""en"", ""es"")"),"Maldice el objetivo. Durante una breve duración, el objetivo no puede atacar.")</f>
        <v>Maldice el objetivo. Durante una breve duración, el objetivo no puede atacar.</v>
      </c>
      <c r="E254" s="23" t="str">
        <f>IFERROR(__xludf.DUMMYFUNCTION("GOOGLETRANSLATE(B254, ""en"", ""ru"")"),"Проклинает цель. На некоторое время цель не может атаковать.")</f>
        <v>Проклинает цель. На некоторое время цель не может атаковать.</v>
      </c>
      <c r="F254" s="23" t="str">
        <f>IFERROR(__xludf.DUMMYFUNCTION("GOOGLETRANSLATE(B254, ""en"", ""tr"")"),"Hedefi lanetler. Kısa bir süre için, hedef saldıramaz.")</f>
        <v>Hedefi lanetler. Kısa bir süre için, hedef saldıramaz.</v>
      </c>
      <c r="G254" s="23" t="str">
        <f>IFERROR(__xludf.DUMMYFUNCTION("GOOGLETRANSLATE(B254, ""en"", ""pt"")"),"Amaldiçoa o alvo. Por uma curta duração, o alvo não pode atacar.")</f>
        <v>Amaldiçoa o alvo. Por uma curta duração, o alvo não pode atacar.</v>
      </c>
      <c r="H254" s="24" t="str">
        <f>IFERROR(__xludf.DUMMYFUNCTION("GOOGLETRANSLATE(B254, ""en"", ""de"")"),"Flattert das Ziel. Für eine kurze Dauer kann das Ziel nicht angreifen.")</f>
        <v>Flattert das Ziel. Für eine kurze Dauer kann das Ziel nicht angreifen.</v>
      </c>
      <c r="I254" s="23" t="str">
        <f>IFERROR(__xludf.DUMMYFUNCTION("GOOGLETRANSLATE(B254, ""en"", ""pl"")"),"Przeklinać cel. Przez krótki czas cel nie może atakować.")</f>
        <v>Przeklinać cel. Przez krótki czas cel nie może atakować.</v>
      </c>
      <c r="J254" s="25" t="str">
        <f>IFERROR(__xludf.DUMMYFUNCTION("GOOGLETRANSLATE(B254, ""en"", ""zh"")"),"诅咒目标。在短时间内，目标无法攻击。")</f>
        <v>诅咒目标。在短时间内，目标无法攻击。</v>
      </c>
      <c r="K254" s="25" t="str">
        <f>IFERROR(__xludf.DUMMYFUNCTION("GOOGLETRANSLATE(B254, ""en"", ""vi"")"),"Nguyền rủa mục tiêu. Trong một thời gian ngắn, mục tiêu không thể tấn công.")</f>
        <v>Nguyền rủa mục tiêu. Trong một thời gian ngắn, mục tiêu không thể tấn công.</v>
      </c>
      <c r="L254" s="26" t="str">
        <f>IFERROR(__xludf.DUMMYFUNCTION("GOOGLETRANSLATE(B254, ""en"", ""hr"")"),"Prokleti cilj. Za kratko trajanje, cilj ne može napasti.")</f>
        <v>Prokleti cilj. Za kratko trajanje, cilj ne može napasti.</v>
      </c>
      <c r="M254" s="28"/>
      <c r="N254" s="28"/>
      <c r="O254" s="28"/>
      <c r="P254" s="28"/>
      <c r="Q254" s="28"/>
      <c r="R254" s="28"/>
      <c r="S254" s="28"/>
      <c r="T254" s="28"/>
      <c r="U254" s="28"/>
      <c r="V254" s="28"/>
      <c r="W254" s="28"/>
      <c r="X254" s="28"/>
      <c r="Y254" s="28"/>
      <c r="Z254" s="28"/>
      <c r="AA254" s="28"/>
      <c r="AB254" s="28"/>
    </row>
    <row r="255">
      <c r="A255" s="21" t="s">
        <v>858</v>
      </c>
      <c r="B255" s="22" t="s">
        <v>859</v>
      </c>
      <c r="C255" s="23" t="str">
        <f>IFERROR(__xludf.DUMMYFUNCTION("GOOGLETRANSLATE(B255, ""en"", ""fr"")"),"Faire défiler du vent arrière")</f>
        <v>Faire défiler du vent arrière</v>
      </c>
      <c r="D255" s="23" t="str">
        <f>IFERROR(__xludf.DUMMYFUNCTION("GOOGLETRANSLATE(B255, ""en"", ""es"")"),"Desplazarse de Tailwind")</f>
        <v>Desplazarse de Tailwind</v>
      </c>
      <c r="E255" s="23" t="str">
        <f>IFERROR(__xludf.DUMMYFUNCTION("GOOGLETRANSLATE(B255, ""en"", ""ru"")"),"Свиток хвостовой ветки")</f>
        <v>Свиток хвостовой ветки</v>
      </c>
      <c r="F255" s="23" t="str">
        <f>IFERROR(__xludf.DUMMYFUNCTION("GOOGLETRANSLATE(B255, ""en"", ""tr"")"),"Tailwind kaydırma")</f>
        <v>Tailwind kaydırma</v>
      </c>
      <c r="G255" s="23" t="str">
        <f>IFERROR(__xludf.DUMMYFUNCTION("GOOGLETRANSLATE(B255, ""en"", ""pt"")"),"Rolo de vento de cauda")</f>
        <v>Rolo de vento de cauda</v>
      </c>
      <c r="H255" s="24" t="str">
        <f>IFERROR(__xludf.DUMMYFUNCTION("GOOGLETRANSLATE(B255, ""en"", ""de"")"),"Blättern von RADWIND.")</f>
        <v>Blättern von RADWIND.</v>
      </c>
      <c r="I255" s="23" t="str">
        <f>IFERROR(__xludf.DUMMYFUNCTION("GOOGLETRANSLATE(B255, ""en"", ""pl"")"),"Przewiń Tailwind.")</f>
        <v>Przewiń Tailwind.</v>
      </c>
      <c r="J255" s="25" t="str">
        <f>IFERROR(__xludf.DUMMYFUNCTION("GOOGLETRANSLATE(B255, ""en"", ""zh"")"),"邮轮卷轴")</f>
        <v>邮轮卷轴</v>
      </c>
      <c r="K255" s="25" t="str">
        <f>IFERROR(__xludf.DUMMYFUNCTION("GOOGLETRANSLATE(B255, ""en"", ""vi"")"),"Cuộn Tailwind.")</f>
        <v>Cuộn Tailwind.</v>
      </c>
      <c r="L255" s="26" t="str">
        <f>IFERROR(__xludf.DUMMYFUNCTION("GOOGLETRANSLATE(B255, ""en"", ""hr"")"),"Svitak repa")</f>
        <v>Svitak repa</v>
      </c>
      <c r="M255" s="28"/>
      <c r="N255" s="28"/>
      <c r="O255" s="28"/>
      <c r="P255" s="28"/>
      <c r="Q255" s="28"/>
      <c r="R255" s="28"/>
      <c r="S255" s="28"/>
      <c r="T255" s="28"/>
      <c r="U255" s="28"/>
      <c r="V255" s="28"/>
      <c r="W255" s="28"/>
      <c r="X255" s="28"/>
      <c r="Y255" s="28"/>
      <c r="Z255" s="28"/>
      <c r="AA255" s="28"/>
      <c r="AB255" s="28"/>
    </row>
    <row r="256">
      <c r="A256" s="21" t="s">
        <v>860</v>
      </c>
      <c r="B256" s="22" t="s">
        <v>861</v>
      </c>
      <c r="C256" s="23" t="str">
        <f>IFERROR(__xludf.DUMMYFUNCTION("GOOGLETRANSLATE(B256, ""en"", ""fr"")"),"Crée du vent qui vous explose en avant.")</f>
        <v>Crée du vent qui vous explose en avant.</v>
      </c>
      <c r="D256" s="23" t="str">
        <f>IFERROR(__xludf.DUMMYFUNCTION("GOOGLETRANSLATE(B256, ""en"", ""es"")"),"Crea viento que te sopla hacia adelante.")</f>
        <v>Crea viento que te sopla hacia adelante.</v>
      </c>
      <c r="E256" s="23" t="str">
        <f>IFERROR(__xludf.DUMMYFUNCTION("GOOGLETRANSLATE(B256, ""en"", ""ru"")"),"Создает ветер, который поражает вас вперед.")</f>
        <v>Создает ветер, который поражает вас вперед.</v>
      </c>
      <c r="F256" s="23" t="str">
        <f>IFERROR(__xludf.DUMMYFUNCTION("GOOGLETRANSLATE(B256, ""en"", ""tr"")"),"Sizi ilerleten rüzgar yaratır.")</f>
        <v>Sizi ilerleten rüzgar yaratır.</v>
      </c>
      <c r="G256" s="23" t="str">
        <f>IFERROR(__xludf.DUMMYFUNCTION("GOOGLETRANSLATE(B256, ""en"", ""pt"")"),"Cria vento que te lança para frente.")</f>
        <v>Cria vento que te lança para frente.</v>
      </c>
      <c r="H256" s="24" t="str">
        <f>IFERROR(__xludf.DUMMYFUNCTION("GOOGLETRANSLATE(B256, ""en"", ""de"")"),"Erzeugt Wind, der Sie nach vorne bläst.")</f>
        <v>Erzeugt Wind, der Sie nach vorne bläst.</v>
      </c>
      <c r="I256" s="23" t="str">
        <f>IFERROR(__xludf.DUMMYFUNCTION("GOOGLETRANSLATE(B256, ""en"", ""pl"")"),"Tworzy wiatr, który ciosuje cię do przodu.")</f>
        <v>Tworzy wiatr, który ciosuje cię do przodu.</v>
      </c>
      <c r="J256" s="25" t="str">
        <f>IFERROR(__xludf.DUMMYFUNCTION("GOOGLETRANSLATE(B256, ""en"", ""zh"")"),"创造吹向你的风。")</f>
        <v>创造吹向你的风。</v>
      </c>
      <c r="K256" s="25" t="str">
        <f>IFERROR(__xludf.DUMMYFUNCTION("GOOGLETRANSLATE(B256, ""en"", ""vi"")"),"Tạo ra gió thổi bạn về phía trước.")</f>
        <v>Tạo ra gió thổi bạn về phía trước.</v>
      </c>
      <c r="L256" s="26" t="str">
        <f>IFERROR(__xludf.DUMMYFUNCTION("GOOGLETRANSLATE(B256, ""en"", ""hr"")"),"Stvara vjetar koji vas puše naprijed.")</f>
        <v>Stvara vjetar koji vas puše naprijed.</v>
      </c>
      <c r="M256" s="28"/>
      <c r="N256" s="28"/>
      <c r="O256" s="28"/>
      <c r="P256" s="28"/>
      <c r="Q256" s="28"/>
      <c r="R256" s="28"/>
      <c r="S256" s="28"/>
      <c r="T256" s="28"/>
      <c r="U256" s="28"/>
      <c r="V256" s="28"/>
      <c r="W256" s="28"/>
      <c r="X256" s="28"/>
      <c r="Y256" s="28"/>
      <c r="Z256" s="28"/>
      <c r="AA256" s="28"/>
      <c r="AB256" s="28"/>
    </row>
    <row r="257">
      <c r="A257" s="21" t="s">
        <v>862</v>
      </c>
      <c r="B257" s="22" t="s">
        <v>863</v>
      </c>
      <c r="C257" s="23" t="str">
        <f>IFERROR(__xludf.DUMMYFUNCTION("GOOGLETRANSLATE(B257, ""en"", ""fr"")"),"Faire défiler de la réanimation")</f>
        <v>Faire défiler de la réanimation</v>
      </c>
      <c r="D257" s="23" t="str">
        <f>IFERROR(__xludf.DUMMYFUNCTION("GOOGLETRANSLATE(B257, ""en"", ""es"")"),"Desplazamiento de reanimación")</f>
        <v>Desplazamiento de reanimación</v>
      </c>
      <c r="E257" s="23" t="str">
        <f>IFERROR(__xludf.DUMMYFUNCTION("GOOGLETRANSLATE(B257, ""en"", ""ru"")"),"Свиток реанимации")</f>
        <v>Свиток реанимации</v>
      </c>
      <c r="F257" s="23" t="str">
        <f>IFERROR(__xludf.DUMMYFUNCTION("GOOGLETRANSLATE(B257, ""en"", ""tr"")"),"Reanimasyonun kaydırılması")</f>
        <v>Reanimasyonun kaydırılması</v>
      </c>
      <c r="G257" s="23" t="str">
        <f>IFERROR(__xludf.DUMMYFUNCTION("GOOGLETRANSLATE(B257, ""en"", ""pt"")"),"Rolo de reanimação")</f>
        <v>Rolo de reanimação</v>
      </c>
      <c r="H257" s="24" t="str">
        <f>IFERROR(__xludf.DUMMYFUNCTION("GOOGLETRANSLATE(B257, ""en"", ""de"")"),"Rüde von REANIMATION.")</f>
        <v>Rüde von REANIMATION.</v>
      </c>
      <c r="I257" s="23" t="str">
        <f>IFERROR(__xludf.DUMMYFUNCTION("GOOGLETRANSLATE(B257, ""en"", ""pl"")"),"Przewiń reanimacji")</f>
        <v>Przewiń reanimacji</v>
      </c>
      <c r="J257" s="25" t="str">
        <f>IFERROR(__xludf.DUMMYFUNCTION("GOOGLETRANSLATE(B257, ""en"", ""zh"")"),"卷合恢复")</f>
        <v>卷合恢复</v>
      </c>
      <c r="K257" s="25" t="str">
        <f>IFERROR(__xludf.DUMMYFUNCTION("GOOGLETRANSLATE(B257, ""en"", ""vi"")"),"Cuộn Reanimation")</f>
        <v>Cuộn Reanimation</v>
      </c>
      <c r="L257" s="26" t="str">
        <f>IFERROR(__xludf.DUMMYFUNCTION("GOOGLETRANSLATE(B257, ""en"", ""hr"")"),"Pomicanje od reanimacije")</f>
        <v>Pomicanje od reanimacije</v>
      </c>
      <c r="M257" s="28"/>
      <c r="N257" s="28"/>
      <c r="O257" s="28"/>
      <c r="P257" s="28"/>
      <c r="Q257" s="28"/>
      <c r="R257" s="28"/>
      <c r="S257" s="28"/>
      <c r="T257" s="28"/>
      <c r="U257" s="28"/>
      <c r="V257" s="28"/>
      <c r="W257" s="28"/>
      <c r="X257" s="28"/>
      <c r="Y257" s="28"/>
      <c r="Z257" s="28"/>
      <c r="AA257" s="28"/>
      <c r="AB257" s="28"/>
    </row>
    <row r="258">
      <c r="A258" s="21" t="s">
        <v>864</v>
      </c>
      <c r="B258" s="22" t="s">
        <v>865</v>
      </c>
      <c r="C258" s="23" t="str">
        <f>IFERROR(__xludf.DUMMYFUNCTION("GOOGLETRANSLATE(B258, ""en"", ""fr"")"),"Lève tous les cadavres autour de soi comme des minions du type de créature qu'ils étaient avant leur mort qui vous servira.")</f>
        <v>Lève tous les cadavres autour de soi comme des minions du type de créature qu'ils étaient avant leur mort qui vous servira.</v>
      </c>
      <c r="D258" s="23" t="str">
        <f>IFERROR(__xludf.DUMMYFUNCTION("GOOGLETRANSLATE(B258, ""en"", ""es"")"),"Levanta todos los cadáveres a su alrededor como Minions del tipo de criatura que estaban antes de morir, eso le servirá.")</f>
        <v>Levanta todos los cadáveres a su alrededor como Minions del tipo de criatura que estaban antes de morir, eso le servirá.</v>
      </c>
      <c r="E258" s="23" t="str">
        <f>IFERROR(__xludf.DUMMYFUNCTION("GOOGLETRANSLATE(B258,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8" s="23" t="str">
        <f>IFERROR(__xludf.DUMMYFUNCTION("GOOGLETRANSLATE(B258,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8" s="23" t="str">
        <f>IFERROR(__xludf.DUMMYFUNCTION("GOOGLETRANSLATE(B258,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8" s="24" t="str">
        <f>IFERROR(__xludf.DUMMYFUNCTION("GOOGLETRANSLATE(B258, ""en"", ""de"")"),"Erhöht alle Leichen um sich selbst als Zerwälte der Art der Kreatur, die sie waren, bevor sie starben, werden Sie dienen.")</f>
        <v>Erhöht alle Leichen um sich selbst als Zerwälte der Art der Kreatur, die sie waren, bevor sie starben, werden Sie dienen.</v>
      </c>
      <c r="I258" s="23" t="str">
        <f>IFERROR(__xludf.DUMMYFUNCTION("GOOGLETRANSLATE(B258, ""en"", ""pl"")"),"Podnosi wszystkie zwłoki wokół siebie jako minionych rodzaju stworzenia, które były, zanim umarli, które ci posługują.")</f>
        <v>Podnosi wszystkie zwłoki wokół siebie jako minionych rodzaju stworzenia, które były, zanim umarli, które ci posługują.</v>
      </c>
      <c r="J258" s="25" t="str">
        <f>IFERROR(__xludf.DUMMYFUNCTION("GOOGLETRANSLATE(B258, ""en"", ""zh"")"),"作为他们在他们死亡之前的生物类型的奴才来提升周围的所有尸体，这将为您服务。")</f>
        <v>作为他们在他们死亡之前的生物类型的奴才来提升周围的所有尸体，这将为您服务。</v>
      </c>
      <c r="K258" s="25" t="str">
        <f>IFERROR(__xludf.DUMMYFUNCTION("GOOGLETRANSLATE(B258,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8" s="26" t="str">
        <f>IFERROR(__xludf.DUMMYFUNCTION("GOOGLETRANSLATE(B258, ""en"", ""hr"")"),"Podiže sve leševe oko sebe kao minions vrste stvorenja koje su bile prije nego što su umrli da će vam poslužiti.")</f>
        <v>Podiže sve leševe oko sebe kao minions vrste stvorenja koje su bile prije nego što su umrli da će vam poslužiti.</v>
      </c>
      <c r="M258" s="28"/>
      <c r="N258" s="28"/>
      <c r="O258" s="28"/>
      <c r="P258" s="28"/>
      <c r="Q258" s="28"/>
      <c r="R258" s="28"/>
      <c r="S258" s="28"/>
      <c r="T258" s="28"/>
      <c r="U258" s="28"/>
      <c r="V258" s="28"/>
      <c r="W258" s="28"/>
      <c r="X258" s="28"/>
      <c r="Y258" s="28"/>
      <c r="Z258" s="28"/>
      <c r="AA258" s="28"/>
      <c r="AB258" s="28"/>
    </row>
    <row r="259">
      <c r="A259" s="21" t="s">
        <v>866</v>
      </c>
      <c r="B259" s="22" t="s">
        <v>867</v>
      </c>
      <c r="C259" s="23" t="str">
        <f>IFERROR(__xludf.DUMMYFUNCTION("GOOGLETRANSLATE(B259, ""en"", ""fr"")"),"Faire défiler de consommer")</f>
        <v>Faire défiler de consommer</v>
      </c>
      <c r="D259" s="23" t="str">
        <f>IFERROR(__xludf.DUMMYFUNCTION("GOOGLETRANSLATE(B259, ""en"", ""es"")"),"Desplazamiento de consumo")</f>
        <v>Desplazamiento de consumo</v>
      </c>
      <c r="E259" s="23" t="str">
        <f>IFERROR(__xludf.DUMMYFUNCTION("GOOGLETRANSLATE(B259, ""en"", ""ru"")"),"Свиток потребления")</f>
        <v>Свиток потребления</v>
      </c>
      <c r="F259" s="23" t="str">
        <f>IFERROR(__xludf.DUMMYFUNCTION("GOOGLETRANSLATE(B259, ""en"", ""tr"")"),"Tüketmek kaydırma")</f>
        <v>Tüketmek kaydırma</v>
      </c>
      <c r="G259" s="23" t="str">
        <f>IFERROR(__xludf.DUMMYFUNCTION("GOOGLETRANSLATE(B259, ""en"", ""pt"")"),"Rolar de consumo")</f>
        <v>Rolar de consumo</v>
      </c>
      <c r="H259" s="24" t="str">
        <f>IFERROR(__xludf.DUMMYFUNCTION("GOOGLETRANSLATE(B259, ""en"", ""de"")"),"Scrollen von Konsume.")</f>
        <v>Scrollen von Konsume.</v>
      </c>
      <c r="I259" s="23" t="str">
        <f>IFERROR(__xludf.DUMMYFUNCTION("GOOGLETRANSLATE(B259, ""en"", ""pl"")"),"Zwój konsumacji")</f>
        <v>Zwój konsumacji</v>
      </c>
      <c r="J259" s="25" t="str">
        <f>IFERROR(__xludf.DUMMYFUNCTION("GOOGLETRANSLATE(B259, ""en"", ""zh"")"),"滚动消费")</f>
        <v>滚动消费</v>
      </c>
      <c r="K259" s="25" t="str">
        <f>IFERROR(__xludf.DUMMYFUNCTION("GOOGLETRANSLATE(B259, ""en"", ""vi"")"),"Cuộn tiêu thụ")</f>
        <v>Cuộn tiêu thụ</v>
      </c>
      <c r="L259" s="26" t="str">
        <f>IFERROR(__xludf.DUMMYFUNCTION("GOOGLETRANSLATE(B259, ""en"", ""hr"")"),"Pomicanje po konzumiranju")</f>
        <v>Pomicanje po konzumiranju</v>
      </c>
      <c r="M259" s="28"/>
      <c r="N259" s="28"/>
      <c r="O259" s="28"/>
      <c r="P259" s="28"/>
      <c r="Q259" s="28"/>
      <c r="R259" s="28"/>
      <c r="S259" s="28"/>
      <c r="T259" s="28"/>
      <c r="U259" s="28"/>
      <c r="V259" s="28"/>
      <c r="W259" s="28"/>
      <c r="X259" s="28"/>
      <c r="Y259" s="28"/>
      <c r="Z259" s="28"/>
      <c r="AA259" s="28"/>
      <c r="AB259" s="28"/>
    </row>
    <row r="260">
      <c r="A260" s="21" t="s">
        <v>868</v>
      </c>
      <c r="B260" s="22" t="s">
        <v>869</v>
      </c>
      <c r="C260" s="23" t="str">
        <f>IFERROR(__xludf.DUMMYFUNCTION("GOOGLETRANSLATE(B260, ""en"", ""fr"")"),"Détruisez une minion que vous contrôlez dans la direction de la cible pour vous guérir.")</f>
        <v>Détruisez une minion que vous contrôlez dans la direction de la cible pour vous guérir.</v>
      </c>
      <c r="D260" s="23" t="str">
        <f>IFERROR(__xludf.DUMMYFUNCTION("GOOGLETRANSLATE(B260, ""en"", ""es"")"),"Destruye un minio que controlas en la dirección del objetivo para curarse a ti mismo.")</f>
        <v>Destruye un minio que controlas en la dirección del objetivo para curarse a ti mismo.</v>
      </c>
      <c r="E260" s="23" t="str">
        <f>IFERROR(__xludf.DUMMYFUNCTION("GOOGLETRANSLATE(B260,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60" s="23" t="str">
        <f>IFERROR(__xludf.DUMMYFUNCTION("GOOGLETRANSLATE(B260, ""en"", ""tr"")"),"Kendinizi iyileştirmek için hedef yönünde kontrol ettiğiniz bir minyonu yok edin.")</f>
        <v>Kendinizi iyileştirmek için hedef yönünde kontrol ettiğiniz bir minyonu yok edin.</v>
      </c>
      <c r="G260" s="23" t="str">
        <f>IFERROR(__xludf.DUMMYFUNCTION("GOOGLETRANSLATE(B260, ""en"", ""pt"")"),"Destrua um minion que você controle na direção do alvo para se curar.")</f>
        <v>Destrua um minion que você controle na direção do alvo para se curar.</v>
      </c>
      <c r="H260" s="24" t="str">
        <f>IFERROR(__xludf.DUMMYFUNCTION("GOOGLETRANSLATE(B260, ""en"", ""de"")"),"Zerstöre einen Minion, den du in der Zielrichtung kontrollierst, um dich selbst zu heilen.")</f>
        <v>Zerstöre einen Minion, den du in der Zielrichtung kontrollierst, um dich selbst zu heilen.</v>
      </c>
      <c r="I260" s="23" t="str">
        <f>IFERROR(__xludf.DUMMYFUNCTION("GOOGLETRANSLATE(B260, ""en"", ""pl"")"),"Zniszcz sługę, którą kontrolujesz w kierunku docelowym, aby się uleczyć.")</f>
        <v>Zniszcz sługę, którą kontrolujesz w kierunku docelowym, aby się uleczyć.</v>
      </c>
      <c r="J260" s="25" t="str">
        <f>IFERROR(__xludf.DUMMYFUNCTION("GOOGLETRANSLATE(B260, ""en"", ""zh"")"),"摧毁你在目标方向上控制的仆从来治愈自己。")</f>
        <v>摧毁你在目标方向上控制的仆从来治愈自己。</v>
      </c>
      <c r="K260" s="25" t="str">
        <f>IFERROR(__xludf.DUMMYFUNCTION("GOOGLETRANSLATE(B260, ""en"", ""vi"")"),"Phá hủy một minion mà bạn kiểm soát theo hướng mục tiêu để chữa lành bản thân.")</f>
        <v>Phá hủy một minion mà bạn kiểm soát theo hướng mục tiêu để chữa lành bản thân.</v>
      </c>
      <c r="L260" s="26" t="str">
        <f>IFERROR(__xludf.DUMMYFUNCTION("GOOGLETRANSLATE(B260, ""en"", ""hr"")"),"Uništite minion koji kontrolirate u ciljnom smjeru kako biste se izliječili.")</f>
        <v>Uništite minion koji kontrolirate u ciljnom smjeru kako biste se izliječili.</v>
      </c>
      <c r="M260" s="28"/>
      <c r="N260" s="28"/>
      <c r="O260" s="28"/>
      <c r="P260" s="28"/>
      <c r="Q260" s="28"/>
      <c r="R260" s="28"/>
      <c r="S260" s="28"/>
      <c r="T260" s="28"/>
      <c r="U260" s="28"/>
      <c r="V260" s="28"/>
      <c r="W260" s="28"/>
      <c r="X260" s="28"/>
      <c r="Y260" s="28"/>
      <c r="Z260" s="28"/>
      <c r="AA260" s="28"/>
      <c r="AB260" s="28"/>
    </row>
    <row r="261">
      <c r="A261" s="21" t="s">
        <v>870</v>
      </c>
      <c r="B261" s="22" t="s">
        <v>871</v>
      </c>
      <c r="C261" s="23" t="str">
        <f>IFERROR(__xludf.DUMMYFUNCTION("GOOGLETRANSLATE(B261, ""en"", ""fr"")"),"Faire défiler de la mort")</f>
        <v>Faire défiler de la mort</v>
      </c>
      <c r="D261" s="23" t="str">
        <f>IFERROR(__xludf.DUMMYFUNCTION("GOOGLETRANSLATE(B261, ""en"", ""es"")"),"Desplazamiento de Deathbind")</f>
        <v>Desplazamiento de Deathbind</v>
      </c>
      <c r="E261" s="23" t="str">
        <f>IFERROR(__xludf.DUMMYFUNCTION("GOOGLETRANSLATE(B261, ""en"", ""ru"")"),"Свиток Deathbind")</f>
        <v>Свиток Deathbind</v>
      </c>
      <c r="F261" s="23" t="str">
        <f>IFERROR(__xludf.DUMMYFUNCTION("GOOGLETRANSLATE(B261, ""en"", ""tr"")"),"Deathbind'un kaydırılması")</f>
        <v>Deathbind'un kaydırılması</v>
      </c>
      <c r="G261" s="23" t="str">
        <f>IFERROR(__xludf.DUMMYFUNCTION("GOOGLETRANSLATE(B261, ""en"", ""pt"")"),"Pergaminho de Deathbind")</f>
        <v>Pergaminho de Deathbind</v>
      </c>
      <c r="H261" s="24" t="str">
        <f>IFERROR(__xludf.DUMMYFUNCTION("GOOGLETRANSLATE(B261, ""en"", ""de"")"),"Blättern Sie nach der Todesbinder")</f>
        <v>Blättern Sie nach der Todesbinder</v>
      </c>
      <c r="I261" s="23" t="str">
        <f>IFERROR(__xludf.DUMMYFUNCTION("GOOGLETRANSLATE(B261, ""en"", ""pl"")"),"Przewiń DeathBind.")</f>
        <v>Przewiń DeathBind.</v>
      </c>
      <c r="J261" s="25" t="str">
        <f>IFERROR(__xludf.DUMMYFUNCTION("GOOGLETRANSLATE(B261, ""en"", ""zh"")"),"Deathbind卷轴")</f>
        <v>Deathbind卷轴</v>
      </c>
      <c r="K261" s="25" t="str">
        <f>IFERROR(__xludf.DUMMYFUNCTION("GOOGLETRANSLATE(B261, ""en"", ""vi"")"),"Cuộn deathbind.")</f>
        <v>Cuộn deathbind.</v>
      </c>
      <c r="L261" s="26" t="str">
        <f>IFERROR(__xludf.DUMMYFUNCTION("GOOGLETRANSLATE(B261, ""en"", ""hr"")"),"Pomicanje od smrti")</f>
        <v>Pomicanje od smrti</v>
      </c>
      <c r="M261" s="28"/>
      <c r="N261" s="28"/>
      <c r="O261" s="28"/>
      <c r="P261" s="28"/>
      <c r="Q261" s="28"/>
      <c r="R261" s="28"/>
      <c r="S261" s="28"/>
      <c r="T261" s="28"/>
      <c r="U261" s="28"/>
      <c r="V261" s="28"/>
      <c r="W261" s="28"/>
      <c r="X261" s="28"/>
      <c r="Y261" s="28"/>
      <c r="Z261" s="28"/>
      <c r="AA261" s="28"/>
      <c r="AB261" s="28"/>
    </row>
    <row r="262">
      <c r="A262" s="21" t="s">
        <v>872</v>
      </c>
      <c r="B262" s="22" t="s">
        <v>873</v>
      </c>
      <c r="C262" s="23" t="str">
        <f>IFERROR(__xludf.DUMMYFUNCTION("GOOGLETRANSLATE(B262, ""en"", ""fr"")"),"Maudire la cible. Quand ils meurent, ils se transforment automatiquement en une minion undead non réclamée.")</f>
        <v>Maudire la cible. Quand ils meurent, ils se transforment automatiquement en une minion undead non réclamée.</v>
      </c>
      <c r="D262" s="23" t="str">
        <f>IFERROR(__xludf.DUMMYFUNCTION("GOOGLETRANSLATE(B262, ""en"", ""es"")"),"Maldecir el objetivo. Cuando mueren, se convierten en un no-muerto no reclamado automáticamente.")</f>
        <v>Maldecir el objetivo. Cuando mueren, se convierten en un no-muerto no reclamado automáticamente.</v>
      </c>
      <c r="E262" s="23" t="str">
        <f>IFERROR(__xludf.DUMMYFUNCTION("GOOGLETRANSLATE(B262,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62" s="23" t="str">
        <f>IFERROR(__xludf.DUMMYFUNCTION("GOOGLETRANSLATE(B262, ""en"", ""tr"")"),"Hedefi lanetleyin. Öldüklerinde, otomatik olarak belirtilmemiş bir ölümsüz minyona dönüşürler.")</f>
        <v>Hedefi lanetleyin. Öldüklerinde, otomatik olarak belirtilmemiş bir ölümsüz minyona dönüşürler.</v>
      </c>
      <c r="G262" s="23" t="str">
        <f>IFERROR(__xludf.DUMMYFUNCTION("GOOGLETRANSLATE(B262, ""en"", ""pt"")"),"Amaldiçoe o alvo. Quando eles morrem, eles se transformam em uma miniço morto-vivo não reclamado automaticamente.")</f>
        <v>Amaldiçoe o alvo. Quando eles morrem, eles se transformam em uma miniço morto-vivo não reclamado automaticamente.</v>
      </c>
      <c r="H262" s="24" t="str">
        <f>IFERROR(__xludf.DUMMYFUNCTION("GOOGLETRANSLATE(B262, ""en"", ""de"")"),"Verfluchen Sie das Ziel. Wenn sie sterben, werden sie automatisch in einen nicht beanspruchten Untote-Minion.")</f>
        <v>Verfluchen Sie das Ziel. Wenn sie sterben, werden sie automatisch in einen nicht beanspruchten Untote-Minion.</v>
      </c>
      <c r="I262" s="23" t="str">
        <f>IFERROR(__xludf.DUMMYFUNCTION("GOOGLETRANSLATE(B262, ""en"", ""pl"")"),"Przeklinać cel. Kiedy umierają, odwracają się w nieograniczony nieumarły Minion automatycznie.")</f>
        <v>Przeklinać cel. Kiedy umierają, odwracają się w nieograniczony nieumarły Minion automatycznie.</v>
      </c>
      <c r="J262" s="25" t="str">
        <f>IFERROR(__xludf.DUMMYFUNCTION("GOOGLETRANSLATE(B262, ""en"", ""zh"")"),"诅咒目标。当他们死去时，他们会自动变成一个无人认领的亡灵群。")</f>
        <v>诅咒目标。当他们死去时，他们会自动变成一个无人认领的亡灵群。</v>
      </c>
      <c r="K262" s="25" t="str">
        <f>IFERROR(__xludf.DUMMYFUNCTION("GOOGLETRANSLATE(B262, ""en"", ""vi"")"),"Nguyền rủa mục tiêu. Khi họ chết, họ tự động biến thành một Minion Undead không có người nhận.")</f>
        <v>Nguyền rủa mục tiêu. Khi họ chết, họ tự động biến thành một Minion Undead không có người nhận.</v>
      </c>
      <c r="L262" s="26" t="str">
        <f>IFERROR(__xludf.DUMMYFUNCTION("GOOGLETRANSLATE(B262, ""en"", ""hr"")"),"Prokleti cilj. Kada umru, automatski se pretvaraju u nepovratni undead Minion automatski.")</f>
        <v>Prokleti cilj. Kada umru, automatski se pretvaraju u nepovratni undead Minion automatski.</v>
      </c>
      <c r="M262" s="28"/>
      <c r="N262" s="28"/>
      <c r="O262" s="28"/>
      <c r="P262" s="28"/>
      <c r="Q262" s="28"/>
      <c r="R262" s="28"/>
      <c r="S262" s="28"/>
      <c r="T262" s="28"/>
      <c r="U262" s="28"/>
      <c r="V262" s="28"/>
      <c r="W262" s="28"/>
      <c r="X262" s="28"/>
      <c r="Y262" s="28"/>
      <c r="Z262" s="28"/>
      <c r="AA262" s="28"/>
      <c r="AB262" s="28"/>
    </row>
    <row r="263">
      <c r="A263" s="21" t="s">
        <v>874</v>
      </c>
      <c r="B263" s="22" t="s">
        <v>875</v>
      </c>
      <c r="C263" s="23" t="str">
        <f>IFERROR(__xludf.DUMMYFUNCTION("GOOGLETRANSLATE(B263, ""en"", ""fr"")"),"Faire défiler de l'écart")</f>
        <v>Faire défiler de l'écart</v>
      </c>
      <c r="D263" s="23" t="str">
        <f>IFERROR(__xludf.DUMMYFUNCTION("GOOGLETRANSLATE(B263, ""en"", ""es"")"),"Desplazamiento de armas")</f>
        <v>Desplazamiento de armas</v>
      </c>
      <c r="E263" s="23" t="str">
        <f>IFERROR(__xludf.DUMMYFUNCTION("GOOGLETRANSLATE(B263, ""en"", ""ru"")"),"Свиток enthrall")</f>
        <v>Свиток enthrall</v>
      </c>
      <c r="F263" s="23" t="str">
        <f>IFERROR(__xludf.DUMMYFUNCTION("GOOGLETRANSLATE(B263, ""en"", ""tr"")"),"Engellinin kaydırılması")</f>
        <v>Engellinin kaydırılması</v>
      </c>
      <c r="G263" s="23" t="str">
        <f>IFERROR(__xludf.DUMMYFUNCTION("GOOGLETRANSLATE(B263, ""en"", ""pt"")"),"Rolo de enthrall.")</f>
        <v>Rolo de enthrall.</v>
      </c>
      <c r="H263" s="24" t="str">
        <f>IFERROR(__xludf.DUMMYFUNCTION("GOOGLETRANSLATE(B263, ""en"", ""de"")"),"Blättern von Mittrall.")</f>
        <v>Blättern von Mittrall.</v>
      </c>
      <c r="I263" s="23" t="str">
        <f>IFERROR(__xludf.DUMMYFUNCTION("GOOGLETRANSLATE(B263, ""en"", ""pl"")"),"Przewiń israll.")</f>
        <v>Przewiń israll.</v>
      </c>
      <c r="J263" s="25" t="str">
        <f>IFERROR(__xludf.DUMMYFUNCTION("GOOGLETRANSLATE(B263, ""en"", ""zh"")"),"scr")</f>
        <v>scr</v>
      </c>
      <c r="K263" s="25" t="str">
        <f>IFERROR(__xludf.DUMMYFUNCTION("GOOGLETRANSLATE(B263, ""en"", ""vi"")"),"Cuộn admrall.")</f>
        <v>Cuộn admrall.</v>
      </c>
      <c r="L263" s="26" t="str">
        <f>IFERROR(__xludf.DUMMYFUNCTION("GOOGLETRANSLATE(B263, ""en"", ""hr"")"),"Pomicanje od očaranja")</f>
        <v>Pomicanje od očaranja</v>
      </c>
      <c r="M263" s="28"/>
      <c r="N263" s="28"/>
      <c r="O263" s="28"/>
      <c r="P263" s="28"/>
      <c r="Q263" s="28"/>
      <c r="R263" s="28"/>
      <c r="S263" s="28"/>
      <c r="T263" s="28"/>
      <c r="U263" s="28"/>
      <c r="V263" s="28"/>
      <c r="W263" s="28"/>
      <c r="X263" s="28"/>
      <c r="Y263" s="28"/>
      <c r="Z263" s="28"/>
      <c r="AA263" s="28"/>
      <c r="AB263" s="28"/>
    </row>
    <row r="264">
      <c r="A264" s="21" t="s">
        <v>876</v>
      </c>
      <c r="B264" s="22" t="s">
        <v>877</v>
      </c>
      <c r="C264" s="23" t="str">
        <f>IFERROR(__xludf.DUMMYFUNCTION("GOOGLETRANSLATE(B264, ""en"", ""fr"")"),"Faites toutes les créatures non réclamées des morts-vivants autour de vous devenez vos minions.")</f>
        <v>Faites toutes les créatures non réclamées des morts-vivants autour de vous devenez vos minions.</v>
      </c>
      <c r="D264" s="23" t="str">
        <f>IFERROR(__xludf.DUMMYFUNCTION("GOOGLETRANSLATE(B264, ""en"", ""es"")"),"Haz que todas las criaturas no muertas no deseadas a tu alrededor se conviertan en tus secuaces.")</f>
        <v>Haz que todas las criaturas no muertas no deseadas a tu alrededor se conviertan en tus secuaces.</v>
      </c>
      <c r="E264" s="23" t="str">
        <f>IFERROR(__xludf.DUMMYFUNCTION("GOOGLETRANSLATE(B264,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4" s="23" t="str">
        <f>IFERROR(__xludf.DUMMYFUNCTION("GOOGLETRANSLATE(B264, ""en"", ""tr"")"),"Sahipsiz olmayan tüm yaşayan yaratıkları etrafınızdaki köleleriniz haline getirin.")</f>
        <v>Sahipsiz olmayan tüm yaşayan yaratıkları etrafınızdaki köleleriniz haline getirin.</v>
      </c>
      <c r="G264" s="23" t="str">
        <f>IFERROR(__xludf.DUMMYFUNCTION("GOOGLETRANSLATE(B264, ""en"", ""pt"")"),"Faça todas as criaturas mortas-moradas não reclamadas ao seu redor se tornarem seus lacaios.")</f>
        <v>Faça todas as criaturas mortas-moradas não reclamadas ao seu redor se tornarem seus lacaios.</v>
      </c>
      <c r="H264" s="24" t="str">
        <f>IFERROR(__xludf.DUMMYFUNCTION("GOOGLETRANSLATE(B264, ""en"", ""de"")"),"Machen Sie alle nicht beanspruchten Untotenkreaturen um Sie, um Ihre Scherz zu werden.")</f>
        <v>Machen Sie alle nicht beanspruchten Untotenkreaturen um Sie, um Ihre Scherz zu werden.</v>
      </c>
      <c r="I264" s="23" t="str">
        <f>IFERROR(__xludf.DUMMYFUNCTION("GOOGLETRANSLATE(B264, ""en"", ""pl"")"),"Spraw, by wszystkie nieodebrane istoty nieumarłych stały się twoimi sługami.")</f>
        <v>Spraw, by wszystkie nieodebrane istoty nieumarłych stały się twoimi sługami.</v>
      </c>
      <c r="J264" s="25" t="str">
        <f>IFERROR(__xludf.DUMMYFUNCTION("GOOGLETRANSLATE(B264, ""en"", ""zh"")"),"让所有无人认领的亡灵生物成为你的仆从。")</f>
        <v>让所有无人认领的亡灵生物成为你的仆从。</v>
      </c>
      <c r="K264" s="25" t="str">
        <f>IFERROR(__xludf.DUMMYFUNCTION("GOOGLETRANSLATE(B264, ""en"", ""vi"")"),"Làm cho tất cả các sinh vật Undead không có người nhận xung quanh bạn trở thành tay sai của bạn.")</f>
        <v>Làm cho tất cả các sinh vật Undead không có người nhận xung quanh bạn trở thành tay sai của bạn.</v>
      </c>
      <c r="L264" s="26" t="str">
        <f>IFERROR(__xludf.DUMMYFUNCTION("GOOGLETRANSLATE(B264, ""en"", ""hr"")"),"Učinite sve ne undead ne undead stvorenja oko vas postaju vaši slutići.")</f>
        <v>Učinite sve ne undead ne undead stvorenja oko vas postaju vaši slutići.</v>
      </c>
      <c r="M264" s="28"/>
      <c r="N264" s="28"/>
      <c r="O264" s="28"/>
      <c r="P264" s="28"/>
      <c r="Q264" s="28"/>
      <c r="R264" s="28"/>
      <c r="S264" s="28"/>
      <c r="T264" s="28"/>
      <c r="U264" s="28"/>
      <c r="V264" s="28"/>
      <c r="W264" s="28"/>
      <c r="X264" s="28"/>
      <c r="Y264" s="28"/>
      <c r="Z264" s="28"/>
      <c r="AA264" s="28"/>
      <c r="AB264" s="28"/>
    </row>
    <row r="265">
      <c r="A265" s="21" t="s">
        <v>878</v>
      </c>
      <c r="B265" s="22" t="s">
        <v>879</v>
      </c>
      <c r="C265" s="23" t="str">
        <f>IFERROR(__xludf.DUMMYFUNCTION("GOOGLETRANSLATE(B265, ""en"", ""fr"")"),"Marteau de gloire")</f>
        <v>Marteau de gloire</v>
      </c>
      <c r="D265" s="23" t="str">
        <f>IFERROR(__xludf.DUMMYFUNCTION("GOOGLETRANSLATE(B265, ""en"", ""es"")"),"Martillo de gloria")</f>
        <v>Martillo de gloria</v>
      </c>
      <c r="E265" s="23" t="str">
        <f>IFERROR(__xludf.DUMMYFUNCTION("GOOGLETRANSLATE(B265, ""en"", ""ru"")"),"Молоток славы")</f>
        <v>Молоток славы</v>
      </c>
      <c r="F265" s="23" t="str">
        <f>IFERROR(__xludf.DUMMYFUNCTION("GOOGLETRANSLATE(B265, ""en"", ""tr"")"),"Zafer çekiç")</f>
        <v>Zafer çekiç</v>
      </c>
      <c r="G265" s="23" t="str">
        <f>IFERROR(__xludf.DUMMYFUNCTION("GOOGLETRANSLATE(B265, ""en"", ""pt"")"),"Martelo de glória")</f>
        <v>Martelo de glória</v>
      </c>
      <c r="H265" s="24" t="str">
        <f>IFERROR(__xludf.DUMMYFUNCTION("GOOGLETRANSLATE(B265, ""en"", ""de"")"),"Ruhmhammer")</f>
        <v>Ruhmhammer</v>
      </c>
      <c r="I265" s="23" t="str">
        <f>IFERROR(__xludf.DUMMYFUNCTION("GOOGLETRANSLATE(B265, ""en"", ""pl"")"),"Hammer of Glory.")</f>
        <v>Hammer of Glory.</v>
      </c>
      <c r="J265" s="25" t="str">
        <f>IFERROR(__xludf.DUMMYFUNCTION("GOOGLETRANSLATE(B265, ""en"", ""zh"")"),"荣耀的锤子")</f>
        <v>荣耀的锤子</v>
      </c>
      <c r="K265" s="25" t="str">
        <f>IFERROR(__xludf.DUMMYFUNCTION("GOOGLETRANSLATE(B265, ""en"", ""vi"")"),"Búa vinh quang")</f>
        <v>Búa vinh quang</v>
      </c>
      <c r="L265" s="26" t="str">
        <f>IFERROR(__xludf.DUMMYFUNCTION("GOOGLETRANSLATE(B265, ""en"", ""hr"")"),"Čekić slave")</f>
        <v>Čekić slave</v>
      </c>
      <c r="M265" s="28"/>
      <c r="N265" s="28"/>
      <c r="O265" s="28"/>
      <c r="P265" s="28"/>
      <c r="Q265" s="28"/>
      <c r="R265" s="28"/>
      <c r="S265" s="28"/>
      <c r="T265" s="28"/>
      <c r="U265" s="28"/>
      <c r="V265" s="28"/>
      <c r="W265" s="28"/>
      <c r="X265" s="28"/>
      <c r="Y265" s="28"/>
      <c r="Z265" s="28"/>
      <c r="AA265" s="28"/>
      <c r="AB265" s="28"/>
    </row>
    <row r="266">
      <c r="A266" s="21" t="s">
        <v>880</v>
      </c>
      <c r="B266" s="22" t="s">
        <v>881</v>
      </c>
      <c r="C266" s="23" t="str">
        <f>IFERROR(__xludf.DUMMYFUNCTION("GOOGLETRANSLATE(B266, ""en"", ""fr"")"),"Relique. Une arme puissante utilisée par les héros anciens. Inflige des os cassés sur la cible et sur quoi que ce soit autour d'eux et repousse l'utilisateur.")</f>
        <v>Relique. Une arme puissante utilisée par les héros anciens. Inflige des os cassés sur la cible et sur quoi que ce soit autour d'eux et repousse l'utilisateur.</v>
      </c>
      <c r="D266" s="23" t="str">
        <f>IFERROR(__xludf.DUMMYFUNCTION("GOOGLETRANSLATE(B266,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6" s="23" t="str">
        <f>IFERROR(__xludf.DUMMYFUNCTION("GOOGLETRANSLATE(B266,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6" s="23" t="str">
        <f>IFERROR(__xludf.DUMMYFUNCTION("GOOGLETRANSLATE(B266,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6" s="23" t="str">
        <f>IFERROR(__xludf.DUMMYFUNCTION("GOOGLETRANSLATE(B266,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6" s="24" t="str">
        <f>IFERROR(__xludf.DUMMYFUNCTION("GOOGLETRANSLATE(B266,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6" s="23" t="str">
        <f>IFERROR(__xludf.DUMMYFUNCTION("GOOGLETRANSLATE(B266,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6" s="25" t="str">
        <f>IFERROR(__xludf.DUMMYFUNCTION("GOOGLETRANSLATE(B266, ""en"", ""zh"")"),"遗迹。古代英雄使用的强大武器。在目标上造成破碎的骨头，并在周围的任何内容上，并将用户推回。")</f>
        <v>遗迹。古代英雄使用的强大武器。在目标上造成破碎的骨头，并在周围的任何内容上，并将用户推回。</v>
      </c>
      <c r="K266" s="25" t="str">
        <f>IFERROR(__xludf.DUMMYFUNCTION("GOOGLETRANSLATE(B266,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6" s="26" t="str">
        <f>IFERROR(__xludf.DUMMYFUNCTION("GOOGLETRANSLATE(B266, ""en"", ""hr"")"),"Relikvija. Moćno oružje koje koristi drevni heroji. Nanosi slomljena kosti na meti i na bilo čemu oko njih i gura korisnik natrag.")</f>
        <v>Relikvija. Moćno oružje koje koristi drevni heroji. Nanosi slomljena kosti na meti i na bilo čemu oko njih i gura korisnik natrag.</v>
      </c>
      <c r="M266" s="28"/>
      <c r="N266" s="28"/>
      <c r="O266" s="28"/>
      <c r="P266" s="28"/>
      <c r="Q266" s="28"/>
      <c r="R266" s="28"/>
      <c r="S266" s="28"/>
      <c r="T266" s="28"/>
      <c r="U266" s="28"/>
      <c r="V266" s="28"/>
      <c r="W266" s="28"/>
      <c r="X266" s="28"/>
      <c r="Y266" s="28"/>
      <c r="Z266" s="28"/>
      <c r="AA266" s="28"/>
      <c r="AB266" s="28"/>
    </row>
    <row r="267">
      <c r="A267" s="21" t="s">
        <v>882</v>
      </c>
      <c r="B267" s="22" t="s">
        <v>883</v>
      </c>
      <c r="C267" s="23" t="str">
        <f>IFERROR(__xludf.DUMMYFUNCTION("GOOGLETRANSLATE(B267, ""en"", ""fr"")"),"Armure de colère")</f>
        <v>Armure de colère</v>
      </c>
      <c r="D267" s="23" t="str">
        <f>IFERROR(__xludf.DUMMYFUNCTION("GOOGLETRANSLATE(B267, ""en"", ""es"")"),"Armadura de la ira")</f>
        <v>Armadura de la ira</v>
      </c>
      <c r="E267" s="23" t="str">
        <f>IFERROR(__xludf.DUMMYFUNCTION("GOOGLETRANSLATE(B267, ""en"", ""ru"")"),"Доспехи IRE.")</f>
        <v>Доспехи IRE.</v>
      </c>
      <c r="F267" s="23" t="str">
        <f>IFERROR(__xludf.DUMMYFUNCTION("GOOGLETRANSLATE(B267, ""en"", ""tr"")"),"İrin zırhı")</f>
        <v>İrin zırhı</v>
      </c>
      <c r="G267" s="23" t="str">
        <f>IFERROR(__xludf.DUMMYFUNCTION("GOOGLETRANSLATE(B267, ""en"", ""pt"")"),"Armadura de IRE.")</f>
        <v>Armadura de IRE.</v>
      </c>
      <c r="H267" s="24" t="str">
        <f>IFERROR(__xludf.DUMMYFUNCTION("GOOGLETRANSLATE(B267, ""en"", ""de"")"),"Rüstung von IRE.")</f>
        <v>Rüstung von IRE.</v>
      </c>
      <c r="I267" s="23" t="str">
        <f>IFERROR(__xludf.DUMMYFUNCTION("GOOGLETRANSLATE(B267, ""en"", ""pl"")"),"Armor Iri.")</f>
        <v>Armor Iri.</v>
      </c>
      <c r="J267" s="25" t="str">
        <f>IFERROR(__xludf.DUMMYFUNCTION("GOOGLETRANSLATE(B267, ""en"", ""zh"")"),"艾尔盔甲")</f>
        <v>艾尔盔甲</v>
      </c>
      <c r="K267" s="25" t="str">
        <f>IFERROR(__xludf.DUMMYFUNCTION("GOOGLETRANSLATE(B267, ""en"", ""vi"")"),"Áo giáp của ire.")</f>
        <v>Áo giáp của ire.</v>
      </c>
      <c r="L267" s="26" t="str">
        <f>IFERROR(__xludf.DUMMYFUNCTION("GOOGLETRANSLATE(B267, ""en"", ""hr"")"),"Oklop ire")</f>
        <v>Oklop ire</v>
      </c>
      <c r="M267" s="28"/>
      <c r="N267" s="28"/>
      <c r="O267" s="28"/>
      <c r="P267" s="28"/>
      <c r="Q267" s="28"/>
      <c r="R267" s="28"/>
      <c r="S267" s="28"/>
      <c r="T267" s="28"/>
      <c r="U267" s="28"/>
      <c r="V267" s="28"/>
      <c r="W267" s="28"/>
      <c r="X267" s="28"/>
      <c r="Y267" s="28"/>
      <c r="Z267" s="28"/>
      <c r="AA267" s="28"/>
      <c r="AB267" s="28"/>
    </row>
    <row r="268">
      <c r="A268" s="21" t="s">
        <v>884</v>
      </c>
      <c r="B268" s="22" t="s">
        <v>885</v>
      </c>
      <c r="C268" s="23" t="str">
        <f>IFERROR(__xludf.DUMMYFUNCTION("GOOGLETRANSLATE(B268,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8" s="23" t="str">
        <f>IFERROR(__xludf.DUMMYFUNCTION("GOOGLETRANSLATE(B268,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8" s="23" t="str">
        <f>IFERROR(__xludf.DUMMYFUNCTION("GOOGLETRANSLATE(B268,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8" s="23" t="str">
        <f>IFERROR(__xludf.DUMMYFUNCTION("GOOGLETRANSLATE(B268,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8" s="23" t="str">
        <f>IFERROR(__xludf.DUMMYFUNCTION("GOOGLETRANSLATE(B268,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8" s="24" t="str">
        <f>IFERROR(__xludf.DUMMYFUNCTION("GOOGLETRANSLATE(B268,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8" s="23" t="str">
        <f>IFERROR(__xludf.DUMMYFUNCTION("GOOGLETRANSLATE(B268,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8" s="25" t="str">
        <f>IFERROR(__xludf.DUMMYFUNCTION("GOOGLETRANSLATE(B268, ""en"", ""zh"")"),"遗迹。 Slain Demon Lord的外骨骼，他们的看法精神仍然存在。反映回到源的一部分损坏。")</f>
        <v>遗迹。 Slain Demon Lord的外骨骼，他们的看法精神仍然存在。反映回到源的一部分损坏。</v>
      </c>
      <c r="K268" s="25" t="str">
        <f>IFERROR(__xludf.DUMMYFUNCTION("GOOGLETRANSLATE(B268,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8" s="26" t="str">
        <f>IFERROR(__xludf.DUMMYFUNCTION("GOOGLETRANSLATE(B268,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8" s="28"/>
      <c r="N268" s="28"/>
      <c r="O268" s="28"/>
      <c r="P268" s="28"/>
      <c r="Q268" s="28"/>
      <c r="R268" s="28"/>
      <c r="S268" s="28"/>
      <c r="T268" s="28"/>
      <c r="U268" s="28"/>
      <c r="V268" s="28"/>
      <c r="W268" s="28"/>
      <c r="X268" s="28"/>
      <c r="Y268" s="28"/>
      <c r="Z268" s="28"/>
      <c r="AA268" s="28"/>
      <c r="AB268" s="28"/>
    </row>
    <row r="269">
      <c r="A269" s="21" t="s">
        <v>886</v>
      </c>
      <c r="B269" s="22" t="s">
        <v>887</v>
      </c>
      <c r="C269" s="23" t="str">
        <f>IFERROR(__xludf.DUMMYFUNCTION("GOOGLETRANSLATE(B269, ""en"", ""fr"")"),"Hellérant")</f>
        <v>Hellérant</v>
      </c>
      <c r="D269" s="23" t="str">
        <f>IFERROR(__xludf.DUMMYFUNCTION("GOOGLETRANSLATE(B269, ""en"", ""es"")"),"Hellraiser")</f>
        <v>Hellraiser</v>
      </c>
      <c r="E269" s="23" t="str">
        <f>IFERROR(__xludf.DUMMYFUNCTION("GOOGLETRANSLATE(B269, ""en"", ""ru"")"),"Эллизер")</f>
        <v>Эллизер</v>
      </c>
      <c r="F269" s="23" t="str">
        <f>IFERROR(__xludf.DUMMYFUNCTION("GOOGLETRANSLATE(B269, ""en"", ""tr"")"),"Hellraiser")</f>
        <v>Hellraiser</v>
      </c>
      <c r="G269" s="23" t="str">
        <f>IFERROR(__xludf.DUMMYFUNCTION("GOOGLETRANSLATE(B269, ""en"", ""pt"")"),"Hellraiser")</f>
        <v>Hellraiser</v>
      </c>
      <c r="H269" s="24" t="str">
        <f>IFERROR(__xludf.DUMMYFUNCTION("GOOGLETRANSLATE(B269, ""en"", ""de"")"),"Hellraiser")</f>
        <v>Hellraiser</v>
      </c>
      <c r="I269" s="23" t="str">
        <f>IFERROR(__xludf.DUMMYFUNCTION("GOOGLETRANSLATE(B269, ""en"", ""pl"")"),"Hellraiser.")</f>
        <v>Hellraiser.</v>
      </c>
      <c r="J269" s="25" t="str">
        <f>IFERROR(__xludf.DUMMYFUNCTION("GOOGLETRANSLATE(B269, ""en"", ""zh"")"),"hellraiser.")</f>
        <v>hellraiser.</v>
      </c>
      <c r="K269" s="25" t="str">
        <f>IFERROR(__xludf.DUMMYFUNCTION("GOOGLETRANSLATE(B269, ""en"", ""vi"")"),"Hellraiser.")</f>
        <v>Hellraiser.</v>
      </c>
      <c r="L269" s="26" t="str">
        <f>IFERROR(__xludf.DUMMYFUNCTION("GOOGLETRANSLATE(B269, ""en"", ""hr"")"),"Hellaiser")</f>
        <v>Hellaiser</v>
      </c>
      <c r="M269" s="28"/>
      <c r="N269" s="28"/>
      <c r="O269" s="28"/>
      <c r="P269" s="28"/>
      <c r="Q269" s="28"/>
      <c r="R269" s="28"/>
      <c r="S269" s="28"/>
      <c r="T269" s="28"/>
      <c r="U269" s="28"/>
      <c r="V269" s="28"/>
      <c r="W269" s="28"/>
      <c r="X269" s="28"/>
      <c r="Y269" s="28"/>
      <c r="Z269" s="28"/>
      <c r="AA269" s="28"/>
      <c r="AB269" s="28"/>
    </row>
    <row r="270">
      <c r="A270" s="21" t="s">
        <v>888</v>
      </c>
      <c r="B270" s="22" t="s">
        <v>889</v>
      </c>
      <c r="C270" s="23" t="str">
        <f>IFERROR(__xludf.DUMMYFUNCTION("GOOGLETRANSLATE(B270,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70" s="23" t="str">
        <f>IFERROR(__xludf.DUMMYFUNCTION("GOOGLETRANSLATE(B270,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70" s="23" t="str">
        <f>IFERROR(__xludf.DUMMYFUNCTION("GOOGLETRANSLATE(B270,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70" s="23" t="str">
        <f>IFERROR(__xludf.DUMMYFUNCTION("GOOGLETRANSLATE(B270,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70" s="23" t="str">
        <f>IFERROR(__xludf.DUMMYFUNCTION("GOOGLETRANSLATE(B270,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70" s="24" t="str">
        <f>IFERROR(__xludf.DUMMYFUNCTION("GOOGLETRANSLATE(B270,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70" s="23" t="str">
        <f>IFERROR(__xludf.DUMMYFUNCTION("GOOGLETRANSLATE(B270, ""en"", ""pl"")"),"Relikt. Oderwija szczelinę w podziemia, pozwalając płomieniom w wybuchu. Strzela fala ognia, ale także pali użytkownika.")</f>
        <v>Relikt. Oderwija szczelinę w podziemia, pozwalając płomieniom w wybuchu. Strzela fala ognia, ale także pali użytkownika.</v>
      </c>
      <c r="J270" s="25" t="str">
        <f>IFERROR(__xludf.DUMMYFUNCTION("GOOGLETRANSLATE(B270, ""en"", ""zh"")"),"遗迹。撕裂进入黑社会，让火焰爆发。拍摄一波火，也烧伤了用户。")</f>
        <v>遗迹。撕裂进入黑社会，让火焰爆发。拍摄一波火，也烧伤了用户。</v>
      </c>
      <c r="K270" s="25" t="str">
        <f>IFERROR(__xludf.DUMMYFUNCTION("GOOGLETRANSLATE(B270,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70" s="26" t="str">
        <f>IFERROR(__xludf.DUMMYFUNCTION("GOOGLETRANSLATE(B270, ""en"", ""hr"")"),"Relikvija. Suze raskol u podzemni svijet, dopuštajući plamenu uprskati. Pucajte val vatre, ali također gori korisnik.")</f>
        <v>Relikvija. Suze raskol u podzemni svijet, dopuštajući plamenu uprskati. Pucajte val vatre, ali također gori korisnik.</v>
      </c>
      <c r="M270" s="28"/>
      <c r="N270" s="28"/>
      <c r="O270" s="28"/>
      <c r="P270" s="28"/>
      <c r="Q270" s="28"/>
      <c r="R270" s="28"/>
      <c r="S270" s="28"/>
      <c r="T270" s="28"/>
      <c r="U270" s="28"/>
      <c r="V270" s="28"/>
      <c r="W270" s="28"/>
      <c r="X270" s="28"/>
      <c r="Y270" s="28"/>
      <c r="Z270" s="28"/>
      <c r="AA270" s="28"/>
      <c r="AB270" s="28"/>
    </row>
    <row r="271">
      <c r="A271" s="21" t="s">
        <v>890</v>
      </c>
      <c r="B271" s="22" t="s">
        <v>891</v>
      </c>
      <c r="C271" s="23" t="str">
        <f>IFERROR(__xludf.DUMMYFUNCTION("GOOGLETRANSLATE(B271, ""en"", ""fr"")"),"Galest")</f>
        <v>Galest</v>
      </c>
      <c r="D271" s="23" t="str">
        <f>IFERROR(__xludf.DUMMYFUNCTION("GOOGLETRANSLATE(B271, ""en"", ""es"")"),"Galestorm")</f>
        <v>Galestorm</v>
      </c>
      <c r="E271" s="23" t="str">
        <f>IFERROR(__xludf.DUMMYFUNCTION("GOOGLETRANSLATE(B271, ""en"", ""ru"")"),"Галсторм")</f>
        <v>Галсторм</v>
      </c>
      <c r="F271" s="23" t="str">
        <f>IFERROR(__xludf.DUMMYFUNCTION("GOOGLETRANSLATE(B271, ""en"", ""tr"")"),"Galesit")</f>
        <v>Galesit</v>
      </c>
      <c r="G271" s="23" t="str">
        <f>IFERROR(__xludf.DUMMYFUNCTION("GOOGLETRANSLATE(B271, ""en"", ""pt"")"),"GALESTORM.")</f>
        <v>GALESTORM.</v>
      </c>
      <c r="H271" s="24" t="str">
        <f>IFERROR(__xludf.DUMMYFUNCTION("GOOGLETRANSLATE(B271, ""en"", ""de"")"),"Galestorm.")</f>
        <v>Galestorm.</v>
      </c>
      <c r="I271" s="23" t="str">
        <f>IFERROR(__xludf.DUMMYFUNCTION("GOOGLETRANSLATE(B271, ""en"", ""pl"")"),"Galestorm")</f>
        <v>Galestorm</v>
      </c>
      <c r="J271" s="25" t="str">
        <f>IFERROR(__xludf.DUMMYFUNCTION("GOOGLETRANSLATE(B271, ""en"", ""zh"")"),"Galestorm.")</f>
        <v>Galestorm.</v>
      </c>
      <c r="K271" s="25" t="str">
        <f>IFERROR(__xludf.DUMMYFUNCTION("GOOGLETRANSLATE(B271, ""en"", ""vi"")"),"Galestorm.")</f>
        <v>Galestorm.</v>
      </c>
      <c r="L271" s="26" t="str">
        <f>IFERROR(__xludf.DUMMYFUNCTION("GOOGLETRANSLATE(B271, ""en"", ""hr"")"),"Galestorm")</f>
        <v>Galestorm</v>
      </c>
      <c r="M271" s="28"/>
      <c r="N271" s="28"/>
      <c r="O271" s="28"/>
      <c r="P271" s="28"/>
      <c r="Q271" s="28"/>
      <c r="R271" s="28"/>
      <c r="S271" s="28"/>
      <c r="T271" s="28"/>
      <c r="U271" s="28"/>
      <c r="V271" s="28"/>
      <c r="W271" s="28"/>
      <c r="X271" s="28"/>
      <c r="Y271" s="28"/>
      <c r="Z271" s="28"/>
      <c r="AA271" s="28"/>
      <c r="AB271" s="28"/>
    </row>
    <row r="272">
      <c r="A272" s="21" t="s">
        <v>892</v>
      </c>
      <c r="B272" s="22" t="s">
        <v>893</v>
      </c>
      <c r="C272" s="23" t="str">
        <f>IFERROR(__xludf.DUMMYFUNCTION("GOOGLETRANSLATE(B272,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72" s="23" t="str">
        <f>IFERROR(__xludf.DUMMYFUNCTION("GOOGLETRANSLATE(B272,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72" s="23" t="str">
        <f>IFERROR(__xludf.DUMMYFUNCTION("GOOGLETRANSLATE(B272,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72" s="23" t="str">
        <f>IFERROR(__xludf.DUMMYFUNCTION("GOOGLETRANSLATE(B272,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72" s="23" t="str">
        <f>IFERROR(__xludf.DUMMYFUNCTION("GOOGLETRANSLATE(B272,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72" s="24" t="str">
        <f>IFERROR(__xludf.DUMMYFUNCTION("GOOGLETRANSLATE(B272,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72" s="23" t="str">
        <f>IFERROR(__xludf.DUMMYFUNCTION("GOOGLETRANSLATE(B272,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72" s="25" t="str">
        <f>IFERROR(__xludf.DUMMYFUNCTION("GOOGLETRANSLATE(B272, ""en"", ""zh"")"),"遗迹。海盗水手用于推动他们的船只。通过收集它创造的龙卷风，射击一股风流。")</f>
        <v>遗迹。海盗水手用于推动他们的船只。通过收集它创造的龙卷风，射击一股风流。</v>
      </c>
      <c r="K272" s="25" t="str">
        <f>IFERROR(__xludf.DUMMYFUNCTION("GOOGLETRANSLATE(B272,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72" s="26" t="str">
        <f>IFERROR(__xludf.DUMMYFUNCTION("GOOGLETRANSLATE(B272,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72" s="28"/>
      <c r="N272" s="28"/>
      <c r="O272" s="28"/>
      <c r="P272" s="28"/>
      <c r="Q272" s="28"/>
      <c r="R272" s="28"/>
      <c r="S272" s="28"/>
      <c r="T272" s="28"/>
      <c r="U272" s="28"/>
      <c r="V272" s="28"/>
      <c r="W272" s="28"/>
      <c r="X272" s="28"/>
      <c r="Y272" s="28"/>
      <c r="Z272" s="28"/>
      <c r="AA272" s="28"/>
      <c r="AB272" s="28"/>
    </row>
    <row r="273">
      <c r="A273" s="21" t="s">
        <v>894</v>
      </c>
      <c r="B273" s="22" t="s">
        <v>895</v>
      </c>
      <c r="C273" s="23" t="str">
        <f>IFERROR(__xludf.DUMMYFUNCTION("GOOGLETRANSLATE(B273, ""en"", ""fr"")"),"Étherweave")</f>
        <v>Étherweave</v>
      </c>
      <c r="D273" s="23" t="str">
        <f>IFERROR(__xludf.DUMMYFUNCTION("GOOGLETRANSLATE(B273, ""en"", ""es"")"),"Etherweave")</f>
        <v>Etherweave</v>
      </c>
      <c r="E273" s="23" t="str">
        <f>IFERROR(__xludf.DUMMYFUNCTION("GOOGLETRANSLATE(B273, ""en"", ""ru"")"),"Etherweave.")</f>
        <v>Etherweave.</v>
      </c>
      <c r="F273" s="23" t="str">
        <f>IFERROR(__xludf.DUMMYFUNCTION("GOOGLETRANSLATE(B273, ""en"", ""tr"")"),"Etherweave")</f>
        <v>Etherweave</v>
      </c>
      <c r="G273" s="23" t="str">
        <f>IFERROR(__xludf.DUMMYFUNCTION("GOOGLETRANSLATE(B273, ""en"", ""pt"")"),"Etherweave")</f>
        <v>Etherweave</v>
      </c>
      <c r="H273" s="24" t="str">
        <f>IFERROR(__xludf.DUMMYFUNCTION("GOOGLETRANSLATE(B273, ""en"", ""de"")"),"Etherweave.")</f>
        <v>Etherweave.</v>
      </c>
      <c r="I273" s="23" t="str">
        <f>IFERROR(__xludf.DUMMYFUNCTION("GOOGLETRANSLATE(B273, ""en"", ""pl"")"),"Eterowy")</f>
        <v>Eterowy</v>
      </c>
      <c r="J273" s="25" t="str">
        <f>IFERROR(__xludf.DUMMYFUNCTION("GOOGLETRANSLATE(B273, ""en"", ""zh"")"),"以太织物")</f>
        <v>以太织物</v>
      </c>
      <c r="K273" s="25" t="str">
        <f>IFERROR(__xludf.DUMMYFUNCTION("GOOGLETRANSLATE(B273, ""en"", ""vi"")"),"Etherweave.")</f>
        <v>Etherweave.</v>
      </c>
      <c r="L273" s="26" t="str">
        <f>IFERROR(__xludf.DUMMYFUNCTION("GOOGLETRANSLATE(B273, ""en"", ""hr"")"),"Etherweave")</f>
        <v>Etherweave</v>
      </c>
      <c r="M273" s="28"/>
      <c r="N273" s="28"/>
      <c r="O273" s="28"/>
      <c r="P273" s="28"/>
      <c r="Q273" s="28"/>
      <c r="R273" s="28"/>
      <c r="S273" s="28"/>
      <c r="T273" s="28"/>
      <c r="U273" s="28"/>
      <c r="V273" s="28"/>
      <c r="W273" s="28"/>
      <c r="X273" s="28"/>
      <c r="Y273" s="28"/>
      <c r="Z273" s="28"/>
      <c r="AA273" s="28"/>
      <c r="AB273" s="28"/>
    </row>
    <row r="274">
      <c r="A274" s="21" t="s">
        <v>896</v>
      </c>
      <c r="B274" s="22" t="s">
        <v>897</v>
      </c>
      <c r="C274" s="23" t="str">
        <f>IFERROR(__xludf.DUMMYFUNCTION("GOOGLETRANSLATE(B274, ""en"", ""fr"")"),"Relique. Un vêtement porté par des habitants de l'avion astral. Restaure l'énergie du porteur lorsqu'il est endommagé.")</f>
        <v>Relique. Un vêtement porté par des habitants de l'avion astral. Restaure l'énergie du porteur lorsqu'il est endommagé.</v>
      </c>
      <c r="D274" s="23" t="str">
        <f>IFERROR(__xludf.DUMMYFUNCTION("GOOGLETRANSLATE(B274, ""en"", ""es"")"),"Reliquia. Una prenda usada por los habitantes del plano astral. Restaura la energía del usuario cuando está dañado.")</f>
        <v>Reliquia. Una prenda usada por los habitantes del plano astral. Restaura la energía del usuario cuando está dañado.</v>
      </c>
      <c r="E274" s="23" t="str">
        <f>IFERROR(__xludf.DUMMYFUNCTION("GOOGLETRANSLATE(B274,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4" s="23" t="str">
        <f>IFERROR(__xludf.DUMMYFUNCTION("GOOGLETRANSLATE(B274, ""en"", ""tr"")"),"Kalıntı. Astral uçağın sakinleri tarafından giyilen bir giysi. Hasar gördüğünde kullanıcının enerjisini geri yükler.")</f>
        <v>Kalıntı. Astral uçağın sakinleri tarafından giyilen bir giysi. Hasar gördüğünde kullanıcının enerjisini geri yükler.</v>
      </c>
      <c r="G274" s="23" t="str">
        <f>IFERROR(__xludf.DUMMYFUNCTION("GOOGLETRANSLATE(B274, ""en"", ""pt"")"),"Relíquia. Uma vestimenta usada por habitantes do plano astral. Restaura a energia do usuário quando danificada.")</f>
        <v>Relíquia. Uma vestimenta usada por habitantes do plano astral. Restaura a energia do usuário quando danificada.</v>
      </c>
      <c r="H274" s="24" t="str">
        <f>IFERROR(__xludf.DUMMYFUNCTION("GOOGLETRANSLATE(B274,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4" s="23" t="str">
        <f>IFERROR(__xludf.DUMMYFUNCTION("GOOGLETRANSLATE(B274, ""en"", ""pl"")"),"Relikt. Odzież noszona przez mieszkańców samolotu astralnego. Przywraca energię użytkownika, gdy zostanie uszkodzony.")</f>
        <v>Relikt. Odzież noszona przez mieszkańców samolotu astralnego. Przywraca energię użytkownika, gdy zostanie uszkodzony.</v>
      </c>
      <c r="J274" s="25" t="str">
        <f>IFERROR(__xludf.DUMMYFUNCTION("GOOGLETRANSLATE(B274, ""en"", ""zh"")"),"遗迹。居住者穿着星空飞机的衣服。损坏时恢复佩戴者的能量。")</f>
        <v>遗迹。居住者穿着星空飞机的衣服。损坏时恢复佩戴者的能量。</v>
      </c>
      <c r="K274" s="25" t="str">
        <f>IFERROR(__xludf.DUMMYFUNCTION("GOOGLETRANSLATE(B274,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4" s="26" t="str">
        <f>IFERROR(__xludf.DUMMYFUNCTION("GOOGLETRANSLATE(B274, ""en"", ""hr"")"),"Relikvija. Odjeću koju nosi stanovnici astralne ravnine. Vraća energiju nositelja kada je oštećena.")</f>
        <v>Relikvija. Odjeću koju nosi stanovnici astralne ravnine. Vraća energiju nositelja kada je oštećena.</v>
      </c>
      <c r="M274" s="28"/>
      <c r="N274" s="28"/>
      <c r="O274" s="28"/>
      <c r="P274" s="28"/>
      <c r="Q274" s="28"/>
      <c r="R274" s="28"/>
      <c r="S274" s="28"/>
      <c r="T274" s="28"/>
      <c r="U274" s="28"/>
      <c r="V274" s="28"/>
      <c r="W274" s="28"/>
      <c r="X274" s="28"/>
      <c r="Y274" s="28"/>
      <c r="Z274" s="28"/>
      <c r="AA274" s="28"/>
      <c r="AB274" s="28"/>
    </row>
    <row r="275">
      <c r="A275" s="21"/>
      <c r="B275" s="22"/>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21"/>
      <c r="B276" s="22"/>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34"/>
      <c r="B304" s="35"/>
      <c r="C304" s="30"/>
      <c r="D304" s="30"/>
      <c r="E304" s="30"/>
      <c r="F304" s="30"/>
      <c r="G304" s="30"/>
      <c r="H304" s="31"/>
      <c r="I304" s="30"/>
      <c r="J304" s="32"/>
      <c r="K304" s="32"/>
      <c r="L304" s="33"/>
      <c r="M304" s="28"/>
      <c r="N304" s="28"/>
      <c r="O304" s="28"/>
      <c r="P304" s="28"/>
      <c r="Q304" s="28"/>
      <c r="R304" s="28"/>
      <c r="S304" s="28"/>
      <c r="T304" s="28"/>
      <c r="U304" s="28"/>
      <c r="V304" s="28"/>
      <c r="W304" s="28"/>
      <c r="X304" s="28"/>
      <c r="Y304" s="28"/>
      <c r="Z304" s="28"/>
      <c r="AA304" s="28"/>
      <c r="AB304" s="28"/>
    </row>
    <row r="305">
      <c r="A305" s="34"/>
      <c r="B305" s="35"/>
      <c r="C305" s="30"/>
      <c r="D305" s="30"/>
      <c r="E305" s="30"/>
      <c r="F305" s="30"/>
      <c r="G305" s="30"/>
      <c r="H305" s="31"/>
      <c r="I305" s="30"/>
      <c r="J305" s="32"/>
      <c r="K305" s="32"/>
      <c r="L305" s="33"/>
      <c r="M305" s="28"/>
      <c r="N305" s="28"/>
      <c r="O305" s="28"/>
      <c r="P305" s="28"/>
      <c r="Q305" s="28"/>
      <c r="R305" s="28"/>
      <c r="S305" s="28"/>
      <c r="T305" s="28"/>
      <c r="U305" s="28"/>
      <c r="V305" s="28"/>
      <c r="W305" s="28"/>
      <c r="X305" s="28"/>
      <c r="Y305" s="28"/>
      <c r="Z305" s="28"/>
      <c r="AA305" s="28"/>
      <c r="AB305" s="28"/>
    </row>
    <row r="306">
      <c r="A306" s="34"/>
      <c r="B306" s="35"/>
      <c r="C306" s="30"/>
      <c r="D306" s="30"/>
      <c r="E306" s="30"/>
      <c r="F306" s="30"/>
      <c r="G306" s="30"/>
      <c r="H306" s="31"/>
      <c r="I306" s="30"/>
      <c r="J306" s="32"/>
      <c r="K306" s="32"/>
      <c r="L306" s="33"/>
      <c r="M306" s="28"/>
      <c r="N306" s="28"/>
      <c r="O306" s="28"/>
      <c r="P306" s="28"/>
      <c r="Q306" s="28"/>
      <c r="R306" s="28"/>
      <c r="S306" s="28"/>
      <c r="T306" s="28"/>
      <c r="U306" s="28"/>
      <c r="V306" s="28"/>
      <c r="W306" s="28"/>
      <c r="X306" s="28"/>
      <c r="Y306" s="28"/>
      <c r="Z306" s="28"/>
      <c r="AA306" s="28"/>
      <c r="AB306" s="28"/>
    </row>
    <row r="307">
      <c r="A307" s="34"/>
      <c r="B307" s="35"/>
      <c r="C307" s="30"/>
      <c r="D307" s="30"/>
      <c r="E307" s="30"/>
      <c r="F307" s="30"/>
      <c r="G307" s="30"/>
      <c r="H307" s="31"/>
      <c r="I307" s="30"/>
      <c r="J307" s="32"/>
      <c r="K307" s="32"/>
      <c r="L307" s="33"/>
      <c r="M307" s="28"/>
      <c r="N307" s="28"/>
      <c r="O307" s="28"/>
      <c r="P307" s="28"/>
      <c r="Q307" s="28"/>
      <c r="R307" s="28"/>
      <c r="S307" s="28"/>
      <c r="T307" s="28"/>
      <c r="U307" s="28"/>
      <c r="V307" s="28"/>
      <c r="W307" s="28"/>
      <c r="X307" s="28"/>
      <c r="Y307" s="28"/>
      <c r="Z307" s="28"/>
      <c r="AA307" s="28"/>
      <c r="AB307" s="28"/>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898</v>
      </c>
      <c r="B9" s="22" t="s">
        <v>899</v>
      </c>
      <c r="C9" s="23" t="str">
        <f>IFERROR(__xludf.DUMMYFUNCTION("GOOGLETRANSLATE(B9, ""en"", ""fr"")"),"Formation mannequin")</f>
        <v>Formation mannequin</v>
      </c>
      <c r="D9" s="23" t="str">
        <f>IFERROR(__xludf.DUMMYFUNCTION("GOOGLETRANSLATE(B9, ""en"", ""es"")"),"Maniquí de entrenamiento")</f>
        <v>Maniquí de entrenamiento</v>
      </c>
      <c r="E9" s="23" t="s">
        <v>900</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901</v>
      </c>
      <c r="B10" s="22" t="s">
        <v>902</v>
      </c>
      <c r="C10" s="23" t="str">
        <f>IFERROR(__xludf.DUMMYFUNCTION("GOOGLETRANSLATE(B10, ""en"", ""fr"")"),"Bandit")</f>
        <v>Bandit</v>
      </c>
      <c r="D10" s="23" t="str">
        <f>IFERROR(__xludf.DUMMYFUNCTION("GOOGLETRANSLATE(B10, ""en"", ""es"")"),"Bandido")</f>
        <v>Bandido</v>
      </c>
      <c r="E10" s="23" t="s">
        <v>903</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904</v>
      </c>
      <c r="B11" s="22" t="s">
        <v>905</v>
      </c>
      <c r="C11" s="23" t="str">
        <f>IFERROR(__xludf.DUMMYFUNCTION("GOOGLETRANSLATE(B11, ""en"", ""fr"")"),"Chef de bandit")</f>
        <v>Chef de bandit</v>
      </c>
      <c r="D11" s="23" t="str">
        <f>IFERROR(__xludf.DUMMYFUNCTION("GOOGLETRANSLATE(B11, ""en"", ""es"")"),"Líder de bandidos")</f>
        <v>Líder de bandidos</v>
      </c>
      <c r="E11" s="23" t="s">
        <v>906</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907</v>
      </c>
      <c r="B12" s="22" t="s">
        <v>908</v>
      </c>
      <c r="C12" s="23" t="str">
        <f>IFERROR(__xludf.DUMMYFUNCTION("GOOGLETRANSLATE(B12, ""en"", ""fr"")"),"Assassin")</f>
        <v>Assassin</v>
      </c>
      <c r="D12" s="23" t="str">
        <f>IFERROR(__xludf.DUMMYFUNCTION("GOOGLETRANSLATE(B12, ""en"", ""es"")"),"Asesino")</f>
        <v>Asesino</v>
      </c>
      <c r="E12" s="23" t="s">
        <v>909</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910</v>
      </c>
      <c r="B13" s="22" t="s">
        <v>911</v>
      </c>
      <c r="C13" s="23" t="str">
        <f>IFERROR(__xludf.DUMMYFUNCTION("GOOGLETRANSLATE(B13, ""en"", ""fr"")"),"Assassin principal")</f>
        <v>Assassin principal</v>
      </c>
      <c r="D13" s="23" t="str">
        <f>IFERROR(__xludf.DUMMYFUNCTION("GOOGLETRANSLATE(B13, ""en"", ""es"")"),"Asesino maestro")</f>
        <v>Asesino maestro</v>
      </c>
      <c r="E13" s="23" t="s">
        <v>912</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913</v>
      </c>
      <c r="B14" s="22" t="s">
        <v>914</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915</v>
      </c>
      <c r="B15" s="22" t="s">
        <v>916</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917</v>
      </c>
      <c r="B16" s="22" t="s">
        <v>918</v>
      </c>
      <c r="C16" s="23" t="str">
        <f>IFERROR(__xludf.DUMMYFUNCTION("GOOGLETRANSLATE(B16, ""en"", ""fr"")"),"Aubergiste")</f>
        <v>Aubergiste</v>
      </c>
      <c r="D16" s="23" t="str">
        <f>IFERROR(__xludf.DUMMYFUNCTION("GOOGLETRANSLATE(B16, ""en"", ""es"")"),"Posadero")</f>
        <v>Posadero</v>
      </c>
      <c r="E16" s="23" t="s">
        <v>919</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920</v>
      </c>
      <c r="B17" s="22" t="s">
        <v>921</v>
      </c>
      <c r="C17" s="23" t="str">
        <f>IFERROR(__xludf.DUMMYFUNCTION("GOOGLETRANSLATE(B17, ""en"", ""fr"")"),"Arène maître")</f>
        <v>Arène maître</v>
      </c>
      <c r="D17" s="23" t="str">
        <f>IFERROR(__xludf.DUMMYFUNCTION("GOOGLETRANSLATE(B17, ""en"", ""es"")"),"Arena Maestro")</f>
        <v>Arena Maestro</v>
      </c>
      <c r="E17" s="23" t="s">
        <v>922</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923</v>
      </c>
      <c r="B18" s="22" t="s">
        <v>924</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925</v>
      </c>
      <c r="B19" s="22" t="s">
        <v>926</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927</v>
      </c>
      <c r="B20" s="22" t="s">
        <v>928</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929</v>
      </c>
      <c r="B21" s="22" t="s">
        <v>930</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931</v>
      </c>
      <c r="B22" s="22" t="s">
        <v>932</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933</v>
      </c>
      <c r="B23" s="22" t="s">
        <v>934</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935</v>
      </c>
      <c r="B24" s="22" t="s">
        <v>936</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937</v>
      </c>
      <c r="B25" s="22" t="s">
        <v>938</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939</v>
      </c>
      <c r="B26" s="22" t="s">
        <v>940</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941</v>
      </c>
      <c r="B27" s="22" t="s">
        <v>942</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943</v>
      </c>
      <c r="B28" s="22" t="s">
        <v>944</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945</v>
      </c>
      <c r="B29" s="22" t="s">
        <v>946</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947</v>
      </c>
      <c r="B30" s="22" t="s">
        <v>948</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949</v>
      </c>
      <c r="B31" s="22" t="s">
        <v>950</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951</v>
      </c>
      <c r="B32" s="22" t="s">
        <v>952</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953</v>
      </c>
      <c r="B33" s="22" t="s">
        <v>954</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955</v>
      </c>
      <c r="B34" s="22" t="s">
        <v>956</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957</v>
      </c>
      <c r="B35" s="22" t="s">
        <v>958</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959</v>
      </c>
      <c r="B36" s="22" t="s">
        <v>960</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961</v>
      </c>
      <c r="B37" s="22" t="s">
        <v>962</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963</v>
      </c>
      <c r="B38" s="22" t="s">
        <v>964</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965</v>
      </c>
      <c r="B39" s="22" t="s">
        <v>966</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967</v>
      </c>
      <c r="B40" s="22" t="s">
        <v>968</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969</v>
      </c>
      <c r="B41" s="22" t="s">
        <v>970</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971</v>
      </c>
      <c r="B42" s="22" t="s">
        <v>972</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973</v>
      </c>
      <c r="B43" s="22" t="s">
        <v>974</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975</v>
      </c>
      <c r="B44" s="22" t="s">
        <v>976</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977</v>
      </c>
      <c r="B45" s="22" t="s">
        <v>978</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979</v>
      </c>
      <c r="B46" s="22" t="s">
        <v>980</v>
      </c>
      <c r="C46" s="23" t="str">
        <f>IFERROR(__xludf.DUMMYFUNCTION("GOOGLETRANSLATE(B46, ""en"", ""fr"")"),"Momie")</f>
        <v>Momie</v>
      </c>
      <c r="D46" s="23" t="str">
        <f>IFERROR(__xludf.DUMMYFUNCTION("GOOGLETRANSLATE(B46, ""en"", ""es"")"),"Momia")</f>
        <v>Momia</v>
      </c>
      <c r="E46" s="23" t="s">
        <v>981</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982</v>
      </c>
      <c r="B47" s="22" t="s">
        <v>983</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984</v>
      </c>
      <c r="B48" s="22" t="s">
        <v>985</v>
      </c>
      <c r="C48" s="23" t="str">
        <f>IFERROR(__xludf.DUMMYFUNCTION("GOOGLETRANSLATE(B48, ""en"", ""fr"")"),"pharaon")</f>
        <v>pharaon</v>
      </c>
      <c r="D48" s="23" t="str">
        <f>IFERROR(__xludf.DUMMYFUNCTION("GOOGLETRANSLATE(B48, ""en"", ""es"")"),"faraón")</f>
        <v>faraón</v>
      </c>
      <c r="E48" s="23" t="s">
        <v>986</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987</v>
      </c>
      <c r="B49" s="22" t="s">
        <v>988</v>
      </c>
      <c r="C49" s="23" t="str">
        <f>IFERROR(__xludf.DUMMYFUNCTION("GOOGLETRANSLATE(B49, ""en"", ""fr"")"),"Vampire")</f>
        <v>Vampire</v>
      </c>
      <c r="D49" s="23" t="str">
        <f>IFERROR(__xludf.DUMMYFUNCTION("GOOGLETRANSLATE(B49, ""en"", ""es"")"),"Vampiro")</f>
        <v>Vampiro</v>
      </c>
      <c r="E49" s="23" t="s">
        <v>989</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990</v>
      </c>
      <c r="B50" s="22" t="s">
        <v>991</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992</v>
      </c>
      <c r="B51" s="22" t="s">
        <v>993</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994</v>
      </c>
      <c r="B52" s="22" t="s">
        <v>995</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996</v>
      </c>
      <c r="B53" s="22" t="s">
        <v>997</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998</v>
      </c>
      <c r="B54" s="22" t="s">
        <v>999</v>
      </c>
      <c r="C54" s="23" t="str">
        <f>IFERROR(__xludf.DUMMYFUNCTION("GOOGLETRANSLATE(B54, ""en"", ""fr"")"),"mage")</f>
        <v>mage</v>
      </c>
      <c r="D54" s="23" t="str">
        <f>IFERROR(__xludf.DUMMYFUNCTION("GOOGLETRANSLATE(B54, ""en"", ""es"")"),"Mago")</f>
        <v>Mago</v>
      </c>
      <c r="E54" s="23" t="s">
        <v>1000</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1001</v>
      </c>
      <c r="B55" s="22" t="s">
        <v>1002</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1003</v>
      </c>
      <c r="B56" s="22" t="s">
        <v>1004</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 Golem.")</f>
        <v>Eisen 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1005</v>
      </c>
      <c r="B57" s="22" t="s">
        <v>1006</v>
      </c>
      <c r="C57" s="23" t="str">
        <f>IFERROR(__xludf.DUMMYFUNCTION("GOOGLETRANSLATE(B57, ""en"", ""fr"")"),"Dungium Golem")</f>
        <v>Dungium Golem</v>
      </c>
      <c r="D57" s="23" t="str">
        <f>IFERROR(__xludf.DUMMYFUNCTION("GOOGLETRANSLATE(B57, ""en"", ""es"")"),"Dungium Golem")</f>
        <v>Dungium Golem</v>
      </c>
      <c r="E57" s="23" t="str">
        <f>IFERROR(__xludf.DUMMYFUNCTION("GOOGLETRANSLATE(B57, ""en"", ""ru"")"),"Дунгуль Голема")</f>
        <v>Дунгуль Голема</v>
      </c>
      <c r="F57" s="23" t="str">
        <f>IFERROR(__xludf.DUMMYFUNCTION("GOOGLETRANSLATE(B57, ""en"", ""tr"")"),"Dungium golem")</f>
        <v>Dungium golem</v>
      </c>
      <c r="G57" s="23" t="str">
        <f>IFERROR(__xludf.DUMMYFUNCTION("GOOGLETRANSLATE(B57, ""en"", ""pt"")"),"Dungium Golem.")</f>
        <v>Dungium Golem.</v>
      </c>
      <c r="H57" s="24" t="str">
        <f>IFERROR(__xludf.DUMMYFUNCTION("GOOGLETRANSLATE(B57, ""en"", ""de"")"),"Dungium Golem.")</f>
        <v>Dungium Golem.</v>
      </c>
      <c r="I57" s="23" t="str">
        <f>IFERROR(__xludf.DUMMYFUNCTION("GOOGLETRANSLATE(B57, ""en"", ""pl"")"),"Dungium Golem.")</f>
        <v>Dungium Golem.</v>
      </c>
      <c r="J57" s="25" t="str">
        <f>IFERROR(__xludf.DUMMYFUNCTION("GOOGLETRANSLATE(B57, ""en"", ""zh"")"),"Dungium golem.")</f>
        <v>Dungium golem.</v>
      </c>
      <c r="K57" s="25" t="str">
        <f>IFERROR(__xludf.DUMMYFUNCTION("GOOGLETRANSLATE(B57, ""en"", ""vi"")"),"Dungium golem.")</f>
        <v>Dungium golem.</v>
      </c>
      <c r="L57" s="26" t="str">
        <f>IFERROR(__xludf.DUMMYFUNCTION("GOOGLETRANSLATE(B57, ""en"", ""hr"")"),"Dungium Golem")</f>
        <v>Dungium Golem</v>
      </c>
      <c r="M57" s="28"/>
      <c r="N57" s="28"/>
      <c r="O57" s="28"/>
      <c r="P57" s="28"/>
      <c r="Q57" s="28"/>
      <c r="R57" s="28"/>
      <c r="S57" s="28"/>
      <c r="T57" s="28"/>
      <c r="U57" s="28"/>
      <c r="V57" s="28"/>
      <c r="W57" s="28"/>
      <c r="X57" s="28"/>
      <c r="Y57" s="28"/>
      <c r="Z57" s="28"/>
      <c r="AA57" s="28"/>
      <c r="AB57" s="28"/>
    </row>
    <row r="58">
      <c r="A58" s="21" t="s">
        <v>1007</v>
      </c>
      <c r="B58" s="22" t="s">
        <v>1008</v>
      </c>
      <c r="C58" s="23" t="str">
        <f>IFERROR(__xludf.DUMMYFUNCTION("GOOGLETRANSLATE(B58, ""en"", ""fr"")"),"Agonite golem")</f>
        <v>Agonite golem</v>
      </c>
      <c r="D58" s="23" t="str">
        <f>IFERROR(__xludf.DUMMYFUNCTION("GOOGLETRANSLATE(B58, ""en"", ""es"")"),"Agonita golem")</f>
        <v>Agonita golem</v>
      </c>
      <c r="E58" s="23" t="str">
        <f>IFERROR(__xludf.DUMMYFUNCTION("GOOGLETRANSLATE(B58, ""en"", ""ru"")"),"Агонит Голема")</f>
        <v>Агонит Голема</v>
      </c>
      <c r="F58" s="23" t="str">
        <f>IFERROR(__xludf.DUMMYFUNCTION("GOOGLETRANSLATE(B58, ""en"", ""tr"")"),"Agonite Golem")</f>
        <v>Agonite Golem</v>
      </c>
      <c r="G58" s="23" t="str">
        <f>IFERROR(__xludf.DUMMYFUNCTION("GOOGLETRANSLATE(B58, ""en"", ""pt"")"),"Golem de agonite.")</f>
        <v>Golem de agonite.</v>
      </c>
      <c r="H58" s="24" t="str">
        <f>IFERROR(__xludf.DUMMYFUNCTION("GOOGLETRANSLATE(B58, ""en"", ""de"")"),"Agonite Golem.")</f>
        <v>Agonite Golem.</v>
      </c>
      <c r="I58" s="23" t="str">
        <f>IFERROR(__xludf.DUMMYFUNCTION("GOOGLETRANSLATE(B58, ""en"", ""pl"")"),"Agonite golem.")</f>
        <v>Agonite golem.</v>
      </c>
      <c r="J58" s="25" t="str">
        <f>IFERROR(__xludf.DUMMYFUNCTION("GOOGLETRANSLATE(B58, ""en"", ""zh"")"),"Agonite Golem.")</f>
        <v>Agonite Golem.</v>
      </c>
      <c r="K58" s="25" t="str">
        <f>IFERROR(__xludf.DUMMYFUNCTION("GOOGLETRANSLATE(B58, ""en"", ""vi"")"),"Agonite golem.")</f>
        <v>Agonite golem.</v>
      </c>
      <c r="L58" s="26" t="str">
        <f>IFERROR(__xludf.DUMMYFUNCTION("GOOGLETRANSLATE(B58, ""en"", ""hr"")"),"Agonit golem")</f>
        <v>Agonit golem</v>
      </c>
      <c r="M58" s="28"/>
      <c r="N58" s="28"/>
      <c r="O58" s="28"/>
      <c r="P58" s="28"/>
      <c r="Q58" s="28"/>
      <c r="R58" s="28"/>
      <c r="S58" s="28"/>
      <c r="T58" s="28"/>
      <c r="U58" s="28"/>
      <c r="V58" s="28"/>
      <c r="W58" s="28"/>
      <c r="X58" s="28"/>
      <c r="Y58" s="28"/>
      <c r="Z58" s="28"/>
      <c r="AA58" s="28"/>
      <c r="AB58" s="28"/>
    </row>
    <row r="59">
      <c r="A59" s="21" t="s">
        <v>1009</v>
      </c>
      <c r="B59" s="22" t="s">
        <v>1010</v>
      </c>
      <c r="C59" s="23" t="str">
        <f>IFERROR(__xludf.DUMMYFUNCTION("GOOGLETRANSLATE(B59, ""en"", ""fr"")"),"Noctis golem")</f>
        <v>Noctis golem</v>
      </c>
      <c r="D59" s="23" t="str">
        <f>IFERROR(__xludf.DUMMYFUNCTION("GOOGLETRANSLATE(B59, ""en"", ""es"")"),"Noctis Golem")</f>
        <v>Noctis Golem</v>
      </c>
      <c r="E59" s="23" t="str">
        <f>IFERROR(__xludf.DUMMYFUNCTION("GOOGLETRANSLATE(B59, ""en"", ""ru"")"),"Ноктис Голема")</f>
        <v>Ноктис Голема</v>
      </c>
      <c r="F59" s="23" t="str">
        <f>IFERROR(__xludf.DUMMYFUNCTION("GOOGLETRANSLATE(B59, ""en"", ""tr"")"),"Noctis golem")</f>
        <v>Noctis golem</v>
      </c>
      <c r="G59" s="23" t="str">
        <f>IFERROR(__xludf.DUMMYFUNCTION("GOOGLETRANSLATE(B59, ""en"", ""pt"")"),"Noctis Golem.")</f>
        <v>Noctis Golem.</v>
      </c>
      <c r="H59" s="24" t="str">
        <f>IFERROR(__xludf.DUMMYFUNCTION("GOOGLETRANSLATE(B59, ""en"", ""de"")"),"Noctis Golem.")</f>
        <v>Noctis Golem.</v>
      </c>
      <c r="I59" s="23" t="str">
        <f>IFERROR(__xludf.DUMMYFUNCTION("GOOGLETRANSLATE(B59, ""en"", ""pl"")"),"Noctis Golem.")</f>
        <v>Noctis Golem.</v>
      </c>
      <c r="J59" s="25" t="str">
        <f>IFERROR(__xludf.DUMMYFUNCTION("GOOGLETRANSLATE(B59, ""en"", ""zh"")"),"诺克密戈尔姆")</f>
        <v>诺克密戈尔姆</v>
      </c>
      <c r="K59" s="25" t="str">
        <f>IFERROR(__xludf.DUMMYFUNCTION("GOOGLETRANSLATE(B59, ""en"", ""vi"")"),"Noctis golem.")</f>
        <v>Noctis golem.</v>
      </c>
      <c r="L59" s="26" t="str">
        <f>IFERROR(__xludf.DUMMYFUNCTION("GOOGLETRANSLATE(B59, ""en"", ""hr"")"),"Noctis Golem")</f>
        <v>Noctis Golem</v>
      </c>
      <c r="M59" s="28"/>
      <c r="N59" s="28"/>
      <c r="O59" s="28"/>
      <c r="P59" s="28"/>
      <c r="Q59" s="28"/>
      <c r="R59" s="28"/>
      <c r="S59" s="28"/>
      <c r="T59" s="28"/>
      <c r="U59" s="28"/>
      <c r="V59" s="28"/>
      <c r="W59" s="28"/>
      <c r="X59" s="28"/>
      <c r="Y59" s="28"/>
      <c r="Z59" s="28"/>
      <c r="AA59" s="28"/>
      <c r="AB59" s="28"/>
    </row>
    <row r="60">
      <c r="A60" s="21" t="s">
        <v>1011</v>
      </c>
      <c r="B60" s="22" t="s">
        <v>1012</v>
      </c>
      <c r="C60" s="23" t="str">
        <f>IFERROR(__xludf.DUMMYFUNCTION("GOOGLETRANSLATE(B60, ""en"", ""fr"")"),"Additionnel")</f>
        <v>Additionnel</v>
      </c>
      <c r="D60" s="23" t="str">
        <f>IFERROR(__xludf.DUMMYFUNCTION("GOOGLETRANSLATE(B60, ""en"", ""es"")"),"Adumbral")</f>
        <v>Adumbral</v>
      </c>
      <c r="E60" s="23" t="str">
        <f>IFERROR(__xludf.DUMMYFUNCTION("GOOGLETRANSLATE(B60, ""en"", ""ru"")"),"Адумбрал")</f>
        <v>Адумбрал</v>
      </c>
      <c r="F60" s="23" t="str">
        <f>IFERROR(__xludf.DUMMYFUNCTION("GOOGLETRANSLATE(B60, ""en"", ""tr"")"),"Haydut")</f>
        <v>Haydut</v>
      </c>
      <c r="G60" s="23" t="str">
        <f>IFERROR(__xludf.DUMMYFUNCTION("GOOGLETRANSLATE(B60, ""en"", ""pt"")"),"Adumbral.")</f>
        <v>Adumbral.</v>
      </c>
      <c r="H60" s="24" t="str">
        <f>IFERROR(__xludf.DUMMYFUNCTION("GOOGLETRANSLATE(B60, ""en"", ""de"")"),"Adumbral")</f>
        <v>Adumbral</v>
      </c>
      <c r="I60" s="23" t="str">
        <f>IFERROR(__xludf.DUMMYFUNCTION("GOOGLETRANSLATE(B60, ""en"", ""pl"")"),"Adumbral.")</f>
        <v>Adumbral.</v>
      </c>
      <c r="J60" s="25" t="str">
        <f>IFERROR(__xludf.DUMMYFUNCTION("GOOGLETRANSLATE(B60, ""en"", ""zh"")"),"adumbral.")</f>
        <v>adumbral.</v>
      </c>
      <c r="K60" s="25" t="str">
        <f>IFERROR(__xludf.DUMMYFUNCTION("GOOGLETRANSLATE(B60, ""en"", ""vi"")"),"Adumbral.")</f>
        <v>Adumbral.</v>
      </c>
      <c r="L60" s="26" t="str">
        <f>IFERROR(__xludf.DUMMYFUNCTION("GOOGLETRANSLATE(B60, ""en"", ""hr"")"),"Adumbralan")</f>
        <v>Adumbralan</v>
      </c>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34"/>
      <c r="B117" s="35"/>
      <c r="C117" s="30"/>
      <c r="D117" s="30"/>
      <c r="E117" s="30"/>
      <c r="F117" s="30"/>
      <c r="G117" s="30"/>
      <c r="H117" s="31"/>
      <c r="I117" s="30"/>
      <c r="J117" s="32"/>
      <c r="K117" s="32"/>
      <c r="L117" s="33"/>
      <c r="M117" s="28"/>
      <c r="N117" s="28"/>
      <c r="O117" s="28"/>
      <c r="P117" s="28"/>
      <c r="Q117" s="28"/>
      <c r="R117" s="28"/>
      <c r="S117" s="28"/>
      <c r="T117" s="28"/>
      <c r="U117" s="28"/>
      <c r="V117" s="28"/>
      <c r="W117" s="28"/>
      <c r="X117" s="28"/>
      <c r="Y117" s="28"/>
      <c r="Z117" s="28"/>
      <c r="AA117" s="28"/>
      <c r="AB117" s="28"/>
    </row>
    <row r="118">
      <c r="A118" s="34"/>
      <c r="B118" s="35"/>
      <c r="C118" s="30"/>
      <c r="D118" s="30"/>
      <c r="E118" s="30"/>
      <c r="F118" s="30"/>
      <c r="G118" s="30"/>
      <c r="H118" s="31"/>
      <c r="I118" s="30"/>
      <c r="J118" s="32"/>
      <c r="K118" s="32"/>
      <c r="L118" s="33"/>
      <c r="M118" s="28"/>
      <c r="N118" s="28"/>
      <c r="O118" s="28"/>
      <c r="P118" s="28"/>
      <c r="Q118" s="28"/>
      <c r="R118" s="28"/>
      <c r="S118" s="28"/>
      <c r="T118" s="28"/>
      <c r="U118" s="28"/>
      <c r="V118" s="28"/>
      <c r="W118" s="28"/>
      <c r="X118" s="28"/>
      <c r="Y118" s="28"/>
      <c r="Z118" s="28"/>
      <c r="AA118" s="28"/>
      <c r="AB118" s="28"/>
    </row>
    <row r="119">
      <c r="A119" s="34"/>
      <c r="B119" s="35"/>
      <c r="C119" s="30"/>
      <c r="D119" s="30"/>
      <c r="E119" s="30"/>
      <c r="F119" s="30"/>
      <c r="G119" s="30"/>
      <c r="H119" s="31"/>
      <c r="I119" s="30"/>
      <c r="J119" s="32"/>
      <c r="K119" s="32"/>
      <c r="L119" s="33"/>
      <c r="M119" s="28"/>
      <c r="N119" s="28"/>
      <c r="O119" s="28"/>
      <c r="P119" s="28"/>
      <c r="Q119" s="28"/>
      <c r="R119" s="28"/>
      <c r="S119" s="28"/>
      <c r="T119" s="28"/>
      <c r="U119" s="28"/>
      <c r="V119" s="28"/>
      <c r="W119" s="28"/>
      <c r="X119" s="28"/>
      <c r="Y119" s="28"/>
      <c r="Z119" s="28"/>
      <c r="AA119" s="28"/>
      <c r="AB119" s="28"/>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1013</v>
      </c>
      <c r="B9" s="22" t="s">
        <v>1014</v>
      </c>
      <c r="C9" s="23" t="str">
        <f>IFERROR(__xludf.DUMMYFUNCTION("GOOGLETRANSLATE(B9, ""en"", ""fr"")"),"Mêlée")</f>
        <v>Mêlée</v>
      </c>
      <c r="D9" s="23" t="str">
        <f>IFERROR(__xludf.DUMMYFUNCTION("GOOGLETRANSLATE(B9, ""en"", ""es"")"),"Pelea confusa")</f>
        <v>Pelea confusa</v>
      </c>
      <c r="E9" s="23" t="str">
        <f>IFERROR(__xludf.DUMMYFUNCTION("GOOGLETRANSLATE(B9, ""en"", ""ru"")"),"Борьба")</f>
        <v>Борьба</v>
      </c>
      <c r="F9" s="23" t="str">
        <f>IFERROR(__xludf.DUMMYFUNCTION("GOOGLETRANSLATE(B9, ""en"", ""tr"")"),"Yakın dövüş")</f>
        <v>Yakın dövüş</v>
      </c>
      <c r="G9" s="23" t="str">
        <f>IFERROR(__xludf.DUMMYFUNCTION("GOOGLETRANSLATE(B9, ""en"", ""pt"")"),"Melee.")</f>
        <v>Melee.</v>
      </c>
      <c r="H9" s="24" t="str">
        <f>IFERROR(__xludf.DUMMYFUNCTION("GOOGLETRANSLATE(B9, ""en"", ""de"")"),"Nahkampf")</f>
        <v>Nahkampf</v>
      </c>
      <c r="I9" s="23" t="str">
        <f>IFERROR(__xludf.DUMMYFUNCTION("GOOGLETRANSLATE(B9, ""en"", ""pl"")"),"Bijatyka")</f>
        <v>Bijatyka</v>
      </c>
      <c r="J9" s="25" t="str">
        <f>IFERROR(__xludf.DUMMYFUNCTION("GOOGLETRANSLATE(B9, ""en"", ""zh"")"),"近战")</f>
        <v>近战</v>
      </c>
      <c r="K9" s="25" t="str">
        <f>IFERROR(__xludf.DUMMYFUNCTION("GOOGLETRANSLATE(B9, ""en"", ""vi"")"),"Melee.")</f>
        <v>Melee.</v>
      </c>
      <c r="L9" s="26" t="str">
        <f>IFERROR(__xludf.DUMMYFUNCTION("GOOGLETRANSLATE(B9, ""en"", ""hr"")"),"Gužva")</f>
        <v>Gužva</v>
      </c>
      <c r="M9" s="28"/>
      <c r="N9" s="28"/>
      <c r="O9" s="28"/>
      <c r="P9" s="28"/>
      <c r="Q9" s="28"/>
      <c r="R9" s="28"/>
      <c r="S9" s="28"/>
      <c r="T9" s="28"/>
      <c r="U9" s="28"/>
      <c r="V9" s="28"/>
      <c r="W9" s="28"/>
      <c r="X9" s="28"/>
      <c r="Y9" s="28"/>
      <c r="Z9" s="28"/>
      <c r="AA9" s="28"/>
      <c r="AB9" s="28"/>
    </row>
    <row r="10">
      <c r="A10" s="21" t="s">
        <v>1015</v>
      </c>
      <c r="B10" s="22" t="s">
        <v>1016</v>
      </c>
      <c r="C10" s="23" t="str">
        <f>IFERROR(__xludf.DUMMYFUNCTION("GOOGLETRANSLATE(B10,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0" s="23" t="str">
        <f>IFERROR(__xludf.DUMMYFUNCTION("GOOGLETRANSLATE(B10,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0" s="23" t="str">
        <f>IFERROR(__xludf.DUMMYFUNCTION("GOOGLETRANSLATE(B10,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0" s="23" t="str">
        <f>IFERROR(__xludf.DUMMYFUNCTION("GOOGLETRANSLATE(B10,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0" s="23" t="str">
        <f>IFERROR(__xludf.DUMMYFUNCTION("GOOGLETRANSLATE(B10,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0" s="24" t="str">
        <f>IFERROR(__xludf.DUMMYFUNCTION("GOOGLETRANSLATE(B10,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0" s="23" t="str">
        <f>IFERROR(__xludf.DUMMYFUNCTION("GOOGLETRANSLATE(B10,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0" s="25" t="str">
        <f>IFERROR(__xludf.DUMMYFUNCTION("GOOGLETRANSLATE(B10,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0" s="25" t="str">
        <f>IFERROR(__xludf.DUMMYFUNCTION("GOOGLETRANSLATE(B10,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0" s="26" t="str">
        <f>IFERROR(__xludf.DUMMYFUNCTION("GOOGLETRANSLATE(B10,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0" s="28"/>
      <c r="N10" s="28"/>
      <c r="O10" s="28"/>
      <c r="P10" s="28"/>
      <c r="Q10" s="28"/>
      <c r="R10" s="28"/>
      <c r="S10" s="28"/>
      <c r="T10" s="28"/>
      <c r="U10" s="28"/>
      <c r="V10" s="28"/>
      <c r="W10" s="28"/>
      <c r="X10" s="28"/>
      <c r="Y10" s="28"/>
      <c r="Z10" s="28"/>
      <c r="AA10" s="28"/>
      <c r="AB10" s="28"/>
    </row>
    <row r="11">
      <c r="A11" s="21" t="s">
        <v>1017</v>
      </c>
      <c r="B11" s="22" t="s">
        <v>1018</v>
      </c>
      <c r="C11" s="23" t="str">
        <f>IFERROR(__xludf.DUMMYFUNCTION("GOOGLETRANSLATE(B11, ""en"", ""fr"")"),"Rangé")</f>
        <v>Rangé</v>
      </c>
      <c r="D11" s="23" t="str">
        <f>IFERROR(__xludf.DUMMYFUNCTION("GOOGLETRANSLATE(B11, ""en"", ""es"")"),"Oscurecido")</f>
        <v>Oscurecido</v>
      </c>
      <c r="E11" s="23" t="str">
        <f>IFERROR(__xludf.DUMMYFUNCTION("GOOGLETRANSLATE(B11, ""en"", ""ru"")"),"Варьировал")</f>
        <v>Варьировал</v>
      </c>
      <c r="F11" s="23" t="str">
        <f>IFERROR(__xludf.DUMMYFUNCTION("GOOGLETRANSLATE(B11, ""en"", ""tr"")"),"Değişimli")</f>
        <v>Değişimli</v>
      </c>
      <c r="G11" s="23" t="str">
        <f>IFERROR(__xludf.DUMMYFUNCTION("GOOGLETRANSLATE(B11, ""en"", ""pt"")"),"Variou")</f>
        <v>Variou</v>
      </c>
      <c r="H11" s="24" t="str">
        <f>IFERROR(__xludf.DUMMYFUNCTION("GOOGLETRANSLATE(B11, ""en"", ""de"")"),"Langen")</f>
        <v>Langen</v>
      </c>
      <c r="I11" s="23" t="str">
        <f>IFERROR(__xludf.DUMMYFUNCTION("GOOGLETRANSLATE(B11, ""en"", ""pl"")"),"Wahał się")</f>
        <v>Wahał się</v>
      </c>
      <c r="J11" s="25" t="str">
        <f>IFERROR(__xludf.DUMMYFUNCTION("GOOGLETRANSLATE(B11, ""en"", ""zh"")"),"范围")</f>
        <v>范围</v>
      </c>
      <c r="K11" s="25" t="str">
        <f>IFERROR(__xludf.DUMMYFUNCTION("GOOGLETRANSLATE(B11, ""en"", ""vi"")"),"Ranged.")</f>
        <v>Ranged.</v>
      </c>
      <c r="L11" s="26" t="str">
        <f>IFERROR(__xludf.DUMMYFUNCTION("GOOGLETRANSLATE(B11, ""en"", ""hr"")"),"Kretao")</f>
        <v>Kretao</v>
      </c>
      <c r="M11" s="28"/>
      <c r="N11" s="28"/>
      <c r="O11" s="28"/>
      <c r="P11" s="28"/>
      <c r="Q11" s="28"/>
      <c r="R11" s="28"/>
      <c r="S11" s="28"/>
      <c r="T11" s="28"/>
      <c r="U11" s="28"/>
      <c r="V11" s="28"/>
      <c r="W11" s="28"/>
      <c r="X11" s="28"/>
      <c r="Y11" s="28"/>
      <c r="Z11" s="28"/>
      <c r="AA11" s="28"/>
      <c r="AB11" s="28"/>
    </row>
    <row r="12">
      <c r="A12" s="21" t="s">
        <v>1019</v>
      </c>
      <c r="B12" s="22" t="s">
        <v>1020</v>
      </c>
      <c r="C12" s="23" t="str">
        <f>IFERROR(__xludf.DUMMYFUNCTION("GOOGLETRANSLATE(B12,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2" s="23" t="str">
        <f>IFERROR(__xludf.DUMMYFUNCTION("GOOGLETRANSLATE(B12,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2" s="23" t="str">
        <f>IFERROR(__xludf.DUMMYFUNCTION("GOOGLETRANSLATE(B12,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2" s="23" t="str">
        <f>IFERROR(__xludf.DUMMYFUNCTION("GOOGLETRANSLATE(B12,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2" s="23" t="str">
        <f>IFERROR(__xludf.DUMMYFUNCTION("GOOGLETRANSLATE(B12,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2" s="24" t="str">
        <f>IFERROR(__xludf.DUMMYFUNCTION("GOOGLETRANSLATE(B12,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2" s="23" t="str">
        <f>IFERROR(__xludf.DUMMYFUNCTION("GOOGLETRANSLATE(B12,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2" s="25" t="str">
        <f>IFERROR(__xludf.DUMMYFUNCTION("GOOGLETRANSLATE(B12,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2" s="25" t="str">
        <f>IFERROR(__xludf.DUMMYFUNCTION("GOOGLETRANSLATE(B12,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2" s="26" t="str">
        <f>IFERROR(__xludf.DUMMYFUNCTION("GOOGLETRANSLATE(B12,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2" s="28"/>
      <c r="N12" s="28"/>
      <c r="O12" s="28"/>
      <c r="P12" s="28"/>
      <c r="Q12" s="28"/>
      <c r="R12" s="28"/>
      <c r="S12" s="28"/>
      <c r="T12" s="28"/>
      <c r="U12" s="28"/>
      <c r="V12" s="28"/>
      <c r="W12" s="28"/>
      <c r="X12" s="28"/>
      <c r="Y12" s="28"/>
      <c r="Z12" s="28"/>
      <c r="AA12" s="28"/>
      <c r="AB12" s="28"/>
    </row>
    <row r="13">
      <c r="A13" s="21" t="s">
        <v>1021</v>
      </c>
      <c r="B13" s="22" t="s">
        <v>1022</v>
      </c>
      <c r="C13" s="23" t="str">
        <f>IFERROR(__xludf.DUMMYFUNCTION("GOOGLETRANSLATE(B13, ""en"", ""fr"")"),"la magie")</f>
        <v>la magie</v>
      </c>
      <c r="D13" s="23" t="str">
        <f>IFERROR(__xludf.DUMMYFUNCTION("GOOGLETRANSLATE(B13, ""en"", ""es"")"),"magia")</f>
        <v>magia</v>
      </c>
      <c r="E13" s="23" t="str">
        <f>IFERROR(__xludf.DUMMYFUNCTION("GOOGLETRANSLATE(B13, ""en"", ""ru"")"),"Магия")</f>
        <v>Магия</v>
      </c>
      <c r="F13" s="23" t="str">
        <f>IFERROR(__xludf.DUMMYFUNCTION("GOOGLETRANSLATE(B13, ""en"", ""tr"")"),"büyü")</f>
        <v>büyü</v>
      </c>
      <c r="G13" s="23" t="str">
        <f>IFERROR(__xludf.DUMMYFUNCTION("GOOGLETRANSLATE(B13, ""en"", ""pt"")"),"Magia")</f>
        <v>Magia</v>
      </c>
      <c r="H13" s="24" t="str">
        <f>IFERROR(__xludf.DUMMYFUNCTION("GOOGLETRANSLATE(B13, ""en"", ""de"")"),"Magie")</f>
        <v>Magie</v>
      </c>
      <c r="I13" s="23" t="str">
        <f>IFERROR(__xludf.DUMMYFUNCTION("GOOGLETRANSLATE(B13, ""en"", ""pl"")"),"magia")</f>
        <v>magia</v>
      </c>
      <c r="J13" s="25" t="str">
        <f>IFERROR(__xludf.DUMMYFUNCTION("GOOGLETRANSLATE(B13, ""en"", ""zh"")"),"魔法")</f>
        <v>魔法</v>
      </c>
      <c r="K13" s="25" t="str">
        <f>IFERROR(__xludf.DUMMYFUNCTION("GOOGLETRANSLATE(B13, ""en"", ""vi"")"),"ảo thuật")</f>
        <v>ảo thuật</v>
      </c>
      <c r="L13" s="26" t="str">
        <f>IFERROR(__xludf.DUMMYFUNCTION("GOOGLETRANSLATE(B13, ""en"", ""hr"")"),"magija")</f>
        <v>magija</v>
      </c>
      <c r="M13" s="28"/>
      <c r="N13" s="28"/>
      <c r="O13" s="28"/>
      <c r="P13" s="28"/>
      <c r="Q13" s="28"/>
      <c r="R13" s="28"/>
      <c r="S13" s="28"/>
      <c r="T13" s="28"/>
      <c r="U13" s="28"/>
      <c r="V13" s="28"/>
      <c r="W13" s="28"/>
      <c r="X13" s="28"/>
      <c r="Y13" s="28"/>
      <c r="Z13" s="28"/>
      <c r="AA13" s="28"/>
      <c r="AB13" s="28"/>
    </row>
    <row r="14">
      <c r="A14" s="21" t="s">
        <v>1023</v>
      </c>
      <c r="B14" s="22" t="s">
        <v>1024</v>
      </c>
      <c r="C14" s="23" t="str">
        <f>IFERROR(__xludf.DUMMYFUNCTION("GOOGLETRANSLATE(B14,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4" s="23" t="str">
        <f>IFERROR(__xludf.DUMMYFUNCTION("GOOGLETRANSLATE(B14,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4" s="23" t="str">
        <f>IFERROR(__xludf.DUMMYFUNCTION("GOOGLETRANSLATE(B14,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4" s="23" t="str">
        <f>IFERROR(__xludf.DUMMYFUNCTION("GOOGLETRANSLATE(B14,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4" s="23" t="str">
        <f>IFERROR(__xludf.DUMMYFUNCTION("GOOGLETRANSLATE(B14,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4" s="24" t="str">
        <f>IFERROR(__xludf.DUMMYFUNCTION("GOOGLETRANSLATE(B14, ""en"", ""de"")"),"Ihre Effektivität mit magischen Waffen. Reduziert, wie viel Haltbarkeit magische Waffen verlieren, wenn sie verwendet werden. Verbessern Sie die Verwendung von magischen Gegenständen wie Mitarbeitern und Zauberbüchern.")</f>
        <v>Ihre Effektivität mit magischen Waffen. Reduziert, wie viel Haltbarkeit magische Waffen verlieren, wenn sie verwendet werden. Verbessern Sie die Verwendung von magischen Gegenständen wie Mitarbeitern und Zauberbüchern.</v>
      </c>
      <c r="I14" s="23" t="str">
        <f>IFERROR(__xludf.DUMMYFUNCTION("GOOGLETRANSLATE(B14,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4" s="25" t="str">
        <f>IFERROR(__xludf.DUMMYFUNCTION("GOOGLETRANSLATE(B14, ""en"", ""zh"")"),"你对魔法武器的效力。减少了使用时耐用的魔法武器减少了多少。使用员工和拼写书等魔法物品改善。")</f>
        <v>你对魔法武器的效力。减少了使用时耐用的魔法武器减少了多少。使用员工和拼写书等魔法物品改善。</v>
      </c>
      <c r="K14" s="25" t="str">
        <f>IFERROR(__xludf.DUMMYFUNCTION("GOOGLETRANSLATE(B14,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4" s="26" t="str">
        <f>IFERROR(__xludf.DUMMYFUNCTION("GOOGLETRANSLATE(B14,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4" s="28"/>
      <c r="N14" s="28"/>
      <c r="O14" s="28"/>
      <c r="P14" s="28"/>
      <c r="Q14" s="28"/>
      <c r="R14" s="28"/>
      <c r="S14" s="28"/>
      <c r="T14" s="28"/>
      <c r="U14" s="28"/>
      <c r="V14" s="28"/>
      <c r="W14" s="28"/>
      <c r="X14" s="28"/>
      <c r="Y14" s="28"/>
      <c r="Z14" s="28"/>
      <c r="AA14" s="28"/>
      <c r="AB14" s="28"/>
    </row>
    <row r="15">
      <c r="A15" s="21" t="s">
        <v>1025</v>
      </c>
      <c r="B15" s="22" t="s">
        <v>212</v>
      </c>
      <c r="C15" s="23" t="str">
        <f>IFERROR(__xludf.DUMMYFUNCTION("GOOGLETRANSLATE(B15, ""en"", ""fr"")"),"La cueillette")</f>
        <v>La cueillette</v>
      </c>
      <c r="D15" s="23" t="str">
        <f>IFERROR(__xludf.DUMMYFUNCTION("GOOGLETRANSLATE(B15, ""en"", ""es"")"),"Reunión")</f>
        <v>Reunión</v>
      </c>
      <c r="E15" s="23" t="str">
        <f>IFERROR(__xludf.DUMMYFUNCTION("GOOGLETRANSLATE(B15, ""en"", ""ru"")"),"Встреча")</f>
        <v>Встреча</v>
      </c>
      <c r="F15" s="23" t="str">
        <f>IFERROR(__xludf.DUMMYFUNCTION("GOOGLETRANSLATE(B15, ""en"", ""tr"")"),"Toplanma")</f>
        <v>Toplanma</v>
      </c>
      <c r="G15" s="23" t="str">
        <f>IFERROR(__xludf.DUMMYFUNCTION("GOOGLETRANSLATE(B15, ""en"", ""pt"")"),"Reunião")</f>
        <v>Reunião</v>
      </c>
      <c r="H15" s="24" t="str">
        <f>IFERROR(__xludf.DUMMYFUNCTION("GOOGLETRANSLATE(B15, ""en"", ""de"")"),"Sammeln")</f>
        <v>Sammeln</v>
      </c>
      <c r="I15" s="23" t="str">
        <f>IFERROR(__xludf.DUMMYFUNCTION("GOOGLETRANSLATE(B15, ""en"", ""pl"")"),"Zgromadzenie")</f>
        <v>Zgromadzenie</v>
      </c>
      <c r="J15" s="25" t="str">
        <f>IFERROR(__xludf.DUMMYFUNCTION("GOOGLETRANSLATE(B15, ""en"", ""zh"")"),"搜集")</f>
        <v>搜集</v>
      </c>
      <c r="K15" s="25" t="str">
        <f>IFERROR(__xludf.DUMMYFUNCTION("GOOGLETRANSLATE(B15, ""en"", ""vi"")"),"Thu thập")</f>
        <v>Thu thập</v>
      </c>
      <c r="L15" s="26" t="str">
        <f>IFERROR(__xludf.DUMMYFUNCTION("GOOGLETRANSLATE(B15, ""en"", ""hr"")"),"Prikupljanje")</f>
        <v>Prikupljanje</v>
      </c>
      <c r="M15" s="28"/>
      <c r="N15" s="28"/>
      <c r="O15" s="28"/>
      <c r="P15" s="28"/>
      <c r="Q15" s="28"/>
      <c r="R15" s="28"/>
      <c r="S15" s="28"/>
      <c r="T15" s="28"/>
      <c r="U15" s="28"/>
      <c r="V15" s="28"/>
      <c r="W15" s="28"/>
      <c r="X15" s="28"/>
      <c r="Y15" s="28"/>
      <c r="Z15" s="28"/>
      <c r="AA15" s="28"/>
      <c r="AB15" s="28"/>
    </row>
    <row r="16">
      <c r="A16" s="21" t="s">
        <v>1026</v>
      </c>
      <c r="B16" s="22" t="s">
        <v>1027</v>
      </c>
      <c r="C16" s="23" t="str">
        <f>IFERROR(__xludf.DUMMYFUNCTION("GOOGLETRANSLATE(B16,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16" s="23" t="str">
        <f>IFERROR(__xludf.DUMMYFUNCTION("GOOGLETRANSLATE(B16,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16" s="23" t="str">
        <f>IFERROR(__xludf.DUMMYFUNCTION("GOOGLETRANSLATE(B16,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16" s="23" t="str">
        <f>IFERROR(__xludf.DUMMYFUNCTION("GOOGLETRANSLATE(B16,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16" s="23" t="str">
        <f>IFERROR(__xludf.DUMMYFUNCTION("GOOGLETRANSLATE(B16,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16" s="24" t="str">
        <f>IFERROR(__xludf.DUMMYFUNCTION("GOOGLETRANSLATE(B16,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16" s="23" t="str">
        <f>IFERROR(__xludf.DUMMYFUNCTION("GOOGLETRANSLATE(B16,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16" s="25" t="str">
        <f>IFERROR(__xludf.DUMMYFUNCTION("GOOGLETRANSLATE(B16, ""en"", ""zh"")"),"您与采集工具的有效性。使用时会收集工具丢失多少耐用性。通过使用斧头，镐和镰刀改善。")</f>
        <v>您与采集工具的有效性。使用时会收集工具丢失多少耐用性。通过使用斧头，镐和镰刀改善。</v>
      </c>
      <c r="K16" s="25" t="str">
        <f>IFERROR(__xludf.DUMMYFUNCTION("GOOGLETRANSLATE(B16,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16" s="26" t="str">
        <f>IFERROR(__xludf.DUMMYFUNCTION("GOOGLETRANSLATE(B16, ""en"", ""hr"")"),"Vaša učinkovitost s okupljanjem alata. Koliko alati za prikupljanje trajnosti gube kada se koristi. Poboljšajte pomoću sjekiranih, Pickeasa i srpa.")</f>
        <v>Vaša učinkovitost s okupljanjem alata. Koliko alati za prikupljanje trajnosti gube kada se koristi. Poboljšajte pomoću sjekiranih, Pickeasa i srpa.</v>
      </c>
      <c r="M16" s="28"/>
      <c r="N16" s="28"/>
      <c r="O16" s="28"/>
      <c r="P16" s="28"/>
      <c r="Q16" s="28"/>
      <c r="R16" s="28"/>
      <c r="S16" s="28"/>
      <c r="T16" s="28"/>
      <c r="U16" s="28"/>
      <c r="V16" s="28"/>
      <c r="W16" s="28"/>
      <c r="X16" s="28"/>
      <c r="Y16" s="28"/>
      <c r="Z16" s="28"/>
      <c r="AA16" s="28"/>
      <c r="AB16" s="28"/>
    </row>
    <row r="17">
      <c r="A17" s="21" t="s">
        <v>1028</v>
      </c>
      <c r="B17" s="22" t="s">
        <v>1029</v>
      </c>
      <c r="C17" s="23" t="str">
        <f>IFERROR(__xludf.DUMMYFUNCTION("GOOGLETRANSLATE(B17, ""en"", ""fr"")"),"Armes")</f>
        <v>Armes</v>
      </c>
      <c r="D17" s="23" t="str">
        <f>IFERROR(__xludf.DUMMYFUNCTION("GOOGLETRANSLATE(B17, ""en"", ""es"")"),"Arsenal")</f>
        <v>Arsenal</v>
      </c>
      <c r="E17" s="23" t="str">
        <f>IFERROR(__xludf.DUMMYFUNCTION("GOOGLETRANSLATE(B17, ""en"", ""ru"")"),"Вооружение")</f>
        <v>Вооружение</v>
      </c>
      <c r="F17" s="23" t="str">
        <f>IFERROR(__xludf.DUMMYFUNCTION("GOOGLETRANSLATE(B17, ""en"", ""tr"")"),"Silah")</f>
        <v>Silah</v>
      </c>
      <c r="G17" s="23" t="str">
        <f>IFERROR(__xludf.DUMMYFUNCTION("GOOGLETRANSLATE(B17, ""en"", ""pt"")"),"Armamento")</f>
        <v>Armamento</v>
      </c>
      <c r="H17" s="24" t="str">
        <f>IFERROR(__xludf.DUMMYFUNCTION("GOOGLETRANSLATE(B17, ""en"", ""de"")"),"Waffen")</f>
        <v>Waffen</v>
      </c>
      <c r="I17" s="23" t="str">
        <f>IFERROR(__xludf.DUMMYFUNCTION("GOOGLETRANSLATE(B17, ""en"", ""pl"")"),"Broń.")</f>
        <v>Broń.</v>
      </c>
      <c r="J17" s="25" t="str">
        <f>IFERROR(__xludf.DUMMYFUNCTION("GOOGLETRANSLATE(B17, ""en"", ""zh"")"),"武器")</f>
        <v>武器</v>
      </c>
      <c r="K17" s="25" t="str">
        <f>IFERROR(__xludf.DUMMYFUNCTION("GOOGLETRANSLATE(B17, ""en"", ""vi"")"),"Vũ khí.")</f>
        <v>Vũ khí.</v>
      </c>
      <c r="L17" s="26" t="str">
        <f>IFERROR(__xludf.DUMMYFUNCTION("GOOGLETRANSLATE(B17, ""en"", ""hr"")"),"Oružje")</f>
        <v>Oružje</v>
      </c>
      <c r="M17" s="28"/>
      <c r="N17" s="28"/>
      <c r="O17" s="28"/>
      <c r="P17" s="28"/>
      <c r="Q17" s="28"/>
      <c r="R17" s="28"/>
      <c r="S17" s="28"/>
      <c r="T17" s="28"/>
      <c r="U17" s="28"/>
      <c r="V17" s="28"/>
      <c r="W17" s="28"/>
      <c r="X17" s="28"/>
      <c r="Y17" s="28"/>
      <c r="Z17" s="28"/>
      <c r="AA17" s="28"/>
      <c r="AB17" s="28"/>
    </row>
    <row r="18">
      <c r="A18" s="29" t="s">
        <v>1030</v>
      </c>
      <c r="B18" s="22" t="s">
        <v>1031</v>
      </c>
      <c r="C18" s="23" t="str">
        <f>IFERROR(__xludf.DUMMYFUNCTION("GOOGLETRANSLATE(B18,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18" s="23" t="str">
        <f>IFERROR(__xludf.DUMMYFUNCTION("GOOGLETRANSLATE(B18, ""en"", ""es"")"),"¿Cuánta durabilidad tiene las armas que tienes? Mejorar el elaboración de artículos dañinos, como espadas, arcos y personal.")</f>
        <v>¿Cuánta durabilidad tiene las armas que tienes? Mejorar el elaboración de artículos dañinos, como espadas, arcos y personal.</v>
      </c>
      <c r="E18" s="23" t="str">
        <f>IFERROR(__xludf.DUMMYFUNCTION("GOOGLETRANSLATE(B18,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18" s="23" t="str">
        <f>IFERROR(__xludf.DUMMYFUNCTION("GOOGLETRANSLATE(B18, ""en"", ""tr"")"),"Eldeki silahların ne kadar dayanıklılığı var. Kılıç, yaylar ve personel gibi zarar verici eşyalar yaparak geliştirin.")</f>
        <v>Eldeki silahların ne kadar dayanıklılığı var. Kılıç, yaylar ve personel gibi zarar verici eşyalar yaparak geliştirin.</v>
      </c>
      <c r="G18" s="23" t="str">
        <f>IFERROR(__xludf.DUMMYFUNCTION("GOOGLETRANSLATE(B18,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18" s="24" t="str">
        <f>IFERROR(__xludf.DUMMYFUNCTION("GOOGLETRANSLATE(B18,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18" s="23" t="str">
        <f>IFERROR(__xludf.DUMMYFUNCTION("GOOGLETRANSLATE(B18, ""en"", ""pl"")"),"Ile trwałe broń, którą masz? Poprawa poprzez tworzenie szkodliwych przedmiotów, takich jak miecze, łuki i personel.")</f>
        <v>Ile trwałe broń, którą masz? Poprawa poprzez tworzenie szkodliwych przedmiotów, takich jak miecze, łuki i personel.</v>
      </c>
      <c r="J18" s="25" t="str">
        <f>IFERROR(__xludf.DUMMYFUNCTION("GOOGLETRANSLATE(B18, ""en"", ""zh"")"),"你制作的武器有多少耐用性。通过制作损坏的物品，如剑，弓和员工更好。")</f>
        <v>你制作的武器有多少耐用性。通过制作损坏的物品，如剑，弓和员工更好。</v>
      </c>
      <c r="K18" s="25" t="str">
        <f>IFERROR(__xludf.DUMMYFUNCTION("GOOGLETRANSLATE(B18,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18" s="26" t="str">
        <f>IFERROR(__xludf.DUMMYFUNCTION("GOOGLETRANSLATE(B18, ""en"", ""hr"")"),"Koliko trajnosti oružje koje ste zanat ima. Poboljšajte izradom štetnih predmeta, kao što su mačevi, lukovi i osoblje.")</f>
        <v>Koliko trajnosti oružje koje ste zanat ima. Poboljšajte izradom štetnih predmeta, kao što su mačevi, lukovi i osoblje.</v>
      </c>
      <c r="M18" s="28"/>
      <c r="N18" s="28"/>
      <c r="O18" s="28"/>
      <c r="P18" s="28"/>
      <c r="Q18" s="28"/>
      <c r="R18" s="28"/>
      <c r="S18" s="28"/>
      <c r="T18" s="28"/>
      <c r="U18" s="28"/>
      <c r="V18" s="28"/>
      <c r="W18" s="28"/>
      <c r="X18" s="28"/>
      <c r="Y18" s="28"/>
      <c r="Z18" s="28"/>
      <c r="AA18" s="28"/>
      <c r="AB18" s="28"/>
    </row>
    <row r="19">
      <c r="A19" s="21" t="s">
        <v>1032</v>
      </c>
      <c r="B19" s="22" t="s">
        <v>1033</v>
      </c>
      <c r="C19" s="23" t="str">
        <f>IFERROR(__xludf.DUMMYFUNCTION("GOOGLETRANSLATE(B19, ""en"", ""fr"")"),"Arsenal")</f>
        <v>Arsenal</v>
      </c>
      <c r="D19" s="23" t="str">
        <f>IFERROR(__xludf.DUMMYFUNCTION("GOOGLETRANSLATE(B19, ""en"", ""es"")"),"Arsenal")</f>
        <v>Arsenal</v>
      </c>
      <c r="E19" s="23" t="str">
        <f>IFERROR(__xludf.DUMMYFUNCTION("GOOGLETRANSLATE(B19, ""en"", ""ru"")"),"Оружия")</f>
        <v>Оружия</v>
      </c>
      <c r="F19" s="23" t="str">
        <f>IFERROR(__xludf.DUMMYFUNCTION("GOOGLETRANSLATE(B19, ""en"", ""tr"")"),"Zırh")</f>
        <v>Zırh</v>
      </c>
      <c r="G19" s="23" t="str">
        <f>IFERROR(__xludf.DUMMYFUNCTION("GOOGLETRANSLATE(B19, ""en"", ""pt"")"),"Arsenal")</f>
        <v>Arsenal</v>
      </c>
      <c r="H19" s="24" t="str">
        <f>IFERROR(__xludf.DUMMYFUNCTION("GOOGLETRANSLATE(B19, ""en"", ""de"")"),"Waffenkammer")</f>
        <v>Waffenkammer</v>
      </c>
      <c r="I19" s="23" t="str">
        <f>IFERROR(__xludf.DUMMYFUNCTION("GOOGLETRANSLATE(B19, ""en"", ""pl"")"),"Zbrojownia")</f>
        <v>Zbrojownia</v>
      </c>
      <c r="J19" s="25" t="str">
        <f>IFERROR(__xludf.DUMMYFUNCTION("GOOGLETRANSLATE(B19, ""en"", ""zh"")"),"军械库")</f>
        <v>军械库</v>
      </c>
      <c r="K19" s="25" t="str">
        <f>IFERROR(__xludf.DUMMYFUNCTION("GOOGLETRANSLATE(B19, ""en"", ""vi"")"),"Armory.")</f>
        <v>Armory.</v>
      </c>
      <c r="L19" s="26" t="str">
        <f>IFERROR(__xludf.DUMMYFUNCTION("GOOGLETRANSLATE(B19, ""en"", ""hr"")"),"Oružanica")</f>
        <v>Oružanica</v>
      </c>
      <c r="M19" s="28"/>
      <c r="N19" s="28"/>
      <c r="O19" s="28"/>
      <c r="P19" s="28"/>
      <c r="Q19" s="28"/>
      <c r="R19" s="28"/>
      <c r="S19" s="28"/>
      <c r="T19" s="28"/>
      <c r="U19" s="28"/>
      <c r="V19" s="28"/>
      <c r="W19" s="28"/>
      <c r="X19" s="28"/>
      <c r="Y19" s="28"/>
      <c r="Z19" s="28"/>
      <c r="AA19" s="28"/>
      <c r="AB19" s="28"/>
    </row>
    <row r="20">
      <c r="A20" s="29" t="s">
        <v>1034</v>
      </c>
      <c r="B20" s="22" t="s">
        <v>1035</v>
      </c>
      <c r="C20" s="23" t="str">
        <f>IFERROR(__xludf.DUMMYFUNCTION("GOOGLETRANSLATE(B20,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0" s="23" t="str">
        <f>IFERROR(__xludf.DUMMYFUNCTION("GOOGLETRANSLATE(B20,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0" s="23" t="str">
        <f>IFERROR(__xludf.DUMMYFUNCTION("GOOGLETRANSLATE(B20,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0" s="23" t="str">
        <f>IFERROR(__xludf.DUMMYFUNCTION("GOOGLETRANSLATE(B20,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0" s="23" t="str">
        <f>IFERROR(__xludf.DUMMYFUNCTION("GOOGLETRANSLATE(B20,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0" s="24" t="str">
        <f>IFERROR(__xludf.DUMMYFUNCTION("GOOGLETRANSLATE(B20,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0" s="23" t="str">
        <f>IFERROR(__xludf.DUMMYFUNCTION("GOOGLETRANSLATE(B20,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0" s="25" t="str">
        <f>IFERROR(__xludf.DUMMYFUNCTION("GOOGLETRANSLATE(B20, ""en"", ""zh"")"),"你制作的手臂和衣服有多少耐用性。通过制作可穿戴物品，例如装甲，斗篷和长袍来改善。")</f>
        <v>你制作的手臂和衣服有多少耐用性。通过制作可穿戴物品，例如装甲，斗篷和长袍来改善。</v>
      </c>
      <c r="K20" s="25" t="str">
        <f>IFERROR(__xludf.DUMMYFUNCTION("GOOGLETRANSLATE(B20,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0" s="26" t="str">
        <f>IFERROR(__xludf.DUMMYFUNCTION("GOOGLETRANSLATE(B20, ""en"", ""hr"")"),"Koliko trajnosti oklop i odjeću koju imate. Poboljšano izrađenjem nosivih predmeta, kao što su oklop, ogrtači i ogrtači.")</f>
        <v>Koliko trajnosti oklop i odjeću koju imate. Poboljšano izrađenjem nosivih predmeta, kao što su oklop, ogrtači i ogrtači.</v>
      </c>
      <c r="M20" s="28"/>
      <c r="N20" s="28"/>
      <c r="O20" s="28"/>
      <c r="P20" s="28"/>
      <c r="Q20" s="28"/>
      <c r="R20" s="28"/>
      <c r="S20" s="28"/>
      <c r="T20" s="28"/>
      <c r="U20" s="28"/>
      <c r="V20" s="28"/>
      <c r="W20" s="28"/>
      <c r="X20" s="28"/>
      <c r="Y20" s="28"/>
      <c r="Z20" s="28"/>
      <c r="AA20" s="28"/>
      <c r="AB20" s="28"/>
    </row>
    <row r="21">
      <c r="A21" s="21" t="s">
        <v>1036</v>
      </c>
      <c r="B21" s="22" t="s">
        <v>1037</v>
      </c>
      <c r="C21" s="23" t="str">
        <f>IFERROR(__xludf.DUMMYFUNCTION("GOOGLETRANSLATE(B21, ""en"", ""fr"")"),"Butée")</f>
        <v>Butée</v>
      </c>
      <c r="D21" s="23" t="str">
        <f>IFERROR(__xludf.DUMMYFUNCTION("GOOGLETRANSLATE(B21, ""en"", ""es"")"),"Herramienta")</f>
        <v>Herramienta</v>
      </c>
      <c r="E21" s="23" t="str">
        <f>IFERROR(__xludf.DUMMYFUNCTION("GOOGLETRANSLATE(B21, ""en"", ""ru"")"),"Инструментарий")</f>
        <v>Инструментарий</v>
      </c>
      <c r="F21" s="23" t="str">
        <f>IFERROR(__xludf.DUMMYFUNCTION("GOOGLETRANSLATE(B21, ""en"", ""tr"")"),"Takım")</f>
        <v>Takım</v>
      </c>
      <c r="G21" s="23" t="str">
        <f>IFERROR(__xludf.DUMMYFUNCTION("GOOGLETRANSLATE(B21, ""en"", ""pt"")"),"Tokerery")</f>
        <v>Tokerery</v>
      </c>
      <c r="H21" s="24" t="str">
        <f>IFERROR(__xludf.DUMMYFUNCTION("GOOGLETRANSLATE(B21, ""en"", ""de"")"),"Werkzeugmaschinen")</f>
        <v>Werkzeugmaschinen</v>
      </c>
      <c r="I21" s="23" t="str">
        <f>IFERROR(__xludf.DUMMYFUNCTION("GOOGLETRANSLATE(B21, ""en"", ""pl"")"),"Narzędzie")</f>
        <v>Narzędzie</v>
      </c>
      <c r="J21" s="25" t="str">
        <f>IFERROR(__xludf.DUMMYFUNCTION("GOOGLETRANSLATE(B21, ""en"", ""zh"")"),"工具")</f>
        <v>工具</v>
      </c>
      <c r="K21" s="25" t="str">
        <f>IFERROR(__xludf.DUMMYFUNCTION("GOOGLETRANSLATE(B21, ""en"", ""vi"")"),"Công cụ.")</f>
        <v>Công cụ.</v>
      </c>
      <c r="L21" s="26" t="str">
        <f>IFERROR(__xludf.DUMMYFUNCTION("GOOGLETRANSLATE(B21, ""en"", ""hr"")"),"Alaš")</f>
        <v>Alaš</v>
      </c>
      <c r="M21" s="28"/>
      <c r="N21" s="28"/>
      <c r="O21" s="28"/>
      <c r="P21" s="28"/>
      <c r="Q21" s="28"/>
      <c r="R21" s="28"/>
      <c r="S21" s="28"/>
      <c r="T21" s="28"/>
      <c r="U21" s="28"/>
      <c r="V21" s="28"/>
      <c r="W21" s="28"/>
      <c r="X21" s="28"/>
      <c r="Y21" s="28"/>
      <c r="Z21" s="28"/>
      <c r="AA21" s="28"/>
      <c r="AB21" s="28"/>
    </row>
    <row r="22">
      <c r="A22" s="29" t="s">
        <v>1038</v>
      </c>
      <c r="B22" s="22" t="s">
        <v>1039</v>
      </c>
      <c r="C22" s="23" t="str">
        <f>IFERROR(__xludf.DUMMYFUNCTION("GOOGLETRANSLATE(B22,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2" s="23" t="str">
        <f>IFERROR(__xludf.DUMMYFUNCTION("GOOGLETRANSLATE(B22,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2" s="23" t="str">
        <f>IFERROR(__xludf.DUMMYFUNCTION("GOOGLETRANSLATE(B22,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2" s="23" t="str">
        <f>IFERROR(__xludf.DUMMYFUNCTION("GOOGLETRANSLATE(B22,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2" s="23" t="str">
        <f>IFERROR(__xludf.DUMMYFUNCTION("GOOGLETRANSLATE(B22,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2" s="24" t="str">
        <f>IFERROR(__xludf.DUMMYFUNCTION("GOOGLETRANSLATE(B22,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2" s="23" t="str">
        <f>IFERROR(__xludf.DUMMYFUNCTION("GOOGLETRANSLATE(B22,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2" s="25" t="str">
        <f>IFERROR(__xludf.DUMMYFUNCTION("GOOGLETRANSLATE(B22, ""en"", ""zh"")"),"您绘制的公用事业物品有多少钱。通过制作工具和材料改进，例如斧头，镐，锁，金属条和织物。")</f>
        <v>您绘制的公用事业物品有多少钱。通过制作工具和材料改进，例如斧头，镐，锁，金属条和织物。</v>
      </c>
      <c r="K22" s="25" t="str">
        <f>IFERROR(__xludf.DUMMYFUNCTION("GOOGLETRANSLATE(B22,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2" s="26" t="str">
        <f>IFERROR(__xludf.DUMMYFUNCTION("GOOGLETRANSLATE(B22,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2" s="28"/>
      <c r="N22" s="28"/>
      <c r="O22" s="28"/>
      <c r="P22" s="28"/>
      <c r="Q22" s="28"/>
      <c r="R22" s="28"/>
      <c r="S22" s="28"/>
      <c r="T22" s="28"/>
      <c r="U22" s="28"/>
      <c r="V22" s="28"/>
      <c r="W22" s="28"/>
      <c r="X22" s="28"/>
      <c r="Y22" s="28"/>
      <c r="Z22" s="28"/>
      <c r="AA22" s="28"/>
      <c r="AB22" s="28"/>
    </row>
    <row r="23">
      <c r="A23" s="21" t="s">
        <v>1040</v>
      </c>
      <c r="B23" s="22" t="s">
        <v>1041</v>
      </c>
      <c r="C23" s="23" t="str">
        <f>IFERROR(__xludf.DUMMYFUNCTION("GOOGLETRANSLATE(B23, ""en"", ""fr"")"),"Potion")</f>
        <v>Potion</v>
      </c>
      <c r="D23" s="23" t="str">
        <f>IFERROR(__xludf.DUMMYFUNCTION("GOOGLETRANSLATE(B23, ""en"", ""es"")"),"Potión")</f>
        <v>Potión</v>
      </c>
      <c r="E23" s="23" t="str">
        <f>IFERROR(__xludf.DUMMYFUNCTION("GOOGLETRANSLATE(B23, ""en"", ""ru"")"),"Пищи")</f>
        <v>Пищи</v>
      </c>
      <c r="F23" s="23" t="str">
        <f>IFERROR(__xludf.DUMMYFUNCTION("GOOGLETRANSLATE(B23, ""en"", ""tr"")"),"İkincil")</f>
        <v>İkincil</v>
      </c>
      <c r="G23" s="23" t="str">
        <f>IFERROR(__xludf.DUMMYFUNCTION("GOOGLETRANSLATE(B23, ""en"", ""pt"")"),"Potionia")</f>
        <v>Potionia</v>
      </c>
      <c r="H23" s="24" t="str">
        <f>IFERROR(__xludf.DUMMYFUNCTION("GOOGLETRANSLATE(B23, ""en"", ""de"")"),"Potional")</f>
        <v>Potional</v>
      </c>
      <c r="I23" s="23" t="str">
        <f>IFERROR(__xludf.DUMMYFUNCTION("GOOGLETRANSLATE(B23, ""en"", ""pl"")"),"Eliksionry.")</f>
        <v>Eliksionry.</v>
      </c>
      <c r="J23" s="25" t="str">
        <f>IFERROR(__xludf.DUMMYFUNCTION("GOOGLETRANSLATE(B23, ""en"", ""zh"")"),"药水")</f>
        <v>药水</v>
      </c>
      <c r="K23" s="25" t="str">
        <f>IFERROR(__xludf.DUMMYFUNCTION("GOOGLETRANSLATE(B23, ""en"", ""vi"")"),"Potionry.")</f>
        <v>Potionry.</v>
      </c>
      <c r="L23" s="26" t="str">
        <f>IFERROR(__xludf.DUMMYFUNCTION("GOOGLETRANSLATE(B23, ""en"", ""hr"")"),"Nationry")</f>
        <v>Nationry</v>
      </c>
      <c r="M23" s="28"/>
      <c r="N23" s="28"/>
      <c r="O23" s="28"/>
      <c r="P23" s="28"/>
      <c r="Q23" s="28"/>
      <c r="R23" s="28"/>
      <c r="S23" s="28"/>
      <c r="T23" s="28"/>
      <c r="U23" s="28"/>
      <c r="V23" s="28"/>
      <c r="W23" s="28"/>
      <c r="X23" s="28"/>
      <c r="Y23" s="28"/>
      <c r="Z23" s="28"/>
      <c r="AA23" s="28"/>
      <c r="AB23" s="28"/>
    </row>
    <row r="24">
      <c r="A24" s="29" t="s">
        <v>1042</v>
      </c>
      <c r="B24" s="22" t="s">
        <v>1043</v>
      </c>
      <c r="C24" s="23" t="str">
        <f>IFERROR(__xludf.DUMMYFUNCTION("GOOGLETRANSLATE(B24,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4" s="23" t="str">
        <f>IFERROR(__xludf.DUMMYFUNCTION("GOOGLETRANSLATE(B24, ""en"", ""es"")"),"¿Cuántos usos tiene las pociones que tiene la embarcación? Mejorar el hecho de crear pociones y comer ingredientes de poción.")</f>
        <v>¿Cuántos usos tiene las pociones que tiene la embarcación? Mejorar el hecho de crear pociones y comer ingredientes de poción.</v>
      </c>
      <c r="E24" s="23" t="str">
        <f>IFERROR(__xludf.DUMMYFUNCTION("GOOGLETRANSLATE(B24,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4" s="23" t="str">
        <f>IFERROR(__xludf.DUMMYFUNCTION("GOOGLETRANSLATE(B24, ""en"", ""tr"")"),"El yaptığınız iksirleri kaç tane kullanır. İkir işçiliği ve iksir malzemelerini yemek yaparak iyileştirin.")</f>
        <v>El yaptığınız iksirleri kaç tane kullanır. İkir işçiliği ve iksir malzemelerini yemek yaparak iyileştirin.</v>
      </c>
      <c r="G24" s="23" t="str">
        <f>IFERROR(__xludf.DUMMYFUNCTION("GOOGLETRANSLATE(B24, ""en"", ""pt"")"),"Quantos usa as poções que você artesanal tem. Melhorar a elaboração de poções e comer ingredientes de poção.")</f>
        <v>Quantos usa as poções que você artesanal tem. Melhorar a elaboração de poções e comer ingredientes de poção.</v>
      </c>
      <c r="H24" s="24" t="str">
        <f>IFERROR(__xludf.DUMMYFUNCTION("GOOGLETRANSLATE(B24, ""en"", ""de"")"),"Wie viele verwendet die Tränke, die Sie handwerklich machen. Verbessern Sie sich durch Basteln von Tränken und Tränken in Zutaten.")</f>
        <v>Wie viele verwendet die Tränke, die Sie handwerklich machen. Verbessern Sie sich durch Basteln von Tränken und Tränken in Zutaten.</v>
      </c>
      <c r="I24" s="23" t="str">
        <f>IFERROR(__xludf.DUMMYFUNCTION("GOOGLETRANSLATE(B24, ""en"", ""pl"")"),"Ilu wykorzystuje mikstury, które masz? Poprawić przez eliksirów i jedzenia składników mikstury.")</f>
        <v>Ilu wykorzystuje mikstury, które masz? Poprawić przez eliksirów i jedzenia składników mikstury.</v>
      </c>
      <c r="J24" s="25" t="str">
        <f>IFERROR(__xludf.DUMMYFUNCTION("GOOGLETRANSLATE(B24, ""en"", ""zh"")"),"有多少用你制作的药物。通过制备药水和食用药水成分改善。")</f>
        <v>有多少用你制作的药物。通过制备药水和食用药水成分改善。</v>
      </c>
      <c r="K24" s="25" t="str">
        <f>IFERROR(__xludf.DUMMYFUNCTION("GOOGLETRANSLATE(B24,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4" s="26" t="str">
        <f>IFERROR(__xludf.DUMMYFUNCTION("GOOGLETRANSLATE(B24, ""en"", ""hr"")"),"Koliko koristi napitke koje plovite. Poboljšajte sastojcima za izradu i prehrani napitak.")</f>
        <v>Koliko koristi napitke koje plovite. Poboljšajte sastojcima za izradu i prehrani napitak.</v>
      </c>
      <c r="M24" s="28"/>
      <c r="N24" s="28"/>
      <c r="O24" s="28"/>
      <c r="P24" s="28"/>
      <c r="Q24" s="28"/>
      <c r="R24" s="28"/>
      <c r="S24" s="28"/>
      <c r="T24" s="28"/>
      <c r="U24" s="28"/>
      <c r="V24" s="28"/>
      <c r="W24" s="28"/>
      <c r="X24" s="28"/>
      <c r="Y24" s="28"/>
      <c r="Z24" s="28"/>
      <c r="AA24" s="28"/>
      <c r="AB24" s="28"/>
    </row>
    <row r="25">
      <c r="A25" s="29" t="s">
        <v>1044</v>
      </c>
      <c r="B25" s="22" t="s">
        <v>1045</v>
      </c>
      <c r="C25" s="23" t="str">
        <f>IFERROR(__xludf.DUMMYFUNCTION("GOOGLETRANSLATE(B25, ""en"", ""fr"")"),"Classement")</f>
        <v>Classement</v>
      </c>
      <c r="D25" s="23" t="str">
        <f>IFERROR(__xludf.DUMMYFUNCTION("GOOGLETRANSLATE(B25, ""en"", ""es"")"),"Comunidad")</f>
        <v>Comunidad</v>
      </c>
      <c r="E25" s="23" t="str">
        <f>IFERROR(__xludf.DUMMYFUNCTION("GOOGLETRANSLATE(B25, ""en"", ""ru"")"),"Клапанство")</f>
        <v>Клапанство</v>
      </c>
      <c r="F25" s="23" t="str">
        <f>IFERROR(__xludf.DUMMYFUNCTION("GOOGLETRANSLATE(B25, ""en"", ""tr"")"),"Klansilik")</f>
        <v>Klansilik</v>
      </c>
      <c r="G25" s="23" t="str">
        <f>IFERROR(__xludf.DUMMYFUNCTION("GOOGLETRANSLATE(B25, ""en"", ""pt"")"),"Fósforo")</f>
        <v>Fósforo</v>
      </c>
      <c r="H25" s="24" t="str">
        <f>IFERROR(__xludf.DUMMYFUNCTION("GOOGLETRANSLATE(B25, ""en"", ""de"")"),"Clanship")</f>
        <v>Clanship</v>
      </c>
      <c r="I25" s="23" t="str">
        <f>IFERROR(__xludf.DUMMYFUNCTION("GOOGLETRANSLATE(B25, ""en"", ""pl"")"),"Klany")</f>
        <v>Klany</v>
      </c>
      <c r="J25" s="25" t="str">
        <f>IFERROR(__xludf.DUMMYFUNCTION("GOOGLETRANSLATE(B25, ""en"", ""zh"")"),"思潮")</f>
        <v>思潮</v>
      </c>
      <c r="K25" s="25" t="str">
        <f>IFERROR(__xludf.DUMMYFUNCTION("GOOGLETRANSLATE(B25, ""en"", ""vi"")"),"CLASS.")</f>
        <v>CLASS.</v>
      </c>
      <c r="L25" s="26" t="str">
        <f>IFERROR(__xludf.DUMMYFUNCTION("GOOGLETRANSLATE(B25, ""en"", ""hr"")"),"Clanstvo")</f>
        <v>Clanstvo</v>
      </c>
      <c r="M25" s="28"/>
      <c r="N25" s="28"/>
      <c r="O25" s="28"/>
      <c r="P25" s="28"/>
      <c r="Q25" s="28"/>
      <c r="R25" s="28"/>
      <c r="S25" s="28"/>
      <c r="T25" s="28"/>
      <c r="U25" s="28"/>
      <c r="V25" s="28"/>
      <c r="W25" s="28"/>
      <c r="X25" s="28"/>
      <c r="Y25" s="28"/>
      <c r="Z25" s="28"/>
      <c r="AA25" s="28"/>
      <c r="AB25" s="28"/>
    </row>
    <row r="26">
      <c r="A26" s="29" t="s">
        <v>1046</v>
      </c>
      <c r="B26" s="22" t="s">
        <v>1047</v>
      </c>
      <c r="C26" s="23" t="str">
        <f>IFERROR(__xludf.DUMMYFUNCTION("GOOGLETRANSLATE(B26,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26" s="23" t="str">
        <f>IFERROR(__xludf.DUMMYFUNCTION("GOOGLETRANSLATE(B26,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26" s="23" t="str">
        <f>IFERROR(__xludf.DUMMYFUNCTION("GOOGLETRANSLATE(B26,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26" s="23" t="str">
        <f>IFERROR(__xludf.DUMMYFUNCTION("GOOGLETRANSLATE(B26,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26" s="23" t="str">
        <f>IFERROR(__xludf.DUMMYFUNCTION("GOOGLETRANSLATE(B26,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26" s="24" t="str">
        <f>IFERROR(__xludf.DUMMYFUNCTION("GOOGLETRANSLATE(B26,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26" s="23" t="str">
        <f>IFERROR(__xludf.DUMMYFUNCTION("GOOGLETRANSLATE(B26,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26" s="25" t="str">
        <f>IFERROR(__xludf.DUMMYFUNCTION("GOOGLETRANSLATE(B26,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26" s="25" t="str">
        <f>IFERROR(__xludf.DUMMYFUNCTION("GOOGLETRANSLATE(B26,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26" s="26" t="str">
        <f>IFERROR(__xludf.DUMMYFUNCTION("GOOGLETRANSLATE(B26,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26" s="28"/>
      <c r="N26" s="28"/>
      <c r="O26" s="28"/>
      <c r="P26" s="28"/>
      <c r="Q26" s="28"/>
      <c r="R26" s="28"/>
      <c r="S26" s="28"/>
      <c r="T26" s="28"/>
      <c r="U26" s="28"/>
      <c r="V26" s="28"/>
      <c r="W26" s="28"/>
      <c r="X26" s="28"/>
      <c r="Y26" s="28"/>
      <c r="Z26" s="28"/>
      <c r="AA26" s="28"/>
      <c r="AB26" s="28"/>
    </row>
    <row r="27">
      <c r="A27" s="34"/>
      <c r="B27" s="35"/>
      <c r="C27" s="30"/>
      <c r="D27" s="30"/>
      <c r="E27" s="30"/>
      <c r="F27" s="30"/>
      <c r="G27" s="30"/>
      <c r="H27" s="31"/>
      <c r="I27" s="30"/>
      <c r="J27" s="32"/>
      <c r="K27" s="32"/>
      <c r="L27" s="33"/>
      <c r="M27" s="28"/>
      <c r="N27" s="28"/>
      <c r="O27" s="28"/>
      <c r="P27" s="28"/>
      <c r="Q27" s="28"/>
      <c r="R27" s="28"/>
      <c r="S27" s="28"/>
      <c r="T27" s="28"/>
      <c r="U27" s="28"/>
      <c r="V27" s="28"/>
      <c r="W27" s="28"/>
      <c r="X27" s="28"/>
      <c r="Y27" s="28"/>
      <c r="Z27" s="28"/>
      <c r="AA27" s="28"/>
      <c r="AB27" s="28"/>
    </row>
    <row r="28">
      <c r="A28" s="34"/>
      <c r="B28" s="35"/>
      <c r="C28" s="30"/>
      <c r="D28" s="30"/>
      <c r="E28" s="30"/>
      <c r="F28" s="30"/>
      <c r="G28" s="30"/>
      <c r="H28" s="31"/>
      <c r="I28" s="30"/>
      <c r="J28" s="32"/>
      <c r="K28" s="32"/>
      <c r="L28" s="33"/>
      <c r="M28" s="28"/>
      <c r="N28" s="28"/>
      <c r="O28" s="28"/>
      <c r="P28" s="28"/>
      <c r="Q28" s="28"/>
      <c r="R28" s="28"/>
      <c r="S28" s="28"/>
      <c r="T28" s="28"/>
      <c r="U28" s="28"/>
      <c r="V28" s="28"/>
      <c r="W28" s="28"/>
      <c r="X28" s="28"/>
      <c r="Y28" s="28"/>
      <c r="Z28" s="28"/>
      <c r="AA28" s="28"/>
      <c r="AB28" s="28"/>
    </row>
    <row r="29">
      <c r="A29" s="34"/>
      <c r="B29" s="35"/>
      <c r="C29" s="30"/>
      <c r="D29" s="30"/>
      <c r="E29" s="30"/>
      <c r="F29" s="30"/>
      <c r="G29" s="30"/>
      <c r="H29" s="31"/>
      <c r="I29" s="30"/>
      <c r="J29" s="32"/>
      <c r="K29" s="32"/>
      <c r="L29" s="33"/>
      <c r="M29" s="28"/>
      <c r="N29" s="28"/>
      <c r="O29" s="28"/>
      <c r="P29" s="28"/>
      <c r="Q29" s="28"/>
      <c r="R29" s="28"/>
      <c r="S29" s="28"/>
      <c r="T29" s="28"/>
      <c r="U29" s="28"/>
      <c r="V29" s="28"/>
      <c r="W29" s="28"/>
      <c r="X29" s="28"/>
      <c r="Y29" s="28"/>
      <c r="Z29" s="28"/>
      <c r="AA29" s="28"/>
      <c r="AB29" s="28"/>
    </row>
    <row r="30">
      <c r="A30" s="34"/>
      <c r="B30" s="35"/>
      <c r="C30" s="30"/>
      <c r="D30" s="30"/>
      <c r="E30" s="30"/>
      <c r="F30" s="30"/>
      <c r="G30" s="30"/>
      <c r="H30" s="31"/>
      <c r="I30" s="30"/>
      <c r="J30" s="32"/>
      <c r="K30" s="32"/>
      <c r="L30" s="33"/>
      <c r="M30" s="28"/>
      <c r="N30" s="28"/>
      <c r="O30" s="28"/>
      <c r="P30" s="28"/>
      <c r="Q30" s="28"/>
      <c r="R30" s="28"/>
      <c r="S30" s="28"/>
      <c r="T30" s="28"/>
      <c r="U30" s="28"/>
      <c r="V30" s="28"/>
      <c r="W30" s="28"/>
      <c r="X30" s="28"/>
      <c r="Y30" s="28"/>
      <c r="Z30" s="28"/>
      <c r="AA30" s="28"/>
      <c r="AB30" s="28"/>
    </row>
    <row r="31">
      <c r="A31" s="34"/>
      <c r="B31" s="35"/>
      <c r="C31" s="30"/>
      <c r="D31" s="30"/>
      <c r="E31" s="30"/>
      <c r="F31" s="30"/>
      <c r="G31" s="30"/>
      <c r="H31" s="31"/>
      <c r="I31" s="30"/>
      <c r="J31" s="32"/>
      <c r="K31" s="32"/>
      <c r="L31" s="33"/>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1"/>
      <c r="B86" s="36"/>
      <c r="C86" s="36"/>
      <c r="D86" s="36"/>
      <c r="E86" s="36"/>
      <c r="F86" s="36"/>
      <c r="G86" s="36"/>
      <c r="H86" s="37"/>
      <c r="I86" s="36"/>
      <c r="J86" s="38"/>
      <c r="K86" s="38"/>
      <c r="L86" s="39"/>
      <c r="M86" s="39"/>
      <c r="N86" s="39"/>
      <c r="O86" s="39"/>
      <c r="P86" s="39"/>
      <c r="Q86" s="39"/>
      <c r="R86" s="39"/>
      <c r="S86" s="39"/>
      <c r="T86" s="39"/>
      <c r="U86" s="39"/>
      <c r="V86" s="39"/>
      <c r="W86" s="39"/>
      <c r="X86" s="39"/>
      <c r="Y86" s="39"/>
      <c r="Z86" s="39"/>
      <c r="AA86" s="39"/>
      <c r="AB86" s="39"/>
    </row>
    <row r="87">
      <c r="A87" s="1"/>
      <c r="B87" s="36"/>
      <c r="C87" s="36"/>
      <c r="D87" s="36"/>
      <c r="E87" s="36"/>
      <c r="F87" s="36"/>
      <c r="G87" s="36"/>
      <c r="H87" s="37"/>
      <c r="I87" s="36"/>
      <c r="J87" s="38"/>
      <c r="K87" s="38"/>
      <c r="L87" s="39"/>
      <c r="M87" s="39"/>
      <c r="N87" s="39"/>
      <c r="O87" s="39"/>
      <c r="P87" s="39"/>
      <c r="Q87" s="39"/>
      <c r="R87" s="39"/>
      <c r="S87" s="39"/>
      <c r="T87" s="39"/>
      <c r="U87" s="39"/>
      <c r="V87" s="39"/>
      <c r="W87" s="39"/>
      <c r="X87" s="39"/>
      <c r="Y87" s="39"/>
      <c r="Z87" s="39"/>
      <c r="AA87" s="39"/>
      <c r="AB87" s="39"/>
    </row>
    <row r="88">
      <c r="A88" s="1"/>
      <c r="B88" s="36"/>
      <c r="C88" s="36"/>
      <c r="D88" s="36"/>
      <c r="E88" s="36"/>
      <c r="F88" s="36"/>
      <c r="G88" s="36"/>
      <c r="H88" s="37"/>
      <c r="I88" s="36"/>
      <c r="J88" s="38"/>
      <c r="K88" s="38"/>
      <c r="L88" s="39"/>
      <c r="M88" s="39"/>
      <c r="N88" s="39"/>
      <c r="O88" s="39"/>
      <c r="P88" s="39"/>
      <c r="Q88" s="39"/>
      <c r="R88" s="39"/>
      <c r="S88" s="39"/>
      <c r="T88" s="39"/>
      <c r="U88" s="39"/>
      <c r="V88" s="39"/>
      <c r="W88" s="39"/>
      <c r="X88" s="39"/>
      <c r="Y88" s="39"/>
      <c r="Z88" s="39"/>
      <c r="AA88" s="39"/>
      <c r="AB88" s="39"/>
    </row>
    <row r="89">
      <c r="A89" s="1"/>
      <c r="B89" s="36"/>
      <c r="C89" s="36"/>
      <c r="D89" s="36"/>
      <c r="E89" s="36"/>
      <c r="F89" s="36"/>
      <c r="G89" s="36"/>
      <c r="H89" s="37"/>
      <c r="I89" s="36"/>
      <c r="J89" s="38"/>
      <c r="K89" s="38"/>
      <c r="L89" s="39"/>
      <c r="M89" s="39"/>
      <c r="N89" s="39"/>
      <c r="O89" s="39"/>
      <c r="P89" s="39"/>
      <c r="Q89" s="39"/>
      <c r="R89" s="39"/>
      <c r="S89" s="39"/>
      <c r="T89" s="39"/>
      <c r="U89" s="39"/>
      <c r="V89" s="39"/>
      <c r="W89" s="39"/>
      <c r="X89" s="39"/>
      <c r="Y89" s="39"/>
      <c r="Z89" s="39"/>
      <c r="AA89" s="39"/>
      <c r="AB89" s="39"/>
    </row>
    <row r="90">
      <c r="A90" s="1"/>
      <c r="B90" s="36"/>
      <c r="C90" s="36"/>
      <c r="D90" s="36"/>
      <c r="E90" s="36"/>
      <c r="F90" s="36"/>
      <c r="G90" s="36"/>
      <c r="H90" s="37"/>
      <c r="I90" s="36"/>
      <c r="J90" s="38"/>
      <c r="K90" s="38"/>
      <c r="L90" s="39"/>
      <c r="M90" s="39"/>
      <c r="N90" s="39"/>
      <c r="O90" s="39"/>
      <c r="P90" s="39"/>
      <c r="Q90" s="39"/>
      <c r="R90" s="39"/>
      <c r="S90" s="39"/>
      <c r="T90" s="39"/>
      <c r="U90" s="39"/>
      <c r="V90" s="39"/>
      <c r="W90" s="39"/>
      <c r="X90" s="39"/>
      <c r="Y90" s="39"/>
      <c r="Z90" s="39"/>
      <c r="AA90" s="39"/>
      <c r="AB90" s="39"/>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1048</v>
      </c>
      <c r="B9" s="22" t="s">
        <v>1049</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1050</v>
      </c>
      <c r="B10" s="22" t="s">
        <v>1051</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1052</v>
      </c>
      <c r="B11" s="22" t="s">
        <v>1053</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1054</v>
      </c>
      <c r="B12" s="22" t="s">
        <v>1055</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1056</v>
      </c>
      <c r="B13" s="22" t="s">
        <v>1057</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1058</v>
      </c>
      <c r="B14" s="22" t="s">
        <v>1059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1060</v>
      </c>
      <c r="B15" s="22" t="s">
        <v>1061</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1062</v>
      </c>
      <c r="B16" s="22" t="s">
        <v>1063</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1064</v>
      </c>
      <c r="B17" s="22" t="s">
        <v>1065</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1066</v>
      </c>
      <c r="B18" s="22" t="s">
        <v>1067</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1068</v>
      </c>
      <c r="B19" s="22" t="s">
        <v>1069</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1070</v>
      </c>
      <c r="B20" s="22" t="s">
        <v>1071</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1072</v>
      </c>
      <c r="B21" s="22" t="s">
        <v>1073</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1074</v>
      </c>
      <c r="B22" s="22" t="s">
        <v>1075</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1076</v>
      </c>
      <c r="B23" s="22" t="s">
        <v>1077</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1078</v>
      </c>
      <c r="B24" s="22" t="s">
        <v>1079</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1080</v>
      </c>
      <c r="B25" s="22" t="s">
        <v>1081</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1082</v>
      </c>
      <c r="B26" s="22" t="s">
        <v>1083</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1084</v>
      </c>
      <c r="B27" s="22" t="s">
        <v>1085</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1086</v>
      </c>
      <c r="B28" s="22" t="s">
        <v>1087</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1088</v>
      </c>
      <c r="B29" s="22" t="s">
        <v>1089</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1090</v>
      </c>
      <c r="B30" s="22" t="s">
        <v>1091</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de minas")</f>
        <v>Minério de ferro de minas</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1092</v>
      </c>
      <c r="B31" s="22" t="s">
        <v>1093</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1094</v>
      </c>
      <c r="B32" s="22" t="s">
        <v>1095</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1096</v>
      </c>
      <c r="B33" s="22" t="s">
        <v>1097</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1098</v>
      </c>
      <c r="B34" s="22" t="s">
        <v>1099</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1100</v>
      </c>
      <c r="B35" s="22" t="s">
        <v>1101</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1102</v>
      </c>
      <c r="B36" s="22" t="s">
        <v>1103</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1104</v>
      </c>
      <c r="B37" s="22" t="s">
        <v>1105</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1106</v>
      </c>
      <c r="B38" s="22" t="s">
        <v>1107</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1108</v>
      </c>
      <c r="B39" s="22" t="s">
        <v>1109</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1110</v>
      </c>
      <c r="B40" s="22" t="s">
        <v>1111</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1112</v>
      </c>
      <c r="B41" s="22" t="s">
        <v>1113</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1114</v>
      </c>
      <c r="B42" s="22" t="s">
        <v>1115</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1116</v>
      </c>
      <c r="B43" s="22" t="s">
        <v>1117</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1118</v>
      </c>
      <c r="B44" s="22" t="s">
        <v>1119</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f>
        <v>Zanaat pelerinler</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1120</v>
      </c>
      <c r="B45" s="22" t="s">
        <v>1121</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1122</v>
      </c>
      <c r="B46" s="22" t="s">
        <v>1123</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1124</v>
      </c>
      <c r="B47" s="22" t="s">
        <v>1125</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1126</v>
      </c>
      <c r="B48" s="22" t="s">
        <v>1127</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1128</v>
      </c>
      <c r="B49" s="22" t="s">
        <v>1129</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1130</v>
      </c>
      <c r="B50" s="22" t="s">
        <v>1131</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1132</v>
      </c>
      <c r="B51" s="22" t="s">
        <v>1133</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