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GUI" sheetId="1" r:id="rId3"/>
    <sheet state="visible" name="ITEMS" sheetId="2" r:id="rId4"/>
    <sheet state="visible" name="ENTITIES" sheetId="3" r:id="rId5"/>
    <sheet state="visible" name="STATS" sheetId="4" r:id="rId6"/>
    <sheet state="visible" name="TASKS" sheetId="5" r:id="rId7"/>
  </sheets>
  <definedNames/>
  <calcPr/>
</workbook>
</file>

<file path=xl/sharedStrings.xml><?xml version="1.0" encoding="utf-8"?>
<sst xmlns="http://schemas.openxmlformats.org/spreadsheetml/2006/main" count="1266" uniqueCount="1061">
  <si>
    <t>Dungeonz.io translations</t>
  </si>
  <si>
    <t>- Feel free to add a language or complete an existing one if you can. Please only translate to a language if it is your native language.</t>
  </si>
  <si>
    <t>Email: team@waywardworlds.com</t>
  </si>
  <si>
    <t>- Let the developers know after changes have been made so we 
can update the game with the changes, and add you to the credits if desired. Contacts --&gt;</t>
  </si>
  <si>
    <t>Discord server: discord.gg/7wjyU7B</t>
  </si>
  <si>
    <t>- If a change is made to one of the already translated texts, it will be coloured light orange like the 
cell below, and may need to be updated. Change it back to normal (light green 3) when it is correct.</t>
  </si>
  <si>
    <t>Contains modified text, needs checking/updating</t>
  </si>
  <si>
    <t>Twitter: twitter.com/waywardworlds</t>
  </si>
  <si>
    <t>ID</t>
  </si>
  <si>
    <t>English</t>
  </si>
  <si>
    <t>French</t>
  </si>
  <si>
    <t>Spanish</t>
  </si>
  <si>
    <t>Russian</t>
  </si>
  <si>
    <t>Turkish</t>
  </si>
  <si>
    <t>Portuguese</t>
  </si>
  <si>
    <t>German</t>
  </si>
  <si>
    <t>Polish</t>
  </si>
  <si>
    <t>Chinese</t>
  </si>
  <si>
    <t>Vietnamese</t>
  </si>
  <si>
    <t>Croatian</t>
  </si>
  <si>
    <t>Language name</t>
  </si>
  <si>
    <t>Français</t>
  </si>
  <si>
    <t>Español</t>
  </si>
  <si>
    <t>русский язык</t>
  </si>
  <si>
    <t>Türkçe</t>
  </si>
  <si>
    <t>Português</t>
  </si>
  <si>
    <t>Deutsch</t>
  </si>
  <si>
    <t>Polski</t>
  </si>
  <si>
    <t>中文</t>
  </si>
  <si>
    <t>Tiếng Việt</t>
  </si>
  <si>
    <t>Hrvatski</t>
  </si>
  <si>
    <t>Language</t>
  </si>
  <si>
    <t>Add translation</t>
  </si>
  <si>
    <t>Add a translation</t>
  </si>
  <si>
    <t>News</t>
  </si>
  <si>
    <t>Nouveautés</t>
  </si>
  <si>
    <t>New character</t>
  </si>
  <si>
    <t>Continue</t>
  </si>
  <si>
    <t>Name input</t>
  </si>
  <si>
    <t>Enter a name</t>
  </si>
  <si>
    <t>Username input</t>
  </si>
  <si>
    <t>Username</t>
  </si>
  <si>
    <t>Password input</t>
  </si>
  <si>
    <t>Password</t>
  </si>
  <si>
    <t>Something went wrong</t>
  </si>
  <si>
    <t>Something went wrong.
Awkward... :/</t>
  </si>
  <si>
    <t>Game full</t>
  </si>
  <si>
    <t>Game is full.
Wow... :o</t>
  </si>
  <si>
    <t>Connect game server warning</t>
  </si>
  <si>
    <t>Could not connect to game server.</t>
  </si>
  <si>
    <t>Username required</t>
  </si>
  <si>
    <t>Username required.</t>
  </si>
  <si>
    <t>Password required</t>
  </si>
  <si>
    <t>Password required.</t>
  </si>
  <si>
    <t>Invalid login details</t>
  </si>
  <si>
    <t>Invalid username or password.</t>
  </si>
  <si>
    <t>Already logged in</t>
  </si>
  <si>
    <t>That account is already logged in.</t>
  </si>
  <si>
    <t>Partners</t>
  </si>
  <si>
    <t>Partenaires</t>
  </si>
  <si>
    <t>Credits</t>
  </si>
  <si>
    <t>PTS</t>
  </si>
  <si>
    <t>Play</t>
  </si>
  <si>
    <t>Reconnect</t>
  </si>
  <si>
    <t>se reconnecter</t>
  </si>
  <si>
    <t>Connecting to game server</t>
  </si>
  <si>
    <t>Connecting to game server...</t>
  </si>
  <si>
    <t>Joining game world</t>
  </si>
  <si>
    <t>Joining game world...</t>
  </si>
  <si>
    <t>Loading</t>
  </si>
  <si>
    <t>Game loaded</t>
  </si>
  <si>
    <t>Next hint</t>
  </si>
  <si>
    <t>Hint: Open source</t>
  </si>
  <si>
    <t>Dungeonz is open-source.</t>
  </si>
  <si>
    <t>Hint: Night creatures</t>
  </si>
  <si>
    <t>Some creatures only appear at night.</t>
  </si>
  <si>
    <t>Hint: Resource rarity</t>
  </si>
  <si>
    <t>Higher tier resources can be found further from the starting city.</t>
  </si>
  <si>
    <t>On peut trouver des ressources de niveau plus élevées en s'éloignant de la ville de départ.</t>
  </si>
  <si>
    <t>Hint: Dungeon portals</t>
  </si>
  <si>
    <t>Dungeon portals are spread throughout the world. Each one leads to a different challenge.</t>
  </si>
  <si>
    <t>Des portails de Donjon sont répartis dans le monde. Chaque portail mène à un défi différent.</t>
  </si>
  <si>
    <t>Hint: Overworld bosses</t>
  </si>
  <si>
    <t>Sometimes bosses can be found on the overworld.</t>
  </si>
  <si>
    <t>Parfois, des boss apparaissent dans le monde.</t>
  </si>
  <si>
    <t>Hint: Stat level inventory weight</t>
  </si>
  <si>
    <t>Every stat level gained increases your maximum inventory weight.</t>
  </si>
  <si>
    <t>Chaque niveau gagné dans une stat augmente votre stockage maximal de l'inventaire.</t>
  </si>
  <si>
    <t>Hint: Crafting stat bonus</t>
  </si>
  <si>
    <t>With higher crafting stats, crafted items have increased quantity or durability.</t>
  </si>
  <si>
    <t>Avec des niveaux de craft plus élevés, les objets créés ont leur qualité ou leur durabilité augmenté.</t>
  </si>
  <si>
    <t>Hint: Join discord</t>
  </si>
  <si>
    <t>Join the Discord server to get help, trade, or make suggestions.</t>
  </si>
  <si>
    <t>Rejoignez notre serveur Discord pour accéder à de l'aide, du commerce, ou faire des suggestions.</t>
  </si>
  <si>
    <t>Hint: Dungeon doors</t>
  </si>
  <si>
    <t>Some dungeons have bonus rooms with extra loot that can only be accessed when other locked doors are opened in a specific order.</t>
  </si>
  <si>
    <t>Hint: Bluecaps location</t>
  </si>
  <si>
    <t>Bluecaps can be found next to water.</t>
  </si>
  <si>
    <t>Les champignos bleus se trouvent à côté de l'eau.</t>
  </si>
  <si>
    <t>Hint: Redcaps location</t>
  </si>
  <si>
    <t>Redcaps can be found in caves.</t>
  </si>
  <si>
    <t>Les champignons rouges se trouvent dans des grottes.</t>
  </si>
  <si>
    <t>Buy</t>
  </si>
  <si>
    <t>Accept</t>
  </si>
  <si>
    <t>Accepter</t>
  </si>
  <si>
    <t>Show</t>
  </si>
  <si>
    <t>Wikia tooltip</t>
  </si>
  <si>
    <t>Learn more about the game on the Wiki</t>
  </si>
  <si>
    <t>Discord tooltip</t>
  </si>
  <si>
    <t>Chat with other players on Discord</t>
  </si>
  <si>
    <t>Discutez avec d'autres joueurs sur Discord</t>
  </si>
  <si>
    <t>Invalid command warning</t>
  </si>
  <si>
    <t>~ Invalid command ~
Type / followed by r, g, b, or y
to change chat colour.</t>
  </si>
  <si>
    <t>Stats tooltip</t>
  </si>
  <si>
    <t>Stats</t>
  </si>
  <si>
    <t>Tasks tooltip</t>
  </si>
  <si>
    <t>Tasks</t>
  </si>
  <si>
    <t>Map tooltip</t>
  </si>
  <si>
    <t>World map</t>
  </si>
  <si>
    <t>Chat tooltip</t>
  </si>
  <si>
    <t>Chat mode: Press to set whether the chat box should stay open after sending a message.</t>
  </si>
  <si>
    <t>Mode discussion: Appuyez dessus pour définir si la zone de discussion doit rester ouverte après l'envoi d'un message.</t>
  </si>
  <si>
    <t>Clan tooltip</t>
  </si>
  <si>
    <t>Clan</t>
  </si>
  <si>
    <t>Inventory tooltip</t>
  </si>
  <si>
    <t>Inventory</t>
  </si>
  <si>
    <t>Account tooltip</t>
  </si>
  <si>
    <t>Account: Set a username and password for this character to save your progress.</t>
  </si>
  <si>
    <t>Settings tooltip</t>
  </si>
  <si>
    <t>Settings: Press to show/hide more options.</t>
  </si>
  <si>
    <t>Settings</t>
  </si>
  <si>
    <t>Setting: Fullscreen</t>
  </si>
  <si>
    <t>Fullscreen</t>
  </si>
  <si>
    <t>Setting: Music volume</t>
  </si>
  <si>
    <t>Music volume</t>
  </si>
  <si>
    <t>Setting: Effects volume</t>
  </si>
  <si>
    <t>Effects volume</t>
  </si>
  <si>
    <t>Volume des effets sonores</t>
  </si>
  <si>
    <t>Setting: GUI scale</t>
  </si>
  <si>
    <t>GUI scale</t>
  </si>
  <si>
    <t>Setting Virtual D-pad</t>
  </si>
  <si>
    <t>Show the virtual D-pad</t>
  </si>
  <si>
    <t>Setting: Add to hotbar</t>
  </si>
  <si>
    <t>Add picked up items to hotbar</t>
  </si>
  <si>
    <t>Ajouter les articles ramassés à la Hotbar</t>
  </si>
  <si>
    <t>Setting: Profanity filter</t>
  </si>
  <si>
    <t>Chat profanity filter</t>
  </si>
  <si>
    <t>Setting: Light flicker</t>
  </si>
  <si>
    <t>Light flicker</t>
  </si>
  <si>
    <t>Setting: Show FPS</t>
  </si>
  <si>
    <t>Show FPS counter</t>
  </si>
  <si>
    <t>Create account panel: name</t>
  </si>
  <si>
    <t>Create account</t>
  </si>
  <si>
    <t>Create account panel: info</t>
  </si>
  <si>
    <t>Choose a username and password to save this character so you can log in later.</t>
  </si>
  <si>
    <t>Choisissez un nom d'utilisateur et mot de passe pour enregistrer ce caractère si vous voulez vous connecter plus tard.</t>
  </si>
  <si>
    <t>Enter username</t>
  </si>
  <si>
    <t>Enter a username</t>
  </si>
  <si>
    <t>Enter password</t>
  </si>
  <si>
    <t>Enter a password</t>
  </si>
  <si>
    <t>Username taken</t>
  </si>
  <si>
    <t>Nom d'utilisateur déjà utilisé</t>
  </si>
  <si>
    <t>Account panel: name</t>
  </si>
  <si>
    <t>Account</t>
  </si>
  <si>
    <t>Account panel: info</t>
  </si>
  <si>
    <t>Change password</t>
  </si>
  <si>
    <t>Change name panel: name</t>
  </si>
  <si>
    <t>Change name</t>
  </si>
  <si>
    <t>Current password</t>
  </si>
  <si>
    <t>New password</t>
  </si>
  <si>
    <t>Incorrect current password</t>
  </si>
  <si>
    <t>Mot de passe actuel incorrect</t>
  </si>
  <si>
    <t>Password changed</t>
  </si>
  <si>
    <t>Current character name</t>
  </si>
  <si>
    <t>New character name</t>
  </si>
  <si>
    <t>New name required</t>
  </si>
  <si>
    <t>New name required.</t>
  </si>
  <si>
    <t>New name different</t>
  </si>
  <si>
    <t>New name must be different than current name.</t>
  </si>
  <si>
    <t>Le nouveau nom doit être différent de l'ancien.</t>
  </si>
  <si>
    <t>Character name changed</t>
  </si>
  <si>
    <t>Character name changed.</t>
  </si>
  <si>
    <t>Nom du personnage changé.</t>
  </si>
  <si>
    <t>Hint panel: Merchants</t>
  </si>
  <si>
    <t>Buying items</t>
  </si>
  <si>
    <t>Hint panel: Gathering</t>
  </si>
  <si>
    <t>Gathering</t>
  </si>
  <si>
    <t>ramassage</t>
  </si>
  <si>
    <t>Hint panel: Crafting clothes</t>
  </si>
  <si>
    <t>Crafting clothes</t>
  </si>
  <si>
    <t>Hint panel: Crafting metal bars</t>
  </si>
  <si>
    <t>Crafting metal bars</t>
  </si>
  <si>
    <t>Hint panel: Crafting weapons</t>
  </si>
  <si>
    <t>Crafting weapons</t>
  </si>
  <si>
    <t>Hint panel: Banking</t>
  </si>
  <si>
    <t>Banking</t>
  </si>
  <si>
    <t>Hint panel: Combat</t>
  </si>
  <si>
    <t>Combat</t>
  </si>
  <si>
    <t>Chat scope: All</t>
  </si>
  <si>
    <t>ALL</t>
  </si>
  <si>
    <t>Chat scope: Local</t>
  </si>
  <si>
    <t>LOCAL</t>
  </si>
  <si>
    <t>Chat scope: Global</t>
  </si>
  <si>
    <t>GLOBAL</t>
  </si>
  <si>
    <t>Chat scope: Trade</t>
  </si>
  <si>
    <t>TRADE</t>
  </si>
  <si>
    <t>Enter message</t>
  </si>
  <si>
    <t>Enter a message</t>
  </si>
  <si>
    <t>Cooldown</t>
  </si>
  <si>
    <t>Sending</t>
  </si>
  <si>
    <t>Stats panel: name</t>
  </si>
  <si>
    <t>Bank panel: name</t>
  </si>
  <si>
    <t>Bank</t>
  </si>
  <si>
    <t>Deposit all</t>
  </si>
  <si>
    <t>Deposit all inventory items</t>
  </si>
  <si>
    <t>Déposez tous les objets de l'inventaire</t>
  </si>
  <si>
    <t>Bank upgrade account needed</t>
  </si>
  <si>
    <t>Account needed to ugrade bank storage weight.</t>
  </si>
  <si>
    <t>Vous devez posséder un compte pour améliorer la capacité de votre banque.</t>
  </si>
  <si>
    <t>Upgrade bank</t>
  </si>
  <si>
    <t>Upgrade bank storage</t>
  </si>
  <si>
    <t>capacité de la banque augmenté</t>
  </si>
  <si>
    <t>Not enough glory</t>
  </si>
  <si>
    <t>Storage</t>
  </si>
  <si>
    <t>Storage weight</t>
  </si>
  <si>
    <t>Total storage weight</t>
  </si>
  <si>
    <t>Empty storage</t>
  </si>
  <si>
    <t>Storage is empty.</t>
  </si>
  <si>
    <t>Deposit</t>
  </si>
  <si>
    <t>Deposit entire stack</t>
  </si>
  <si>
    <t>Withdraw</t>
  </si>
  <si>
    <t>Withdraw entire stack</t>
  </si>
  <si>
    <t>Withdraw all</t>
  </si>
  <si>
    <t>Not enough free space</t>
  </si>
  <si>
    <t>Inventory panel: name</t>
  </si>
  <si>
    <t>Inventory weight</t>
  </si>
  <si>
    <t>Total inventory weight</t>
  </si>
  <si>
    <t>Item search</t>
  </si>
  <si>
    <t>Search</t>
  </si>
  <si>
    <t>Empty inventory</t>
  </si>
  <si>
    <t>Inventory is empty.</t>
  </si>
  <si>
    <t>Remove from hotbar</t>
  </si>
  <si>
    <t>Hotbar full</t>
  </si>
  <si>
    <t>Add to hotbar</t>
  </si>
  <si>
    <t>Quick equip</t>
  </si>
  <si>
    <t>Quick use</t>
  </si>
  <si>
    <t>Drop</t>
  </si>
  <si>
    <t>Drop entire stack</t>
  </si>
  <si>
    <t>Drop all</t>
  </si>
  <si>
    <t>Weight</t>
  </si>
  <si>
    <t>Show item details</t>
  </si>
  <si>
    <t>No items found</t>
  </si>
  <si>
    <t>No items found.</t>
  </si>
  <si>
    <t>No crafting options</t>
  </si>
  <si>
    <t>No crafting options available.</t>
  </si>
  <si>
    <t>Craft</t>
  </si>
  <si>
    <t>Level</t>
  </si>
  <si>
    <t>Exp</t>
  </si>
  <si>
    <t>Expérience</t>
  </si>
  <si>
    <t>Task</t>
  </si>
  <si>
    <t>Progress</t>
  </si>
  <si>
    <t>Progression</t>
  </si>
  <si>
    <t>Reward</t>
  </si>
  <si>
    <t>Track</t>
  </si>
  <si>
    <t>Claim</t>
  </si>
  <si>
    <t>Task completed</t>
  </si>
  <si>
    <t>Task completed!</t>
  </si>
  <si>
    <t>Respawn panel: name</t>
  </si>
  <si>
    <t>You died!</t>
  </si>
  <si>
    <t>Vous êtes mort !</t>
  </si>
  <si>
    <t>Respawn panel: info 1</t>
  </si>
  <si>
    <t>Be better prepared next time. Items will last longer when made with higher crafting stats.</t>
  </si>
  <si>
    <t>Préparez vous mieux la prochaine fois. Les items durent plus longtemps lorsqu'ils sont de qualité supérieure.</t>
  </si>
  <si>
    <t>Respawn panel: info 2</t>
  </si>
  <si>
    <t>Try working with other players when doing something dangerous.</t>
  </si>
  <si>
    <t>Essayez d'être avec d'autres joueurs lorsque vous faites quelque chose de dangereux.</t>
  </si>
  <si>
    <t>Respawn panel: info 3</t>
  </si>
  <si>
    <t>Many dangerous creatures only appear at night.</t>
  </si>
  <si>
    <t>Des créatures dangereuses apparaissent uniquement la nuit.</t>
  </si>
  <si>
    <t>Respawn</t>
  </si>
  <si>
    <t>Réapparition</t>
  </si>
  <si>
    <t>Dungeon</t>
  </si>
  <si>
    <t>Difficulty</t>
  </si>
  <si>
    <t>Beginner</t>
  </si>
  <si>
    <t>Advanced</t>
  </si>
  <si>
    <t>Expert</t>
  </si>
  <si>
    <t>Master</t>
  </si>
  <si>
    <t>Entry cost</t>
  </si>
  <si>
    <t>Max players</t>
  </si>
  <si>
    <t>la limite de joueurs</t>
  </si>
  <si>
    <t>Create</t>
  </si>
  <si>
    <t>Leave</t>
  </si>
  <si>
    <t>Start</t>
  </si>
  <si>
    <t>Cancel</t>
  </si>
  <si>
    <t>Party</t>
  </si>
  <si>
    <t>Parties</t>
  </si>
  <si>
    <t>Not enough glory warning</t>
  </si>
  <si>
    <t>Time remaining</t>
  </si>
  <si>
    <t>Temps restant</t>
  </si>
  <si>
    <t>Dungeon name: City sewers</t>
  </si>
  <si>
    <t>City sewers</t>
  </si>
  <si>
    <t>Dungeon name: Knight training arena</t>
  </si>
  <si>
    <t>Knight training arena</t>
  </si>
  <si>
    <t>Domaine d'entrainement Chevalier</t>
  </si>
  <si>
    <t>Dungeon name: Bandit hideout</t>
  </si>
  <si>
    <t>Bandit hideout</t>
  </si>
  <si>
    <t>Dungeon name: West pyramid</t>
  </si>
  <si>
    <t>West pyramid</t>
  </si>
  <si>
    <t>Dungeon name: East pyramid</t>
  </si>
  <si>
    <t>East pyramid</t>
  </si>
  <si>
    <t>Dungeon name: Blood halls</t>
  </si>
  <si>
    <t>Blood halls</t>
  </si>
  <si>
    <t>Dungeon name: Shadow dojo</t>
  </si>
  <si>
    <t>Shadow dōjō</t>
  </si>
  <si>
    <t>dojo de l'ombre</t>
  </si>
  <si>
    <t>Dungeon name: Forest maze</t>
  </si>
  <si>
    <t>Forest maze</t>
  </si>
  <si>
    <t>Dungeon name: Mage training arena</t>
  </si>
  <si>
    <t>Mage training arena</t>
  </si>
  <si>
    <t>Domaine d'entrainement Mage</t>
  </si>
  <si>
    <t>Kick clan member</t>
  </si>
  <si>
    <t>Kick</t>
  </si>
  <si>
    <t>éjecter</t>
  </si>
  <si>
    <t>Promote clan member</t>
  </si>
  <si>
    <t>Promote</t>
  </si>
  <si>
    <t>Leave clan</t>
  </si>
  <si>
    <t>Already in clan warning</t>
  </si>
  <si>
    <t>You are already in a clan.</t>
  </si>
  <si>
    <t>Clan joined</t>
  </si>
  <si>
    <t>Clan joined!</t>
  </si>
  <si>
    <t>Vous avez rejoint un Clan!</t>
  </si>
  <si>
    <t>Clan structure limit warning</t>
  </si>
  <si>
    <t>Clan structure limit reached.</t>
  </si>
  <si>
    <t>Clan destroyed</t>
  </si>
  <si>
    <t>Your clan has been destroyed!</t>
  </si>
  <si>
    <t>Votre clan a été dissous!</t>
  </si>
  <si>
    <t>Clan member kicked</t>
  </si>
  <si>
    <t xml:space="preserve">Clan member kicked: </t>
  </si>
  <si>
    <t>membre du clan a éjecté :</t>
  </si>
  <si>
    <t>Clan promoted</t>
  </si>
  <si>
    <t>You have been promoted in your clan.</t>
  </si>
  <si>
    <t>Pickaxe needed</t>
  </si>
  <si>
    <t>Pickaxe needed to mine ore.</t>
  </si>
  <si>
    <t xml:space="preserve"> Besoin d'une pioche pour extraire le minerai.</t>
  </si>
  <si>
    <t>Pick up item</t>
  </si>
  <si>
    <t>Ramasser un objet</t>
  </si>
  <si>
    <t>Base</t>
  </si>
  <si>
    <t>Anvil</t>
  </si>
  <si>
    <t>Furnace</t>
  </si>
  <si>
    <t>Laboratory</t>
  </si>
  <si>
    <t>Workbench</t>
  </si>
  <si>
    <t>Inventory full warning</t>
  </si>
  <si>
    <t>Your inventory is full.</t>
  </si>
  <si>
    <t>Drop item blocked warning</t>
  </si>
  <si>
    <t>You can't drop that item here.
There is something in the way.</t>
  </si>
  <si>
    <t>Item name: Exp orb: Melee</t>
  </si>
  <si>
    <t>Exp orb: Melee</t>
  </si>
  <si>
    <t>Шар опыта: Ближний бой</t>
  </si>
  <si>
    <t>Item description: Exp orb: Melee</t>
  </si>
  <si>
    <t>Gives a lot of melee stat exp when used.</t>
  </si>
  <si>
    <t>Дает много очков опыта ближнего боя при использовании.</t>
  </si>
  <si>
    <t>Item name: Exp orb: Ranged</t>
  </si>
  <si>
    <t>Exp orb: Ranged</t>
  </si>
  <si>
    <t>Шар опыта: Дальний бой</t>
  </si>
  <si>
    <t>Item description: Exp orb: Ranged</t>
  </si>
  <si>
    <t>Gives a lot of ranged stat exp when used.</t>
  </si>
  <si>
    <t>Даёт много очков опыта дальнего боя при использовании</t>
  </si>
  <si>
    <t>Item name: Exp orb: Magic</t>
  </si>
  <si>
    <t>Exp orb: Magic</t>
  </si>
  <si>
    <t>Шар опыта: Магия</t>
  </si>
  <si>
    <t>Item description: Exp orb: Magic</t>
  </si>
  <si>
    <t>Gives a lot of magic stat exp when used.</t>
  </si>
  <si>
    <t>Даёт много очков опыта магии при использовании</t>
  </si>
  <si>
    <t>Item name: Exp orb: Gathering</t>
  </si>
  <si>
    <t>Exp orb: Gathering</t>
  </si>
  <si>
    <t>Шар опыта: Собирательство</t>
  </si>
  <si>
    <t>Item description: Exp orb: Gathering</t>
  </si>
  <si>
    <t>Gives a lot of gathering stat exp when used.</t>
  </si>
  <si>
    <t>Даёт много очков опыта собирательства при использовании</t>
  </si>
  <si>
    <t>Item name: Exp orb: Weaponry</t>
  </si>
  <si>
    <t>Exp orb: Weaponry</t>
  </si>
  <si>
    <t>Шар опыта: фехтование</t>
  </si>
  <si>
    <t>Item description: Exp orb: Weaponry</t>
  </si>
  <si>
    <t>Gives a lot of weaponry stat exp when used.</t>
  </si>
  <si>
    <t>Даёт много очков опыта фехтования при использовании</t>
  </si>
  <si>
    <t>Item name: Exp orb: Armoury</t>
  </si>
  <si>
    <t>Exp orb: Armoury</t>
  </si>
  <si>
    <t>Шар опыта: Бронное дело</t>
  </si>
  <si>
    <t>Item description: Exp orb: Armoury</t>
  </si>
  <si>
    <t>Gives a lot of armoury stat exp when used.</t>
  </si>
  <si>
    <t>Даёт много очков опыта бронного дела при использовании (кузня)</t>
  </si>
  <si>
    <t>Item name: Exp orb: Toolery</t>
  </si>
  <si>
    <t>Exp orb: Toolery</t>
  </si>
  <si>
    <t>Шар опыта: Инструментарное дело</t>
  </si>
  <si>
    <t>Item description: Exp orb: Toolery</t>
  </si>
  <si>
    <t>Gives a lot of toolery stat exp when used.</t>
  </si>
  <si>
    <t>Даёт много очков опыта инструментарного дела при использовании</t>
  </si>
  <si>
    <t>Item name: Exp orb: Potionry</t>
  </si>
  <si>
    <t>Exp orb: Potionry</t>
  </si>
  <si>
    <t>Шар опыта: зельеварение</t>
  </si>
  <si>
    <t>Item description: Exp orb: Potionry</t>
  </si>
  <si>
    <t>Gives a lot of potionry stat exp when used.</t>
  </si>
  <si>
    <t>Даёт много очков опыта зельеварения при использовании</t>
  </si>
  <si>
    <t>Item name: Glory orb</t>
  </si>
  <si>
    <t>Glory orb</t>
  </si>
  <si>
    <t>Шар сияющих монет</t>
  </si>
  <si>
    <t>Item description: Glory orb</t>
  </si>
  <si>
    <t>Gives a lot of glory money when used.</t>
  </si>
  <si>
    <t>Даёт много монет славы при использовании</t>
  </si>
  <si>
    <t>Item name: Tiny loot box</t>
  </si>
  <si>
    <t>Tiny loot box</t>
  </si>
  <si>
    <t>Item description: Tiny loot box</t>
  </si>
  <si>
    <t>Gives 1 random item when used.</t>
  </si>
  <si>
    <t>Item name: Small loot box</t>
  </si>
  <si>
    <t>Small loot box</t>
  </si>
  <si>
    <t>Item description: Small loot box</t>
  </si>
  <si>
    <t>Gives 2 random items when used.</t>
  </si>
  <si>
    <t>Item name: Medium loot box</t>
  </si>
  <si>
    <t>Medium loot box</t>
  </si>
  <si>
    <t>Item description: Medium loot box</t>
  </si>
  <si>
    <t>Gives 3 random items when used.</t>
  </si>
  <si>
    <t>Item name: Bones</t>
  </si>
  <si>
    <t>Bones</t>
  </si>
  <si>
    <t>Item description: Bones</t>
  </si>
  <si>
    <t>Can be crafted into primitive equipment.</t>
  </si>
  <si>
    <t>Item name: Iron ore</t>
  </si>
  <si>
    <t>Iron ore</t>
  </si>
  <si>
    <t>Item description: Iron ore</t>
  </si>
  <si>
    <t>Can be crafted into an iron bar at a furnace.</t>
  </si>
  <si>
    <t>Item name: Iron bar</t>
  </si>
  <si>
    <t>Iron bar</t>
  </si>
  <si>
    <t>Item description: Iron bar</t>
  </si>
  <si>
    <t>Can be crafted into iron equipment.</t>
  </si>
  <si>
    <t>Item name: Dungium ore</t>
  </si>
  <si>
    <t>Dungium ore</t>
  </si>
  <si>
    <t>Item description: Dungium ore</t>
  </si>
  <si>
    <t>Can be crafted into a dungium bar at a furnace.</t>
  </si>
  <si>
    <t>Item name: Dungium bar</t>
  </si>
  <si>
    <t>Dungium bar</t>
  </si>
  <si>
    <t>Item description: Dungium bar</t>
  </si>
  <si>
    <t>Can be crafted into dungium equipment.</t>
  </si>
  <si>
    <t>Item name: Agonite ore</t>
  </si>
  <si>
    <t>Agonite ore</t>
  </si>
  <si>
    <t>Item description: Agonite ore</t>
  </si>
  <si>
    <t>Can be crafted into a agonite bar at a furnace.</t>
  </si>
  <si>
    <t>Item name: Agonite bar</t>
  </si>
  <si>
    <t>Agonite bar</t>
  </si>
  <si>
    <t>Item description: Agonite bar</t>
  </si>
  <si>
    <t>Can be crafted into agonite equipment.</t>
  </si>
  <si>
    <t>Item name: Noctis ore</t>
  </si>
  <si>
    <t>Noctis ore</t>
  </si>
  <si>
    <t>Item description: Noctis ore</t>
  </si>
  <si>
    <t>Can be crafted into a noctis bar at a furnace.</t>
  </si>
  <si>
    <t>Item name: Noctis bar</t>
  </si>
  <si>
    <t>Noctis bar</t>
  </si>
  <si>
    <t>Item description: Noctis bar</t>
  </si>
  <si>
    <t>Can be crafted into noctis equipment.</t>
  </si>
  <si>
    <t>Item name: Pine logs</t>
  </si>
  <si>
    <t>Pine logs</t>
  </si>
  <si>
    <t>Item description: Pine logs</t>
  </si>
  <si>
    <t>A basic crafting material.</t>
  </si>
  <si>
    <t>Item name: Willow logs</t>
  </si>
  <si>
    <t>Willow logs</t>
  </si>
  <si>
    <t>Item description: Willow logs</t>
  </si>
  <si>
    <t>Item name: Oak logs</t>
  </si>
  <si>
    <t>Oak logs</t>
  </si>
  <si>
    <t>Item description: Oak logs</t>
  </si>
  <si>
    <t>Item name: Cotton</t>
  </si>
  <si>
    <t>Cotton</t>
  </si>
  <si>
    <t>Item description: Cotton</t>
  </si>
  <si>
    <t>Can be crafted into various textiles.</t>
  </si>
  <si>
    <t>Item name: String</t>
  </si>
  <si>
    <t>String</t>
  </si>
  <si>
    <t>Item description: String</t>
  </si>
  <si>
    <t>Used to craft bows and traps.</t>
  </si>
  <si>
    <t>Item name: Fabric</t>
  </si>
  <si>
    <t>Fabric</t>
  </si>
  <si>
    <t>Item description: Fabric</t>
  </si>
  <si>
    <t>Can be crafted into clothing.</t>
  </si>
  <si>
    <t>Item name: Feathers</t>
  </si>
  <si>
    <t>Feathers</t>
  </si>
  <si>
    <t>Item description: Feathers</t>
  </si>
  <si>
    <t>Can be crafted into arrows.</t>
  </si>
  <si>
    <t>Item name: Redcap</t>
  </si>
  <si>
    <t>Redcap</t>
  </si>
  <si>
    <t>Item description: Redcap</t>
  </si>
  <si>
    <t>Can be eaten, or crafted into a potion for a stronger effect.</t>
  </si>
  <si>
    <t>Item name: Greencap</t>
  </si>
  <si>
    <t>Greencap</t>
  </si>
  <si>
    <t>Item description: Greencap</t>
  </si>
  <si>
    <t>Item name: Bluecap</t>
  </si>
  <si>
    <t>Bluecap</t>
  </si>
  <si>
    <t>Item description: Bluecap</t>
  </si>
  <si>
    <t>Item name: Frostcap</t>
  </si>
  <si>
    <t>Frostcap</t>
  </si>
  <si>
    <t>Item description: Frostcap</t>
  </si>
  <si>
    <t>Item name: Health potion</t>
  </si>
  <si>
    <t>Health potion</t>
  </si>
  <si>
    <t>Item description: Health potion</t>
  </si>
  <si>
    <t>Restores some hitpoints over time when used.</t>
  </si>
  <si>
    <t>Item name: Energy potion</t>
  </si>
  <si>
    <t>Energy potion</t>
  </si>
  <si>
    <t>Item description: Energy potion</t>
  </si>
  <si>
    <t>Restores some energy over time when used.</t>
  </si>
  <si>
    <t>Item name: Cure potion</t>
  </si>
  <si>
    <t>Cure potion</t>
  </si>
  <si>
    <t>Item description: Cure potion</t>
  </si>
  <si>
    <t>Removes poison and disease and makes you immune to them for a while.</t>
  </si>
  <si>
    <t>Item name: Anti-freeze potion</t>
  </si>
  <si>
    <t>Anti-freeze potion</t>
  </si>
  <si>
    <t>Item description: Anti-freeze potion</t>
  </si>
  <si>
    <t>Removes chilled and makes you immune to it for a while.</t>
  </si>
  <si>
    <t>Item name: Wooden club</t>
  </si>
  <si>
    <t>Wooden club</t>
  </si>
  <si>
    <t>Item description: Wooden club</t>
  </si>
  <si>
    <t>A big stick to hit things with. Better than nothing...</t>
  </si>
  <si>
    <t>Item name: Bone hatchet</t>
  </si>
  <si>
    <t>Bone hatchet</t>
  </si>
  <si>
    <t>Item description: Bone hatchet</t>
  </si>
  <si>
    <t>Used to chop down trees for wood.</t>
  </si>
  <si>
    <t>Item name: Bone pickaxe</t>
  </si>
  <si>
    <t>Bone pickaxe</t>
  </si>
  <si>
    <t>Item description: Bone pickaxe</t>
  </si>
  <si>
    <t>Used to mine rocks for ore.</t>
  </si>
  <si>
    <t>Item name: Iron hatchet</t>
  </si>
  <si>
    <t>Iron hatchet</t>
  </si>
  <si>
    <t>Item description: Iron hatchet</t>
  </si>
  <si>
    <t>Item name: Iron pickaxe</t>
  </si>
  <si>
    <t>Iron pickaxe</t>
  </si>
  <si>
    <t>Item description: Iron pickaxe</t>
  </si>
  <si>
    <t>Item name: Iron sickle</t>
  </si>
  <si>
    <t>Iron sickle</t>
  </si>
  <si>
    <t>Item description: Iron sickle</t>
  </si>
  <si>
    <t>Used to gather plants.</t>
  </si>
  <si>
    <t>Item name: Iron arrows</t>
  </si>
  <si>
    <t>Iron arrows</t>
  </si>
  <si>
    <t>Item description: Iron arrows</t>
  </si>
  <si>
    <t>Used as ammunition for a bow.</t>
  </si>
  <si>
    <t>Item name: Iron dagger</t>
  </si>
  <si>
    <t>Iron dagger</t>
  </si>
  <si>
    <t>Item description: Iron dagger</t>
  </si>
  <si>
    <t>A short range melee weapon. Deals bonus damage when it hits from behind.</t>
  </si>
  <si>
    <t>Item name: Iron sword</t>
  </si>
  <si>
    <t>Iron sword</t>
  </si>
  <si>
    <t>Item description: Iron sword</t>
  </si>
  <si>
    <t>Melee weapon. Used to attack a short distance away.</t>
  </si>
  <si>
    <t>Item name: Iron hammer</t>
  </si>
  <si>
    <t>Iron hammer</t>
  </si>
  <si>
    <t>Item description: Iron hammer</t>
  </si>
  <si>
    <t>Melee weapon. Pushes things back one space when it hits.</t>
  </si>
  <si>
    <t>Item name: Iron armour</t>
  </si>
  <si>
    <t>Iron armour</t>
  </si>
  <si>
    <t>Item description: Iron armour</t>
  </si>
  <si>
    <t>Basic armour to reduce damage taken. Increases your Melee stat while worn.</t>
  </si>
  <si>
    <t>Item name: Dungium hatchet</t>
  </si>
  <si>
    <t>Dungium hatchet</t>
  </si>
  <si>
    <t>Item description: Dungium hatchet</t>
  </si>
  <si>
    <t>Item name: Dungium pickaxe</t>
  </si>
  <si>
    <t>Dungium pickaxe</t>
  </si>
  <si>
    <t>Item description: Dungium pickaxe</t>
  </si>
  <si>
    <t>Item name: Dungium sickle</t>
  </si>
  <si>
    <t>Dungium sickle</t>
  </si>
  <si>
    <t>Item description: Dungium sickle</t>
  </si>
  <si>
    <t>Item name: Dungium arrows</t>
  </si>
  <si>
    <t>Dungium arrows</t>
  </si>
  <si>
    <t>Item description: Dungium arrows</t>
  </si>
  <si>
    <t>Item name: Dungium dagger</t>
  </si>
  <si>
    <t>Dungium dagger</t>
  </si>
  <si>
    <t>Item description: Dungium dagger</t>
  </si>
  <si>
    <t>Item name: Dungium sword</t>
  </si>
  <si>
    <t>Dungium sword</t>
  </si>
  <si>
    <t>Item description: Dungium sword</t>
  </si>
  <si>
    <t>Item name: Dungium hammer</t>
  </si>
  <si>
    <t>Dungium hammer</t>
  </si>
  <si>
    <t>Item description: Dungium hammer</t>
  </si>
  <si>
    <t>Item name: Dungium armour</t>
  </si>
  <si>
    <t>Dungium armour</t>
  </si>
  <si>
    <t>Item description: Dungium armour</t>
  </si>
  <si>
    <t>Shiny! Increases your Melee stat while worn.</t>
  </si>
  <si>
    <t>Item name: Agonite hatchet</t>
  </si>
  <si>
    <t>Agonite hatchet</t>
  </si>
  <si>
    <t>Item description: Agonite hatchet</t>
  </si>
  <si>
    <t>Item name: Agonite pickaxe</t>
  </si>
  <si>
    <t>Agonite pickaxe</t>
  </si>
  <si>
    <t>Item description: Agonite pickaxe</t>
  </si>
  <si>
    <t>Item name: Agonite sickle</t>
  </si>
  <si>
    <t>Agonite sickle</t>
  </si>
  <si>
    <t>Item description: Agonite sickle</t>
  </si>
  <si>
    <t>Item name: Agonite arrows</t>
  </si>
  <si>
    <t>Agonite arrows</t>
  </si>
  <si>
    <t>Item description: Agonite arrows</t>
  </si>
  <si>
    <t>Item name: Agonite dagger</t>
  </si>
  <si>
    <t>Agonite dagger</t>
  </si>
  <si>
    <t>Item description: Agonite dagger</t>
  </si>
  <si>
    <t>Item name: Agonite sword</t>
  </si>
  <si>
    <t>Agonite sword</t>
  </si>
  <si>
    <t>Item description: Agonite sword</t>
  </si>
  <si>
    <t>Item name: Agonite hammer</t>
  </si>
  <si>
    <t>Agonite hammer</t>
  </si>
  <si>
    <t>Item description: Agonite hammer</t>
  </si>
  <si>
    <t>Item name: Agonite armour</t>
  </si>
  <si>
    <t>Agonite armour</t>
  </si>
  <si>
    <t>Item description: Agonite armour</t>
  </si>
  <si>
    <t>Looks dangerous! Increases your Melee stat while worn.</t>
  </si>
  <si>
    <t>Item name: Noctis hatchet</t>
  </si>
  <si>
    <t>Noctis hatchet</t>
  </si>
  <si>
    <t>Item description: Noctis hatchet</t>
  </si>
  <si>
    <t>Item name: Noctis pickaxe</t>
  </si>
  <si>
    <t>Noctis pickaxe</t>
  </si>
  <si>
    <t>Item description: Noctis pickaxe</t>
  </si>
  <si>
    <t>Item name: Noctis sickle</t>
  </si>
  <si>
    <t>Noctis sickle</t>
  </si>
  <si>
    <t>Item description: Noctis sickle</t>
  </si>
  <si>
    <t>Item name: Noctis arrows</t>
  </si>
  <si>
    <t>Noctis arrows</t>
  </si>
  <si>
    <t>Item description: Noctis arrows</t>
  </si>
  <si>
    <t>Item name: Noctis dagger</t>
  </si>
  <si>
    <t>Noctis dagger</t>
  </si>
  <si>
    <t>Item description: Noctis dagger</t>
  </si>
  <si>
    <t>Item name: Noctis sword</t>
  </si>
  <si>
    <t>Noctis sword</t>
  </si>
  <si>
    <t>Item description: Noctis sword</t>
  </si>
  <si>
    <t>Item name: Noctis hammer</t>
  </si>
  <si>
    <t>Noctis hammer</t>
  </si>
  <si>
    <t>Item description: Noctis hammer</t>
  </si>
  <si>
    <t>Item name: Noctis armour</t>
  </si>
  <si>
    <t>Noctis armour</t>
  </si>
  <si>
    <t>Item description: Noctis armour</t>
  </si>
  <si>
    <t>Scary! Increases your Melee stat while worn.</t>
  </si>
  <si>
    <t>Item name: Vampire fang</t>
  </si>
  <si>
    <t>Vampire fang</t>
  </si>
  <si>
    <t>Item description: Vampire fang</t>
  </si>
  <si>
    <t>Melee weapon. Very short range, but heals you when it hits.</t>
  </si>
  <si>
    <t>Item name: Pine bow</t>
  </si>
  <si>
    <t>Pine bow</t>
  </si>
  <si>
    <t>Item description: Pine bow</t>
  </si>
  <si>
    <t>A weak long ranged weapon to shoot arrows.</t>
  </si>
  <si>
    <t>Item name: Willow bow</t>
  </si>
  <si>
    <t>Willow bow</t>
  </si>
  <si>
    <t>Item description: Willow bow</t>
  </si>
  <si>
    <t>A good long ranged weapon to shoot arrows.</t>
  </si>
  <si>
    <t>Item name: Oak bow</t>
  </si>
  <si>
    <t>Oak bow</t>
  </si>
  <si>
    <t>Item description: Oak bow</t>
  </si>
  <si>
    <t>A strong long ranged weapon to shoot arrows.</t>
  </si>
  <si>
    <t>Item name: Poison arrows</t>
  </si>
  <si>
    <t>Poison arrows</t>
  </si>
  <si>
    <t>Item description: Poison arrows</t>
  </si>
  <si>
    <t>Used as ammunition for a bow. Inflicts poison when it hits.</t>
  </si>
  <si>
    <t>Item name: Shuriken</t>
  </si>
  <si>
    <t>Shuriken</t>
  </si>
  <si>
    <t>Item description: Shuriken</t>
  </si>
  <si>
    <t>A fast moving medium ranged weapon.</t>
  </si>
  <si>
    <t>Item name: Trap</t>
  </si>
  <si>
    <t>Trap</t>
  </si>
  <si>
    <t>Item description: Trap</t>
  </si>
  <si>
    <t>Damages anything that steps on it.</t>
  </si>
  <si>
    <t>Item name: Gem</t>
  </si>
  <si>
    <t>Gem</t>
  </si>
  <si>
    <t>Item description: Gem</t>
  </si>
  <si>
    <t>Can be charged at a magic altar using glory to add an elemental effect.</t>
  </si>
  <si>
    <t>Item name: Fire gem</t>
  </si>
  <si>
    <t>Fire gem</t>
  </si>
  <si>
    <t>Item description: Fire gem</t>
  </si>
  <si>
    <t>Used to craft items with a fire effect.</t>
  </si>
  <si>
    <t>Item name: Wind gem</t>
  </si>
  <si>
    <t>Wind gem</t>
  </si>
  <si>
    <t>Item description: Wind gem</t>
  </si>
  <si>
    <t>Used to craft items with a wind effect.</t>
  </si>
  <si>
    <t>Item name: Blood gem</t>
  </si>
  <si>
    <t>Blood gem</t>
  </si>
  <si>
    <t>Item description: Blood gem</t>
  </si>
  <si>
    <t>Used to craft items with a lifesteal effect.</t>
  </si>
  <si>
    <t>Item name: Fire staff</t>
  </si>
  <si>
    <t>Fire staff</t>
  </si>
  <si>
    <t>Item description: Fire staff</t>
  </si>
  <si>
    <t>Shoots fire that deals damage.</t>
  </si>
  <si>
    <t>Item name: Super fire staff</t>
  </si>
  <si>
    <t>Super fire staff</t>
  </si>
  <si>
    <t>Item description: Super fire staff</t>
  </si>
  <si>
    <t>Shoots fire that shoots more fire.</t>
  </si>
  <si>
    <t>Item name: Wind staff</t>
  </si>
  <si>
    <t>Wind staff</t>
  </si>
  <si>
    <t>Item description: Wind staff</t>
  </si>
  <si>
    <t>Shoots wind that knocks things back.</t>
  </si>
  <si>
    <t>Item name: Super wind staff</t>
  </si>
  <si>
    <t>Super wind staff</t>
  </si>
  <si>
    <t>Item description: Super wind staff</t>
  </si>
  <si>
    <t>Shoots wind that shoots more wind.</t>
  </si>
  <si>
    <t>Item name: Blood staff</t>
  </si>
  <si>
    <t>Blood staff</t>
  </si>
  <si>
    <t>Item description: Blood staff</t>
  </si>
  <si>
    <t>Shoots a projectile that steals hitpoints. Consumes hitpoints when used.</t>
  </si>
  <si>
    <t>Item name: Super blood staff</t>
  </si>
  <si>
    <t>Super blood staff</t>
  </si>
  <si>
    <t>Item description: Super blood staff</t>
  </si>
  <si>
    <t>Shoots a lifesteal projectile that shoots more lifesteal projectiles.</t>
  </si>
  <si>
    <t>Item name: Book of light</t>
  </si>
  <si>
    <t>Book of light</t>
  </si>
  <si>
    <t>Item description: Book of light</t>
  </si>
  <si>
    <t>A book of support spells.</t>
  </si>
  <si>
    <t>Item name: Book of souls</t>
  </si>
  <si>
    <t>Book of souls</t>
  </si>
  <si>
    <t>Item description: Book of souls</t>
  </si>
  <si>
    <t>A book of summoning spells.</t>
  </si>
  <si>
    <t>Item name: Bone arrows</t>
  </si>
  <si>
    <t>Bone arrows</t>
  </si>
  <si>
    <t>Item description: Bone arrows</t>
  </si>
  <si>
    <t>Item name: Plain robe</t>
  </si>
  <si>
    <t>Robe</t>
  </si>
  <si>
    <t>Item description: Plain robe</t>
  </si>
  <si>
    <t>A plain robe. Increases your Potionry stat while worn.</t>
  </si>
  <si>
    <t>Item name: Mage robe</t>
  </si>
  <si>
    <t>Mage robe</t>
  </si>
  <si>
    <t>Item description: Mage robe</t>
  </si>
  <si>
    <t>A basic robe for doing magic in. Increases your Magic stat while worn.</t>
  </si>
  <si>
    <t>Item name: Necromancer robe</t>
  </si>
  <si>
    <t>Necromancer robe</t>
  </si>
  <si>
    <t>Item description: Necromancer robe</t>
  </si>
  <si>
    <t>Item name: Cloak</t>
  </si>
  <si>
    <t>Cloak</t>
  </si>
  <si>
    <t>Item description: Cloak</t>
  </si>
  <si>
    <t>A basic cloak for doing ranged in. Increases your Ranged stat while worn.</t>
  </si>
  <si>
    <t>Item name: Ninja garb</t>
  </si>
  <si>
    <t>Ninja garb</t>
  </si>
  <si>
    <t>Item description: Ninja garb</t>
  </si>
  <si>
    <t>Increases your Melee and Ranged stats and hides your name while worn.</t>
  </si>
  <si>
    <t>Item name: Charter</t>
  </si>
  <si>
    <t>Charter</t>
  </si>
  <si>
    <t>Item description: Charter</t>
  </si>
  <si>
    <t>Clan structure. Place to start a clan. Used to craft other clan structures. If this is destroyed, the clan and all structures are also destroyed.</t>
  </si>
  <si>
    <t>Item name: Wood wall</t>
  </si>
  <si>
    <t>Wood wall</t>
  </si>
  <si>
    <t>Item description: Wood wall</t>
  </si>
  <si>
    <t>Clan structure. A weak defence for a base.</t>
  </si>
  <si>
    <t>Item name: Wood door</t>
  </si>
  <si>
    <t>Wood door</t>
  </si>
  <si>
    <t>Item description: Wood door</t>
  </si>
  <si>
    <t>Clan structure. Can only be opened by clan members.</t>
  </si>
  <si>
    <t>Item name: Brick wall</t>
  </si>
  <si>
    <t>Brick wall</t>
  </si>
  <si>
    <t>Item description: Brick wall</t>
  </si>
  <si>
    <t>Clan structure. A good defence for a base.</t>
  </si>
  <si>
    <t>Item name: Brick door</t>
  </si>
  <si>
    <t>Brick door</t>
  </si>
  <si>
    <t>Item description: Brick door</t>
  </si>
  <si>
    <t>Clan structure. Can only be opened by clan members. Stronger than a wood door.</t>
  </si>
  <si>
    <t>Item name: Iron wall</t>
  </si>
  <si>
    <t>Iron wall</t>
  </si>
  <si>
    <t>Item description: Iron wall</t>
  </si>
  <si>
    <t>Clan structure. A great defence for a base.</t>
  </si>
  <si>
    <t>Item name: Iron door</t>
  </si>
  <si>
    <t>Iron door</t>
  </si>
  <si>
    <t>Item description: Iron door</t>
  </si>
  <si>
    <t>Clan structure. Can only be opened by clan members. Stronger than a brick door.</t>
  </si>
  <si>
    <t>Item name: Bank chest</t>
  </si>
  <si>
    <t>Bank chest</t>
  </si>
  <si>
    <t>Item description: Bank chest</t>
  </si>
  <si>
    <t>Clan structure. Gives access to your personal bank storage.</t>
  </si>
  <si>
    <t>Item name: Workbench</t>
  </si>
  <si>
    <t>Item description: Workbench</t>
  </si>
  <si>
    <t>Clan structure. Used to craft various items.</t>
  </si>
  <si>
    <t>Item name: Furnace</t>
  </si>
  <si>
    <t>Item description: Furnace</t>
  </si>
  <si>
    <t>Clan structure. Used to turn ores into metal bars.</t>
  </si>
  <si>
    <t>Item name: Anvil</t>
  </si>
  <si>
    <t>Item description: Anvil</t>
  </si>
  <si>
    <t>Clan structure. Used to craft metal items.</t>
  </si>
  <si>
    <t>Item name: Laboratory</t>
  </si>
  <si>
    <t>Item description: Laboratory</t>
  </si>
  <si>
    <t>Clan structure. Used to craft potions.</t>
  </si>
  <si>
    <t>Item name: Generator</t>
  </si>
  <si>
    <t>Generator</t>
  </si>
  <si>
    <t>Item description: Generator</t>
  </si>
  <si>
    <t>Clan structure. Converts glory from players into power that can be used to activate other clan structures that require power, and can shield all clan structures from damage.</t>
  </si>
  <si>
    <t>Item name: Fighter key</t>
  </si>
  <si>
    <t>Fighter key</t>
  </si>
  <si>
    <t>Item description: Fighter key</t>
  </si>
  <si>
    <t>Opens the door to the PvP arena preparation area. Warning! Other players can attack you in the fight pit!</t>
  </si>
  <si>
    <t>Item name: Pit key</t>
  </si>
  <si>
    <t>Pit key</t>
  </si>
  <si>
    <t>Item description: Pit key</t>
  </si>
  <si>
    <t>Opens the doors to get out of the fight pit.</t>
  </si>
  <si>
    <t>Item name: Scroll of heal area</t>
  </si>
  <si>
    <t>Scroll of heal area</t>
  </si>
  <si>
    <t>Item description: Scroll of heal area</t>
  </si>
  <si>
    <t>Heals all creatures around yourself.</t>
  </si>
  <si>
    <t>Item name: Scroll of warding</t>
  </si>
  <si>
    <t>Scroll of warding</t>
  </si>
  <si>
    <t>Item description: Scroll of warding</t>
  </si>
  <si>
    <t>Enchants all creatures around yourself. Those creatures take no damage the next time they would be damaged.</t>
  </si>
  <si>
    <t>Item name: Scroll of cleansing</t>
  </si>
  <si>
    <t>Scroll of cleansing</t>
  </si>
  <si>
    <t>Item description: Scroll of cleansing</t>
  </si>
  <si>
    <t>Removes curses on all creatures around yourself.</t>
  </si>
  <si>
    <t>Item name: Scroll of pacify</t>
  </si>
  <si>
    <t>Scroll of pacify</t>
  </si>
  <si>
    <t>Item description: Scroll of pacify</t>
  </si>
  <si>
    <t>Curses the target. For a short duration, the target cannot use their held item.</t>
  </si>
  <si>
    <t>Item name: Scroll of reanimate</t>
  </si>
  <si>
    <t>Scroll of reanimation</t>
  </si>
  <si>
    <t>Item description: Scroll of reanimate</t>
  </si>
  <si>
    <t>Raises all corpses around yourself as minions of the type of creature that they were before they died that will serve you.</t>
  </si>
  <si>
    <t>Item name: Scroll of consume</t>
  </si>
  <si>
    <t>Scroll of consume</t>
  </si>
  <si>
    <t>Item description: Scroll of consume</t>
  </si>
  <si>
    <t>Destroy a minion that you control in the target direction to heal yourself.</t>
  </si>
  <si>
    <t>Item name: Scroll of deathbind</t>
  </si>
  <si>
    <t>Scroll of deathbind</t>
  </si>
  <si>
    <t>Item description: Scroll of deathbind</t>
  </si>
  <si>
    <t>Curse the target. When they die, they turn into an unclaimed undead minion automatically.</t>
  </si>
  <si>
    <t>Item name: Scroll of enthrall</t>
  </si>
  <si>
    <t>Scroll of enthrall</t>
  </si>
  <si>
    <t>Item description: Scroll of enthrall</t>
  </si>
  <si>
    <t>Make all unclaimed undead creatures around you become your minions.</t>
  </si>
  <si>
    <t>Item name: Hammer of Glory</t>
  </si>
  <si>
    <t>Hammer of Glory</t>
  </si>
  <si>
    <t>Item description: Hammer of Glory</t>
  </si>
  <si>
    <t>Relic. A powerful weapon used by ancient heroes. Pushes things back when it hits, and anything adjacent to what it hits.</t>
  </si>
  <si>
    <t>Item name: Armor of Ire</t>
  </si>
  <si>
    <t>Armor of Ire</t>
  </si>
  <si>
    <t>Item description: Armor of Ire</t>
  </si>
  <si>
    <t>Relic. The pain they serve will be brought upon their own. Reflects a portion of damage taken back to the source.</t>
  </si>
  <si>
    <t>Item name: Eternal Flame</t>
  </si>
  <si>
    <t>Eternal Flame</t>
  </si>
  <si>
    <t>Item description: Eternal Flame</t>
  </si>
  <si>
    <t>Relic. An essence of fire, stolen from the underworld. Shoots a wave of fire.</t>
  </si>
  <si>
    <t>Item name: Galestorm</t>
  </si>
  <si>
    <t>Galestorm</t>
  </si>
  <si>
    <t>Item description: Galestorm</t>
  </si>
  <si>
    <t>Relic. Used by pirate sailors to propel their ships. Shoots a wave of wind.</t>
  </si>
  <si>
    <t>Item name: Etherweave</t>
  </si>
  <si>
    <t>Etherweave</t>
  </si>
  <si>
    <t>Item description: Etherweave</t>
  </si>
  <si>
    <t>Relic. A garment worn by inhabitatants of the astral plane. Restores the wearer's energy when damaged.</t>
  </si>
  <si>
    <t>Mob name: Training dummy</t>
  </si>
  <si>
    <t>Training dummy</t>
  </si>
  <si>
    <t>Тренировочный манекен</t>
  </si>
  <si>
    <t>Mob name: Bandit</t>
  </si>
  <si>
    <t>Bandit</t>
  </si>
  <si>
    <t>Разбойник</t>
  </si>
  <si>
    <t>Mob name: Bandit leader</t>
  </si>
  <si>
    <t>Bandit leader</t>
  </si>
  <si>
    <t>Лидер бандитов</t>
  </si>
  <si>
    <t>Mob name: Assassin</t>
  </si>
  <si>
    <t>Assassin</t>
  </si>
  <si>
    <t>Ассасин</t>
  </si>
  <si>
    <t>Mob name: Master assassin</t>
  </si>
  <si>
    <t>Master assassin</t>
  </si>
  <si>
    <t>Ассасин мастер</t>
  </si>
  <si>
    <t>Mob name: Bat</t>
  </si>
  <si>
    <t>Bat</t>
  </si>
  <si>
    <t>Mob name: Ruler</t>
  </si>
  <si>
    <t>Ruler</t>
  </si>
  <si>
    <t>Mob name: Innkeeper</t>
  </si>
  <si>
    <t>Innkeeper</t>
  </si>
  <si>
    <t>Трактирщик</t>
  </si>
  <si>
    <t>Mob name: Arena master</t>
  </si>
  <si>
    <t>Arena master</t>
  </si>
  <si>
    <t>Мастер арены</t>
  </si>
  <si>
    <t>Mob name: Merchant</t>
  </si>
  <si>
    <t>Merchant</t>
  </si>
  <si>
    <t>Mob name: Melee merchant</t>
  </si>
  <si>
    <t>Melee merchant</t>
  </si>
  <si>
    <t>Mob name: Ranged merchant</t>
  </si>
  <si>
    <t>Ranged merchant</t>
  </si>
  <si>
    <t>Mob name: Magic merchant</t>
  </si>
  <si>
    <t>Magic merchant</t>
  </si>
  <si>
    <t>Mob name: Tool merchant</t>
  </si>
  <si>
    <t>Tool merchant</t>
  </si>
  <si>
    <t>Mob name: Dwarf merchant</t>
  </si>
  <si>
    <t>Dwarf merchant</t>
  </si>
  <si>
    <t>Mob name: Librarian merchant</t>
  </si>
  <si>
    <t>Librarian</t>
  </si>
  <si>
    <t>Mob name: Omni merchant</t>
  </si>
  <si>
    <t>Omni merchant</t>
  </si>
  <si>
    <t>Mob name: Priest</t>
  </si>
  <si>
    <t>Priest</t>
  </si>
  <si>
    <t>Mob name: Citizen</t>
  </si>
  <si>
    <t>Citizen</t>
  </si>
  <si>
    <t>Mob name: Dwarf</t>
  </si>
  <si>
    <t>Dwarf</t>
  </si>
  <si>
    <t>Mob name: Dwarf warrior</t>
  </si>
  <si>
    <t>Dwarf warrior</t>
  </si>
  <si>
    <t>Mob name: Dwarf knight</t>
  </si>
  <si>
    <t>Dwarf knight</t>
  </si>
  <si>
    <t>Mob name: Knight</t>
  </si>
  <si>
    <t>Knight</t>
  </si>
  <si>
    <t>Mob name: Commander</t>
  </si>
  <si>
    <t>Commander</t>
  </si>
  <si>
    <t>Mob name: Warrior</t>
  </si>
  <si>
    <t>Warrior</t>
  </si>
  <si>
    <t>Mob name: Berserker</t>
  </si>
  <si>
    <t>Berserker</t>
  </si>
  <si>
    <t>Mob name: Prisoner</t>
  </si>
  <si>
    <t>Prisoner</t>
  </si>
  <si>
    <t>Mob name: Rat</t>
  </si>
  <si>
    <t>Rat</t>
  </si>
  <si>
    <t>Mob name: Hawk</t>
  </si>
  <si>
    <t>Hawk</t>
  </si>
  <si>
    <t>Mob name: Sand scamp</t>
  </si>
  <si>
    <t>Sand scamp</t>
  </si>
  <si>
    <t>Mob name: Grass scamp</t>
  </si>
  <si>
    <t>Grass scamp</t>
  </si>
  <si>
    <t>Mob name: Snow scamp</t>
  </si>
  <si>
    <t>Snow scamp</t>
  </si>
  <si>
    <t>Mob name: Goblin</t>
  </si>
  <si>
    <t>Goblin</t>
  </si>
  <si>
    <t>Mob name: Druid</t>
  </si>
  <si>
    <t>Druid</t>
  </si>
  <si>
    <t>Mob name: Elder</t>
  </si>
  <si>
    <t>Elder</t>
  </si>
  <si>
    <t>Mob name: Snoovir</t>
  </si>
  <si>
    <t>Snoovir</t>
  </si>
  <si>
    <t>Mob name: Zombie</t>
  </si>
  <si>
    <t>Zombie</t>
  </si>
  <si>
    <t>Mob name: Mummy</t>
  </si>
  <si>
    <t>Mummy</t>
  </si>
  <si>
    <t>Мумия</t>
  </si>
  <si>
    <t>Mob name: Crypt warden</t>
  </si>
  <si>
    <t>Crypt warden</t>
  </si>
  <si>
    <t>Mob name: Pharaoh</t>
  </si>
  <si>
    <t>Pharaoh</t>
  </si>
  <si>
    <t>Фараон</t>
  </si>
  <si>
    <t>Mob name: Vampire</t>
  </si>
  <si>
    <t>Vampire</t>
  </si>
  <si>
    <t>Вампир</t>
  </si>
  <si>
    <t>Mob name: Blood priest</t>
  </si>
  <si>
    <t>Blood priest</t>
  </si>
  <si>
    <t>Mob name: Blood lord</t>
  </si>
  <si>
    <t>Blood lord</t>
  </si>
  <si>
    <t>Mob name: Gnarl</t>
  </si>
  <si>
    <t>Gnarl</t>
  </si>
  <si>
    <t>Mob name: Great gnarl</t>
  </si>
  <si>
    <t>Great gnarl</t>
  </si>
  <si>
    <t>Mob name: Mage</t>
  </si>
  <si>
    <t>Mage</t>
  </si>
  <si>
    <t>Маг</t>
  </si>
  <si>
    <t>Mob name: Arch mage</t>
  </si>
  <si>
    <t>Arch mage</t>
  </si>
  <si>
    <t>Mob name: Adumbral</t>
  </si>
  <si>
    <t>Adumbral</t>
  </si>
  <si>
    <t>Defence tooltip</t>
  </si>
  <si>
    <t>Defence: Reduces the amount of damage you take. Increase your defence points by using certain clothing items, potions, and enchantments.</t>
  </si>
  <si>
    <t>Hitpoint tooltip</t>
  </si>
  <si>
    <t>Hitpoints: How much damage you can take before you die. Recover hitpoints faster by using certain potions and spells.</t>
  </si>
  <si>
    <t>Energy tooltip</t>
  </si>
  <si>
    <t>Energy: Used to do most actions. Slowly regenerates. Recover energy faster by drinking energy potions.</t>
  </si>
  <si>
    <t>Combat tooltip</t>
  </si>
  <si>
    <t>Combat: You will lose your items if you close the game while in combat.</t>
  </si>
  <si>
    <t>Glory tooltip</t>
  </si>
  <si>
    <t>Glory: Your score, used to enter harder dungeons. You get glory from doing most things, such as completing quests, killing monsters and other players, gathering, crafting, and clearing dungeons.</t>
  </si>
  <si>
    <t>Stat name: Melee</t>
  </si>
  <si>
    <t>Melee</t>
  </si>
  <si>
    <t>Stat description: Melee</t>
  </si>
  <si>
    <t>Your effectiveness with melee weapons. Reduces how much durability melee weapons lose when used. Improve by using close range weapons such as swords, daggers and hammers.</t>
  </si>
  <si>
    <t>Stat name: Ranged</t>
  </si>
  <si>
    <t>Ranged</t>
  </si>
  <si>
    <t>Stat description: Ranged</t>
  </si>
  <si>
    <t>Your effectiveness with ranged weapons. Reduces how much durability ranged weapons lose when used. Improve by using long range weapons such as bows and shurikens.</t>
  </si>
  <si>
    <t>Stat name: Magic</t>
  </si>
  <si>
    <t>Magic</t>
  </si>
  <si>
    <t>Stat description: Magic</t>
  </si>
  <si>
    <t>Your effectiveness with magic weapons. Reduces how much durability magic weapons lose when used. Improve by using magical items such as staffs and spell books.</t>
  </si>
  <si>
    <t>Stat name: Gathering</t>
  </si>
  <si>
    <t>Stat description: Gathering</t>
  </si>
  <si>
    <t>Your effectiveness with gathering tools. How much durability gathering tools lose when used. Improve by using hatchets, pickaxes, and sickles.</t>
  </si>
  <si>
    <t>Stat name: Weaponry</t>
  </si>
  <si>
    <t>Weaponry</t>
  </si>
  <si>
    <t>Stat description: Weaponry</t>
  </si>
  <si>
    <t>How much durability the weapons that you craft have. Improve by crafting damaging items, such as swords, bows, and staffs.</t>
  </si>
  <si>
    <t>Stat name: Armoury</t>
  </si>
  <si>
    <t>Armoury</t>
  </si>
  <si>
    <t>Stat description: Armoury</t>
  </si>
  <si>
    <t>How much durability the armours and clothes that you craft have. Improved by crafting wearable items, such as armour, cloaks and robes.</t>
  </si>
  <si>
    <t>Stat name: Toolery</t>
  </si>
  <si>
    <t>Toolery</t>
  </si>
  <si>
    <t>Stat description: Toolery</t>
  </si>
  <si>
    <t>How much durability the utility items you craft have. Improve by crafting tools and materials, such as hatchets, pickaxes, locks, metal bars and fabrics.</t>
  </si>
  <si>
    <t>Stat name: Potionry</t>
  </si>
  <si>
    <t>Potionry</t>
  </si>
  <si>
    <t>Stat description: Potionry</t>
  </si>
  <si>
    <t>How many uses the potions that you craft have. Improve by crafting potions and eating potion ingredients.</t>
  </si>
  <si>
    <t>Stat name: Clanship</t>
  </si>
  <si>
    <t>Clanship</t>
  </si>
  <si>
    <t>Stat description: Clanship</t>
  </si>
  <si>
    <t>How helpful you are to a clan. Affects how many hitpoints the structures you craft have, and how much power is created when you donate glory. Improve by crafting base structures and powering generators.</t>
  </si>
  <si>
    <t>Task ID: KillRats</t>
  </si>
  <si>
    <t>Kill rats</t>
  </si>
  <si>
    <t>Task ID: KillBats</t>
  </si>
  <si>
    <t>Kill bats</t>
  </si>
  <si>
    <t>Task ID: KillHawks</t>
  </si>
  <si>
    <t>Kill hawks</t>
  </si>
  <si>
    <t>Task ID: KillSnoovirs</t>
  </si>
  <si>
    <t>Kill snoovirs</t>
  </si>
  <si>
    <t>Task ID: KillScamps</t>
  </si>
  <si>
    <t>Kill scamps</t>
  </si>
  <si>
    <t>Task ID: KillZombies</t>
  </si>
  <si>
    <t>Kill zombies</t>
  </si>
  <si>
    <t>Task ID: KillVampires</t>
  </si>
  <si>
    <t>Kill vampires</t>
  </si>
  <si>
    <t>Task ID: KillOutlaws</t>
  </si>
  <si>
    <t>Kill outlaws</t>
  </si>
  <si>
    <t>Task ID: KillWarriors</t>
  </si>
  <si>
    <t>Kill warriors</t>
  </si>
  <si>
    <t>Task ID: KillGoblins</t>
  </si>
  <si>
    <t>Kill goblins</t>
  </si>
  <si>
    <t>Task ID: KillGnarls</t>
  </si>
  <si>
    <t>Kill gnarls</t>
  </si>
  <si>
    <t>Task ID: KillAdumbrals</t>
  </si>
  <si>
    <t>Kill adumbrals</t>
  </si>
  <si>
    <t>Task ID: GatherCotton</t>
  </si>
  <si>
    <t>Harvest cotton</t>
  </si>
  <si>
    <t>Task ID: GatherRedcaps</t>
  </si>
  <si>
    <t>Harvest red mushrooms</t>
  </si>
  <si>
    <t>Task ID: GatherGreencaps</t>
  </si>
  <si>
    <t>Harvest green mushrooms</t>
  </si>
  <si>
    <t>Task ID: GatherBluecaps</t>
  </si>
  <si>
    <t>Harvest blue mushrooms</t>
  </si>
  <si>
    <t>Task ID: GatherOakLogs</t>
  </si>
  <si>
    <t>Chop oak trees</t>
  </si>
  <si>
    <t>Task ID: GatherIronOre</t>
  </si>
  <si>
    <t>Mine iron ore</t>
  </si>
  <si>
    <t>Task ID: GatherDungiumOre</t>
  </si>
  <si>
    <t>Mine dungium ore</t>
  </si>
  <si>
    <t>Task ID: GatherNoctisOre</t>
  </si>
  <si>
    <t>Mine noctis ore</t>
  </si>
  <si>
    <t>Task ID: CraftArrows</t>
  </si>
  <si>
    <t>Craft arrows</t>
  </si>
  <si>
    <t>Task ID: CraftDaggers</t>
  </si>
  <si>
    <t>Craft daggers</t>
  </si>
  <si>
    <t>Task ID: CraftSwords</t>
  </si>
  <si>
    <t>Craft swords</t>
  </si>
  <si>
    <t>Task ID: CraftHammers</t>
  </si>
  <si>
    <t>Craft hammers</t>
  </si>
  <si>
    <t>Task ID: CraftShurikens</t>
  </si>
  <si>
    <t>Craft shurikens</t>
  </si>
  <si>
    <t>Task ID: CraftBows</t>
  </si>
  <si>
    <t>Craft bows</t>
  </si>
  <si>
    <t>Task ID: CraftStaffs</t>
  </si>
  <si>
    <t>Craft staffs</t>
  </si>
  <si>
    <t>Task ID: CraftHatchets</t>
  </si>
  <si>
    <t>Craft hatchets</t>
  </si>
  <si>
    <t>Task ID: CraftPickaxes</t>
  </si>
  <si>
    <t>Craft pickaxes</t>
  </si>
  <si>
    <t>Task ID: CraftMetalArmour</t>
  </si>
  <si>
    <t>Craft metal armour</t>
  </si>
  <si>
    <t>Task ID: CraftCloaks</t>
  </si>
  <si>
    <t>Craft cloaks</t>
  </si>
  <si>
    <t>Task ID: CraftRobes</t>
  </si>
  <si>
    <t>Craft robes</t>
  </si>
  <si>
    <t>Task ID: CraftIronGear</t>
  </si>
  <si>
    <t>Craft iron gear</t>
  </si>
  <si>
    <t>Task ID: CraftDungiumGear</t>
  </si>
  <si>
    <t>Craft dungium gear</t>
  </si>
  <si>
    <t>Task ID: CraftNoctisGear</t>
  </si>
  <si>
    <t>Craft noctis gear</t>
  </si>
  <si>
    <t>Task ID: CraftFabricGear</t>
  </si>
  <si>
    <t>Craft fabric gear</t>
  </si>
  <si>
    <t>Task ID: CraftPotions</t>
  </si>
  <si>
    <t>Craft potions</t>
  </si>
</sst>
</file>

<file path=xl/styles.xml><?xml version="1.0" encoding="utf-8"?>
<styleSheet xmlns="http://schemas.openxmlformats.org/spreadsheetml/2006/main" xmlns:x14ac="http://schemas.microsoft.com/office/spreadsheetml/2009/9/ac" xmlns:mc="http://schemas.openxmlformats.org/markup-compatibility/2006">
  <fonts count="9">
    <font>
      <sz val="10.0"/>
      <color rgb="FF000000"/>
      <name val="Arial"/>
    </font>
    <font/>
    <font>
      <b/>
    </font>
    <font>
      <b/>
      <sz val="14.0"/>
      <color rgb="FFFFFFFF"/>
    </font>
    <font>
      <b/>
      <color rgb="FFFFFFFF"/>
    </font>
    <font>
      <i/>
      <sz val="9.0"/>
      <color rgb="FF000000"/>
      <name val="Arial"/>
    </font>
    <font>
      <b/>
      <sz val="10.0"/>
      <color rgb="FFFFFFFF"/>
      <name val="Arial"/>
    </font>
    <font>
      <color rgb="FF999999"/>
    </font>
    <font>
      <color rgb="FF999999"/>
      <name val="Arial"/>
    </font>
  </fonts>
  <fills count="6">
    <fill>
      <patternFill patternType="none"/>
    </fill>
    <fill>
      <patternFill patternType="lightGray"/>
    </fill>
    <fill>
      <patternFill patternType="solid">
        <fgColor rgb="FF434343"/>
        <bgColor rgb="FF434343"/>
      </patternFill>
    </fill>
    <fill>
      <patternFill patternType="solid">
        <fgColor rgb="FFFCE5CD"/>
        <bgColor rgb="FFFCE5CD"/>
      </patternFill>
    </fill>
    <fill>
      <patternFill patternType="solid">
        <fgColor rgb="FFD0E0E3"/>
        <bgColor rgb="FFD0E0E3"/>
      </patternFill>
    </fill>
    <fill>
      <patternFill patternType="solid">
        <fgColor rgb="FFD9EAD3"/>
        <bgColor rgb="FFD9EAD3"/>
      </patternFill>
    </fill>
  </fills>
  <borders count="4">
    <border/>
    <border>
      <left style="thin">
        <color rgb="FF000000"/>
      </left>
      <right style="thin">
        <color rgb="FF000000"/>
      </right>
    </border>
    <border>
      <left style="thin">
        <color rgb="FF000000"/>
      </left>
    </border>
    <border>
      <right style="thin">
        <color rgb="FF000000"/>
      </right>
    </border>
  </borders>
  <cellStyleXfs count="1">
    <xf borderId="0" fillId="0" fontId="0" numFmtId="0" applyAlignment="1" applyFont="1"/>
  </cellStyleXfs>
  <cellXfs count="43">
    <xf borderId="0" fillId="0" fontId="0" numFmtId="0" xfId="0" applyAlignment="1" applyFont="1">
      <alignment readingOrder="0" shrinkToFit="0" vertical="bottom" wrapText="0"/>
    </xf>
    <xf borderId="1" fillId="2" fontId="1" numFmtId="0" xfId="0" applyAlignment="1" applyBorder="1" applyFill="1" applyFont="1">
      <alignment shrinkToFit="0" wrapText="1"/>
    </xf>
    <xf borderId="1" fillId="2" fontId="2" numFmtId="0" xfId="0" applyAlignment="1" applyBorder="1" applyFont="1">
      <alignment readingOrder="0" shrinkToFit="0" wrapText="1"/>
    </xf>
    <xf borderId="0" fillId="2" fontId="3" numFmtId="0" xfId="0" applyAlignment="1" applyFont="1">
      <alignment horizontal="center" readingOrder="0" shrinkToFit="0" wrapText="0"/>
    </xf>
    <xf borderId="2" fillId="2" fontId="1" numFmtId="0" xfId="0" applyAlignment="1" applyBorder="1" applyFont="1">
      <alignment shrinkToFit="0" wrapText="1"/>
    </xf>
    <xf borderId="3" fillId="2" fontId="1" numFmtId="0" xfId="0" applyAlignment="1" applyBorder="1" applyFont="1">
      <alignment shrinkToFit="0" wrapText="1"/>
    </xf>
    <xf borderId="0" fillId="2" fontId="1" numFmtId="0" xfId="0" applyAlignment="1" applyFont="1">
      <alignment shrinkToFit="0" wrapText="1"/>
    </xf>
    <xf borderId="1" fillId="2" fontId="4" numFmtId="0" xfId="0" applyAlignment="1" applyBorder="1" applyFont="1">
      <alignment readingOrder="0" shrinkToFit="0" wrapText="1"/>
    </xf>
    <xf borderId="0" fillId="2" fontId="4" numFmtId="0" xfId="0" applyAlignment="1" applyFont="1">
      <alignment horizontal="center" readingOrder="0" shrinkToFit="0" wrapText="0"/>
    </xf>
    <xf borderId="3" fillId="2" fontId="4" numFmtId="0" xfId="0" applyAlignment="1" applyBorder="1" applyFont="1">
      <alignment horizontal="left" readingOrder="0" shrinkToFit="0" wrapText="0"/>
    </xf>
    <xf borderId="1" fillId="2" fontId="1" numFmtId="0" xfId="0" applyAlignment="1" applyBorder="1" applyFont="1">
      <alignment readingOrder="0"/>
    </xf>
    <xf borderId="1" fillId="2" fontId="1" numFmtId="0" xfId="0" applyBorder="1" applyFont="1"/>
    <xf borderId="2" fillId="2" fontId="1" numFmtId="0" xfId="0" applyBorder="1" applyFont="1"/>
    <xf borderId="1" fillId="3" fontId="1" numFmtId="0" xfId="0" applyAlignment="1" applyBorder="1" applyFill="1" applyFont="1">
      <alignment readingOrder="0"/>
    </xf>
    <xf borderId="0" fillId="3" fontId="5" numFmtId="0" xfId="0" applyAlignment="1" applyFont="1">
      <alignment horizontal="center" readingOrder="0"/>
    </xf>
    <xf borderId="1" fillId="3" fontId="1" numFmtId="0" xfId="0" applyBorder="1" applyFont="1"/>
    <xf borderId="1" fillId="2" fontId="1" numFmtId="0" xfId="0" applyAlignment="1" applyBorder="1" applyFont="1">
      <alignment horizontal="center" readingOrder="0" shrinkToFit="0" wrapText="1"/>
    </xf>
    <xf borderId="1" fillId="2" fontId="6" numFmtId="10" xfId="0" applyAlignment="1" applyBorder="1" applyFont="1" applyNumberFormat="1">
      <alignment horizontal="center" readingOrder="0" shrinkToFit="0" vertical="top" wrapText="1"/>
    </xf>
    <xf borderId="3" fillId="2" fontId="4" numFmtId="0" xfId="0" applyAlignment="1" applyBorder="1" applyFont="1">
      <alignment readingOrder="0" shrinkToFit="0" wrapText="1"/>
    </xf>
    <xf borderId="0" fillId="2" fontId="4" numFmtId="0" xfId="0" applyAlignment="1" applyFont="1">
      <alignment readingOrder="0" shrinkToFit="0" wrapText="1"/>
    </xf>
    <xf borderId="0" fillId="2" fontId="4" numFmtId="0" xfId="0" applyAlignment="1" applyFont="1">
      <alignment shrinkToFit="0" wrapText="1"/>
    </xf>
    <xf borderId="1" fillId="2" fontId="7" numFmtId="0" xfId="0" applyAlignment="1" applyBorder="1" applyFont="1">
      <alignment readingOrder="0" shrinkToFit="0" vertical="top" wrapText="1"/>
    </xf>
    <xf borderId="1" fillId="4" fontId="1" numFmtId="0" xfId="0" applyAlignment="1" applyBorder="1" applyFill="1" applyFont="1">
      <alignment readingOrder="0" shrinkToFit="0" vertical="top" wrapText="1"/>
    </xf>
    <xf borderId="1" fillId="5" fontId="1" numFmtId="0" xfId="0" applyAlignment="1" applyBorder="1" applyFill="1" applyFont="1">
      <alignment readingOrder="0" shrinkToFit="0" vertical="top" wrapText="1"/>
    </xf>
    <xf borderId="2" fillId="5" fontId="1" numFmtId="0" xfId="0" applyAlignment="1" applyBorder="1" applyFont="1">
      <alignment readingOrder="0" shrinkToFit="0" vertical="top" wrapText="1"/>
    </xf>
    <xf borderId="3" fillId="5" fontId="1" numFmtId="0" xfId="0" applyAlignment="1" applyBorder="1" applyFont="1">
      <alignment readingOrder="0" shrinkToFit="0" vertical="top" wrapText="1"/>
    </xf>
    <xf borderId="0" fillId="5" fontId="1" numFmtId="0" xfId="0" applyAlignment="1" applyFont="1">
      <alignment readingOrder="0" shrinkToFit="0" vertical="top" wrapText="1"/>
    </xf>
    <xf borderId="0" fillId="0" fontId="1" numFmtId="0" xfId="0" applyAlignment="1" applyFont="1">
      <alignment readingOrder="0" shrinkToFit="0" vertical="top" wrapText="1"/>
    </xf>
    <xf borderId="0" fillId="0" fontId="1" numFmtId="0" xfId="0" applyAlignment="1" applyFont="1">
      <alignment shrinkToFit="0" vertical="top" wrapText="1"/>
    </xf>
    <xf borderId="0" fillId="2" fontId="8" numFmtId="0" xfId="0" applyAlignment="1" applyFont="1">
      <alignment horizontal="left" readingOrder="0" shrinkToFit="0" vertical="top" wrapText="1"/>
    </xf>
    <xf borderId="1" fillId="5" fontId="1" numFmtId="0" xfId="0" applyAlignment="1" applyBorder="1" applyFont="1">
      <alignment shrinkToFit="0" vertical="top" wrapText="1"/>
    </xf>
    <xf borderId="2" fillId="5" fontId="1" numFmtId="0" xfId="0" applyAlignment="1" applyBorder="1" applyFont="1">
      <alignment shrinkToFit="0" vertical="top" wrapText="1"/>
    </xf>
    <xf borderId="3" fillId="5" fontId="1" numFmtId="0" xfId="0" applyAlignment="1" applyBorder="1" applyFont="1">
      <alignment shrinkToFit="0" vertical="top" wrapText="1"/>
    </xf>
    <xf borderId="0" fillId="5" fontId="1" numFmtId="0" xfId="0" applyAlignment="1" applyFont="1">
      <alignment shrinkToFit="0" vertical="top" wrapText="1"/>
    </xf>
    <xf borderId="1" fillId="2" fontId="7" numFmtId="0" xfId="0" applyAlignment="1" applyBorder="1" applyFont="1">
      <alignment shrinkToFit="0" vertical="top" wrapText="1"/>
    </xf>
    <xf borderId="1" fillId="4" fontId="1" numFmtId="0" xfId="0" applyAlignment="1" applyBorder="1" applyFont="1">
      <alignment shrinkToFit="0" vertical="top" wrapText="1"/>
    </xf>
    <xf borderId="1" fillId="0" fontId="1" numFmtId="0" xfId="0" applyAlignment="1" applyBorder="1" applyFont="1">
      <alignment shrinkToFit="0" wrapText="1"/>
    </xf>
    <xf borderId="2" fillId="0" fontId="1" numFmtId="0" xfId="0" applyAlignment="1" applyBorder="1" applyFont="1">
      <alignment shrinkToFit="0" wrapText="1"/>
    </xf>
    <xf borderId="3" fillId="0" fontId="1" numFmtId="0" xfId="0" applyAlignment="1" applyBorder="1" applyFont="1">
      <alignment shrinkToFit="0" wrapText="1"/>
    </xf>
    <xf borderId="0" fillId="0" fontId="1" numFmtId="0" xfId="0" applyAlignment="1" applyFont="1">
      <alignment shrinkToFit="0" wrapText="1"/>
    </xf>
    <xf borderId="1" fillId="2" fontId="8" numFmtId="0" xfId="0" applyAlignment="1" applyBorder="1" applyFont="1">
      <alignment readingOrder="0" shrinkToFit="0" vertical="top" wrapText="1"/>
    </xf>
    <xf borderId="0" fillId="2" fontId="8" numFmtId="0" xfId="0" applyAlignment="1" applyFont="1">
      <alignment horizontal="left" readingOrder="0"/>
    </xf>
    <xf borderId="1" fillId="2" fontId="8" numFmtId="0" xfId="0" applyAlignment="1" applyBorder="1" applyFont="1">
      <alignment readingOrder="0"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5.43"/>
    <col customWidth="1" min="2" max="12" width="19.43"/>
  </cols>
  <sheetData>
    <row r="1">
      <c r="A1" s="1"/>
      <c r="B1" s="2"/>
      <c r="C1" s="1"/>
      <c r="D1" s="3" t="s">
        <v>0</v>
      </c>
      <c r="E1" s="1"/>
      <c r="F1" s="1"/>
      <c r="G1" s="1"/>
      <c r="H1" s="4"/>
      <c r="I1" s="1"/>
      <c r="J1" s="5"/>
      <c r="K1" s="5"/>
      <c r="L1" s="6"/>
      <c r="M1" s="6"/>
      <c r="N1" s="6"/>
      <c r="O1" s="6"/>
      <c r="P1" s="6"/>
      <c r="Q1" s="6"/>
      <c r="R1" s="6"/>
      <c r="S1" s="6"/>
      <c r="T1" s="6"/>
      <c r="U1" s="6"/>
      <c r="V1" s="6"/>
      <c r="W1" s="6"/>
      <c r="X1" s="6"/>
      <c r="Y1" s="6"/>
      <c r="Z1" s="6"/>
      <c r="AA1" s="6"/>
      <c r="AB1" s="6"/>
    </row>
    <row r="2">
      <c r="A2" s="1"/>
      <c r="B2" s="7"/>
      <c r="C2" s="1"/>
      <c r="D2" s="8" t="s">
        <v>1</v>
      </c>
      <c r="E2" s="1"/>
      <c r="F2" s="1"/>
      <c r="G2" s="1"/>
      <c r="H2" s="4"/>
      <c r="I2" s="1"/>
      <c r="J2" s="9" t="s">
        <v>2</v>
      </c>
      <c r="K2" s="5"/>
      <c r="L2" s="6"/>
      <c r="M2" s="6"/>
      <c r="N2" s="6"/>
      <c r="O2" s="6"/>
      <c r="P2" s="6"/>
      <c r="Q2" s="6"/>
      <c r="R2" s="6"/>
      <c r="S2" s="6"/>
      <c r="T2" s="6"/>
      <c r="U2" s="6"/>
      <c r="V2" s="6"/>
      <c r="W2" s="6"/>
      <c r="X2" s="6"/>
      <c r="Y2" s="6"/>
      <c r="Z2" s="6"/>
      <c r="AA2" s="6"/>
      <c r="AB2" s="6"/>
    </row>
    <row r="3">
      <c r="A3" s="1"/>
      <c r="B3" s="1"/>
      <c r="C3" s="1"/>
      <c r="D3" s="8" t="s">
        <v>3</v>
      </c>
      <c r="E3" s="1"/>
      <c r="F3" s="1"/>
      <c r="G3" s="1"/>
      <c r="H3" s="4"/>
      <c r="I3" s="1"/>
      <c r="J3" s="9" t="s">
        <v>4</v>
      </c>
      <c r="K3" s="5"/>
      <c r="L3" s="6"/>
      <c r="M3" s="6"/>
      <c r="N3" s="6"/>
      <c r="O3" s="6"/>
      <c r="P3" s="6"/>
      <c r="Q3" s="6"/>
      <c r="R3" s="6"/>
      <c r="S3" s="6"/>
      <c r="T3" s="6"/>
      <c r="U3" s="6"/>
      <c r="V3" s="6"/>
      <c r="W3" s="6"/>
      <c r="X3" s="6"/>
      <c r="Y3" s="6"/>
      <c r="Z3" s="6"/>
      <c r="AA3" s="6"/>
      <c r="AB3" s="6"/>
    </row>
    <row r="4">
      <c r="A4" s="1"/>
      <c r="B4" s="10"/>
      <c r="C4" s="10"/>
      <c r="D4" s="8" t="s">
        <v>5</v>
      </c>
      <c r="E4" s="11"/>
      <c r="F4" s="10"/>
      <c r="G4" s="11"/>
      <c r="H4" s="12"/>
      <c r="I4" s="1"/>
      <c r="J4" s="9"/>
      <c r="K4" s="5"/>
      <c r="L4" s="6"/>
      <c r="M4" s="6"/>
      <c r="N4" s="6"/>
      <c r="O4" s="6"/>
      <c r="P4" s="6"/>
      <c r="Q4" s="6"/>
      <c r="R4" s="6"/>
      <c r="S4" s="6"/>
      <c r="T4" s="6"/>
      <c r="U4" s="6"/>
      <c r="V4" s="6"/>
      <c r="W4" s="6"/>
      <c r="X4" s="6"/>
      <c r="Y4" s="6"/>
      <c r="Z4" s="6"/>
      <c r="AA4" s="6"/>
      <c r="AB4" s="6"/>
    </row>
    <row r="5">
      <c r="A5" s="1"/>
      <c r="B5" s="10"/>
      <c r="C5" s="13"/>
      <c r="D5" s="14" t="s">
        <v>6</v>
      </c>
      <c r="E5" s="15"/>
      <c r="F5" s="10"/>
      <c r="G5" s="11"/>
      <c r="H5" s="12"/>
      <c r="I5" s="1"/>
      <c r="J5" s="9" t="s">
        <v>7</v>
      </c>
      <c r="K5" s="5"/>
      <c r="L5" s="6"/>
      <c r="M5" s="6"/>
      <c r="N5" s="6"/>
      <c r="O5" s="6"/>
      <c r="P5" s="6"/>
      <c r="Q5" s="6"/>
      <c r="R5" s="6"/>
      <c r="S5" s="6"/>
      <c r="T5" s="6"/>
      <c r="U5" s="6"/>
      <c r="V5" s="6"/>
      <c r="W5" s="6"/>
      <c r="X5" s="6"/>
      <c r="Y5" s="6"/>
      <c r="Z5" s="6"/>
      <c r="AA5" s="6"/>
      <c r="AB5" s="6"/>
    </row>
    <row r="6">
      <c r="A6" s="1"/>
      <c r="B6" s="10"/>
      <c r="C6" s="10"/>
      <c r="D6" s="10"/>
      <c r="E6" s="11"/>
      <c r="F6" s="10"/>
      <c r="G6" s="11"/>
      <c r="H6" s="12"/>
      <c r="I6" s="1"/>
      <c r="J6" s="9"/>
      <c r="K6" s="5"/>
      <c r="L6" s="6"/>
      <c r="M6" s="6"/>
      <c r="N6" s="6"/>
      <c r="O6" s="6"/>
      <c r="P6" s="6"/>
      <c r="Q6" s="6"/>
      <c r="R6" s="6"/>
      <c r="S6" s="6"/>
      <c r="T6" s="6"/>
      <c r="U6" s="6"/>
      <c r="V6" s="6"/>
      <c r="W6" s="6"/>
      <c r="X6" s="6"/>
      <c r="Y6" s="6"/>
      <c r="Z6" s="6"/>
      <c r="AA6" s="6"/>
      <c r="AB6" s="6"/>
    </row>
    <row r="7">
      <c r="A7" s="16"/>
      <c r="B7" s="17"/>
      <c r="C7" s="17"/>
      <c r="D7" s="17"/>
      <c r="E7" s="17"/>
      <c r="F7" s="17"/>
      <c r="G7" s="17"/>
      <c r="H7" s="17"/>
      <c r="I7" s="1"/>
      <c r="J7" s="5"/>
      <c r="K7" s="5"/>
      <c r="L7" s="6"/>
      <c r="M7" s="6"/>
      <c r="N7" s="6"/>
      <c r="O7" s="6"/>
      <c r="P7" s="6"/>
      <c r="Q7" s="6"/>
      <c r="R7" s="6"/>
      <c r="S7" s="6"/>
      <c r="T7" s="6"/>
      <c r="U7" s="6"/>
      <c r="V7" s="6"/>
      <c r="W7" s="6"/>
      <c r="X7" s="6"/>
      <c r="Y7" s="6"/>
      <c r="Z7" s="6"/>
      <c r="AA7" s="6"/>
      <c r="AB7" s="6"/>
    </row>
    <row r="8">
      <c r="A8" s="7" t="s">
        <v>8</v>
      </c>
      <c r="B8" s="7" t="s">
        <v>9</v>
      </c>
      <c r="C8" s="7" t="s">
        <v>10</v>
      </c>
      <c r="D8" s="7" t="s">
        <v>11</v>
      </c>
      <c r="E8" s="7" t="s">
        <v>12</v>
      </c>
      <c r="F8" s="7" t="s">
        <v>13</v>
      </c>
      <c r="G8" s="7" t="s">
        <v>14</v>
      </c>
      <c r="H8" s="7" t="s">
        <v>15</v>
      </c>
      <c r="I8" s="7" t="s">
        <v>16</v>
      </c>
      <c r="J8" s="18" t="s">
        <v>17</v>
      </c>
      <c r="K8" s="18" t="s">
        <v>18</v>
      </c>
      <c r="L8" s="19" t="s">
        <v>19</v>
      </c>
      <c r="M8" s="20"/>
      <c r="N8" s="20"/>
      <c r="O8" s="20"/>
      <c r="P8" s="20"/>
      <c r="Q8" s="20"/>
      <c r="R8" s="20"/>
      <c r="S8" s="20"/>
      <c r="T8" s="20"/>
      <c r="U8" s="20"/>
      <c r="V8" s="20"/>
      <c r="W8" s="20"/>
      <c r="X8" s="20"/>
      <c r="Y8" s="20"/>
      <c r="Z8" s="20"/>
      <c r="AA8" s="20"/>
      <c r="AB8" s="20"/>
    </row>
    <row r="9">
      <c r="A9" s="21" t="s">
        <v>20</v>
      </c>
      <c r="B9" s="22" t="s">
        <v>9</v>
      </c>
      <c r="C9" s="23" t="s">
        <v>21</v>
      </c>
      <c r="D9" s="23" t="s">
        <v>22</v>
      </c>
      <c r="E9" s="23" t="s">
        <v>23</v>
      </c>
      <c r="F9" s="23" t="s">
        <v>24</v>
      </c>
      <c r="G9" s="23" t="s">
        <v>25</v>
      </c>
      <c r="H9" s="24" t="s">
        <v>26</v>
      </c>
      <c r="I9" s="23" t="s">
        <v>27</v>
      </c>
      <c r="J9" s="25" t="s">
        <v>28</v>
      </c>
      <c r="K9" s="25" t="s">
        <v>29</v>
      </c>
      <c r="L9" s="26" t="s">
        <v>30</v>
      </c>
      <c r="M9" s="27"/>
      <c r="N9" s="28"/>
      <c r="O9" s="28"/>
      <c r="P9" s="28"/>
      <c r="Q9" s="28"/>
      <c r="R9" s="28"/>
      <c r="S9" s="28"/>
      <c r="T9" s="28"/>
      <c r="U9" s="28"/>
      <c r="V9" s="28"/>
      <c r="W9" s="28"/>
      <c r="X9" s="28"/>
      <c r="Y9" s="28"/>
      <c r="Z9" s="28"/>
      <c r="AA9" s="28"/>
      <c r="AB9" s="28"/>
    </row>
    <row r="10">
      <c r="A10" s="21" t="s">
        <v>31</v>
      </c>
      <c r="B10" s="22" t="s">
        <v>31</v>
      </c>
      <c r="C10" s="23" t="str">
        <f>IFERROR(__xludf.DUMMYFUNCTION("GOOGLETRANSLATE(B10, ""en"", ""fr"")"),"Langue")</f>
        <v>Langue</v>
      </c>
      <c r="D10" s="23" t="str">
        <f>IFERROR(__xludf.DUMMYFUNCTION("GOOGLETRANSLATE(B10, ""en"", ""es"")"),"Idioma")</f>
        <v>Idioma</v>
      </c>
      <c r="E10" s="23" t="str">
        <f>IFERROR(__xludf.DUMMYFUNCTION("GOOGLETRANSLATE(B10, ""en"", ""ru"")"),"Язык")</f>
        <v>Язык</v>
      </c>
      <c r="F10" s="23" t="str">
        <f>IFERROR(__xludf.DUMMYFUNCTION("GOOGLETRANSLATE(B10, ""en"", ""tr"")"),"Dilim")</f>
        <v>Dilim</v>
      </c>
      <c r="G10" s="23" t="str">
        <f>IFERROR(__xludf.DUMMYFUNCTION("GOOGLETRANSLATE(B10, ""en"", ""pt"")"),"Língua")</f>
        <v>Língua</v>
      </c>
      <c r="H10" s="24" t="str">
        <f>IFERROR(__xludf.DUMMYFUNCTION("GOOGLETRANSLATE(B10, ""en"", ""de"")"),"Sprache")</f>
        <v>Sprache</v>
      </c>
      <c r="I10" s="23" t="str">
        <f>IFERROR(__xludf.DUMMYFUNCTION("GOOGLETRANSLATE(B10, ""en"", ""pl"")"),"Język")</f>
        <v>Język</v>
      </c>
      <c r="J10" s="25" t="str">
        <f>IFERROR(__xludf.DUMMYFUNCTION("GOOGLETRANSLATE(B10, ""en"", ""zh"")"),"语")</f>
        <v>语</v>
      </c>
      <c r="K10" s="25" t="str">
        <f>IFERROR(__xludf.DUMMYFUNCTION("GOOGLETRANSLATE(B10, ""en"", ""vi"")"),"Ngôn ngữ")</f>
        <v>Ngôn ngữ</v>
      </c>
      <c r="L10" s="26" t="str">
        <f>IFERROR(__xludf.DUMMYFUNCTION("GOOGLETRANSLATE(B10, ""en"", ""hr"")"),"Jezik")</f>
        <v>Jezik</v>
      </c>
      <c r="M10" s="27"/>
      <c r="N10" s="28"/>
      <c r="O10" s="28"/>
      <c r="P10" s="28"/>
      <c r="Q10" s="28"/>
      <c r="R10" s="28"/>
      <c r="S10" s="28"/>
      <c r="T10" s="28"/>
      <c r="U10" s="28"/>
      <c r="V10" s="28"/>
      <c r="W10" s="28"/>
      <c r="X10" s="28"/>
      <c r="Y10" s="28"/>
      <c r="Z10" s="28"/>
      <c r="AA10" s="28"/>
      <c r="AB10" s="28"/>
    </row>
    <row r="11">
      <c r="A11" s="21" t="s">
        <v>32</v>
      </c>
      <c r="B11" s="22" t="s">
        <v>33</v>
      </c>
      <c r="C11" s="23" t="str">
        <f>IFERROR(__xludf.DUMMYFUNCTION("GOOGLETRANSLATE(B11, ""en"", ""fr"")"),"Ajouter une traduction")</f>
        <v>Ajouter une traduction</v>
      </c>
      <c r="D11" s="23" t="str">
        <f>IFERROR(__xludf.DUMMYFUNCTION("GOOGLETRANSLATE(B11, ""en"", ""es"")"),"Añadir una traducción")</f>
        <v>Añadir una traducción</v>
      </c>
      <c r="E11" s="23" t="str">
        <f>IFERROR(__xludf.DUMMYFUNCTION("GOOGLETRANSLATE(B11, ""en"", ""ru"")"),"Добавить перевод")</f>
        <v>Добавить перевод</v>
      </c>
      <c r="F11" s="23" t="str">
        <f>IFERROR(__xludf.DUMMYFUNCTION("GOOGLETRANSLATE(B11, ""en"", ""tr"")"),"Bir çeviri ekle")</f>
        <v>Bir çeviri ekle</v>
      </c>
      <c r="G11" s="23" t="str">
        <f>IFERROR(__xludf.DUMMYFUNCTION("GOOGLETRANSLATE(B11, ""en"", ""pt"")"),"Adicione uma tradução")</f>
        <v>Adicione uma tradução</v>
      </c>
      <c r="H11" s="24" t="str">
        <f>IFERROR(__xludf.DUMMYFUNCTION("GOOGLETRANSLATE(B11, ""en"", ""de"")"),"Eine Übersetzung hinzufügen")</f>
        <v>Eine Übersetzung hinzufügen</v>
      </c>
      <c r="I11" s="23" t="str">
        <f>IFERROR(__xludf.DUMMYFUNCTION("GOOGLETRANSLATE(B11, ""en"", ""pl"")"),"Dodaj tłumaczenie")</f>
        <v>Dodaj tłumaczenie</v>
      </c>
      <c r="J11" s="25" t="str">
        <f>IFERROR(__xludf.DUMMYFUNCTION("GOOGLETRANSLATE(B11, ""en"", ""zh"")"),"添加翻译")</f>
        <v>添加翻译</v>
      </c>
      <c r="K11" s="25" t="str">
        <f>IFERROR(__xludf.DUMMYFUNCTION("GOOGLETRANSLATE(B11, ""en"", ""vi"")"),"Thêm một bản dịch")</f>
        <v>Thêm một bản dịch</v>
      </c>
      <c r="L11" s="26" t="str">
        <f>IFERROR(__xludf.DUMMYFUNCTION("GOOGLETRANSLATE(B11, ""en"", ""hr"")"),"Dodajte prijevod")</f>
        <v>Dodajte prijevod</v>
      </c>
      <c r="M11" s="27"/>
      <c r="N11" s="28"/>
      <c r="O11" s="28"/>
      <c r="P11" s="28"/>
      <c r="Q11" s="28"/>
      <c r="R11" s="28"/>
      <c r="S11" s="28"/>
      <c r="T11" s="28"/>
      <c r="U11" s="28"/>
      <c r="V11" s="28"/>
      <c r="W11" s="28"/>
      <c r="X11" s="28"/>
      <c r="Y11" s="28"/>
      <c r="Z11" s="28"/>
      <c r="AA11" s="28"/>
      <c r="AB11" s="28"/>
    </row>
    <row r="12">
      <c r="A12" s="21" t="s">
        <v>34</v>
      </c>
      <c r="B12" s="22" t="s">
        <v>34</v>
      </c>
      <c r="C12" s="23" t="s">
        <v>35</v>
      </c>
      <c r="D12" s="23" t="str">
        <f>IFERROR(__xludf.DUMMYFUNCTION("GOOGLETRANSLATE(B12, ""en"", ""es"")"),"Noticias")</f>
        <v>Noticias</v>
      </c>
      <c r="E12" s="23" t="str">
        <f>IFERROR(__xludf.DUMMYFUNCTION("GOOGLETRANSLATE(B12, ""en"", ""ru"")"),"Новости")</f>
        <v>Новости</v>
      </c>
      <c r="F12" s="23" t="str">
        <f>IFERROR(__xludf.DUMMYFUNCTION("GOOGLETRANSLATE(B12, ""en"", ""tr"")"),"Haberler")</f>
        <v>Haberler</v>
      </c>
      <c r="G12" s="23" t="str">
        <f>IFERROR(__xludf.DUMMYFUNCTION("GOOGLETRANSLATE(B12, ""en"", ""pt"")"),"Notícia")</f>
        <v>Notícia</v>
      </c>
      <c r="H12" s="24" t="str">
        <f>IFERROR(__xludf.DUMMYFUNCTION("GOOGLETRANSLATE(B12, ""en"", ""de"")"),"Nachrichten")</f>
        <v>Nachrichten</v>
      </c>
      <c r="I12" s="23" t="str">
        <f>IFERROR(__xludf.DUMMYFUNCTION("GOOGLETRANSLATE(B12, ""en"", ""pl"")"),"Aktualności")</f>
        <v>Aktualności</v>
      </c>
      <c r="J12" s="25" t="str">
        <f>IFERROR(__xludf.DUMMYFUNCTION("GOOGLETRANSLATE(B12, ""en"", ""zh"")"),"消息")</f>
        <v>消息</v>
      </c>
      <c r="K12" s="25" t="str">
        <f>IFERROR(__xludf.DUMMYFUNCTION("GOOGLETRANSLATE(B12, ""en"", ""vi"")"),"Tin tức")</f>
        <v>Tin tức</v>
      </c>
      <c r="L12" s="26" t="str">
        <f>IFERROR(__xludf.DUMMYFUNCTION("GOOGLETRANSLATE(B12, ""en"", ""hr"")"),"Vijesti")</f>
        <v>Vijesti</v>
      </c>
      <c r="M12" s="27"/>
      <c r="N12" s="28"/>
      <c r="O12" s="28"/>
      <c r="P12" s="28"/>
      <c r="Q12" s="28"/>
      <c r="R12" s="28"/>
      <c r="S12" s="28"/>
      <c r="T12" s="28"/>
      <c r="U12" s="28"/>
      <c r="V12" s="28"/>
      <c r="W12" s="28"/>
      <c r="X12" s="28"/>
      <c r="Y12" s="28"/>
      <c r="Z12" s="28"/>
      <c r="AA12" s="28"/>
      <c r="AB12" s="28"/>
    </row>
    <row r="13">
      <c r="A13" s="21" t="s">
        <v>36</v>
      </c>
      <c r="B13" s="22" t="s">
        <v>36</v>
      </c>
      <c r="C13" s="23" t="str">
        <f>IFERROR(__xludf.DUMMYFUNCTION("GOOGLETRANSLATE(B13, ""en"", ""fr"")"),"Nouveau personnage")</f>
        <v>Nouveau personnage</v>
      </c>
      <c r="D13" s="23" t="str">
        <f>IFERROR(__xludf.DUMMYFUNCTION("GOOGLETRANSLATE(B13, ""en"", ""es"")"),"Nuevo personaje")</f>
        <v>Nuevo personaje</v>
      </c>
      <c r="E13" s="23" t="str">
        <f>IFERROR(__xludf.DUMMYFUNCTION("GOOGLETRANSLATE(B13, ""en"", ""ru"")"),"Новый характер")</f>
        <v>Новый характер</v>
      </c>
      <c r="F13" s="23" t="str">
        <f>IFERROR(__xludf.DUMMYFUNCTION("GOOGLETRANSLATE(B13, ""en"", ""tr"")"),"Yeni karakter")</f>
        <v>Yeni karakter</v>
      </c>
      <c r="G13" s="23" t="str">
        <f>IFERROR(__xludf.DUMMYFUNCTION("GOOGLETRANSLATE(B13, ""en"", ""pt"")"),"Novo personagem")</f>
        <v>Novo personagem</v>
      </c>
      <c r="H13" s="24" t="str">
        <f>IFERROR(__xludf.DUMMYFUNCTION("GOOGLETRANSLATE(B13, ""en"", ""de"")"),"Neuer Charakter")</f>
        <v>Neuer Charakter</v>
      </c>
      <c r="I13" s="23" t="str">
        <f>IFERROR(__xludf.DUMMYFUNCTION("GOOGLETRANSLATE(B13, ""en"", ""pl"")"),"Nowa postać")</f>
        <v>Nowa postać</v>
      </c>
      <c r="J13" s="25" t="str">
        <f>IFERROR(__xludf.DUMMYFUNCTION("GOOGLETRANSLATE(B13, ""en"", ""zh"")"),"新品格")</f>
        <v>新品格</v>
      </c>
      <c r="K13" s="25" t="str">
        <f>IFERROR(__xludf.DUMMYFUNCTION("GOOGLETRANSLATE(B13, ""en"", ""vi"")"),"Nhân vật mới")</f>
        <v>Nhân vật mới</v>
      </c>
      <c r="L13" s="26" t="str">
        <f>IFERROR(__xludf.DUMMYFUNCTION("GOOGLETRANSLATE(B13, ""en"", ""hr"")"),"Novi lik")</f>
        <v>Novi lik</v>
      </c>
      <c r="M13" s="27"/>
      <c r="N13" s="28"/>
      <c r="O13" s="28"/>
      <c r="P13" s="28"/>
      <c r="Q13" s="28"/>
      <c r="R13" s="28"/>
      <c r="S13" s="28"/>
      <c r="T13" s="28"/>
      <c r="U13" s="28"/>
      <c r="V13" s="28"/>
      <c r="W13" s="28"/>
      <c r="X13" s="28"/>
      <c r="Y13" s="28"/>
      <c r="Z13" s="28"/>
      <c r="AA13" s="28"/>
      <c r="AB13" s="28"/>
    </row>
    <row r="14">
      <c r="A14" s="21" t="s">
        <v>37</v>
      </c>
      <c r="B14" s="22" t="s">
        <v>37</v>
      </c>
      <c r="C14" s="23" t="str">
        <f>IFERROR(__xludf.DUMMYFUNCTION("GOOGLETRANSLATE(B14, ""en"", ""fr"")"),"Continuer")</f>
        <v>Continuer</v>
      </c>
      <c r="D14" s="23" t="str">
        <f>IFERROR(__xludf.DUMMYFUNCTION("GOOGLETRANSLATE(B14, ""en"", ""es"")"),"Continuar")</f>
        <v>Continuar</v>
      </c>
      <c r="E14" s="23" t="str">
        <f>IFERROR(__xludf.DUMMYFUNCTION("GOOGLETRANSLATE(B14, ""en"", ""ru"")"),"Продолжать")</f>
        <v>Продолжать</v>
      </c>
      <c r="F14" s="23" t="str">
        <f>IFERROR(__xludf.DUMMYFUNCTION("GOOGLETRANSLATE(B14, ""en"", ""tr"")"),"Devam et")</f>
        <v>Devam et</v>
      </c>
      <c r="G14" s="23" t="str">
        <f>IFERROR(__xludf.DUMMYFUNCTION("GOOGLETRANSLATE(B14, ""en"", ""pt"")"),"Prosseguir")</f>
        <v>Prosseguir</v>
      </c>
      <c r="H14" s="24" t="str">
        <f>IFERROR(__xludf.DUMMYFUNCTION("GOOGLETRANSLATE(B14, ""en"", ""de"")"),"Weitermachen")</f>
        <v>Weitermachen</v>
      </c>
      <c r="I14" s="23" t="str">
        <f>IFERROR(__xludf.DUMMYFUNCTION("GOOGLETRANSLATE(B14, ""en"", ""pl"")"),"Kontyntynuj")</f>
        <v>Kontyntynuj</v>
      </c>
      <c r="J14" s="25" t="str">
        <f>IFERROR(__xludf.DUMMYFUNCTION("GOOGLETRANSLATE(B14, ""en"", ""zh"")"),"继续")</f>
        <v>继续</v>
      </c>
      <c r="K14" s="25" t="str">
        <f>IFERROR(__xludf.DUMMYFUNCTION("GOOGLETRANSLATE(B14, ""en"", ""vi"")"),"Tiếp tục")</f>
        <v>Tiếp tục</v>
      </c>
      <c r="L14" s="26" t="str">
        <f>IFERROR(__xludf.DUMMYFUNCTION("GOOGLETRANSLATE(B14, ""en"", ""hr"")"),"Nastaviti")</f>
        <v>Nastaviti</v>
      </c>
      <c r="M14" s="27"/>
      <c r="N14" s="28"/>
      <c r="O14" s="28"/>
      <c r="P14" s="28"/>
      <c r="Q14" s="28"/>
      <c r="R14" s="28"/>
      <c r="S14" s="28"/>
      <c r="T14" s="28"/>
      <c r="U14" s="28"/>
      <c r="V14" s="28"/>
      <c r="W14" s="28"/>
      <c r="X14" s="28"/>
      <c r="Y14" s="28"/>
      <c r="Z14" s="28"/>
      <c r="AA14" s="28"/>
      <c r="AB14" s="28"/>
    </row>
    <row r="15">
      <c r="A15" s="21" t="s">
        <v>38</v>
      </c>
      <c r="B15" s="22" t="s">
        <v>39</v>
      </c>
      <c r="C15" s="23" t="str">
        <f>IFERROR(__xludf.DUMMYFUNCTION("GOOGLETRANSLATE(B15, ""en"", ""fr"")"),"Entrez un nom")</f>
        <v>Entrez un nom</v>
      </c>
      <c r="D15" s="23" t="str">
        <f>IFERROR(__xludf.DUMMYFUNCTION("GOOGLETRANSLATE(B15, ""en"", ""es"")"),"Ingresa un nombre")</f>
        <v>Ingresa un nombre</v>
      </c>
      <c r="E15" s="23" t="str">
        <f>IFERROR(__xludf.DUMMYFUNCTION("GOOGLETRANSLATE(B15, ""en"", ""ru"")"),"Введите имя")</f>
        <v>Введите имя</v>
      </c>
      <c r="F15" s="23" t="str">
        <f>IFERROR(__xludf.DUMMYFUNCTION("GOOGLETRANSLATE(B15, ""en"", ""tr"")"),"İsim girin")</f>
        <v>İsim girin</v>
      </c>
      <c r="G15" s="23" t="str">
        <f>IFERROR(__xludf.DUMMYFUNCTION("GOOGLETRANSLATE(B15, ""en"", ""pt"")"),"Insira o nome")</f>
        <v>Insira o nome</v>
      </c>
      <c r="H15" s="24" t="str">
        <f>IFERROR(__xludf.DUMMYFUNCTION("GOOGLETRANSLATE(B15, ""en"", ""de"")"),"Geben Sie einen Namen ein")</f>
        <v>Geben Sie einen Namen ein</v>
      </c>
      <c r="I15" s="23" t="str">
        <f>IFERROR(__xludf.DUMMYFUNCTION("GOOGLETRANSLATE(B15, ""en"", ""pl"")"),"Wpisz imię")</f>
        <v>Wpisz imię</v>
      </c>
      <c r="J15" s="25" t="str">
        <f>IFERROR(__xludf.DUMMYFUNCTION("GOOGLETRANSLATE(B15, ""en"", ""zh"")"),"输入名称")</f>
        <v>输入名称</v>
      </c>
      <c r="K15" s="25" t="str">
        <f>IFERROR(__xludf.DUMMYFUNCTION("GOOGLETRANSLATE(B15, ""en"", ""vi"")"),"Nhập tên")</f>
        <v>Nhập tên</v>
      </c>
      <c r="L15" s="26" t="str">
        <f>IFERROR(__xludf.DUMMYFUNCTION("GOOGLETRANSLATE(B15, ""en"", ""hr"")"),"Unesite ime")</f>
        <v>Unesite ime</v>
      </c>
      <c r="M15" s="27"/>
      <c r="N15" s="28"/>
      <c r="O15" s="28"/>
      <c r="P15" s="28"/>
      <c r="Q15" s="28"/>
      <c r="R15" s="28"/>
      <c r="S15" s="28"/>
      <c r="T15" s="28"/>
      <c r="U15" s="28"/>
      <c r="V15" s="28"/>
      <c r="W15" s="28"/>
      <c r="X15" s="28"/>
      <c r="Y15" s="28"/>
      <c r="Z15" s="28"/>
      <c r="AA15" s="28"/>
      <c r="AB15" s="28"/>
    </row>
    <row r="16">
      <c r="A16" s="21" t="s">
        <v>40</v>
      </c>
      <c r="B16" s="22" t="s">
        <v>41</v>
      </c>
      <c r="C16" s="23" t="str">
        <f>IFERROR(__xludf.DUMMYFUNCTION("GOOGLETRANSLATE(B16, ""en"", ""fr"")"),"Nom d'utilisateur")</f>
        <v>Nom d'utilisateur</v>
      </c>
      <c r="D16" s="23" t="str">
        <f>IFERROR(__xludf.DUMMYFUNCTION("GOOGLETRANSLATE(B16, ""en"", ""es"")"),"Nombre de usuario")</f>
        <v>Nombre de usuario</v>
      </c>
      <c r="E16" s="23" t="str">
        <f>IFERROR(__xludf.DUMMYFUNCTION("GOOGLETRANSLATE(B16, ""en"", ""ru"")"),"Имя пользователя")</f>
        <v>Имя пользователя</v>
      </c>
      <c r="F16" s="23" t="str">
        <f>IFERROR(__xludf.DUMMYFUNCTION("GOOGLETRANSLATE(B16, ""en"", ""tr"")"),"Kullanıcı adı")</f>
        <v>Kullanıcı adı</v>
      </c>
      <c r="G16" s="23" t="str">
        <f>IFERROR(__xludf.DUMMYFUNCTION("GOOGLETRANSLATE(B16, ""en"", ""pt"")"),"Nome do usuário")</f>
        <v>Nome do usuário</v>
      </c>
      <c r="H16" s="24" t="str">
        <f>IFERROR(__xludf.DUMMYFUNCTION("GOOGLETRANSLATE(B16, ""en"", ""de"")"),"Nutzername")</f>
        <v>Nutzername</v>
      </c>
      <c r="I16" s="23" t="str">
        <f>IFERROR(__xludf.DUMMYFUNCTION("GOOGLETRANSLATE(B16, ""en"", ""pl"")"),"Nazwa użytkownika")</f>
        <v>Nazwa użytkownika</v>
      </c>
      <c r="J16" s="25" t="str">
        <f>IFERROR(__xludf.DUMMYFUNCTION("GOOGLETRANSLATE(B16, ""en"", ""zh"")"),"用户名")</f>
        <v>用户名</v>
      </c>
      <c r="K16" s="25" t="str">
        <f>IFERROR(__xludf.DUMMYFUNCTION("GOOGLETRANSLATE(B16, ""en"", ""vi"")"),"tên tài khoản")</f>
        <v>tên tài khoản</v>
      </c>
      <c r="L16" s="26" t="str">
        <f>IFERROR(__xludf.DUMMYFUNCTION("GOOGLETRANSLATE(B16, ""en"", ""hr"")"),"Korisničko ime")</f>
        <v>Korisničko ime</v>
      </c>
      <c r="M16" s="27"/>
      <c r="N16" s="28"/>
      <c r="O16" s="28"/>
      <c r="P16" s="28"/>
      <c r="Q16" s="28"/>
      <c r="R16" s="28"/>
      <c r="S16" s="28"/>
      <c r="T16" s="28"/>
      <c r="U16" s="28"/>
      <c r="V16" s="28"/>
      <c r="W16" s="28"/>
      <c r="X16" s="28"/>
      <c r="Y16" s="28"/>
      <c r="Z16" s="28"/>
      <c r="AA16" s="28"/>
      <c r="AB16" s="28"/>
    </row>
    <row r="17">
      <c r="A17" s="21" t="s">
        <v>42</v>
      </c>
      <c r="B17" s="22" t="s">
        <v>43</v>
      </c>
      <c r="C17" s="23" t="str">
        <f>IFERROR(__xludf.DUMMYFUNCTION("GOOGLETRANSLATE(B17, ""en"", ""fr"")"),"Mot de passe")</f>
        <v>Mot de passe</v>
      </c>
      <c r="D17" s="23" t="str">
        <f>IFERROR(__xludf.DUMMYFUNCTION("GOOGLETRANSLATE(B17, ""en"", ""es"")"),"Contraseña")</f>
        <v>Contraseña</v>
      </c>
      <c r="E17" s="23" t="str">
        <f>IFERROR(__xludf.DUMMYFUNCTION("GOOGLETRANSLATE(B17, ""en"", ""ru"")"),"Пароль")</f>
        <v>Пароль</v>
      </c>
      <c r="F17" s="23" t="str">
        <f>IFERROR(__xludf.DUMMYFUNCTION("GOOGLETRANSLATE(B17, ""en"", ""tr"")"),"Parola")</f>
        <v>Parola</v>
      </c>
      <c r="G17" s="23" t="str">
        <f>IFERROR(__xludf.DUMMYFUNCTION("GOOGLETRANSLATE(B17, ""en"", ""pt"")"),"Senha")</f>
        <v>Senha</v>
      </c>
      <c r="H17" s="24" t="str">
        <f>IFERROR(__xludf.DUMMYFUNCTION("GOOGLETRANSLATE(B17, ""en"", ""de"")"),"Passwort")</f>
        <v>Passwort</v>
      </c>
      <c r="I17" s="23" t="str">
        <f>IFERROR(__xludf.DUMMYFUNCTION("GOOGLETRANSLATE(B17, ""en"", ""pl"")"),"Hasło")</f>
        <v>Hasło</v>
      </c>
      <c r="J17" s="25" t="str">
        <f>IFERROR(__xludf.DUMMYFUNCTION("GOOGLETRANSLATE(B17, ""en"", ""zh"")"),"密码")</f>
        <v>密码</v>
      </c>
      <c r="K17" s="25" t="str">
        <f>IFERROR(__xludf.DUMMYFUNCTION("GOOGLETRANSLATE(B17, ""en"", ""vi"")"),"Mật khẩu")</f>
        <v>Mật khẩu</v>
      </c>
      <c r="L17" s="26" t="str">
        <f>IFERROR(__xludf.DUMMYFUNCTION("GOOGLETRANSLATE(B17, ""en"", ""hr"")"),"Lozinka")</f>
        <v>Lozinka</v>
      </c>
      <c r="M17" s="27"/>
      <c r="N17" s="28"/>
      <c r="O17" s="28"/>
      <c r="P17" s="28"/>
      <c r="Q17" s="28"/>
      <c r="R17" s="28"/>
      <c r="S17" s="28"/>
      <c r="T17" s="28"/>
      <c r="U17" s="28"/>
      <c r="V17" s="28"/>
      <c r="W17" s="28"/>
      <c r="X17" s="28"/>
      <c r="Y17" s="28"/>
      <c r="Z17" s="28"/>
      <c r="AA17" s="28"/>
      <c r="AB17" s="28"/>
    </row>
    <row r="18">
      <c r="A18" s="21" t="s">
        <v>44</v>
      </c>
      <c r="B18" s="22" t="s">
        <v>45</v>
      </c>
      <c r="C18" s="23" t="str">
        <f>IFERROR(__xludf.DUMMYFUNCTION("GOOGLETRANSLATE(B18, ""en"", ""fr"")"),"Quelque chose s'est mal passé.
Gênant... :/")</f>
        <v>Quelque chose s'est mal passé.
Gênant... :/</v>
      </c>
      <c r="D18" s="23" t="str">
        <f>IFERROR(__xludf.DUMMYFUNCTION("GOOGLETRANSLATE(B18, ""en"", ""es"")"),"Algo salió mal.
Incómodo... :/")</f>
        <v>Algo salió mal.
Incómodo... :/</v>
      </c>
      <c r="E18" s="23" t="str">
        <f>IFERROR(__xludf.DUMMYFUNCTION("GOOGLETRANSLATE(B18, ""en"", ""ru"")"),"Что-то пошло не так.
Неуклюжий... :/")</f>
        <v>Что-то пошло не так.
Неуклюжий... :/</v>
      </c>
      <c r="F18" s="23" t="str">
        <f>IFERROR(__xludf.DUMMYFUNCTION("GOOGLETRANSLATE(B18, ""en"", ""tr"")"),"Bir şeyler yanlış gitti.
Garip... :/")</f>
        <v>Bir şeyler yanlış gitti.
Garip... :/</v>
      </c>
      <c r="G18" s="23" t="str">
        <f>IFERROR(__xludf.DUMMYFUNCTION("GOOGLETRANSLATE(B18, ""en"", ""pt"")"),"Algo deu errado.
Estranho... :/")</f>
        <v>Algo deu errado.
Estranho... :/</v>
      </c>
      <c r="H18" s="24" t="str">
        <f>IFERROR(__xludf.DUMMYFUNCTION("GOOGLETRANSLATE(B18, ""en"", ""de"")"),"Etwas ist schief gelaufen.
Unangenehm... :/")</f>
        <v>Etwas ist schief gelaufen.
Unangenehm... :/</v>
      </c>
      <c r="I18" s="23" t="str">
        <f>IFERROR(__xludf.DUMMYFUNCTION("GOOGLETRANSLATE(B18, ""en"", ""pl"")"),"Coś poszło nie tak.
Niezręczny... :/")</f>
        <v>Coś poszło nie tak.
Niezręczny... :/</v>
      </c>
      <c r="J18" s="25" t="str">
        <f>IFERROR(__xludf.DUMMYFUNCTION("GOOGLETRANSLATE(B18, ""en"", ""zh"")"),"出了些问题。
尴尬的... ：/")</f>
        <v>出了些问题。
尴尬的... ：/</v>
      </c>
      <c r="K18" s="25" t="str">
        <f>IFERROR(__xludf.DUMMYFUNCTION("GOOGLETRANSLATE(B18, ""en"", ""vi"")"),"Một cái gì đó đã đi sai.
Vụng về... :/")</f>
        <v>Một cái gì đó đã đi sai.
Vụng về... :/</v>
      </c>
      <c r="L18" s="26" t="str">
        <f>IFERROR(__xludf.DUMMYFUNCTION("GOOGLETRANSLATE(B18, ""en"", ""hr"")"),"Nešto je pošlo po zlu.
Nespretan ...: /")</f>
        <v>Nešto je pošlo po zlu.
Nespretan ...: /</v>
      </c>
      <c r="M18" s="27"/>
      <c r="N18" s="28"/>
      <c r="O18" s="28"/>
      <c r="P18" s="28"/>
      <c r="Q18" s="28"/>
      <c r="R18" s="28"/>
      <c r="S18" s="28"/>
      <c r="T18" s="28"/>
      <c r="U18" s="28"/>
      <c r="V18" s="28"/>
      <c r="W18" s="28"/>
      <c r="X18" s="28"/>
      <c r="Y18" s="28"/>
      <c r="Z18" s="28"/>
      <c r="AA18" s="28"/>
      <c r="AB18" s="28"/>
    </row>
    <row r="19">
      <c r="A19" s="21" t="s">
        <v>46</v>
      </c>
      <c r="B19" s="22" t="s">
        <v>47</v>
      </c>
      <c r="C19" s="23" t="str">
        <f>IFERROR(__xludf.DUMMYFUNCTION("GOOGLETRANSLATE(B19, ""en"", ""fr"")"),"Le jeu est plein.
WOW ...: O")</f>
        <v>Le jeu est plein.
WOW ...: O</v>
      </c>
      <c r="D19" s="23" t="str">
        <f>IFERROR(__xludf.DUMMYFUNCTION("GOOGLETRANSLATE(B19, ""en"", ""es"")"),"El juego está lleno.
Wow ...: o")</f>
        <v>El juego está lleno.
Wow ...: o</v>
      </c>
      <c r="E19" s="23" t="str">
        <f>IFERROR(__xludf.DUMMYFUNCTION("GOOGLETRANSLATE(B19, ""en"", ""ru"")"),"Игра заполнена.
Вау ...: o")</f>
        <v>Игра заполнена.
Вау ...: o</v>
      </c>
      <c r="F19" s="23" t="str">
        <f>IFERROR(__xludf.DUMMYFUNCTION("GOOGLETRANSLATE(B19, ""en"", ""tr"")"),"Oyun dolu.
Vay ...: o")</f>
        <v>Oyun dolu.
Vay ...: o</v>
      </c>
      <c r="G19" s="23" t="str">
        <f>IFERROR(__xludf.DUMMYFUNCTION("GOOGLETRANSLATE(B19, ""en"", ""pt"")"),"O jogo está cheio.
Uau ...: o")</f>
        <v>O jogo está cheio.
Uau ...: o</v>
      </c>
      <c r="H19" s="24" t="str">
        <f>IFERROR(__xludf.DUMMYFUNCTION("GOOGLETRANSLATE(B19, ""en"", ""de"")"),"Das Spiel ist voll.
Wow ...: o")</f>
        <v>Das Spiel ist voll.
Wow ...: o</v>
      </c>
      <c r="I19" s="23" t="str">
        <f>IFERROR(__xludf.DUMMYFUNCTION("GOOGLETRANSLATE(B19, ""en"", ""pl"")"),"Gra jest pełna.
Wow ...: O")</f>
        <v>Gra jest pełna.
Wow ...: O</v>
      </c>
      <c r="J19" s="25" t="str">
        <f>IFERROR(__xludf.DUMMYFUNCTION("GOOGLETRANSLATE(B19, ""en"", ""zh"")"),"游戏已满。
哇......：o")</f>
        <v>游戏已满。
哇......：o</v>
      </c>
      <c r="K19" s="25" t="str">
        <f>IFERROR(__xludf.DUMMYFUNCTION("GOOGLETRANSLATE(B19, ""en"", ""vi"")"),"Trò chơi đã đầy.
Wow ...: O")</f>
        <v>Trò chơi đã đầy.
Wow ...: O</v>
      </c>
      <c r="L19" s="26" t="str">
        <f>IFERROR(__xludf.DUMMYFUNCTION("GOOGLETRANSLATE(B19, ""en"", ""hr"")"),"Igra je puna.
Wow ...: o")</f>
        <v>Igra je puna.
Wow ...: o</v>
      </c>
      <c r="M19" s="27"/>
      <c r="N19" s="28"/>
      <c r="O19" s="28"/>
      <c r="P19" s="28"/>
      <c r="Q19" s="28"/>
      <c r="R19" s="28"/>
      <c r="S19" s="28"/>
      <c r="T19" s="28"/>
      <c r="U19" s="28"/>
      <c r="V19" s="28"/>
      <c r="W19" s="28"/>
      <c r="X19" s="28"/>
      <c r="Y19" s="28"/>
      <c r="Z19" s="28"/>
      <c r="AA19" s="28"/>
      <c r="AB19" s="28"/>
    </row>
    <row r="20">
      <c r="A20" s="21" t="s">
        <v>48</v>
      </c>
      <c r="B20" s="22" t="s">
        <v>49</v>
      </c>
      <c r="C20" s="23" t="str">
        <f>IFERROR(__xludf.DUMMYFUNCTION("GOOGLETRANSLATE(B20, ""en"", ""fr"")"),"Impossible de se connecter au serveur de jeu.")</f>
        <v>Impossible de se connecter au serveur de jeu.</v>
      </c>
      <c r="D20" s="23" t="str">
        <f>IFERROR(__xludf.DUMMYFUNCTION("GOOGLETRANSLATE(B20, ""en"", ""es"")"),"No se pudo conectar al servidor de juegos.")</f>
        <v>No se pudo conectar al servidor de juegos.</v>
      </c>
      <c r="E20" s="23" t="str">
        <f>IFERROR(__xludf.DUMMYFUNCTION("GOOGLETRANSLATE(B20, ""en"", ""ru"")"),"Не удалось подключиться к игровому серверу.")</f>
        <v>Не удалось подключиться к игровому серверу.</v>
      </c>
      <c r="F20" s="23" t="str">
        <f>IFERROR(__xludf.DUMMYFUNCTION("GOOGLETRANSLATE(B20, ""en"", ""tr"")"),"Oyun sunucusuna bağlanamadı.")</f>
        <v>Oyun sunucusuna bağlanamadı.</v>
      </c>
      <c r="G20" s="23" t="str">
        <f>IFERROR(__xludf.DUMMYFUNCTION("GOOGLETRANSLATE(B20, ""en"", ""pt"")"),"Não foi possível conectar-se ao servidor de jogos.")</f>
        <v>Não foi possível conectar-se ao servidor de jogos.</v>
      </c>
      <c r="H20" s="24" t="str">
        <f>IFERROR(__xludf.DUMMYFUNCTION("GOOGLETRANSLATE(B20, ""en"", ""de"")"),"Konnte keine Verbindung zum Game-Server herstellen.")</f>
        <v>Konnte keine Verbindung zum Game-Server herstellen.</v>
      </c>
      <c r="I20" s="23" t="str">
        <f>IFERROR(__xludf.DUMMYFUNCTION("GOOGLETRANSLATE(B20, ""en"", ""pl"")"),"Nie mógł połączyć się z serwerem gry.")</f>
        <v>Nie mógł połączyć się z serwerem gry.</v>
      </c>
      <c r="J20" s="25" t="str">
        <f>IFERROR(__xludf.DUMMYFUNCTION("GOOGLETRANSLATE(B20, ""en"", ""zh"")"),"无法连接到游戏服务器。")</f>
        <v>无法连接到游戏服务器。</v>
      </c>
      <c r="K20" s="25" t="str">
        <f>IFERROR(__xludf.DUMMYFUNCTION("GOOGLETRANSLATE(B20, ""en"", ""vi"")"),"Không thể kết nối với máy chủ trò chơi.")</f>
        <v>Không thể kết nối với máy chủ trò chơi.</v>
      </c>
      <c r="L20" s="26" t="str">
        <f>IFERROR(__xludf.DUMMYFUNCTION("GOOGLETRANSLATE(B20, ""en"", ""hr"")"),"Nije se moglo povezati s poslužiteljem igre.")</f>
        <v>Nije se moglo povezati s poslužiteljem igre.</v>
      </c>
      <c r="M20" s="27"/>
      <c r="N20" s="28"/>
      <c r="O20" s="28"/>
      <c r="P20" s="28"/>
      <c r="Q20" s="28"/>
      <c r="R20" s="28"/>
      <c r="S20" s="28"/>
      <c r="T20" s="28"/>
      <c r="U20" s="28"/>
      <c r="V20" s="28"/>
      <c r="W20" s="28"/>
      <c r="X20" s="28"/>
      <c r="Y20" s="28"/>
      <c r="Z20" s="28"/>
      <c r="AA20" s="28"/>
      <c r="AB20" s="28"/>
    </row>
    <row r="21">
      <c r="A21" s="21" t="s">
        <v>50</v>
      </c>
      <c r="B21" s="22" t="s">
        <v>51</v>
      </c>
      <c r="C21" s="23" t="str">
        <f>IFERROR(__xludf.DUMMYFUNCTION("GOOGLETRANSLATE(B21, ""en"", ""fr"")"),"Nom d'utilisateur (requis.")</f>
        <v>Nom d'utilisateur (requis.</v>
      </c>
      <c r="D21" s="23" t="str">
        <f>IFERROR(__xludf.DUMMYFUNCTION("GOOGLETRANSLATE(B21, ""en"", ""es"")"),"Nombre de usuario (requerido.")</f>
        <v>Nombre de usuario (requerido.</v>
      </c>
      <c r="E21" s="23" t="str">
        <f>IFERROR(__xludf.DUMMYFUNCTION("GOOGLETRANSLATE(B21, ""en"", ""ru"")"),"Имя пользователя требуется.")</f>
        <v>Имя пользователя требуется.</v>
      </c>
      <c r="F21" s="23" t="str">
        <f>IFERROR(__xludf.DUMMYFUNCTION("GOOGLETRANSLATE(B21, ""en"", ""tr"")"),"Kullanıcı adı gerekli.")</f>
        <v>Kullanıcı adı gerekli.</v>
      </c>
      <c r="G21" s="23" t="str">
        <f>IFERROR(__xludf.DUMMYFUNCTION("GOOGLETRANSLATE(B21, ""en"", ""pt"")"),"Nome de usuário (necessário.")</f>
        <v>Nome de usuário (necessário.</v>
      </c>
      <c r="H21" s="24" t="str">
        <f>IFERROR(__xludf.DUMMYFUNCTION("GOOGLETRANSLATE(B21, ""en"", ""de"")"),"Benutzername erforderlich.")</f>
        <v>Benutzername erforderlich.</v>
      </c>
      <c r="I21" s="23" t="str">
        <f>IFERROR(__xludf.DUMMYFUNCTION("GOOGLETRANSLATE(B21, ""en"", ""pl"")"),"Nazwa użytkownika (wymagana.")</f>
        <v>Nazwa użytkownika (wymagana.</v>
      </c>
      <c r="J21" s="25" t="str">
        <f>IFERROR(__xludf.DUMMYFUNCTION("GOOGLETRANSLATE(B21, ""en"", ""zh"")"),"需要用户名。")</f>
        <v>需要用户名。</v>
      </c>
      <c r="K21" s="25" t="str">
        <f>IFERROR(__xludf.DUMMYFUNCTION("GOOGLETRANSLATE(B21, ""en"", ""vi"")"),"Tên người dùng cần thiết.")</f>
        <v>Tên người dùng cần thiết.</v>
      </c>
      <c r="L21" s="26" t="str">
        <f>IFERROR(__xludf.DUMMYFUNCTION("GOOGLETRANSLATE(B21, ""en"", ""hr"")"),"Potrebno korisničko ime.")</f>
        <v>Potrebno korisničko ime.</v>
      </c>
      <c r="M21" s="27"/>
      <c r="N21" s="28"/>
      <c r="O21" s="28"/>
      <c r="P21" s="28"/>
      <c r="Q21" s="28"/>
      <c r="R21" s="28"/>
      <c r="S21" s="28"/>
      <c r="T21" s="28"/>
      <c r="U21" s="28"/>
      <c r="V21" s="28"/>
      <c r="W21" s="28"/>
      <c r="X21" s="28"/>
      <c r="Y21" s="28"/>
      <c r="Z21" s="28"/>
      <c r="AA21" s="28"/>
      <c r="AB21" s="28"/>
    </row>
    <row r="22">
      <c r="A22" s="21" t="s">
        <v>52</v>
      </c>
      <c r="B22" s="22" t="s">
        <v>53</v>
      </c>
      <c r="C22" s="23" t="str">
        <f>IFERROR(__xludf.DUMMYFUNCTION("GOOGLETRANSLATE(B22, ""en"", ""fr"")"),"Mot de passe requis.")</f>
        <v>Mot de passe requis.</v>
      </c>
      <c r="D22" s="23" t="str">
        <f>IFERROR(__xludf.DUMMYFUNCTION("GOOGLETRANSLATE(B22, ""en"", ""es"")"),"Se requiere contraseña.")</f>
        <v>Se requiere contraseña.</v>
      </c>
      <c r="E22" s="23" t="str">
        <f>IFERROR(__xludf.DUMMYFUNCTION("GOOGLETRANSLATE(B22, ""en"", ""ru"")"),"Требуется пароль.")</f>
        <v>Требуется пароль.</v>
      </c>
      <c r="F22" s="23" t="str">
        <f>IFERROR(__xludf.DUMMYFUNCTION("GOOGLETRANSLATE(B22, ""en"", ""tr"")"),"Şifre gerekli.")</f>
        <v>Şifre gerekli.</v>
      </c>
      <c r="G22" s="23" t="str">
        <f>IFERROR(__xludf.DUMMYFUNCTION("GOOGLETRANSLATE(B22, ""en"", ""pt"")"),"Senha requerida.")</f>
        <v>Senha requerida.</v>
      </c>
      <c r="H22" s="24" t="str">
        <f>IFERROR(__xludf.DUMMYFUNCTION("GOOGLETRANSLATE(B22, ""en"", ""de"")"),"Passwort erforderlich.")</f>
        <v>Passwort erforderlich.</v>
      </c>
      <c r="I22" s="23" t="str">
        <f>IFERROR(__xludf.DUMMYFUNCTION("GOOGLETRANSLATE(B22, ""en"", ""pl"")"),"Wymagane hasło.")</f>
        <v>Wymagane hasło.</v>
      </c>
      <c r="J22" s="25" t="str">
        <f>IFERROR(__xludf.DUMMYFUNCTION("GOOGLETRANSLATE(B22, ""en"", ""zh"")"),"需要密码。")</f>
        <v>需要密码。</v>
      </c>
      <c r="K22" s="25" t="str">
        <f>IFERROR(__xludf.DUMMYFUNCTION("GOOGLETRANSLATE(B22, ""en"", ""vi"")"),"Mật khẩu được yêu câu.")</f>
        <v>Mật khẩu được yêu câu.</v>
      </c>
      <c r="L22" s="26" t="str">
        <f>IFERROR(__xludf.DUMMYFUNCTION("GOOGLETRANSLATE(B22, ""en"", ""hr"")"),"Potrebna lozinka.")</f>
        <v>Potrebna lozinka.</v>
      </c>
      <c r="M22" s="27"/>
      <c r="N22" s="28"/>
      <c r="O22" s="28"/>
      <c r="P22" s="28"/>
      <c r="Q22" s="28"/>
      <c r="R22" s="28"/>
      <c r="S22" s="28"/>
      <c r="T22" s="28"/>
      <c r="U22" s="28"/>
      <c r="V22" s="28"/>
      <c r="W22" s="28"/>
      <c r="X22" s="28"/>
      <c r="Y22" s="28"/>
      <c r="Z22" s="28"/>
      <c r="AA22" s="28"/>
      <c r="AB22" s="28"/>
    </row>
    <row r="23">
      <c r="A23" s="21" t="s">
        <v>54</v>
      </c>
      <c r="B23" s="22" t="s">
        <v>55</v>
      </c>
      <c r="C23" s="23" t="str">
        <f>IFERROR(__xludf.DUMMYFUNCTION("GOOGLETRANSLATE(B23, ""en"", ""fr"")"),"Nom d'utilisateur ou mot de passe invalide.")</f>
        <v>Nom d'utilisateur ou mot de passe invalide.</v>
      </c>
      <c r="D23" s="23" t="str">
        <f>IFERROR(__xludf.DUMMYFUNCTION("GOOGLETRANSLATE(B23, ""en"", ""es"")"),"Usuario o contraseña invalido.")</f>
        <v>Usuario o contraseña invalido.</v>
      </c>
      <c r="E23" s="23" t="str">
        <f>IFERROR(__xludf.DUMMYFUNCTION("GOOGLETRANSLATE(B23, ""en"", ""ru"")"),"Неправильное имя пользователя или пароль.")</f>
        <v>Неправильное имя пользователя или пароль.</v>
      </c>
      <c r="F23" s="23" t="str">
        <f>IFERROR(__xludf.DUMMYFUNCTION("GOOGLETRANSLATE(B23, ""en"", ""tr"")"),"Geçersiz kullanıcı adı veya şifre.")</f>
        <v>Geçersiz kullanıcı adı veya şifre.</v>
      </c>
      <c r="G23" s="23" t="str">
        <f>IFERROR(__xludf.DUMMYFUNCTION("GOOGLETRANSLATE(B23, ""en"", ""pt"")"),"Nome de usuário ou senha inválidos.")</f>
        <v>Nome de usuário ou senha inválidos.</v>
      </c>
      <c r="H23" s="24" t="str">
        <f>IFERROR(__xludf.DUMMYFUNCTION("GOOGLETRANSLATE(B23, ""en"", ""de"")"),"Ungültiger Benutzername oder Passwort.")</f>
        <v>Ungültiger Benutzername oder Passwort.</v>
      </c>
      <c r="I23" s="23" t="str">
        <f>IFERROR(__xludf.DUMMYFUNCTION("GOOGLETRANSLATE(B23, ""en"", ""pl"")"),"Nieprawidłowa nazwa użytkownika lub hasło.")</f>
        <v>Nieprawidłowa nazwa użytkownika lub hasło.</v>
      </c>
      <c r="J23" s="25" t="str">
        <f>IFERROR(__xludf.DUMMYFUNCTION("GOOGLETRANSLATE(B23, ""en"", ""zh"")"),"用户名或密码无效。")</f>
        <v>用户名或密码无效。</v>
      </c>
      <c r="K23" s="25" t="str">
        <f>IFERROR(__xludf.DUMMYFUNCTION("GOOGLETRANSLATE(B23, ""en"", ""vi"")"),"Sai username hoặc password.")</f>
        <v>Sai username hoặc password.</v>
      </c>
      <c r="L23" s="26" t="str">
        <f>IFERROR(__xludf.DUMMYFUNCTION("GOOGLETRANSLATE(B23, ""en"", ""hr"")"),"Neispravno korisničko ime ili lozinka.")</f>
        <v>Neispravno korisničko ime ili lozinka.</v>
      </c>
      <c r="M23" s="27"/>
      <c r="N23" s="28"/>
      <c r="O23" s="28"/>
      <c r="P23" s="28"/>
      <c r="Q23" s="28"/>
      <c r="R23" s="28"/>
      <c r="S23" s="28"/>
      <c r="T23" s="28"/>
      <c r="U23" s="28"/>
      <c r="V23" s="28"/>
      <c r="W23" s="28"/>
      <c r="X23" s="28"/>
      <c r="Y23" s="28"/>
      <c r="Z23" s="28"/>
      <c r="AA23" s="28"/>
      <c r="AB23" s="28"/>
    </row>
    <row r="24">
      <c r="A24" s="21" t="s">
        <v>56</v>
      </c>
      <c r="B24" s="22" t="s">
        <v>57</v>
      </c>
      <c r="C24" s="23" t="str">
        <f>IFERROR(__xludf.DUMMYFUNCTION("GOOGLETRANSLATE(B24, ""en"", ""fr"")"),"Ce compte est déjà connecté.")</f>
        <v>Ce compte est déjà connecté.</v>
      </c>
      <c r="D24" s="23" t="str">
        <f>IFERROR(__xludf.DUMMYFUNCTION("GOOGLETRANSLATE(B24, ""en"", ""es"")"),"Esa cuenta ya está conectada.")</f>
        <v>Esa cuenta ya está conectada.</v>
      </c>
      <c r="E24" s="23" t="str">
        <f>IFERROR(__xludf.DUMMYFUNCTION("GOOGLETRANSLATE(B24, ""en"", ""ru"")"),"Этот счет уже вошел в систему.")</f>
        <v>Этот счет уже вошел в систему.</v>
      </c>
      <c r="F24" s="23" t="str">
        <f>IFERROR(__xludf.DUMMYFUNCTION("GOOGLETRANSLATE(B24, ""en"", ""tr"")"),"Bu hesap zaten giriş yapmış.")</f>
        <v>Bu hesap zaten giriş yapmış.</v>
      </c>
      <c r="G24" s="23" t="str">
        <f>IFERROR(__xludf.DUMMYFUNCTION("GOOGLETRANSLATE(B24, ""en"", ""pt"")"),"Essa conta já está logada.")</f>
        <v>Essa conta já está logada.</v>
      </c>
      <c r="H24" s="24" t="str">
        <f>IFERROR(__xludf.DUMMYFUNCTION("GOOGLETRANSLATE(B24, ""en"", ""de"")"),"Das Konto ist bereits angemeldet.")</f>
        <v>Das Konto ist bereits angemeldet.</v>
      </c>
      <c r="I24" s="23" t="str">
        <f>IFERROR(__xludf.DUMMYFUNCTION("GOOGLETRANSLATE(B24, ""en"", ""pl"")"),"To konto jest już zalogowane.")</f>
        <v>To konto jest już zalogowane.</v>
      </c>
      <c r="J24" s="25" t="str">
        <f>IFERROR(__xludf.DUMMYFUNCTION("GOOGLETRANSLATE(B24, ""en"", ""zh"")"),"该帐户已登录。")</f>
        <v>该帐户已登录。</v>
      </c>
      <c r="K24" s="25" t="str">
        <f>IFERROR(__xludf.DUMMYFUNCTION("GOOGLETRANSLATE(B24, ""en"", ""vi"")"),"Tài khoản đó đã được đăng nhập.")</f>
        <v>Tài khoản đó đã được đăng nhập.</v>
      </c>
      <c r="L24" s="26" t="str">
        <f>IFERROR(__xludf.DUMMYFUNCTION("GOOGLETRANSLATE(B24, ""en"", ""hr"")"),"Taj je račun već prijavljen.")</f>
        <v>Taj je račun već prijavljen.</v>
      </c>
      <c r="M24" s="27"/>
      <c r="N24" s="28"/>
      <c r="O24" s="28"/>
      <c r="P24" s="28"/>
      <c r="Q24" s="28"/>
      <c r="R24" s="28"/>
      <c r="S24" s="28"/>
      <c r="T24" s="28"/>
      <c r="U24" s="28"/>
      <c r="V24" s="28"/>
      <c r="W24" s="28"/>
      <c r="X24" s="28"/>
      <c r="Y24" s="28"/>
      <c r="Z24" s="28"/>
      <c r="AA24" s="28"/>
      <c r="AB24" s="28"/>
    </row>
    <row r="25">
      <c r="A25" s="21" t="s">
        <v>58</v>
      </c>
      <c r="B25" s="22" t="s">
        <v>58</v>
      </c>
      <c r="C25" s="23" t="s">
        <v>59</v>
      </c>
      <c r="D25" s="23" t="str">
        <f>IFERROR(__xludf.DUMMYFUNCTION("GOOGLETRANSLATE(B25, ""en"", ""es"")"),"Socios")</f>
        <v>Socios</v>
      </c>
      <c r="E25" s="23" t="str">
        <f>IFERROR(__xludf.DUMMYFUNCTION("GOOGLETRANSLATE(B25, ""en"", ""ru"")"),"Партнеры")</f>
        <v>Партнеры</v>
      </c>
      <c r="F25" s="23" t="str">
        <f>IFERROR(__xludf.DUMMYFUNCTION("GOOGLETRANSLATE(B25, ""en"", ""tr"")"),"Ortaklar")</f>
        <v>Ortaklar</v>
      </c>
      <c r="G25" s="23" t="str">
        <f>IFERROR(__xludf.DUMMYFUNCTION("GOOGLETRANSLATE(B25, ""en"", ""pt"")"),"Parceiros")</f>
        <v>Parceiros</v>
      </c>
      <c r="H25" s="24" t="str">
        <f>IFERROR(__xludf.DUMMYFUNCTION("GOOGLETRANSLATE(B25, ""en"", ""de"")"),"Partner")</f>
        <v>Partner</v>
      </c>
      <c r="I25" s="23" t="str">
        <f>IFERROR(__xludf.DUMMYFUNCTION("GOOGLETRANSLATE(B25, ""en"", ""pl"")"),"Wzmacniacz")</f>
        <v>Wzmacniacz</v>
      </c>
      <c r="J25" s="25" t="str">
        <f>IFERROR(__xludf.DUMMYFUNCTION("GOOGLETRANSLATE(B25, ""en"", ""zh"")"),"伙伴")</f>
        <v>伙伴</v>
      </c>
      <c r="K25" s="25" t="str">
        <f>IFERROR(__xludf.DUMMYFUNCTION("GOOGLETRANSLATE(B25, ""en"", ""vi"")"),"ĐỐI TÁC")</f>
        <v>ĐỐI TÁC</v>
      </c>
      <c r="L25" s="26" t="str">
        <f>IFERROR(__xludf.DUMMYFUNCTION("GOOGLETRANSLATE(B25, ""en"", ""hr"")"),"Partneri")</f>
        <v>Partneri</v>
      </c>
      <c r="M25" s="27"/>
      <c r="N25" s="28"/>
      <c r="O25" s="28"/>
      <c r="P25" s="28"/>
      <c r="Q25" s="28"/>
      <c r="R25" s="28"/>
      <c r="S25" s="28"/>
      <c r="T25" s="28"/>
      <c r="U25" s="28"/>
      <c r="V25" s="28"/>
      <c r="W25" s="28"/>
      <c r="X25" s="28"/>
      <c r="Y25" s="28"/>
      <c r="Z25" s="28"/>
      <c r="AA25" s="28"/>
      <c r="AB25" s="28"/>
    </row>
    <row r="26">
      <c r="A26" s="21" t="s">
        <v>60</v>
      </c>
      <c r="B26" s="22" t="s">
        <v>60</v>
      </c>
      <c r="C26" s="23" t="str">
        <f>IFERROR(__xludf.DUMMYFUNCTION("GOOGLETRANSLATE(B26, ""en"", ""fr"")"),"Crédits")</f>
        <v>Crédits</v>
      </c>
      <c r="D26" s="23" t="str">
        <f>IFERROR(__xludf.DUMMYFUNCTION("GOOGLETRANSLATE(B26, ""en"", ""es"")"),"Créditos")</f>
        <v>Créditos</v>
      </c>
      <c r="E26" s="23" t="str">
        <f>IFERROR(__xludf.DUMMYFUNCTION("GOOGLETRANSLATE(B26, ""en"", ""ru"")"),"Кредиты")</f>
        <v>Кредиты</v>
      </c>
      <c r="F26" s="23" t="str">
        <f>IFERROR(__xludf.DUMMYFUNCTION("GOOGLETRANSLATE(B26, ""en"", ""tr"")"),"Kredi")</f>
        <v>Kredi</v>
      </c>
      <c r="G26" s="23" t="str">
        <f>IFERROR(__xludf.DUMMYFUNCTION("GOOGLETRANSLATE(B26, ""en"", ""pt"")"),"Créditos")</f>
        <v>Créditos</v>
      </c>
      <c r="H26" s="24" t="str">
        <f>IFERROR(__xludf.DUMMYFUNCTION("GOOGLETRANSLATE(B26, ""en"", ""de"")"),"Kreditschriften")</f>
        <v>Kreditschriften</v>
      </c>
      <c r="I26" s="23" t="str">
        <f>IFERROR(__xludf.DUMMYFUNCTION("GOOGLETRANSLATE(B26, ""en"", ""pl"")"),"Kredyty")</f>
        <v>Kredyty</v>
      </c>
      <c r="J26" s="25" t="str">
        <f>IFERROR(__xludf.DUMMYFUNCTION("GOOGLETRANSLATE(B26, ""en"", ""zh"")"),"学分")</f>
        <v>学分</v>
      </c>
      <c r="K26" s="25" t="str">
        <f>IFERROR(__xludf.DUMMYFUNCTION("GOOGLETRANSLATE(B26, ""en"", ""vi"")"),"Tín dụng")</f>
        <v>Tín dụng</v>
      </c>
      <c r="L26" s="26" t="str">
        <f>IFERROR(__xludf.DUMMYFUNCTION("GOOGLETRANSLATE(B26, ""en"", ""hr"")"),"Krediti")</f>
        <v>Krediti</v>
      </c>
      <c r="M26" s="27"/>
      <c r="N26" s="28"/>
      <c r="O26" s="28"/>
      <c r="P26" s="28"/>
      <c r="Q26" s="28"/>
      <c r="R26" s="28"/>
      <c r="S26" s="28"/>
      <c r="T26" s="28"/>
      <c r="U26" s="28"/>
      <c r="V26" s="28"/>
      <c r="W26" s="28"/>
      <c r="X26" s="28"/>
      <c r="Y26" s="28"/>
      <c r="Z26" s="28"/>
      <c r="AA26" s="28"/>
      <c r="AB26" s="28"/>
    </row>
    <row r="27">
      <c r="A27" s="21" t="s">
        <v>61</v>
      </c>
      <c r="B27" s="22" t="s">
        <v>61</v>
      </c>
      <c r="C27" s="23" t="s">
        <v>61</v>
      </c>
      <c r="D27" s="23" t="s">
        <v>61</v>
      </c>
      <c r="E27" s="23" t="s">
        <v>61</v>
      </c>
      <c r="F27" s="23" t="s">
        <v>61</v>
      </c>
      <c r="G27" s="23" t="s">
        <v>61</v>
      </c>
      <c r="H27" s="23" t="s">
        <v>61</v>
      </c>
      <c r="I27" s="23" t="s">
        <v>61</v>
      </c>
      <c r="J27" s="23" t="s">
        <v>61</v>
      </c>
      <c r="K27" s="23" t="s">
        <v>61</v>
      </c>
      <c r="L27" s="23" t="s">
        <v>61</v>
      </c>
      <c r="M27" s="27"/>
      <c r="N27" s="28"/>
      <c r="O27" s="28"/>
      <c r="P27" s="28"/>
      <c r="Q27" s="28"/>
      <c r="R27" s="28"/>
      <c r="S27" s="28"/>
      <c r="T27" s="28"/>
      <c r="U27" s="28"/>
      <c r="V27" s="28"/>
      <c r="W27" s="28"/>
      <c r="X27" s="28"/>
      <c r="Y27" s="28"/>
      <c r="Z27" s="28"/>
      <c r="AA27" s="28"/>
      <c r="AB27" s="28"/>
    </row>
    <row r="28">
      <c r="A28" s="21" t="s">
        <v>62</v>
      </c>
      <c r="B28" s="22" t="s">
        <v>62</v>
      </c>
      <c r="C28" s="23" t="str">
        <f>IFERROR(__xludf.DUMMYFUNCTION("GOOGLETRANSLATE(B28, ""en"", ""fr"")"),"Jouer")</f>
        <v>Jouer</v>
      </c>
      <c r="D28" s="23" t="str">
        <f>IFERROR(__xludf.DUMMYFUNCTION("GOOGLETRANSLATE(B28, ""en"", ""es"")"),"Jugar")</f>
        <v>Jugar</v>
      </c>
      <c r="E28" s="23" t="str">
        <f>IFERROR(__xludf.DUMMYFUNCTION("GOOGLETRANSLATE(B28, ""en"", ""ru"")"),"Играть")</f>
        <v>Играть</v>
      </c>
      <c r="F28" s="23" t="str">
        <f>IFERROR(__xludf.DUMMYFUNCTION("GOOGLETRANSLATE(B28, ""en"", ""tr"")"),"Oynamak")</f>
        <v>Oynamak</v>
      </c>
      <c r="G28" s="23" t="str">
        <f>IFERROR(__xludf.DUMMYFUNCTION("GOOGLETRANSLATE(B28, ""en"", ""pt"")"),"Toque")</f>
        <v>Toque</v>
      </c>
      <c r="H28" s="24" t="str">
        <f>IFERROR(__xludf.DUMMYFUNCTION("GOOGLETRANSLATE(B28, ""en"", ""de"")"),"Spiel")</f>
        <v>Spiel</v>
      </c>
      <c r="I28" s="23" t="str">
        <f>IFERROR(__xludf.DUMMYFUNCTION("GOOGLETRANSLATE(B28, ""en"", ""pl"")"),"Bawić się")</f>
        <v>Bawić się</v>
      </c>
      <c r="J28" s="25" t="str">
        <f>IFERROR(__xludf.DUMMYFUNCTION("GOOGLETRANSLATE(B28, ""en"", ""zh"")"),"玩")</f>
        <v>玩</v>
      </c>
      <c r="K28" s="25" t="str">
        <f>IFERROR(__xludf.DUMMYFUNCTION("GOOGLETRANSLATE(B28, ""en"", ""vi"")"),"Chơi")</f>
        <v>Chơi</v>
      </c>
      <c r="L28" s="26" t="str">
        <f>IFERROR(__xludf.DUMMYFUNCTION("GOOGLETRANSLATE(B28, ""en"", ""hr"")"),"igra")</f>
        <v>igra</v>
      </c>
      <c r="M28" s="27"/>
      <c r="N28" s="28"/>
      <c r="O28" s="28"/>
      <c r="P28" s="28"/>
      <c r="Q28" s="28"/>
      <c r="R28" s="28"/>
      <c r="S28" s="28"/>
      <c r="T28" s="28"/>
      <c r="U28" s="28"/>
      <c r="V28" s="28"/>
      <c r="W28" s="28"/>
      <c r="X28" s="28"/>
      <c r="Y28" s="28"/>
      <c r="Z28" s="28"/>
      <c r="AA28" s="28"/>
      <c r="AB28" s="28"/>
    </row>
    <row r="29">
      <c r="A29" s="21" t="s">
        <v>63</v>
      </c>
      <c r="B29" s="22" t="s">
        <v>63</v>
      </c>
      <c r="C29" s="23" t="s">
        <v>64</v>
      </c>
      <c r="D29" s="23" t="str">
        <f>IFERROR(__xludf.DUMMYFUNCTION("GOOGLETRANSLATE(B29, ""en"", ""es"")"),"Volver a conectar")</f>
        <v>Volver a conectar</v>
      </c>
      <c r="E29" s="23" t="str">
        <f>IFERROR(__xludf.DUMMYFUNCTION("GOOGLETRANSLATE(B29, ""en"", ""ru"")"),"Подчеркивать")</f>
        <v>Подчеркивать</v>
      </c>
      <c r="F29" s="23" t="str">
        <f>IFERROR(__xludf.DUMMYFUNCTION("GOOGLETRANSLATE(B29, ""en"", ""tr"")"),"Yeniden bağlanmak")</f>
        <v>Yeniden bağlanmak</v>
      </c>
      <c r="G29" s="23" t="str">
        <f>IFERROR(__xludf.DUMMYFUNCTION("GOOGLETRANSLATE(B29, ""en"", ""pt"")"),"Reconectar")</f>
        <v>Reconectar</v>
      </c>
      <c r="H29" s="24" t="str">
        <f>IFERROR(__xludf.DUMMYFUNCTION("GOOGLETRANSLATE(B29, ""en"", ""de"")"),"Wieder anschließen")</f>
        <v>Wieder anschließen</v>
      </c>
      <c r="I29" s="23" t="str">
        <f>IFERROR(__xludf.DUMMYFUNCTION("GOOGLETRANSLATE(B29, ""en"", ""pl"")"),"Na nowo połączyć")</f>
        <v>Na nowo połączyć</v>
      </c>
      <c r="J29" s="25" t="str">
        <f>IFERROR(__xludf.DUMMYFUNCTION("GOOGLETRANSLATE(B29, ""en"", ""zh"")"),"重新联系")</f>
        <v>重新联系</v>
      </c>
      <c r="K29" s="25" t="str">
        <f>IFERROR(__xludf.DUMMYFUNCTION("GOOGLETRANSLATE(B29, ""en"", ""vi"")"),"Kết nối lại.")</f>
        <v>Kết nối lại.</v>
      </c>
      <c r="L29" s="26" t="str">
        <f>IFERROR(__xludf.DUMMYFUNCTION("GOOGLETRANSLATE(B29, ""en"", ""hr"")"),"Ponovo spojiti")</f>
        <v>Ponovo spojiti</v>
      </c>
      <c r="M29" s="27"/>
      <c r="N29" s="28"/>
      <c r="O29" s="28"/>
      <c r="P29" s="28"/>
      <c r="Q29" s="28"/>
      <c r="R29" s="28"/>
      <c r="S29" s="28"/>
      <c r="T29" s="28"/>
      <c r="U29" s="28"/>
      <c r="V29" s="28"/>
      <c r="W29" s="28"/>
      <c r="X29" s="28"/>
      <c r="Y29" s="28"/>
      <c r="Z29" s="28"/>
      <c r="AA29" s="28"/>
      <c r="AB29" s="28"/>
    </row>
    <row r="30">
      <c r="A30" s="21" t="s">
        <v>65</v>
      </c>
      <c r="B30" s="22" t="s">
        <v>66</v>
      </c>
      <c r="C30" s="23" t="str">
        <f>IFERROR(__xludf.DUMMYFUNCTION("GOOGLETRANSLATE(B30, ""en"", ""fr"")"),"Connexion au serveur de jeu ...")</f>
        <v>Connexion au serveur de jeu ...</v>
      </c>
      <c r="D30" s="23" t="str">
        <f>IFERROR(__xludf.DUMMYFUNCTION("GOOGLETRANSLATE(B30, ""en"", ""es"")"),"Conexión al servidor de juegos ...")</f>
        <v>Conexión al servidor de juegos ...</v>
      </c>
      <c r="E30" s="23" t="str">
        <f>IFERROR(__xludf.DUMMYFUNCTION("GOOGLETRANSLATE(B30, ""en"", ""ru"")"),"Подключение к игровому серверу ...")</f>
        <v>Подключение к игровому серверу ...</v>
      </c>
      <c r="F30" s="23" t="str">
        <f>IFERROR(__xludf.DUMMYFUNCTION("GOOGLETRANSLATE(B30, ""en"", ""tr"")"),"Oyun sunucusuna bağlanma ...")</f>
        <v>Oyun sunucusuna bağlanma ...</v>
      </c>
      <c r="G30" s="23" t="str">
        <f>IFERROR(__xludf.DUMMYFUNCTION("GOOGLETRANSLATE(B30, ""en"", ""pt"")"),"Conectando ao Game Server ...")</f>
        <v>Conectando ao Game Server ...</v>
      </c>
      <c r="H30" s="24" t="str">
        <f>IFERROR(__xludf.DUMMYFUNCTION("GOOGLETRANSLATE(B30, ""en"", ""de"")"),"Anschließen an den Game-Server ...")</f>
        <v>Anschließen an den Game-Server ...</v>
      </c>
      <c r="I30" s="23" t="str">
        <f>IFERROR(__xludf.DUMMYFUNCTION("GOOGLETRANSLATE(B30, ""en"", ""pl"")"),"Łączenie się z serwerem gry ...")</f>
        <v>Łączenie się z serwerem gry ...</v>
      </c>
      <c r="J30" s="25" t="str">
        <f>IFERROR(__xludf.DUMMYFUNCTION("GOOGLETRANSLATE(B30, ""en"", ""zh"")"),"连接到游戏服务器...")</f>
        <v>连接到游戏服务器...</v>
      </c>
      <c r="K30" s="25" t="str">
        <f>IFERROR(__xludf.DUMMYFUNCTION("GOOGLETRANSLATE(B30, ""en"", ""vi"")"),"Kết nối với máy chủ trò chơi ...")</f>
        <v>Kết nối với máy chủ trò chơi ...</v>
      </c>
      <c r="L30" s="26" t="str">
        <f>IFERROR(__xludf.DUMMYFUNCTION("GOOGLETRANSLATE(B30, ""en"", ""hr"")"),"Povezivanje s poslužiteljem igre ...")</f>
        <v>Povezivanje s poslužiteljem igre ...</v>
      </c>
      <c r="M30" s="27"/>
      <c r="N30" s="28"/>
      <c r="O30" s="28"/>
      <c r="P30" s="28"/>
      <c r="Q30" s="28"/>
      <c r="R30" s="28"/>
      <c r="S30" s="28"/>
      <c r="T30" s="28"/>
      <c r="U30" s="28"/>
      <c r="V30" s="28"/>
      <c r="W30" s="28"/>
      <c r="X30" s="28"/>
      <c r="Y30" s="28"/>
      <c r="Z30" s="28"/>
      <c r="AA30" s="28"/>
      <c r="AB30" s="28"/>
    </row>
    <row r="31">
      <c r="A31" s="21" t="s">
        <v>67</v>
      </c>
      <c r="B31" s="22" t="s">
        <v>68</v>
      </c>
      <c r="C31" s="23" t="str">
        <f>IFERROR(__xludf.DUMMYFUNCTION("GOOGLETRANSLATE(B31, ""en"", ""fr"")"),"Joindre jeu World ...")</f>
        <v>Joindre jeu World ...</v>
      </c>
      <c r="D31" s="23" t="str">
        <f>IFERROR(__xludf.DUMMYFUNCTION("GOOGLETRANSLATE(B31, ""en"", ""es"")"),"Uniéndose al juego Mundo ...")</f>
        <v>Uniéndose al juego Mundo ...</v>
      </c>
      <c r="E31" s="23" t="str">
        <f>IFERROR(__xludf.DUMMYFUNCTION("GOOGLETRANSLATE(B31, ""en"", ""ru"")"),"Присоединяйтесь к игровому миру ...")</f>
        <v>Присоединяйтесь к игровому миру ...</v>
      </c>
      <c r="F31" s="23" t="str">
        <f>IFERROR(__xludf.DUMMYFUNCTION("GOOGLETRANSLATE(B31, ""en"", ""tr"")"),"Birleştirildi Oyun Dünyası ...")</f>
        <v>Birleştirildi Oyun Dünyası ...</v>
      </c>
      <c r="G31" s="23" t="str">
        <f>IFERROR(__xludf.DUMMYFUNCTION("GOOGLETRANSLATE(B31, ""en"", ""pt"")"),"Juntando o mundo do jogo ...")</f>
        <v>Juntando o mundo do jogo ...</v>
      </c>
      <c r="H31" s="24" t="str">
        <f>IFERROR(__xludf.DUMMYFUNCTION("GOOGLETRANSLATE(B31, ""en"", ""de"")"),"Beitritt der Spielwelt ...")</f>
        <v>Beitritt der Spielwelt ...</v>
      </c>
      <c r="I31" s="23" t="str">
        <f>IFERROR(__xludf.DUMMYFUNCTION("GOOGLETRANSLATE(B31, ""en"", ""pl"")"),"Dołączenie do gry do gry ...")</f>
        <v>Dołączenie do gry do gry ...</v>
      </c>
      <c r="J31" s="25" t="str">
        <f>IFERROR(__xludf.DUMMYFUNCTION("GOOGLETRANSLATE(B31, ""en"", ""zh"")"),"加入游戏世界......")</f>
        <v>加入游戏世界......</v>
      </c>
      <c r="K31" s="25" t="str">
        <f>IFERROR(__xludf.DUMMYFUNCTION("GOOGLETRANSLATE(B31, ""en"", ""vi"")"),"Tham gia Thế giới trò chơi ...")</f>
        <v>Tham gia Thế giới trò chơi ...</v>
      </c>
      <c r="L31" s="26" t="str">
        <f>IFERROR(__xludf.DUMMYFUNCTION("GOOGLETRANSLATE(B31, ""en"", ""hr"")"),"Ulazak u svijet ...")</f>
        <v>Ulazak u svijet ...</v>
      </c>
      <c r="M31" s="27"/>
      <c r="N31" s="28"/>
      <c r="O31" s="28"/>
      <c r="P31" s="28"/>
      <c r="Q31" s="28"/>
      <c r="R31" s="28"/>
      <c r="S31" s="28"/>
      <c r="T31" s="28"/>
      <c r="U31" s="28"/>
      <c r="V31" s="28"/>
      <c r="W31" s="28"/>
      <c r="X31" s="28"/>
      <c r="Y31" s="28"/>
      <c r="Z31" s="28"/>
      <c r="AA31" s="28"/>
      <c r="AB31" s="28"/>
    </row>
    <row r="32">
      <c r="A32" s="21" t="s">
        <v>69</v>
      </c>
      <c r="B32" s="22" t="s">
        <v>69</v>
      </c>
      <c r="C32" s="23" t="str">
        <f>IFERROR(__xludf.DUMMYFUNCTION("GOOGLETRANSLATE(B32, ""en"", ""fr"")"),"Chargement")</f>
        <v>Chargement</v>
      </c>
      <c r="D32" s="23" t="str">
        <f>IFERROR(__xludf.DUMMYFUNCTION("GOOGLETRANSLATE(B32, ""en"", ""es"")"),"Cargando")</f>
        <v>Cargando</v>
      </c>
      <c r="E32" s="23" t="str">
        <f>IFERROR(__xludf.DUMMYFUNCTION("GOOGLETRANSLATE(B32, ""en"", ""ru"")"),"Загрузка")</f>
        <v>Загрузка</v>
      </c>
      <c r="F32" s="23" t="str">
        <f>IFERROR(__xludf.DUMMYFUNCTION("GOOGLETRANSLATE(B32, ""en"", ""tr"")"),"Yükleniyor")</f>
        <v>Yükleniyor</v>
      </c>
      <c r="G32" s="23" t="str">
        <f>IFERROR(__xludf.DUMMYFUNCTION("GOOGLETRANSLATE(B32, ""en"", ""pt"")"),"Carregando")</f>
        <v>Carregando</v>
      </c>
      <c r="H32" s="24" t="str">
        <f>IFERROR(__xludf.DUMMYFUNCTION("GOOGLETRANSLATE(B32, ""en"", ""de"")"),"Wird geladen")</f>
        <v>Wird geladen</v>
      </c>
      <c r="I32" s="23" t="str">
        <f>IFERROR(__xludf.DUMMYFUNCTION("GOOGLETRANSLATE(B32, ""en"", ""pl"")"),"Ładowanie")</f>
        <v>Ładowanie</v>
      </c>
      <c r="J32" s="25" t="str">
        <f>IFERROR(__xludf.DUMMYFUNCTION("GOOGLETRANSLATE(B32, ""en"", ""zh"")"),"装载")</f>
        <v>装载</v>
      </c>
      <c r="K32" s="25" t="str">
        <f>IFERROR(__xludf.DUMMYFUNCTION("GOOGLETRANSLATE(B32, ""en"", ""vi"")"),"Đang tải")</f>
        <v>Đang tải</v>
      </c>
      <c r="L32" s="26" t="str">
        <f>IFERROR(__xludf.DUMMYFUNCTION("GOOGLETRANSLATE(B32, ""en"", ""hr"")"),"Učitavam")</f>
        <v>Učitavam</v>
      </c>
      <c r="M32" s="27"/>
      <c r="N32" s="28"/>
      <c r="O32" s="28"/>
      <c r="P32" s="28"/>
      <c r="Q32" s="28"/>
      <c r="R32" s="28"/>
      <c r="S32" s="28"/>
      <c r="T32" s="28"/>
      <c r="U32" s="28"/>
      <c r="V32" s="28"/>
      <c r="W32" s="28"/>
      <c r="X32" s="28"/>
      <c r="Y32" s="28"/>
      <c r="Z32" s="28"/>
      <c r="AA32" s="28"/>
      <c r="AB32" s="28"/>
    </row>
    <row r="33">
      <c r="A33" s="21" t="s">
        <v>70</v>
      </c>
      <c r="B33" s="22" t="s">
        <v>70</v>
      </c>
      <c r="C33" s="23" t="str">
        <f>IFERROR(__xludf.DUMMYFUNCTION("GOOGLETRANSLATE(B33, ""en"", ""fr"")"),"Jeu chargé")</f>
        <v>Jeu chargé</v>
      </c>
      <c r="D33" s="23" t="str">
        <f>IFERROR(__xludf.DUMMYFUNCTION("GOOGLETRANSLATE(B33, ""en"", ""es"")"),"Juego cargado")</f>
        <v>Juego cargado</v>
      </c>
      <c r="E33" s="23" t="str">
        <f>IFERROR(__xludf.DUMMYFUNCTION("GOOGLETRANSLATE(B33, ""en"", ""ru"")"),"Загружена игрой")</f>
        <v>Загружена игрой</v>
      </c>
      <c r="F33" s="23" t="str">
        <f>IFERROR(__xludf.DUMMYFUNCTION("GOOGLETRANSLATE(B33, ""en"", ""tr"")"),"Oyun yüklü")</f>
        <v>Oyun yüklü</v>
      </c>
      <c r="G33" s="23" t="str">
        <f>IFERROR(__xludf.DUMMYFUNCTION("GOOGLETRANSLATE(B33, ""en"", ""pt"")"),"Jogo carregado")</f>
        <v>Jogo carregado</v>
      </c>
      <c r="H33" s="24" t="str">
        <f>IFERROR(__xludf.DUMMYFUNCTION("GOOGLETRANSLATE(B33, ""en"", ""de"")"),"Spiel geladen")</f>
        <v>Spiel geladen</v>
      </c>
      <c r="I33" s="23" t="str">
        <f>IFERROR(__xludf.DUMMYFUNCTION("GOOGLETRANSLATE(B33, ""en"", ""pl"")"),"Załadowany gra")</f>
        <v>Załadowany gra</v>
      </c>
      <c r="J33" s="25" t="str">
        <f>IFERROR(__xludf.DUMMYFUNCTION("GOOGLETRANSLATE(B33, ""en"", ""zh"")"),"游戏加载")</f>
        <v>游戏加载</v>
      </c>
      <c r="K33" s="25" t="str">
        <f>IFERROR(__xludf.DUMMYFUNCTION("GOOGLETRANSLATE(B33, ""en"", ""vi"")"),"Trò chơi tải")</f>
        <v>Trò chơi tải</v>
      </c>
      <c r="L33" s="26" t="str">
        <f>IFERROR(__xludf.DUMMYFUNCTION("GOOGLETRANSLATE(B33, ""en"", ""hr"")"),"Igra učitana")</f>
        <v>Igra učitana</v>
      </c>
      <c r="M33" s="27"/>
      <c r="N33" s="28"/>
      <c r="O33" s="28"/>
      <c r="P33" s="28"/>
      <c r="Q33" s="28"/>
      <c r="R33" s="28"/>
      <c r="S33" s="28"/>
      <c r="T33" s="28"/>
      <c r="U33" s="28"/>
      <c r="V33" s="28"/>
      <c r="W33" s="28"/>
      <c r="X33" s="28"/>
      <c r="Y33" s="28"/>
      <c r="Z33" s="28"/>
      <c r="AA33" s="28"/>
      <c r="AB33" s="28"/>
    </row>
    <row r="34">
      <c r="A34" s="21" t="s">
        <v>71</v>
      </c>
      <c r="B34" s="22" t="s">
        <v>71</v>
      </c>
      <c r="C34" s="23" t="str">
        <f>IFERROR(__xludf.DUMMYFUNCTION("GOOGLETRANSLATE(B34, ""en"", ""fr"")"),"Suivant Astuce")</f>
        <v>Suivant Astuce</v>
      </c>
      <c r="D34" s="23" t="str">
        <f>IFERROR(__xludf.DUMMYFUNCTION("GOOGLETRANSLATE(B34, ""en"", ""es"")"),"Siguiente sugerencia")</f>
        <v>Siguiente sugerencia</v>
      </c>
      <c r="E34" s="23" t="str">
        <f>IFERROR(__xludf.DUMMYFUNCTION("GOOGLETRANSLATE(B34, ""en"", ""ru"")"),"Следующий намекет")</f>
        <v>Следующий намекет</v>
      </c>
      <c r="F34" s="23" t="str">
        <f>IFERROR(__xludf.DUMMYFUNCTION("GOOGLETRANSLATE(B34, ""en"", ""tr"")"),"Sonraki ipucu")</f>
        <v>Sonraki ipucu</v>
      </c>
      <c r="G34" s="23" t="str">
        <f>IFERROR(__xludf.DUMMYFUNCTION("GOOGLETRANSLATE(B34, ""en"", ""pt"")"),"Próxima sugestão")</f>
        <v>Próxima sugestão</v>
      </c>
      <c r="H34" s="24" t="str">
        <f>IFERROR(__xludf.DUMMYFUNCTION("GOOGLETRANSLATE(B34, ""en"", ""de"")"),"Nächster Hinweis")</f>
        <v>Nächster Hinweis</v>
      </c>
      <c r="I34" s="23" t="str">
        <f>IFERROR(__xludf.DUMMYFUNCTION("GOOGLETRANSLATE(B34, ""en"", ""pl"")"),"Następna wskazówka")</f>
        <v>Następna wskazówka</v>
      </c>
      <c r="J34" s="25" t="str">
        <f>IFERROR(__xludf.DUMMYFUNCTION("GOOGLETRANSLATE(B34, ""en"", ""zh"")"),"下一个提示")</f>
        <v>下一个提示</v>
      </c>
      <c r="K34" s="25" t="str">
        <f>IFERROR(__xludf.DUMMYFUNCTION("GOOGLETRANSLATE(B34, ""en"", ""vi"")"),"Gợi ý tiếp theo")</f>
        <v>Gợi ý tiếp theo</v>
      </c>
      <c r="L34" s="26" t="str">
        <f>IFERROR(__xludf.DUMMYFUNCTION("GOOGLETRANSLATE(B34, ""en"", ""hr"")"),"Sljedeći savjet")</f>
        <v>Sljedeći savjet</v>
      </c>
      <c r="M34" s="27"/>
      <c r="N34" s="28"/>
      <c r="O34" s="28"/>
      <c r="P34" s="28"/>
      <c r="Q34" s="28"/>
      <c r="R34" s="28"/>
      <c r="S34" s="28"/>
      <c r="T34" s="28"/>
      <c r="U34" s="28"/>
      <c r="V34" s="28"/>
      <c r="W34" s="28"/>
      <c r="X34" s="28"/>
      <c r="Y34" s="28"/>
      <c r="Z34" s="28"/>
      <c r="AA34" s="28"/>
      <c r="AB34" s="28"/>
    </row>
    <row r="35">
      <c r="A35" s="21" t="s">
        <v>72</v>
      </c>
      <c r="B35" s="22" t="s">
        <v>73</v>
      </c>
      <c r="C35" s="23" t="str">
        <f>IFERROR(__xludf.DUMMYFUNCTION("GOOGLETRANSLATE(B35, ""en"", ""fr"")"),"Dungeonz est open-source.")</f>
        <v>Dungeonz est open-source.</v>
      </c>
      <c r="D35" s="23" t="str">
        <f>IFERROR(__xludf.DUMMYFUNCTION("GOOGLETRANSLATE(B35, ""en"", ""es"")"),"Dungeonz es de código abierto.")</f>
        <v>Dungeonz es de código abierto.</v>
      </c>
      <c r="E35" s="23" t="str">
        <f>IFERROR(__xludf.DUMMYFUNCTION("GOOGLETRANSLATE(B35, ""en"", ""ru"")"),"Dungeonz является открытым источником.")</f>
        <v>Dungeonz является открытым источником.</v>
      </c>
      <c r="F35" s="23" t="str">
        <f>IFERROR(__xludf.DUMMYFUNCTION("GOOGLETRANSLATE(B35, ""en"", ""tr"")"),"Dungeonz açık kaynaktır.")</f>
        <v>Dungeonz açık kaynaktır.</v>
      </c>
      <c r="G35" s="23" t="str">
        <f>IFERROR(__xludf.DUMMYFUNCTION("GOOGLETRANSLATE(B35, ""en"", ""pt"")"),"Dungeonz é de código aberto.")</f>
        <v>Dungeonz é de código aberto.</v>
      </c>
      <c r="H35" s="24" t="str">
        <f>IFERROR(__xludf.DUMMYFUNCTION("GOOGLETRANSLATE(B35, ""en"", ""de"")"),"Dungeonz ist Open-Source.")</f>
        <v>Dungeonz ist Open-Source.</v>
      </c>
      <c r="I35" s="23" t="str">
        <f>IFERROR(__xludf.DUMMYFUNCTION("GOOGLETRANSLATE(B35, ""en"", ""pl"")"),"Dungeonz jest źródłem otwarcia.")</f>
        <v>Dungeonz jest źródłem otwarcia.</v>
      </c>
      <c r="J35" s="25" t="str">
        <f>IFERROR(__xludf.DUMMYFUNCTION("GOOGLETRANSLATE(B35, ""en"", ""zh"")"),"dungeonz是开源的。")</f>
        <v>dungeonz是开源的。</v>
      </c>
      <c r="K35" s="25" t="str">
        <f>IFERROR(__xludf.DUMMYFUNCTION("GOOGLETRANSLATE(B35, ""en"", ""vi"")"),"Dungeonz là nguồn mở.")</f>
        <v>Dungeonz là nguồn mở.</v>
      </c>
      <c r="L35" s="26" t="str">
        <f>IFERROR(__xludf.DUMMYFUNCTION("GOOGLETRANSLATE(B35, ""en"", ""hr"")"),"Dungeonz je otvoreni izvor.")</f>
        <v>Dungeonz je otvoreni izvor.</v>
      </c>
      <c r="M35" s="27"/>
      <c r="N35" s="28"/>
      <c r="O35" s="28"/>
      <c r="P35" s="28"/>
      <c r="Q35" s="28"/>
      <c r="R35" s="28"/>
      <c r="S35" s="28"/>
      <c r="T35" s="28"/>
      <c r="U35" s="28"/>
      <c r="V35" s="28"/>
      <c r="W35" s="28"/>
      <c r="X35" s="28"/>
      <c r="Y35" s="28"/>
      <c r="Z35" s="28"/>
      <c r="AA35" s="28"/>
      <c r="AB35" s="28"/>
    </row>
    <row r="36">
      <c r="A36" s="21" t="s">
        <v>74</v>
      </c>
      <c r="B36" s="22" t="s">
        <v>75</v>
      </c>
      <c r="C36" s="23" t="str">
        <f>IFERROR(__xludf.DUMMYFUNCTION("GOOGLETRANSLATE(B36, ""en"", ""fr"")"),"Certaines créatures n'apparaissent que la nuit.")</f>
        <v>Certaines créatures n'apparaissent que la nuit.</v>
      </c>
      <c r="D36" s="23" t="str">
        <f>IFERROR(__xludf.DUMMYFUNCTION("GOOGLETRANSLATE(B36, ""en"", ""es"")"),"Algunas criaturas solo aparecen por la noche.")</f>
        <v>Algunas criaturas solo aparecen por la noche.</v>
      </c>
      <c r="E36" s="23" t="str">
        <f>IFERROR(__xludf.DUMMYFUNCTION("GOOGLETRANSLATE(B36, ""en"", ""ru"")"),"Некоторые существа появляются только ночью.")</f>
        <v>Некоторые существа появляются только ночью.</v>
      </c>
      <c r="F36" s="23" t="str">
        <f>IFERROR(__xludf.DUMMYFUNCTION("GOOGLETRANSLATE(B36, ""en"", ""tr"")"),"Bazı yaratıklar sadece geceleri görünür.")</f>
        <v>Bazı yaratıklar sadece geceleri görünür.</v>
      </c>
      <c r="G36" s="23" t="str">
        <f>IFERROR(__xludf.DUMMYFUNCTION("GOOGLETRANSLATE(B36, ""en"", ""pt"")"),"Algumas criaturas só aparecem à noite.")</f>
        <v>Algumas criaturas só aparecem à noite.</v>
      </c>
      <c r="H36" s="24" t="str">
        <f>IFERROR(__xludf.DUMMYFUNCTION("GOOGLETRANSLATE(B36, ""en"", ""de"")"),"Einige Kreaturen erscheinen nur nachts.")</f>
        <v>Einige Kreaturen erscheinen nur nachts.</v>
      </c>
      <c r="I36" s="23" t="str">
        <f>IFERROR(__xludf.DUMMYFUNCTION("GOOGLETRANSLATE(B36, ""en"", ""pl"")"),"Niektóre stworzenia pojawiają się tylko w nocy.")</f>
        <v>Niektóre stworzenia pojawiają się tylko w nocy.</v>
      </c>
      <c r="J36" s="25" t="str">
        <f>IFERROR(__xludf.DUMMYFUNCTION("GOOGLETRANSLATE(B36, ""en"", ""zh"")"),"有些生物只出现在晚上。")</f>
        <v>有些生物只出现在晚上。</v>
      </c>
      <c r="K36" s="25" t="str">
        <f>IFERROR(__xludf.DUMMYFUNCTION("GOOGLETRANSLATE(B36, ""en"", ""vi"")"),"Một số sinh vật chỉ xuất hiện vào ban đêm.")</f>
        <v>Một số sinh vật chỉ xuất hiện vào ban đêm.</v>
      </c>
      <c r="L36" s="26" t="str">
        <f>IFERROR(__xludf.DUMMYFUNCTION("GOOGLETRANSLATE(B36, ""en"", ""hr"")"),"Neka stvorenja se pojavljuju samo noću.")</f>
        <v>Neka stvorenja se pojavljuju samo noću.</v>
      </c>
      <c r="M36" s="27"/>
      <c r="N36" s="28"/>
      <c r="O36" s="28"/>
      <c r="P36" s="28"/>
      <c r="Q36" s="28"/>
      <c r="R36" s="28"/>
      <c r="S36" s="28"/>
      <c r="T36" s="28"/>
      <c r="U36" s="28"/>
      <c r="V36" s="28"/>
      <c r="W36" s="28"/>
      <c r="X36" s="28"/>
      <c r="Y36" s="28"/>
      <c r="Z36" s="28"/>
      <c r="AA36" s="28"/>
      <c r="AB36" s="28"/>
    </row>
    <row r="37">
      <c r="A37" s="21" t="s">
        <v>76</v>
      </c>
      <c r="B37" s="22" t="s">
        <v>77</v>
      </c>
      <c r="C37" s="23" t="s">
        <v>78</v>
      </c>
      <c r="D37" s="23" t="str">
        <f>IFERROR(__xludf.DUMMYFUNCTION("GOOGLETRANSLATE(B37, ""en"", ""es"")"),"Los recursos más altos se pueden encontrar más lejos de la ciudad inicial.")</f>
        <v>Los recursos más altos se pueden encontrar más lejos de la ciudad inicial.</v>
      </c>
      <c r="E37" s="23" t="str">
        <f>IFERROR(__xludf.DUMMYFUNCTION("GOOGLETRANSLATE(B37, ""en"", ""ru"")"),"Ресурсы более высокого уровня могут быть найдены дальше от стартового города.")</f>
        <v>Ресурсы более высокого уровня могут быть найдены дальше от стартового города.</v>
      </c>
      <c r="F37" s="23" t="str">
        <f>IFERROR(__xludf.DUMMYFUNCTION("GOOGLETRANSLATE(B37, ""en"", ""tr"")"),"Başlangıçtaki şehirden daha yüksek katmanlı kaynaklar bulunabilir.")</f>
        <v>Başlangıçtaki şehirden daha yüksek katmanlı kaynaklar bulunabilir.</v>
      </c>
      <c r="G37" s="23" t="str">
        <f>IFERROR(__xludf.DUMMYFUNCTION("GOOGLETRANSLATE(B37, ""en"", ""pt"")"),"Recursos de nível superior podem ser encontrados mais longe da cidade inicial.")</f>
        <v>Recursos de nível superior podem ser encontrados mais longe da cidade inicial.</v>
      </c>
      <c r="H37" s="24" t="str">
        <f>IFERROR(__xludf.DUMMYFUNCTION("GOOGLETRANSLATE(B37, ""en"", ""de"")"),"Höhere Tierressourcen finden Sie weiter von der Startstadt.")</f>
        <v>Höhere Tierressourcen finden Sie weiter von der Startstadt.</v>
      </c>
      <c r="I37" s="23" t="str">
        <f>IFERROR(__xludf.DUMMYFUNCTION("GOOGLETRANSLATE(B37, ""en"", ""pl"")"),"Wyższe zasoby poziomów można znaleźć dalej od miasta startowego.")</f>
        <v>Wyższe zasoby poziomów można znaleźć dalej od miasta startowego.</v>
      </c>
      <c r="J37" s="25" t="str">
        <f>IFERROR(__xludf.DUMMYFUNCTION("GOOGLETRANSLATE(B37, ""en"", ""zh"")"),"可以从起始城市进一步找到更高的层资源。")</f>
        <v>可以从起始城市进一步找到更高的层资源。</v>
      </c>
      <c r="K37" s="25" t="str">
        <f>IFERROR(__xludf.DUMMYFUNCTION("GOOGLETRANSLATE(B37, ""en"", ""vi"")"),"Tài nguyên cấp cao hơn có thể được tìm thấy xa hơn từ thành phố bắt đầu.")</f>
        <v>Tài nguyên cấp cao hơn có thể được tìm thấy xa hơn từ thành phố bắt đầu.</v>
      </c>
      <c r="L37" s="26" t="str">
        <f>IFERROR(__xludf.DUMMYFUNCTION("GOOGLETRANSLATE(B37, ""en"", ""hr"")"),"Veći resursi ranije mogu se naći dalje od početnog grada.")</f>
        <v>Veći resursi ranije mogu se naći dalje od početnog grada.</v>
      </c>
      <c r="M37" s="27"/>
      <c r="N37" s="28"/>
      <c r="O37" s="28"/>
      <c r="P37" s="28"/>
      <c r="Q37" s="28"/>
      <c r="R37" s="28"/>
      <c r="S37" s="28"/>
      <c r="T37" s="28"/>
      <c r="U37" s="28"/>
      <c r="V37" s="28"/>
      <c r="W37" s="28"/>
      <c r="X37" s="28"/>
      <c r="Y37" s="28"/>
      <c r="Z37" s="28"/>
      <c r="AA37" s="28"/>
      <c r="AB37" s="28"/>
    </row>
    <row r="38">
      <c r="A38" s="21" t="s">
        <v>79</v>
      </c>
      <c r="B38" s="22" t="s">
        <v>80</v>
      </c>
      <c r="C38" s="23" t="s">
        <v>81</v>
      </c>
      <c r="D38" s="23" t="str">
        <f>IFERROR(__xludf.DUMMYFUNCTION("GOOGLETRANSLATE(B38, ""en"", ""es"")"),"Los portales de mazmorras se extienden por todo el mundo. Cada uno conduce a un desafío diferente.")</f>
        <v>Los portales de mazmorras se extienden por todo el mundo. Cada uno conduce a un desafío diferente.</v>
      </c>
      <c r="E38" s="23" t="str">
        <f>IFERROR(__xludf.DUMMYFUNCTION("GOOGLETRANSLATE(B38, ""en"", ""ru"")"),"Порталы подземелья распространяются по всему миру. Каждый из них приводит к другой проблеме.")</f>
        <v>Порталы подземелья распространяются по всему миру. Каждый из них приводит к другой проблеме.</v>
      </c>
      <c r="F38" s="23" t="str">
        <f>IFERROR(__xludf.DUMMYFUNCTION("GOOGLETRANSLATE(B38, ""en"", ""tr"")"),"Zindan portalları dünyaya yayılır. Her biri farklı bir zorluğa yol açar.")</f>
        <v>Zindan portalları dünyaya yayılır. Her biri farklı bir zorluğa yol açar.</v>
      </c>
      <c r="G38" s="23" t="str">
        <f>IFERROR(__xludf.DUMMYFUNCTION("GOOGLETRANSLATE(B38, ""en"", ""pt"")"),"Portais da masmorra são espalhados por todo o mundo. Cada um leva a um desafio diferente.")</f>
        <v>Portais da masmorra são espalhados por todo o mundo. Cada um leva a um desafio diferente.</v>
      </c>
      <c r="H38" s="24" t="str">
        <f>IFERROR(__xludf.DUMMYFUNCTION("GOOGLETRANSLATE(B38, ""en"", ""de"")"),"Dungeon-Portale sind auf der ganzen Welt verbreitet. Jeder führt zu einer anderen Herausforderung.")</f>
        <v>Dungeon-Portale sind auf der ganzen Welt verbreitet. Jeder führt zu einer anderen Herausforderung.</v>
      </c>
      <c r="I38" s="23" t="str">
        <f>IFERROR(__xludf.DUMMYFUNCTION("GOOGLETRANSLATE(B38, ""en"", ""pl"")"),"Portale Dungeon są rozprowadzane na całym świecie. Każdy prowadzi do innego wyzwania.")</f>
        <v>Portale Dungeon są rozprowadzane na całym świecie. Każdy prowadzi do innego wyzwania.</v>
      </c>
      <c r="J38" s="25" t="str">
        <f>IFERROR(__xludf.DUMMYFUNCTION("GOOGLETRANSLATE(B38, ""en"", ""zh"")"),"地牢门户遍布全球。每个人都会导致不同的挑战。")</f>
        <v>地牢门户遍布全球。每个人都会导致不同的挑战。</v>
      </c>
      <c r="K38" s="25" t="str">
        <f>IFERROR(__xludf.DUMMYFUNCTION("GOOGLETRANSLATE(B38, ""en"", ""vi"")"),"Cổng Dungeon được lan truyền khắp thế giới. Mỗi người dẫn đến một thách thức khác nhau.")</f>
        <v>Cổng Dungeon được lan truyền khắp thế giới. Mỗi người dẫn đến một thách thức khác nhau.</v>
      </c>
      <c r="L38" s="26" t="str">
        <f>IFERROR(__xludf.DUMMYFUNCTION("GOOGLETRANSLATE(B38, ""en"", ""hr"")"),"Dungeon portali se šire širom svijeta. Svatko dovodi do drugog izazova.")</f>
        <v>Dungeon portali se šire širom svijeta. Svatko dovodi do drugog izazova.</v>
      </c>
      <c r="M38" s="27"/>
      <c r="N38" s="28"/>
      <c r="O38" s="28"/>
      <c r="P38" s="28"/>
      <c r="Q38" s="28"/>
      <c r="R38" s="28"/>
      <c r="S38" s="28"/>
      <c r="T38" s="28"/>
      <c r="U38" s="28"/>
      <c r="V38" s="28"/>
      <c r="W38" s="28"/>
      <c r="X38" s="28"/>
      <c r="Y38" s="28"/>
      <c r="Z38" s="28"/>
      <c r="AA38" s="28"/>
      <c r="AB38" s="28"/>
    </row>
    <row r="39">
      <c r="A39" s="21" t="s">
        <v>82</v>
      </c>
      <c r="B39" s="22" t="s">
        <v>83</v>
      </c>
      <c r="C39" s="23" t="s">
        <v>84</v>
      </c>
      <c r="D39" s="23" t="str">
        <f>IFERROR(__xludf.DUMMYFUNCTION("GOOGLETRANSLATE(B39, ""en"", ""es"")"),"A veces, los jefes se pueden encontrar en el Overworld.")</f>
        <v>A veces, los jefes se pueden encontrar en el Overworld.</v>
      </c>
      <c r="E39" s="23" t="str">
        <f>IFERROR(__xludf.DUMMYFUNCTION("GOOGLETRANSLATE(B39, ""en"", ""ru"")"),"Иногда боссы можно найти на чрезмерном мире.")</f>
        <v>Иногда боссы можно найти на чрезмерном мире.</v>
      </c>
      <c r="F39" s="23" t="str">
        <f>IFERROR(__xludf.DUMMYFUNCTION("GOOGLETRANSLATE(B39, ""en"", ""tr"")"),"Bazen patronlar overworld'de bulunabilir.")</f>
        <v>Bazen patronlar overworld'de bulunabilir.</v>
      </c>
      <c r="G39" s="23" t="str">
        <f>IFERROR(__xludf.DUMMYFUNCTION("GOOGLETRANSLATE(B39, ""en"", ""pt"")"),"Às vezes os chefes podem ser encontrados no mundo inteiro.")</f>
        <v>Às vezes os chefes podem ser encontrados no mundo inteiro.</v>
      </c>
      <c r="H39" s="24" t="str">
        <f>IFERROR(__xludf.DUMMYFUNCTION("GOOGLETRANSLATE(B39, ""en"", ""de"")"),"Manchmal sind Bosse auf der Overworld zu finden.")</f>
        <v>Manchmal sind Bosse auf der Overworld zu finden.</v>
      </c>
      <c r="I39" s="23" t="str">
        <f>IFERROR(__xludf.DUMMYFUNCTION("GOOGLETRANSLATE(B39, ""en"", ""pl"")"),"Czasami szefowie można znaleźć na nadawstwieniu.")</f>
        <v>Czasami szefowie można znaleźć na nadawstwieniu.</v>
      </c>
      <c r="J39" s="25" t="str">
        <f>IFERROR(__xludf.DUMMYFUNCTION("GOOGLETRANSLATE(B39, ""en"", ""zh"")"),"有时老板可以在Overworld找到。")</f>
        <v>有时老板可以在Overworld找到。</v>
      </c>
      <c r="K39" s="25" t="str">
        <f>IFERROR(__xludf.DUMMYFUNCTION("GOOGLETRANSLATE(B39, ""en"", ""vi"")"),"Đôi khi các ông chủ có thể được tìm thấy trên thế giới quá.")</f>
        <v>Đôi khi các ông chủ có thể được tìm thấy trên thế giới quá.</v>
      </c>
      <c r="L39" s="26" t="str">
        <f>IFERROR(__xludf.DUMMYFUNCTION("GOOGLETRANSLATE(B39, ""en"", ""hr"")"),"Ponekad se šefovi mogu naći na prekomjernoj svijetu.")</f>
        <v>Ponekad se šefovi mogu naći na prekomjernoj svijetu.</v>
      </c>
      <c r="M39" s="27"/>
      <c r="N39" s="28"/>
      <c r="O39" s="28"/>
      <c r="P39" s="28"/>
      <c r="Q39" s="28"/>
      <c r="R39" s="28"/>
      <c r="S39" s="28"/>
      <c r="T39" s="28"/>
      <c r="U39" s="28"/>
      <c r="V39" s="28"/>
      <c r="W39" s="28"/>
      <c r="X39" s="28"/>
      <c r="Y39" s="28"/>
      <c r="Z39" s="28"/>
      <c r="AA39" s="28"/>
      <c r="AB39" s="28"/>
    </row>
    <row r="40">
      <c r="A40" s="21" t="s">
        <v>85</v>
      </c>
      <c r="B40" s="22" t="s">
        <v>86</v>
      </c>
      <c r="C40" s="23" t="s">
        <v>87</v>
      </c>
      <c r="D40" s="23" t="str">
        <f>IFERROR(__xludf.DUMMYFUNCTION("GOOGLETRANSLATE(B40, ""en"", ""es"")"),"Cada nivel de estadísticas ganado aumenta su peso máximo de inventario.")</f>
        <v>Cada nivel de estadísticas ganado aumenta su peso máximo de inventario.</v>
      </c>
      <c r="E40" s="23" t="str">
        <f>IFERROR(__xludf.DUMMYFUNCTION("GOOGLETRANSLATE(B40, ""en"", ""ru"")"),"Каждый уровень статистика увеличивает ваш максимальный вес запасов.")</f>
        <v>Каждый уровень статистика увеличивает ваш максимальный вес запасов.</v>
      </c>
      <c r="F40" s="23" t="str">
        <f>IFERROR(__xludf.DUMMYFUNCTION("GOOGLETRANSLATE(B40, ""en"", ""tr"")"),"Kazanılan her stat seviyesi maksimum envanter ağırlığınızı arttırır.")</f>
        <v>Kazanılan her stat seviyesi maksimum envanter ağırlığınızı arttırır.</v>
      </c>
      <c r="G40" s="23" t="str">
        <f>IFERROR(__xludf.DUMMYFUNCTION("GOOGLETRANSLATE(B40, ""en"", ""pt"")"),"Cada nível de estatística ganhou aumenta o seu peso máximo de inventário.")</f>
        <v>Cada nível de estatística ganhou aumenta o seu peso máximo de inventário.</v>
      </c>
      <c r="H40" s="24" t="str">
        <f>IFERROR(__xludf.DUMMYFUNCTION("GOOGLETRANSLATE(B40, ""en"", ""de"")"),"Jede gewonnene Statelstufe erhöht Ihr maximales Inventargewicht.")</f>
        <v>Jede gewonnene Statelstufe erhöht Ihr maximales Inventargewicht.</v>
      </c>
      <c r="I40" s="23" t="str">
        <f>IFERROR(__xludf.DUMMYFUNCTION("GOOGLETRANSLATE(B40, ""en"", ""pl"")"),"Każdy poziom statystyki uzyskał zwiększa maksymalną wagę zapasów.")</f>
        <v>Każdy poziom statystyki uzyskał zwiększa maksymalną wagę zapasów.</v>
      </c>
      <c r="J40" s="25" t="str">
        <f>IFERROR(__xludf.DUMMYFUNCTION("GOOGLETRANSLATE(B40, ""en"", ""zh"")"),"获得的每个统计水平都增加了最大库存重量。")</f>
        <v>获得的每个统计水平都增加了最大库存重量。</v>
      </c>
      <c r="K40" s="25" t="str">
        <f>IFERROR(__xludf.DUMMYFUNCTION("GOOGLETRANSLATE(B40, ""en"", ""vi"")"),"Mỗi mức thống kê tăng tăng trọng lượng hàng tồn kho tối đa của bạn.")</f>
        <v>Mỗi mức thống kê tăng tăng trọng lượng hàng tồn kho tối đa của bạn.</v>
      </c>
      <c r="L40" s="26" t="str">
        <f>IFERROR(__xludf.DUMMYFUNCTION("GOOGLETRANSLATE(B40, ""en"", ""hr"")"),"Svaka statička razina dobiva povećava maksimalnu težinu inventara.")</f>
        <v>Svaka statička razina dobiva povećava maksimalnu težinu inventara.</v>
      </c>
      <c r="M40" s="27"/>
      <c r="N40" s="28"/>
      <c r="O40" s="28"/>
      <c r="P40" s="28"/>
      <c r="Q40" s="28"/>
      <c r="R40" s="28"/>
      <c r="S40" s="28"/>
      <c r="T40" s="28"/>
      <c r="U40" s="28"/>
      <c r="V40" s="28"/>
      <c r="W40" s="28"/>
      <c r="X40" s="28"/>
      <c r="Y40" s="28"/>
      <c r="Z40" s="28"/>
      <c r="AA40" s="28"/>
      <c r="AB40" s="28"/>
    </row>
    <row r="41">
      <c r="A41" s="21" t="s">
        <v>88</v>
      </c>
      <c r="B41" s="22" t="s">
        <v>89</v>
      </c>
      <c r="C41" s="23" t="s">
        <v>90</v>
      </c>
      <c r="D41" s="23" t="str">
        <f>IFERROR(__xludf.DUMMYFUNCTION("GOOGLETRANSLATE(B41, ""en"", ""es"")"),"Con las estadísticas de elaboración más altas, los artículos elaborados tienen mayor cantidad o durabilidad.")</f>
        <v>Con las estadísticas de elaboración más altas, los artículos elaborados tienen mayor cantidad o durabilidad.</v>
      </c>
      <c r="E41" s="23" t="str">
        <f>IFERROR(__xludf.DUMMYFUNCTION("GOOGLETRANSLATE(B41, ""en"", ""ru"")"),"С более высокой статистикой крафт, созданные изделия имеют увеличенное количество или долговечность.")</f>
        <v>С более высокой статистикой крафт, созданные изделия имеют увеличенное количество или долговечность.</v>
      </c>
      <c r="F41" s="23" t="str">
        <f>IFERROR(__xludf.DUMMYFUNCTION("GOOGLETRANSLATE(B41, ""en"", ""tr"")"),"Daha yüksek işçiliği istatistikleri ile hazırlanmış eşyalar miktar veya dayanıklılığı arttırmıştır.")</f>
        <v>Daha yüksek işçiliği istatistikleri ile hazırlanmış eşyalar miktar veya dayanıklılığı arttırmıştır.</v>
      </c>
      <c r="G41" s="23" t="str">
        <f>IFERROR(__xludf.DUMMYFUNCTION("GOOGLETRANSLATE(B41, ""en"", ""pt"")"),"Com estatísticas de artesanato mais altas, itens criados aumentaram a quantidade ou a durabilidade.")</f>
        <v>Com estatísticas de artesanato mais altas, itens criados aumentaram a quantidade ou a durabilidade.</v>
      </c>
      <c r="H41" s="24" t="str">
        <f>IFERROR(__xludf.DUMMYFUNCTION("GOOGLETRANSLATE(B41, ""en"", ""de"")"),"Mit höheren Handwerksstatistiken haben fertige Gegenstände eine erhöhte Menge oder Haltbarkeit.")</f>
        <v>Mit höheren Handwerksstatistiken haben fertige Gegenstände eine erhöhte Menge oder Haltbarkeit.</v>
      </c>
      <c r="I41" s="23" t="str">
        <f>IFERROR(__xludf.DUMMYFUNCTION("GOOGLETRANSLATE(B41, ""en"", ""pl"")"),"Z wyższymi statystykami rzemieślniczymi, wykonane przedmioty mają zwiększoną ilość lub trwałość.")</f>
        <v>Z wyższymi statystykami rzemieślniczymi, wykonane przedmioty mają zwiększoną ilość lub trwałość.</v>
      </c>
      <c r="J41" s="25" t="str">
        <f>IFERROR(__xludf.DUMMYFUNCTION("GOOGLETRANSLATE(B41, ""en"", ""zh"")"),"具有较高的制作统计数据，制作物品的数量或耐用性增加。")</f>
        <v>具有较高的制作统计数据，制作物品的数量或耐用性增加。</v>
      </c>
      <c r="K41" s="25" t="str">
        <f>IFERROR(__xludf.DUMMYFUNCTION("GOOGLETRANSLATE(B41, ""en"", ""vi"")"),"Với số liệu thống kê chế tạo cao hơn, các mặt hàng được chế tác đã tăng số lượng hoặc độ bền.")</f>
        <v>Với số liệu thống kê chế tạo cao hơn, các mặt hàng được chế tác đã tăng số lượng hoặc độ bền.</v>
      </c>
      <c r="L41" s="26" t="str">
        <f>IFERROR(__xludf.DUMMYFUNCTION("GOOGLETRANSLATE(B41, ""en"", ""hr"")"),"Uz višu statistiku za izradu, izrađene stavke imaju povećanu količinu ili trajnost.")</f>
        <v>Uz višu statistiku za izradu, izrađene stavke imaju povećanu količinu ili trajnost.</v>
      </c>
      <c r="M41" s="27"/>
      <c r="N41" s="28"/>
      <c r="O41" s="28"/>
      <c r="P41" s="28"/>
      <c r="Q41" s="28"/>
      <c r="R41" s="28"/>
      <c r="S41" s="28"/>
      <c r="T41" s="28"/>
      <c r="U41" s="28"/>
      <c r="V41" s="28"/>
      <c r="W41" s="28"/>
      <c r="X41" s="28"/>
      <c r="Y41" s="28"/>
      <c r="Z41" s="28"/>
      <c r="AA41" s="28"/>
      <c r="AB41" s="28"/>
    </row>
    <row r="42">
      <c r="A42" s="21" t="s">
        <v>91</v>
      </c>
      <c r="B42" s="22" t="s">
        <v>92</v>
      </c>
      <c r="C42" s="23" t="s">
        <v>93</v>
      </c>
      <c r="D42" s="23" t="str">
        <f>IFERROR(__xludf.DUMMYFUNCTION("GOOGLETRANSLATE(B42, ""en"", ""es"")"),"Únase al servidor de la discordia para obtener ayuda, comercio o sugerencias.")</f>
        <v>Únase al servidor de la discordia para obtener ayuda, comercio o sugerencias.</v>
      </c>
      <c r="E42" s="23" t="str">
        <f>IFERROR(__xludf.DUMMYFUNCTION("GOOGLETRANSLATE(B42, ""en"", ""ru"")"),"Присоединитесь к SuckOd Server, чтобы получить помощь, торговать или делать предложения.")</f>
        <v>Присоединитесь к SuckOd Server, чтобы получить помощь, торговать или делать предложения.</v>
      </c>
      <c r="F42" s="23" t="str">
        <f>IFERROR(__xludf.DUMMYFUNCTION("GOOGLETRANSLATE(B42, ""en"", ""tr"")"),"Yardım, ticaret yapmak veya öneride bulunmak için Discord sunucusuna katılın.")</f>
        <v>Yardım, ticaret yapmak veya öneride bulunmak için Discord sunucusuna katılın.</v>
      </c>
      <c r="G42" s="23" t="str">
        <f>IFERROR(__xludf.DUMMYFUNCTION("GOOGLETRANSLATE(B42, ""en"", ""pt"")"),"Participe do servidor de discórdia para obter ajuda, negociação ou fazer sugestões.")</f>
        <v>Participe do servidor de discórdia para obter ajuda, negociação ou fazer sugestões.</v>
      </c>
      <c r="H42" s="24" t="str">
        <f>IFERROR(__xludf.DUMMYFUNCTION("GOOGLETRANSLATE(B42, ""en"", ""de"")"),"Treten Sie dem Discord-Server bei, um Hilfe, Handel, Handel zu erhalten, oder Vorschläge zu machen.")</f>
        <v>Treten Sie dem Discord-Server bei, um Hilfe, Handel, Handel zu erhalten, oder Vorschläge zu machen.</v>
      </c>
      <c r="I42" s="23" t="str">
        <f>IFERROR(__xludf.DUMMYFUNCTION("GOOGLETRANSLATE(B42, ""en"", ""pl"")"),"Dołącz do serwera Discord, aby uzyskać pomoc, handel lub sugestie.")</f>
        <v>Dołącz do serwera Discord, aby uzyskać pomoc, handel lub sugestie.</v>
      </c>
      <c r="J42" s="25" t="str">
        <f>IFERROR(__xludf.DUMMYFUNCTION("GOOGLETRANSLATE(B42, ""en"", ""zh"")"),"加入Discord Server以获得帮助，交易或提出建议。")</f>
        <v>加入Discord Server以获得帮助，交易或提出建议。</v>
      </c>
      <c r="K42" s="25" t="str">
        <f>IFERROR(__xludf.DUMMYFUNCTION("GOOGLETRANSLATE(B42, ""en"", ""vi"")"),"Tham gia máy chủ Discord để nhận trợ giúp, giao dịch hoặc đưa ra gợi ý.")</f>
        <v>Tham gia máy chủ Discord để nhận trợ giúp, giao dịch hoặc đưa ra gợi ý.</v>
      </c>
      <c r="L42" s="26" t="str">
        <f>IFERROR(__xludf.DUMMYFUNCTION("GOOGLETRANSLATE(B42, ""en"", ""hr"")"),"Pridružite se poslužitelju za neslaganje kako biste dobili pomoć, trgovinu ili prijedloge.")</f>
        <v>Pridružite se poslužitelju za neslaganje kako biste dobili pomoć, trgovinu ili prijedloge.</v>
      </c>
      <c r="M42" s="27"/>
      <c r="N42" s="28"/>
      <c r="O42" s="28"/>
      <c r="P42" s="28"/>
      <c r="Q42" s="28"/>
      <c r="R42" s="28"/>
      <c r="S42" s="28"/>
      <c r="T42" s="28"/>
      <c r="U42" s="28"/>
      <c r="V42" s="28"/>
      <c r="W42" s="28"/>
      <c r="X42" s="28"/>
      <c r="Y42" s="28"/>
      <c r="Z42" s="28"/>
      <c r="AA42" s="28"/>
      <c r="AB42" s="28"/>
    </row>
    <row r="43">
      <c r="A43" s="21" t="s">
        <v>94</v>
      </c>
      <c r="B43" s="22" t="s">
        <v>95</v>
      </c>
      <c r="C43" s="23" t="str">
        <f>IFERROR(__xludf.DUMMYFUNCTION("GOOGLETRANSLATE(B43, ""en"", ""fr"")"),"Certains donjons ont des salles de bonus avec un butin supplémentaire qui ne peut être accessible que lorsque d'autres portes verrouillées sont ouvertes dans un ordre spécifique.")</f>
        <v>Certains donjons ont des salles de bonus avec un butin supplémentaire qui ne peut être accessible que lorsque d'autres portes verrouillées sont ouvertes dans un ordre spécifique.</v>
      </c>
      <c r="D43" s="23" t="str">
        <f>IFERROR(__xludf.DUMMYFUNCTION("GOOGLETRANSLATE(B43, ""en"", ""es"")"),"Algunas mazmorras tienen salas de bonificación con botín adicional que solo se puede acceder cuando se abren otras puertas bloqueadas en un orden específico.")</f>
        <v>Algunas mazmorras tienen salas de bonificación con botín adicional que solo se puede acceder cuando se abren otras puertas bloqueadas en un orden específico.</v>
      </c>
      <c r="E43" s="23" t="str">
        <f>IFERROR(__xludf.DUMMYFUNCTION("GOOGLETRANSLATE(B43, ""en"", ""ru"")"),"Некоторые подземелья имеют бонусные комнаты с дополнительной добычей, которые могут быть доступны только тогда, когда другие заблокированные двери открываются в определенном порядке.")</f>
        <v>Некоторые подземелья имеют бонусные комнаты с дополнительной добычей, которые могут быть доступны только тогда, когда другие заблокированные двери открываются в определенном порядке.</v>
      </c>
      <c r="F43" s="23" t="str">
        <f>IFERROR(__xludf.DUMMYFUNCTION("GOOGLETRANSLATE(B43, ""en"", ""tr"")"),"Bazı zindanlar, yalnızca diğer kilitli kapılar belirli bir sırayla açıldığında erişilebilen ekstra yağma içeren bonus odalarına sahiptir.")</f>
        <v>Bazı zindanlar, yalnızca diğer kilitli kapılar belirli bir sırayla açıldığında erişilebilen ekstra yağma içeren bonus odalarına sahiptir.</v>
      </c>
      <c r="G43" s="23" t="str">
        <f>IFERROR(__xludf.DUMMYFUNCTION("GOOGLETRANSLATE(B43, ""en"", ""pt"")"),"Algumas masmorras têm salas de bônus com saque extra que só podem ser acessados ​​quando outras portas trancadas são abertas em uma ordem específica.")</f>
        <v>Algumas masmorras têm salas de bônus com saque extra que só podem ser acessados ​​quando outras portas trancadas são abertas em uma ordem específica.</v>
      </c>
      <c r="H43" s="24" t="str">
        <f>IFERROR(__xludf.DUMMYFUNCTION("GOOGLETRANSLATE(B43, ""en"", ""de"")"),"Einige Dungeons verfügen über Bonusräume mit zusätzlicher Beute, auf die nur zugegriffen werden kann, wenn andere gesperrte Türen in einer bestimmten Reihenfolge geöffnet werden.")</f>
        <v>Einige Dungeons verfügen über Bonusräume mit zusätzlicher Beute, auf die nur zugegriffen werden kann, wenn andere gesperrte Türen in einer bestimmten Reihenfolge geöffnet werden.</v>
      </c>
      <c r="I43" s="23" t="str">
        <f>IFERROR(__xludf.DUMMYFUNCTION("GOOGLETRANSLATE(B43, ""en"", ""pl"")"),"Niektóre lochy mają dodatkowe pokoje z dodatkowym łupem, do którego można uzyskać dostęp tylko wtedy, gdy inne zamykane drzwi są otwarte w określonej kolejności.")</f>
        <v>Niektóre lochy mają dodatkowe pokoje z dodatkowym łupem, do którego można uzyskać dostęp tylko wtedy, gdy inne zamykane drzwi są otwarte w określonej kolejności.</v>
      </c>
      <c r="J43" s="25" t="str">
        <f>IFERROR(__xludf.DUMMYFUNCTION("GOOGLETRANSLATE(B43, ""en"", ""zh"")"),"一些地下城的奖金客房具有额外的战利品，只能在特定顺序打开其他锁定的门时访问。")</f>
        <v>一些地下城的奖金客房具有额外的战利品，只能在特定顺序打开其他锁定的门时访问。</v>
      </c>
      <c r="K43" s="25" t="str">
        <f>IFERROR(__xludf.DUMMYFUNCTION("GOOGLETRANSLATE(B43, ""en"", ""vi"")"),"Một số ngục tối có các phòng thưởng có thêm loot chỉ có thể được truy cập khi các cửa bị khóa khác được mở theo một thứ tự cụ thể.")</f>
        <v>Một số ngục tối có các phòng thưởng có thêm loot chỉ có thể được truy cập khi các cửa bị khóa khác được mở theo một thứ tự cụ thể.</v>
      </c>
      <c r="L43" s="26" t="str">
        <f>IFERROR(__xludf.DUMMYFUNCTION("GOOGLETRANSLATE(B43, ""en"", ""hr"")"),"Neke tamnice imaju bonus sobe s dodatnim plijenom koji se mogu pristupiti samo kada se otvorena vrata otvorena u određenom redoslijedu.")</f>
        <v>Neke tamnice imaju bonus sobe s dodatnim plijenom koji se mogu pristupiti samo kada se otvorena vrata otvorena u određenom redoslijedu.</v>
      </c>
      <c r="M43" s="27"/>
      <c r="N43" s="28"/>
      <c r="O43" s="28"/>
      <c r="P43" s="28"/>
      <c r="Q43" s="28"/>
      <c r="R43" s="28"/>
      <c r="S43" s="28"/>
      <c r="T43" s="28"/>
      <c r="U43" s="28"/>
      <c r="V43" s="28"/>
      <c r="W43" s="28"/>
      <c r="X43" s="28"/>
      <c r="Y43" s="28"/>
      <c r="Z43" s="28"/>
      <c r="AA43" s="28"/>
      <c r="AB43" s="28"/>
    </row>
    <row r="44">
      <c r="A44" s="21" t="s">
        <v>96</v>
      </c>
      <c r="B44" s="22" t="s">
        <v>97</v>
      </c>
      <c r="C44" s="23" t="s">
        <v>98</v>
      </c>
      <c r="D44" s="23" t="str">
        <f>IFERROR(__xludf.DUMMYFUNCTION("GOOGLETRANSLATE(B44, ""en"", ""es"")"),"Los BlueCaps se pueden encontrar junto al agua.")</f>
        <v>Los BlueCaps se pueden encontrar junto al agua.</v>
      </c>
      <c r="E44" s="23" t="str">
        <f>IFERROR(__xludf.DUMMYFUNCTION("GOOGLETRANSLATE(B44, ""en"", ""ru"")"),"Bluecaps можно найти рядом с водой.")</f>
        <v>Bluecaps можно найти рядом с водой.</v>
      </c>
      <c r="F44" s="23" t="str">
        <f>IFERROR(__xludf.DUMMYFUNCTION("GOOGLETRANSLATE(B44, ""en"", ""tr"")"),"Bluecaps suyun yanında bulunabilir.")</f>
        <v>Bluecaps suyun yanında bulunabilir.</v>
      </c>
      <c r="G44" s="23" t="str">
        <f>IFERROR(__xludf.DUMMYFUNCTION("GOOGLETRANSLATE(B44, ""en"", ""pt"")"),"BlueCaps pode ser encontrado ao lado da água.")</f>
        <v>BlueCaps pode ser encontrado ao lado da água.</v>
      </c>
      <c r="H44" s="24" t="str">
        <f>IFERROR(__xludf.DUMMYFUNCTION("GOOGLETRANSLATE(B44, ""en"", ""de"")"),"Bluebappen können neben Wasser gefunden werden.")</f>
        <v>Bluebappen können neben Wasser gefunden werden.</v>
      </c>
      <c r="I44" s="23" t="str">
        <f>IFERROR(__xludf.DUMMYFUNCTION("GOOGLETRANSLATE(B44, ""en"", ""pl"")"),"Bluecaps można znaleźć obok wody.")</f>
        <v>Bluecaps można znaleźć obok wody.</v>
      </c>
      <c r="J44" s="25" t="str">
        <f>IFERROR(__xludf.DUMMYFUNCTION("GOOGLETRANSLATE(B44, ""en"", ""zh"")"),"Bluecaps可以在水旁边找到。")</f>
        <v>Bluecaps可以在水旁边找到。</v>
      </c>
      <c r="K44" s="25" t="str">
        <f>IFERROR(__xludf.DUMMYFUNCTION("GOOGLETRANSLATE(B44, ""en"", ""vi"")"),"BlueCaps có thể được tìm thấy bên cạnh nước.")</f>
        <v>BlueCaps có thể được tìm thấy bên cạnh nước.</v>
      </c>
      <c r="L44" s="26" t="str">
        <f>IFERROR(__xludf.DUMMYFUNCTION("GOOGLETRANSLATE(B44, ""en"", ""hr"")"),"Bluecaps se može naći pored vode.")</f>
        <v>Bluecaps se može naći pored vode.</v>
      </c>
      <c r="M44" s="27"/>
      <c r="N44" s="28"/>
      <c r="O44" s="28"/>
      <c r="P44" s="28"/>
      <c r="Q44" s="28"/>
      <c r="R44" s="28"/>
      <c r="S44" s="28"/>
      <c r="T44" s="28"/>
      <c r="U44" s="28"/>
      <c r="V44" s="28"/>
      <c r="W44" s="28"/>
      <c r="X44" s="28"/>
      <c r="Y44" s="28"/>
      <c r="Z44" s="28"/>
      <c r="AA44" s="28"/>
      <c r="AB44" s="28"/>
    </row>
    <row r="45">
      <c r="A45" s="21" t="s">
        <v>99</v>
      </c>
      <c r="B45" s="22" t="s">
        <v>100</v>
      </c>
      <c r="C45" s="23" t="s">
        <v>101</v>
      </c>
      <c r="D45" s="23" t="str">
        <f>IFERROR(__xludf.DUMMYFUNCTION("GOOGLETRANSLATE(B45, ""en"", ""es"")"),"RedCaps se pueden encontrar en cuevas.")</f>
        <v>RedCaps se pueden encontrar en cuevas.</v>
      </c>
      <c r="E45" s="23" t="str">
        <f>IFERROR(__xludf.DUMMYFUNCTION("GOOGLETRANSLATE(B45, ""en"", ""ru"")"),"Redcaps можно найти в пещерах.")</f>
        <v>Redcaps можно найти в пещерах.</v>
      </c>
      <c r="F45" s="23" t="str">
        <f>IFERROR(__xludf.DUMMYFUNCTION("GOOGLETRANSLATE(B45, ""en"", ""tr"")"),"RedCaps mağaralarda bulunabilir.")</f>
        <v>RedCaps mağaralarda bulunabilir.</v>
      </c>
      <c r="G45" s="23" t="str">
        <f>IFERROR(__xludf.DUMMYFUNCTION("GOOGLETRANSLATE(B45, ""en"", ""pt"")"),"Redcaps podem ser encontrados em cavernas.")</f>
        <v>Redcaps podem ser encontrados em cavernas.</v>
      </c>
      <c r="H45" s="24" t="str">
        <f>IFERROR(__xludf.DUMMYFUNCTION("GOOGLETRANSLATE(B45, ""en"", ""de"")"),"Redcaps können in Höhlen gefunden werden.")</f>
        <v>Redcaps können in Höhlen gefunden werden.</v>
      </c>
      <c r="I45" s="23" t="str">
        <f>IFERROR(__xludf.DUMMYFUNCTION("GOOGLETRANSLATE(B45, ""en"", ""pl"")"),"RedCaps można znaleźć w jaskiniach.")</f>
        <v>RedCaps można znaleźć w jaskiniach.</v>
      </c>
      <c r="J45" s="25" t="str">
        <f>IFERROR(__xludf.DUMMYFUNCTION("GOOGLETRANSLATE(B45, ""en"", ""zh"")"),"Redcaps可以在洞穴中找到。")</f>
        <v>Redcaps可以在洞穴中找到。</v>
      </c>
      <c r="K45" s="25" t="str">
        <f>IFERROR(__xludf.DUMMYFUNCTION("GOOGLETRANSLATE(B45, ""en"", ""vi"")"),"Redcaps có thể được tìm thấy trong hang động.")</f>
        <v>Redcaps có thể được tìm thấy trong hang động.</v>
      </c>
      <c r="L45" s="26" t="str">
        <f>IFERROR(__xludf.DUMMYFUNCTION("GOOGLETRANSLATE(B45, ""en"", ""hr"")"),"Redcaps se može naći u špiljama.")</f>
        <v>Redcaps se može naći u špiljama.</v>
      </c>
      <c r="M45" s="27"/>
      <c r="N45" s="28"/>
      <c r="O45" s="28"/>
      <c r="P45" s="28"/>
      <c r="Q45" s="28"/>
      <c r="R45" s="28"/>
      <c r="S45" s="28"/>
      <c r="T45" s="28"/>
      <c r="U45" s="28"/>
      <c r="V45" s="28"/>
      <c r="W45" s="28"/>
      <c r="X45" s="28"/>
      <c r="Y45" s="28"/>
      <c r="Z45" s="28"/>
      <c r="AA45" s="28"/>
      <c r="AB45" s="28"/>
    </row>
    <row r="46">
      <c r="A46" s="21" t="s">
        <v>102</v>
      </c>
      <c r="B46" s="22" t="s">
        <v>102</v>
      </c>
      <c r="C46" s="23" t="str">
        <f>IFERROR(__xludf.DUMMYFUNCTION("GOOGLETRANSLATE(B46, ""en"", ""fr"")"),"Acheter")</f>
        <v>Acheter</v>
      </c>
      <c r="D46" s="23" t="str">
        <f>IFERROR(__xludf.DUMMYFUNCTION("GOOGLETRANSLATE(B46, ""en"", ""es"")"),"Comprar")</f>
        <v>Comprar</v>
      </c>
      <c r="E46" s="23" t="str">
        <f>IFERROR(__xludf.DUMMYFUNCTION("GOOGLETRANSLATE(B46, ""en"", ""ru"")"),"Купить")</f>
        <v>Купить</v>
      </c>
      <c r="F46" s="23" t="str">
        <f>IFERROR(__xludf.DUMMYFUNCTION("GOOGLETRANSLATE(B46, ""en"", ""tr"")"),"Satın almak")</f>
        <v>Satın almak</v>
      </c>
      <c r="G46" s="23" t="str">
        <f>IFERROR(__xludf.DUMMYFUNCTION("GOOGLETRANSLATE(B46, ""en"", ""pt"")"),"Comprar")</f>
        <v>Comprar</v>
      </c>
      <c r="H46" s="24" t="str">
        <f>IFERROR(__xludf.DUMMYFUNCTION("GOOGLETRANSLATE(B46, ""en"", ""de"")"),"Besorgen")</f>
        <v>Besorgen</v>
      </c>
      <c r="I46" s="23" t="str">
        <f>IFERROR(__xludf.DUMMYFUNCTION("GOOGLETRANSLATE(B46, ""en"", ""pl"")"),"Kupić")</f>
        <v>Kupić</v>
      </c>
      <c r="J46" s="25" t="str">
        <f>IFERROR(__xludf.DUMMYFUNCTION("GOOGLETRANSLATE(B46, ""en"", ""zh"")"),"买")</f>
        <v>买</v>
      </c>
      <c r="K46" s="25" t="str">
        <f>IFERROR(__xludf.DUMMYFUNCTION("GOOGLETRANSLATE(B46, ""en"", ""vi"")"),"Mua")</f>
        <v>Mua</v>
      </c>
      <c r="L46" s="26" t="str">
        <f>IFERROR(__xludf.DUMMYFUNCTION("GOOGLETRANSLATE(B46, ""en"", ""hr"")"),"Kupiti")</f>
        <v>Kupiti</v>
      </c>
      <c r="M46" s="27"/>
      <c r="N46" s="28"/>
      <c r="O46" s="28"/>
      <c r="P46" s="28"/>
      <c r="Q46" s="28"/>
      <c r="R46" s="28"/>
      <c r="S46" s="28"/>
      <c r="T46" s="28"/>
      <c r="U46" s="28"/>
      <c r="V46" s="28"/>
      <c r="W46" s="28"/>
      <c r="X46" s="28"/>
      <c r="Y46" s="28"/>
      <c r="Z46" s="28"/>
      <c r="AA46" s="28"/>
      <c r="AB46" s="28"/>
    </row>
    <row r="47">
      <c r="A47" s="21" t="s">
        <v>103</v>
      </c>
      <c r="B47" s="22" t="s">
        <v>103</v>
      </c>
      <c r="C47" s="23" t="s">
        <v>104</v>
      </c>
      <c r="D47" s="23" t="str">
        <f>IFERROR(__xludf.DUMMYFUNCTION("GOOGLETRANSLATE(B47, ""en"", ""es"")"),"Aceptar")</f>
        <v>Aceptar</v>
      </c>
      <c r="E47" s="23" t="str">
        <f>IFERROR(__xludf.DUMMYFUNCTION("GOOGLETRANSLATE(B47, ""en"", ""ru"")"),"Принимать")</f>
        <v>Принимать</v>
      </c>
      <c r="F47" s="23" t="str">
        <f>IFERROR(__xludf.DUMMYFUNCTION("GOOGLETRANSLATE(B47, ""en"", ""tr"")"),"Kabul etmek")</f>
        <v>Kabul etmek</v>
      </c>
      <c r="G47" s="23" t="str">
        <f>IFERROR(__xludf.DUMMYFUNCTION("GOOGLETRANSLATE(B47, ""en"", ""pt"")"),"Aceitar")</f>
        <v>Aceitar</v>
      </c>
      <c r="H47" s="24" t="str">
        <f>IFERROR(__xludf.DUMMYFUNCTION("GOOGLETRANSLATE(B47, ""en"", ""de"")"),"Annehmen")</f>
        <v>Annehmen</v>
      </c>
      <c r="I47" s="23" t="str">
        <f>IFERROR(__xludf.DUMMYFUNCTION("GOOGLETRANSLATE(B47, ""en"", ""pl"")"),"Zaakceptować")</f>
        <v>Zaakceptować</v>
      </c>
      <c r="J47" s="25" t="str">
        <f>IFERROR(__xludf.DUMMYFUNCTION("GOOGLETRANSLATE(B47, ""en"", ""zh"")"),"接受")</f>
        <v>接受</v>
      </c>
      <c r="K47" s="25" t="str">
        <f>IFERROR(__xludf.DUMMYFUNCTION("GOOGLETRANSLATE(B47, ""en"", ""vi"")"),"Chấp nhận")</f>
        <v>Chấp nhận</v>
      </c>
      <c r="L47" s="26" t="str">
        <f>IFERROR(__xludf.DUMMYFUNCTION("GOOGLETRANSLATE(B47, ""en"", ""hr"")"),"Prihvatiti")</f>
        <v>Prihvatiti</v>
      </c>
      <c r="M47" s="27"/>
      <c r="N47" s="28"/>
      <c r="O47" s="28"/>
      <c r="P47" s="28"/>
      <c r="Q47" s="28"/>
      <c r="R47" s="28"/>
      <c r="S47" s="28"/>
      <c r="T47" s="28"/>
      <c r="U47" s="28"/>
      <c r="V47" s="28"/>
      <c r="W47" s="28"/>
      <c r="X47" s="28"/>
      <c r="Y47" s="28"/>
      <c r="Z47" s="28"/>
      <c r="AA47" s="28"/>
      <c r="AB47" s="28"/>
    </row>
    <row r="48">
      <c r="A48" s="21" t="s">
        <v>105</v>
      </c>
      <c r="B48" s="22" t="s">
        <v>105</v>
      </c>
      <c r="C48" s="23" t="str">
        <f>IFERROR(__xludf.DUMMYFUNCTION("GOOGLETRANSLATE(B48, ""en"", ""fr"")"),"Spectacle")</f>
        <v>Spectacle</v>
      </c>
      <c r="D48" s="23" t="str">
        <f>IFERROR(__xludf.DUMMYFUNCTION("GOOGLETRANSLATE(B48, ""en"", ""es"")"),"Show")</f>
        <v>Show</v>
      </c>
      <c r="E48" s="23" t="str">
        <f>IFERROR(__xludf.DUMMYFUNCTION("GOOGLETRANSLATE(B48, ""en"", ""ru"")"),"Показать")</f>
        <v>Показать</v>
      </c>
      <c r="F48" s="23" t="str">
        <f>IFERROR(__xludf.DUMMYFUNCTION("GOOGLETRANSLATE(B48, ""en"", ""tr"")"),"Göstermek")</f>
        <v>Göstermek</v>
      </c>
      <c r="G48" s="23" t="str">
        <f>IFERROR(__xludf.DUMMYFUNCTION("GOOGLETRANSLATE(B48, ""en"", ""pt"")"),"Mostrar")</f>
        <v>Mostrar</v>
      </c>
      <c r="H48" s="24" t="str">
        <f>IFERROR(__xludf.DUMMYFUNCTION("GOOGLETRANSLATE(B48, ""en"", ""de"")"),"Zeigen")</f>
        <v>Zeigen</v>
      </c>
      <c r="I48" s="23" t="str">
        <f>IFERROR(__xludf.DUMMYFUNCTION("GOOGLETRANSLATE(B48, ""en"", ""pl"")"),"Pokazać")</f>
        <v>Pokazać</v>
      </c>
      <c r="J48" s="25" t="str">
        <f>IFERROR(__xludf.DUMMYFUNCTION("GOOGLETRANSLATE(B48, ""en"", ""zh"")"),"展示")</f>
        <v>展示</v>
      </c>
      <c r="K48" s="25" t="str">
        <f>IFERROR(__xludf.DUMMYFUNCTION("GOOGLETRANSLATE(B48, ""en"", ""vi"")"),"Chỉ")</f>
        <v>Chỉ</v>
      </c>
      <c r="L48" s="26" t="str">
        <f>IFERROR(__xludf.DUMMYFUNCTION("GOOGLETRANSLATE(B48, ""en"", ""hr"")"),"Pokazati")</f>
        <v>Pokazati</v>
      </c>
      <c r="M48" s="27"/>
      <c r="N48" s="28"/>
      <c r="O48" s="28"/>
      <c r="P48" s="28"/>
      <c r="Q48" s="28"/>
      <c r="R48" s="28"/>
      <c r="S48" s="28"/>
      <c r="T48" s="28"/>
      <c r="U48" s="28"/>
      <c r="V48" s="28"/>
      <c r="W48" s="28"/>
      <c r="X48" s="28"/>
      <c r="Y48" s="28"/>
      <c r="Z48" s="28"/>
      <c r="AA48" s="28"/>
      <c r="AB48" s="28"/>
    </row>
    <row r="49">
      <c r="A49" s="21" t="s">
        <v>106</v>
      </c>
      <c r="B49" s="22" t="s">
        <v>107</v>
      </c>
      <c r="C49" s="23" t="str">
        <f>IFERROR(__xludf.DUMMYFUNCTION("GOOGLETRANSLATE(B49, ""en"", ""fr"")"),"En savoir plus sur le jeu sur le wiki")</f>
        <v>En savoir plus sur le jeu sur le wiki</v>
      </c>
      <c r="D49" s="23" t="str">
        <f>IFERROR(__xludf.DUMMYFUNCTION("GOOGLETRANSLATE(B49, ""en"", ""es"")"),"Aprende más sobre el juego en el wiki.")</f>
        <v>Aprende más sobre el juego en el wiki.</v>
      </c>
      <c r="E49" s="23" t="str">
        <f>IFERROR(__xludf.DUMMYFUNCTION("GOOGLETRANSLATE(B49, ""en"", ""ru"")"),"Узнайте больше о игре на вики")</f>
        <v>Узнайте больше о игре на вики</v>
      </c>
      <c r="F49" s="23" t="str">
        <f>IFERROR(__xludf.DUMMYFUNCTION("GOOGLETRANSLATE(B49, ""en"", ""tr"")"),"Wiki'deki oyun hakkında daha fazla bilgi edinin")</f>
        <v>Wiki'deki oyun hakkında daha fazla bilgi edinin</v>
      </c>
      <c r="G49" s="23" t="str">
        <f>IFERROR(__xludf.DUMMYFUNCTION("GOOGLETRANSLATE(B49, ""en"", ""pt"")"),"Saiba mais sobre o jogo no wiki")</f>
        <v>Saiba mais sobre o jogo no wiki</v>
      </c>
      <c r="H49" s="24" t="str">
        <f>IFERROR(__xludf.DUMMYFUNCTION("GOOGLETRANSLATE(B49, ""en"", ""de"")"),"Erfahren Sie mehr über das Spiel auf dem Wiki")</f>
        <v>Erfahren Sie mehr über das Spiel auf dem Wiki</v>
      </c>
      <c r="I49" s="23" t="str">
        <f>IFERROR(__xludf.DUMMYFUNCTION("GOOGLETRANSLATE(B49, ""en"", ""pl"")"),"Dowiedz się więcej o grze w Wiki")</f>
        <v>Dowiedz się więcej o grze w Wiki</v>
      </c>
      <c r="J49" s="25" t="str">
        <f>IFERROR(__xludf.DUMMYFUNCTION("GOOGLETRANSLATE(B49, ""en"", ""zh"")"),"了解有关Wiki上的游戏的更多信息")</f>
        <v>了解有关Wiki上的游戏的更多信息</v>
      </c>
      <c r="K49" s="25" t="str">
        <f>IFERROR(__xludf.DUMMYFUNCTION("GOOGLETRANSLATE(B49, ""en"", ""vi"")"),"Tìm hiểu thêm về trò chơi trên wiki")</f>
        <v>Tìm hiểu thêm về trò chơi trên wiki</v>
      </c>
      <c r="L49" s="26" t="str">
        <f>IFERROR(__xludf.DUMMYFUNCTION("GOOGLETRANSLATE(B49, ""en"", ""hr"")"),"Saznajte više o igri na wiki")</f>
        <v>Saznajte više o igri na wiki</v>
      </c>
      <c r="M49" s="27"/>
      <c r="N49" s="28"/>
      <c r="O49" s="28"/>
      <c r="P49" s="28"/>
      <c r="Q49" s="28"/>
      <c r="R49" s="28"/>
      <c r="S49" s="28"/>
      <c r="T49" s="28"/>
      <c r="U49" s="28"/>
      <c r="V49" s="28"/>
      <c r="W49" s="28"/>
      <c r="X49" s="28"/>
      <c r="Y49" s="28"/>
      <c r="Z49" s="28"/>
      <c r="AA49" s="28"/>
      <c r="AB49" s="28"/>
    </row>
    <row r="50">
      <c r="A50" s="21" t="s">
        <v>108</v>
      </c>
      <c r="B50" s="22" t="s">
        <v>109</v>
      </c>
      <c r="C50" s="23" t="s">
        <v>110</v>
      </c>
      <c r="D50" s="23" t="str">
        <f>IFERROR(__xludf.DUMMYFUNCTION("GOOGLETRANSLATE(B50, ""en"", ""es"")"),"Chatea con otros jugadores en la discordia.")</f>
        <v>Chatea con otros jugadores en la discordia.</v>
      </c>
      <c r="E50" s="23" t="str">
        <f>IFERROR(__xludf.DUMMYFUNCTION("GOOGLETRANSLATE(B50, ""en"", ""ru"")"),"Чат с другими игроками на раздоре")</f>
        <v>Чат с другими игроками на раздоре</v>
      </c>
      <c r="F50" s="23" t="str">
        <f>IFERROR(__xludf.DUMMYFUNCTION("GOOGLETRANSLATE(B50, ""en"", ""tr"")"),"Discord'daki diğer oyuncularla sohbet et")</f>
        <v>Discord'daki diğer oyuncularla sohbet et</v>
      </c>
      <c r="G50" s="23" t="str">
        <f>IFERROR(__xludf.DUMMYFUNCTION("GOOGLETRANSLATE(B50, ""en"", ""pt"")"),"Bate-papo com outros jogadores na discórdia")</f>
        <v>Bate-papo com outros jogadores na discórdia</v>
      </c>
      <c r="H50" s="24" t="str">
        <f>IFERROR(__xludf.DUMMYFUNCTION("GOOGLETRANSLATE(B50, ""en"", ""de"")"),"Chatten Sie mit anderen Spielern auf der Zwietracht")</f>
        <v>Chatten Sie mit anderen Spielern auf der Zwietracht</v>
      </c>
      <c r="I50" s="23" t="str">
        <f>IFERROR(__xludf.DUMMYFUNCTION("GOOGLETRANSLATE(B50, ""en"", ""pl"")"),"Rozmawiaj z innymi graczami na niezgodę")</f>
        <v>Rozmawiaj z innymi graczami na niezgodę</v>
      </c>
      <c r="J50" s="25" t="str">
        <f>IFERROR(__xludf.DUMMYFUNCTION("GOOGLETRANSLATE(B50, ""en"", ""zh"")"),"与不和谐的其他玩家聊天")</f>
        <v>与不和谐的其他玩家聊天</v>
      </c>
      <c r="K50" s="25" t="str">
        <f>IFERROR(__xludf.DUMMYFUNCTION("GOOGLETRANSLATE(B50, ""en"", ""vi"")"),"Trò chuyện với những người chơi khác về sự bất hòa")</f>
        <v>Trò chuyện với những người chơi khác về sự bất hòa</v>
      </c>
      <c r="L50" s="26" t="str">
        <f>IFERROR(__xludf.DUMMYFUNCTION("GOOGLETRANSLATE(B50, ""en"", ""hr"")"),"Razgovarajte s drugim igračima na neslogu")</f>
        <v>Razgovarajte s drugim igračima na neslogu</v>
      </c>
      <c r="M50" s="27"/>
      <c r="N50" s="28"/>
      <c r="O50" s="28"/>
      <c r="P50" s="28"/>
      <c r="Q50" s="28"/>
      <c r="R50" s="28"/>
      <c r="S50" s="28"/>
      <c r="T50" s="28"/>
      <c r="U50" s="28"/>
      <c r="V50" s="28"/>
      <c r="W50" s="28"/>
      <c r="X50" s="28"/>
      <c r="Y50" s="28"/>
      <c r="Z50" s="28"/>
      <c r="AA50" s="28"/>
      <c r="AB50" s="28"/>
    </row>
    <row r="51">
      <c r="A51" s="21" t="s">
        <v>111</v>
      </c>
      <c r="B51" s="22" t="s">
        <v>112</v>
      </c>
      <c r="C51" s="23" t="str">
        <f>IFERROR(__xludf.DUMMYFUNCTION("GOOGLETRANSLATE(B51, ""en"", ""fr"")"),"~ Commande invalide ~
Tapez / suivi de r, g, b, ou y
changer la couleur de chat.")</f>
        <v>~ Commande invalide ~
Tapez / suivi de r, g, b, ou y
changer la couleur de chat.</v>
      </c>
      <c r="D51" s="23" t="str">
        <f>IFERROR(__xludf.DUMMYFUNCTION("GOOGLETRANSLATE(B51, ""en"", ""es"")"),"~ Comando no válido ~
Tipo / Seguido de r, g, b o y
Para cambiar el color de la charla.")</f>
        <v>~ Comando no válido ~
Tipo / Seguido de r, g, b o y
Para cambiar el color de la charla.</v>
      </c>
      <c r="E51" s="23" t="str">
        <f>IFERROR(__xludf.DUMMYFUNCTION("GOOGLETRANSLATE(B51, ""en"", ""ru"")"),"~ Неверная команда ~
Тип / затем R, G, B, или Y
Чтобы изменить цвет чата.")</f>
        <v>~ Неверная команда ~
Тип / затем R, G, B, или Y
Чтобы изменить цвет чата.</v>
      </c>
      <c r="F51" s="23" t="str">
        <f>IFERROR(__xludf.DUMMYFUNCTION("GOOGLETRANSLATE(B51, ""en"", ""tr"")"),"~ Geçersiz komut ~
Tip / ardından r, g, b veya y
Sohbet rengini değiştirmek için.")</f>
        <v>~ Geçersiz komut ~
Tip / ardından r, g, b veya y
Sohbet rengini değiştirmek için.</v>
      </c>
      <c r="G51" s="23" t="str">
        <f>IFERROR(__xludf.DUMMYFUNCTION("GOOGLETRANSLATE(B51, ""en"", ""pt"")"),"~ Comando Inválido ~
Tipo / seguido por r, g, b ou y
para mudar a cor do bate-papo.")</f>
        <v>~ Comando Inválido ~
Tipo / seguido por r, g, b ou y
para mudar a cor do bate-papo.</v>
      </c>
      <c r="H51" s="24" t="str">
        <f>IFERROR(__xludf.DUMMYFUNCTION("GOOGLETRANSLATE(B51, ""en"", ""de"")"),"~ Ungültiger Befehl ~
Typ / gefolgt von r, g, b oder y
Um die Chatfarbe zu ändern.")</f>
        <v>~ Ungültiger Befehl ~
Typ / gefolgt von r, g, b oder y
Um die Chatfarbe zu ändern.</v>
      </c>
      <c r="I51" s="23" t="str">
        <f>IFERROR(__xludf.DUMMYFUNCTION("GOOGLETRANSLATE(B51, ""en"", ""pl"")"),"~ Nieprawidłowy polecenie ~
Wpisz / a następnie R, G, B lub Y
zmienić kolor czatu.")</f>
        <v>~ Nieprawidłowy polecenie ~
Wpisz / a następnie R, G, B lub Y
zmienić kolor czatu.</v>
      </c>
      <c r="J51" s="25" t="str">
        <f>IFERROR(__xludf.DUMMYFUNCTION("GOOGLETRANSLATE(B51, ""en"", ""zh"")"),"〜无效命令〜
类型/后跟R，G，B或Y
更改聊天颜色。")</f>
        <v>〜无效命令〜
类型/后跟R，G，B或Y
更改聊天颜色。</v>
      </c>
      <c r="K51" s="25" t="str">
        <f>IFERROR(__xludf.DUMMYFUNCTION("GOOGLETRANSLATE(B51, ""en"", ""vi"")"),"~ Lệnh không hợp lệ ~
Gõ / theo sau là r, g, b, hoặc y
để thay đổi màu trò chuyện.")</f>
        <v>~ Lệnh không hợp lệ ~
Gõ / theo sau là r, g, b, hoặc y
để thay đổi màu trò chuyện.</v>
      </c>
      <c r="L51" s="26" t="str">
        <f>IFERROR(__xludf.DUMMYFUNCTION("GOOGLETRANSLATE(B51, ""en"", ""hr"")"),"~ Nevažeća naredba ~
Upišite / slijedi R, G, B ili Y
promijeniti boju chat.")</f>
        <v>~ Nevažeća naredba ~
Upišite / slijedi R, G, B ili Y
promijeniti boju chat.</v>
      </c>
      <c r="M51" s="27"/>
      <c r="N51" s="28"/>
      <c r="O51" s="28"/>
      <c r="P51" s="28"/>
      <c r="Q51" s="28"/>
      <c r="R51" s="28"/>
      <c r="S51" s="28"/>
      <c r="T51" s="28"/>
      <c r="U51" s="28"/>
      <c r="V51" s="28"/>
      <c r="W51" s="28"/>
      <c r="X51" s="28"/>
      <c r="Y51" s="28"/>
      <c r="Z51" s="28"/>
      <c r="AA51" s="28"/>
      <c r="AB51" s="28"/>
    </row>
    <row r="52">
      <c r="A52" s="21" t="s">
        <v>113</v>
      </c>
      <c r="B52" s="22" t="s">
        <v>114</v>
      </c>
      <c r="C52" s="23" t="str">
        <f>IFERROR(__xludf.DUMMYFUNCTION("GOOGLETRANSLATE(B52, ""en"", ""fr"")"),"Statistiques")</f>
        <v>Statistiques</v>
      </c>
      <c r="D52" s="23" t="str">
        <f>IFERROR(__xludf.DUMMYFUNCTION("GOOGLETRANSLATE(B52, ""en"", ""es"")"),"Estadísticas")</f>
        <v>Estadísticas</v>
      </c>
      <c r="E52" s="23" t="str">
        <f>IFERROR(__xludf.DUMMYFUNCTION("GOOGLETRANSLATE(B52, ""en"", ""ru"")"),"Статистика")</f>
        <v>Статистика</v>
      </c>
      <c r="F52" s="23" t="str">
        <f>IFERROR(__xludf.DUMMYFUNCTION("GOOGLETRANSLATE(B52, ""en"", ""tr"")"),"İstatistikler")</f>
        <v>İstatistikler</v>
      </c>
      <c r="G52" s="23" t="str">
        <f>IFERROR(__xludf.DUMMYFUNCTION("GOOGLETRANSLATE(B52, ""en"", ""pt"")"),"Estatísticas")</f>
        <v>Estatísticas</v>
      </c>
      <c r="H52" s="24" t="str">
        <f>IFERROR(__xludf.DUMMYFUNCTION("GOOGLETRANSLATE(B52, ""en"", ""de"")"),"Statistiken")</f>
        <v>Statistiken</v>
      </c>
      <c r="I52" s="23" t="str">
        <f>IFERROR(__xludf.DUMMYFUNCTION("GOOGLETRANSLATE(B52, ""en"", ""pl"")"),"Statystyki")</f>
        <v>Statystyki</v>
      </c>
      <c r="J52" s="25" t="str">
        <f>IFERROR(__xludf.DUMMYFUNCTION("GOOGLETRANSLATE(B52, ""en"", ""zh"")"),"统计")</f>
        <v>统计</v>
      </c>
      <c r="K52" s="25" t="str">
        <f>IFERROR(__xludf.DUMMYFUNCTION("GOOGLETRANSLATE(B52, ""en"", ""vi"")"),"Số liệu thống kê")</f>
        <v>Số liệu thống kê</v>
      </c>
      <c r="L52" s="26" t="str">
        <f>IFERROR(__xludf.DUMMYFUNCTION("GOOGLETRANSLATE(B52, ""en"", ""hr"")"),"Statistika")</f>
        <v>Statistika</v>
      </c>
      <c r="M52" s="28"/>
      <c r="N52" s="28"/>
      <c r="O52" s="28"/>
      <c r="P52" s="28"/>
      <c r="Q52" s="28"/>
      <c r="R52" s="28"/>
      <c r="S52" s="28"/>
      <c r="T52" s="28"/>
      <c r="U52" s="28"/>
      <c r="V52" s="28"/>
      <c r="W52" s="28"/>
      <c r="X52" s="28"/>
      <c r="Y52" s="28"/>
      <c r="Z52" s="28"/>
      <c r="AA52" s="28"/>
      <c r="AB52" s="28"/>
    </row>
    <row r="53">
      <c r="A53" s="21" t="s">
        <v>115</v>
      </c>
      <c r="B53" s="22" t="s">
        <v>116</v>
      </c>
      <c r="C53" s="23" t="str">
        <f>IFERROR(__xludf.DUMMYFUNCTION("GOOGLETRANSLATE(B53, ""en"", ""fr"")"),"Tâches")</f>
        <v>Tâches</v>
      </c>
      <c r="D53" s="23" t="str">
        <f>IFERROR(__xludf.DUMMYFUNCTION("GOOGLETRANSLATE(B53, ""en"", ""es"")"),"Tareas")</f>
        <v>Tareas</v>
      </c>
      <c r="E53" s="23" t="str">
        <f>IFERROR(__xludf.DUMMYFUNCTION("GOOGLETRANSLATE(B53, ""en"", ""ru"")"),"Задания")</f>
        <v>Задания</v>
      </c>
      <c r="F53" s="23" t="str">
        <f>IFERROR(__xludf.DUMMYFUNCTION("GOOGLETRANSLATE(B53, ""en"", ""tr"")"),"Görevler")</f>
        <v>Görevler</v>
      </c>
      <c r="G53" s="23" t="str">
        <f>IFERROR(__xludf.DUMMYFUNCTION("GOOGLETRANSLATE(B53, ""en"", ""pt"")"),"Tarefas")</f>
        <v>Tarefas</v>
      </c>
      <c r="H53" s="24" t="str">
        <f>IFERROR(__xludf.DUMMYFUNCTION("GOOGLETRANSLATE(B53, ""en"", ""de"")"),"Aufgaben")</f>
        <v>Aufgaben</v>
      </c>
      <c r="I53" s="23" t="str">
        <f>IFERROR(__xludf.DUMMYFUNCTION("GOOGLETRANSLATE(B53, ""en"", ""pl"")"),"Zadania")</f>
        <v>Zadania</v>
      </c>
      <c r="J53" s="25" t="str">
        <f>IFERROR(__xludf.DUMMYFUNCTION("GOOGLETRANSLATE(B53, ""en"", ""zh"")"),"任务")</f>
        <v>任务</v>
      </c>
      <c r="K53" s="25" t="str">
        <f>IFERROR(__xludf.DUMMYFUNCTION("GOOGLETRANSLATE(B53, ""en"", ""vi"")"),"Nhiệm vụ")</f>
        <v>Nhiệm vụ</v>
      </c>
      <c r="L53" s="26" t="str">
        <f>IFERROR(__xludf.DUMMYFUNCTION("GOOGLETRANSLATE(B53, ""en"", ""hr"")"),"Zadatke")</f>
        <v>Zadatke</v>
      </c>
      <c r="M53" s="28"/>
      <c r="N53" s="28"/>
      <c r="O53" s="28"/>
      <c r="P53" s="28"/>
      <c r="Q53" s="28"/>
      <c r="R53" s="28"/>
      <c r="S53" s="28"/>
      <c r="T53" s="28"/>
      <c r="U53" s="28"/>
      <c r="V53" s="28"/>
      <c r="W53" s="28"/>
      <c r="X53" s="28"/>
      <c r="Y53" s="28"/>
      <c r="Z53" s="28"/>
      <c r="AA53" s="28"/>
      <c r="AB53" s="28"/>
    </row>
    <row r="54">
      <c r="A54" s="21" t="s">
        <v>117</v>
      </c>
      <c r="B54" s="22" t="s">
        <v>118</v>
      </c>
      <c r="C54" s="23" t="str">
        <f>IFERROR(__xludf.DUMMYFUNCTION("GOOGLETRANSLATE(B54, ""en"", ""fr"")"),"Carte du monde")</f>
        <v>Carte du monde</v>
      </c>
      <c r="D54" s="23" t="str">
        <f>IFERROR(__xludf.DUMMYFUNCTION("GOOGLETRANSLATE(B54, ""en"", ""es"")"),"Mapa del mundo")</f>
        <v>Mapa del mundo</v>
      </c>
      <c r="E54" s="23" t="str">
        <f>IFERROR(__xludf.DUMMYFUNCTION("GOOGLETRANSLATE(B54, ""en"", ""ru"")"),"Карта мира")</f>
        <v>Карта мира</v>
      </c>
      <c r="F54" s="23" t="str">
        <f>IFERROR(__xludf.DUMMYFUNCTION("GOOGLETRANSLATE(B54, ""en"", ""tr"")"),"Dünya haritası")</f>
        <v>Dünya haritası</v>
      </c>
      <c r="G54" s="23" t="str">
        <f>IFERROR(__xludf.DUMMYFUNCTION("GOOGLETRANSLATE(B54, ""en"", ""pt"")"),"Mapa mundial")</f>
        <v>Mapa mundial</v>
      </c>
      <c r="H54" s="24" t="str">
        <f>IFERROR(__xludf.DUMMYFUNCTION("GOOGLETRANSLATE(B54, ""en"", ""de"")"),"Weltkarte")</f>
        <v>Weltkarte</v>
      </c>
      <c r="I54" s="23" t="str">
        <f>IFERROR(__xludf.DUMMYFUNCTION("GOOGLETRANSLATE(B54, ""en"", ""pl"")"),"Mapa świata")</f>
        <v>Mapa świata</v>
      </c>
      <c r="J54" s="25" t="str">
        <f>IFERROR(__xludf.DUMMYFUNCTION("GOOGLETRANSLATE(B54, ""en"", ""zh"")"),"世界地图")</f>
        <v>世界地图</v>
      </c>
      <c r="K54" s="25" t="str">
        <f>IFERROR(__xludf.DUMMYFUNCTION("GOOGLETRANSLATE(B54, ""en"", ""vi"")"),"Bản đồ thế giới")</f>
        <v>Bản đồ thế giới</v>
      </c>
      <c r="L54" s="26" t="str">
        <f>IFERROR(__xludf.DUMMYFUNCTION("GOOGLETRANSLATE(B54, ""en"", ""hr"")"),"Karta svijeta")</f>
        <v>Karta svijeta</v>
      </c>
      <c r="M54" s="28"/>
      <c r="N54" s="28"/>
      <c r="O54" s="28"/>
      <c r="P54" s="28"/>
      <c r="Q54" s="28"/>
      <c r="R54" s="28"/>
      <c r="S54" s="28"/>
      <c r="T54" s="28"/>
      <c r="U54" s="28"/>
      <c r="V54" s="28"/>
      <c r="W54" s="28"/>
      <c r="X54" s="28"/>
      <c r="Y54" s="28"/>
      <c r="Z54" s="28"/>
      <c r="AA54" s="28"/>
      <c r="AB54" s="28"/>
    </row>
    <row r="55">
      <c r="A55" s="21" t="s">
        <v>119</v>
      </c>
      <c r="B55" s="22" t="s">
        <v>120</v>
      </c>
      <c r="C55" s="23" t="s">
        <v>121</v>
      </c>
      <c r="D55" s="23" t="str">
        <f>IFERROR(__xludf.DUMMYFUNCTION("GOOGLETRANSLATE(B55, ""en"", ""es"")"),"Modo de chat: presione para configurar si el cuadro de chat debe permanecer abierto después de enviar un mensaje.")</f>
        <v>Modo de chat: presione para configurar si el cuadro de chat debe permanecer abierto después de enviar un mensaje.</v>
      </c>
      <c r="E55" s="23" t="str">
        <f>IFERROR(__xludf.DUMMYFUNCTION("GOOGLETRANSLATE(B55, ""en"", ""ru"")"),"Режим чата: Нажмите, чтобы установить, должен ли окно чата оставаться открытым после отправки сообщения.")</f>
        <v>Режим чата: Нажмите, чтобы установить, должен ли окно чата оставаться открытым после отправки сообщения.</v>
      </c>
      <c r="F55" s="23" t="str">
        <f>IFERROR(__xludf.DUMMYFUNCTION("GOOGLETRANSLATE(B55, ""en"", ""tr"")"),"Sohbet modu: Bir mesaj gönderdikten sonra sohbet kutusunun açık olup olmadığını ayarlamak için basın.")</f>
        <v>Sohbet modu: Bir mesaj gönderdikten sonra sohbet kutusunun açık olup olmadığını ayarlamak için basın.</v>
      </c>
      <c r="G55" s="23" t="str">
        <f>IFERROR(__xludf.DUMMYFUNCTION("GOOGLETRANSLATE(B55, ""en"", ""pt"")"),"Modo de bate-papo: Pressione para definir se a caixa de bate-papo deve ficar aberta depois de enviar uma mensagem.")</f>
        <v>Modo de bate-papo: Pressione para definir se a caixa de bate-papo deve ficar aberta depois de enviar uma mensagem.</v>
      </c>
      <c r="H55" s="24" t="str">
        <f>IFERROR(__xludf.DUMMYFUNCTION("GOOGLETRANSLATE(B55, ""en"", ""de"")"),"Chat-Modus: Drücken Sie, um festzulegen, ob das Chat-Feld nach dem Senden einer Nachricht geöffnet bleibt.")</f>
        <v>Chat-Modus: Drücken Sie, um festzulegen, ob das Chat-Feld nach dem Senden einer Nachricht geöffnet bleibt.</v>
      </c>
      <c r="I55" s="23" t="str">
        <f>IFERROR(__xludf.DUMMYFUNCTION("GOOGLETRANSLATE(B55, ""en"", ""pl"")"),"Tryb czatu: Naciśnij, aby ustawić, czy pole czatu powinno pozostać otwarte po wysłaniu wiadomości.")</f>
        <v>Tryb czatu: Naciśnij, aby ustawić, czy pole czatu powinno pozostać otwarte po wysłaniu wiadomości.</v>
      </c>
      <c r="J55" s="25" t="str">
        <f>IFERROR(__xludf.DUMMYFUNCTION("GOOGLETRANSLATE(B55, ""en"", ""zh"")"),"聊天模式：按可在发送消息后设置聊天框是否应保持打开状态。")</f>
        <v>聊天模式：按可在发送消息后设置聊天框是否应保持打开状态。</v>
      </c>
      <c r="K55" s="25" t="str">
        <f>IFERROR(__xludf.DUMMYFUNCTION("GOOGLETRANSLATE(B55, ""en"", ""vi"")"),"Chế độ trò chuyện: Nhấn để đặt xem hộp trò chuyện có được mở sau khi gửi tin nhắn hay không.")</f>
        <v>Chế độ trò chuyện: Nhấn để đặt xem hộp trò chuyện có được mở sau khi gửi tin nhắn hay không.</v>
      </c>
      <c r="L55" s="26" t="str">
        <f>IFERROR(__xludf.DUMMYFUNCTION("GOOGLETRANSLATE(B55, ""en"", ""hr"")"),"Način chat: Pritisnite za podešavanje hoće li se razgovor ostati otvoren nakon slanja poruke.")</f>
        <v>Način chat: Pritisnite za podešavanje hoće li se razgovor ostati otvoren nakon slanja poruke.</v>
      </c>
      <c r="M55" s="28"/>
      <c r="N55" s="28"/>
      <c r="O55" s="28"/>
      <c r="P55" s="28"/>
      <c r="Q55" s="28"/>
      <c r="R55" s="28"/>
      <c r="S55" s="28"/>
      <c r="T55" s="28"/>
      <c r="U55" s="28"/>
      <c r="V55" s="28"/>
      <c r="W55" s="28"/>
      <c r="X55" s="28"/>
      <c r="Y55" s="28"/>
      <c r="Z55" s="28"/>
      <c r="AA55" s="28"/>
      <c r="AB55" s="28"/>
    </row>
    <row r="56">
      <c r="A56" s="21" t="s">
        <v>122</v>
      </c>
      <c r="B56" s="22" t="s">
        <v>123</v>
      </c>
      <c r="C56" s="23" t="str">
        <f>IFERROR(__xludf.DUMMYFUNCTION("GOOGLETRANSLATE(B56, ""en"", ""fr"")"),"Clan")</f>
        <v>Clan</v>
      </c>
      <c r="D56" s="23" t="str">
        <f>IFERROR(__xludf.DUMMYFUNCTION("GOOGLETRANSLATE(B56, ""en"", ""es"")"),"Clan")</f>
        <v>Clan</v>
      </c>
      <c r="E56" s="23" t="str">
        <f>IFERROR(__xludf.DUMMYFUNCTION("GOOGLETRANSLATE(B56, ""en"", ""ru"")"),"Клан")</f>
        <v>Клан</v>
      </c>
      <c r="F56" s="23" t="str">
        <f>IFERROR(__xludf.DUMMYFUNCTION("GOOGLETRANSLATE(B56, ""en"", ""tr"")"),"Klan")</f>
        <v>Klan</v>
      </c>
      <c r="G56" s="23" t="str">
        <f>IFERROR(__xludf.DUMMYFUNCTION("GOOGLETRANSLATE(B56, ""en"", ""pt"")"),"Clã")</f>
        <v>Clã</v>
      </c>
      <c r="H56" s="24" t="str">
        <f>IFERROR(__xludf.DUMMYFUNCTION("GOOGLETRANSLATE(B56, ""en"", ""de"")"),"Clan")</f>
        <v>Clan</v>
      </c>
      <c r="I56" s="23" t="str">
        <f>IFERROR(__xludf.DUMMYFUNCTION("GOOGLETRANSLATE(B56, ""en"", ""pl"")"),"Klan")</f>
        <v>Klan</v>
      </c>
      <c r="J56" s="25" t="str">
        <f>IFERROR(__xludf.DUMMYFUNCTION("GOOGLETRANSLATE(B56, ""en"", ""zh"")"),"氏族")</f>
        <v>氏族</v>
      </c>
      <c r="K56" s="25" t="str">
        <f>IFERROR(__xludf.DUMMYFUNCTION("GOOGLETRANSLATE(B56, ""en"", ""vi"")"),"Gia tộc")</f>
        <v>Gia tộc</v>
      </c>
      <c r="L56" s="26" t="str">
        <f>IFERROR(__xludf.DUMMYFUNCTION("GOOGLETRANSLATE(B56, ""en"", ""hr"")"),"Klan")</f>
        <v>Klan</v>
      </c>
      <c r="M56" s="28"/>
      <c r="N56" s="28"/>
      <c r="O56" s="28"/>
      <c r="P56" s="28"/>
      <c r="Q56" s="28"/>
      <c r="R56" s="28"/>
      <c r="S56" s="28"/>
      <c r="T56" s="28"/>
      <c r="U56" s="28"/>
      <c r="V56" s="28"/>
      <c r="W56" s="28"/>
      <c r="X56" s="28"/>
      <c r="Y56" s="28"/>
      <c r="Z56" s="28"/>
      <c r="AA56" s="28"/>
      <c r="AB56" s="28"/>
    </row>
    <row r="57">
      <c r="A57" s="21" t="s">
        <v>124</v>
      </c>
      <c r="B57" s="22" t="s">
        <v>125</v>
      </c>
      <c r="C57" s="23" t="str">
        <f>IFERROR(__xludf.DUMMYFUNCTION("GOOGLETRANSLATE(B57, ""en"", ""fr"")"),"Inventaire")</f>
        <v>Inventaire</v>
      </c>
      <c r="D57" s="23" t="str">
        <f>IFERROR(__xludf.DUMMYFUNCTION("GOOGLETRANSLATE(B57, ""en"", ""es"")"),"Inventario")</f>
        <v>Inventario</v>
      </c>
      <c r="E57" s="23" t="str">
        <f>IFERROR(__xludf.DUMMYFUNCTION("GOOGLETRANSLATE(B57, ""en"", ""ru"")"),"Инвентарь")</f>
        <v>Инвентарь</v>
      </c>
      <c r="F57" s="23" t="str">
        <f>IFERROR(__xludf.DUMMYFUNCTION("GOOGLETRANSLATE(B57, ""en"", ""tr"")"),"Envanter")</f>
        <v>Envanter</v>
      </c>
      <c r="G57" s="23" t="str">
        <f>IFERROR(__xludf.DUMMYFUNCTION("GOOGLETRANSLATE(B57, ""en"", ""pt"")"),"Inventário")</f>
        <v>Inventário</v>
      </c>
      <c r="H57" s="24" t="str">
        <f>IFERROR(__xludf.DUMMYFUNCTION("GOOGLETRANSLATE(B57, ""en"", ""de"")"),"Inventar")</f>
        <v>Inventar</v>
      </c>
      <c r="I57" s="23" t="str">
        <f>IFERROR(__xludf.DUMMYFUNCTION("GOOGLETRANSLATE(B57, ""en"", ""pl"")"),"Spis")</f>
        <v>Spis</v>
      </c>
      <c r="J57" s="25" t="str">
        <f>IFERROR(__xludf.DUMMYFUNCTION("GOOGLETRANSLATE(B57, ""en"", ""zh"")"),"存货")</f>
        <v>存货</v>
      </c>
      <c r="K57" s="25" t="str">
        <f>IFERROR(__xludf.DUMMYFUNCTION("GOOGLETRANSLATE(B57, ""en"", ""vi"")"),"Kiểm kê")</f>
        <v>Kiểm kê</v>
      </c>
      <c r="L57" s="26" t="str">
        <f>IFERROR(__xludf.DUMMYFUNCTION("GOOGLETRANSLATE(B57, ""en"", ""hr"")"),"Inventar")</f>
        <v>Inventar</v>
      </c>
      <c r="M57" s="28"/>
      <c r="N57" s="28"/>
      <c r="O57" s="28"/>
      <c r="P57" s="28"/>
      <c r="Q57" s="28"/>
      <c r="R57" s="28"/>
      <c r="S57" s="28"/>
      <c r="T57" s="28"/>
      <c r="U57" s="28"/>
      <c r="V57" s="28"/>
      <c r="W57" s="28"/>
      <c r="X57" s="28"/>
      <c r="Y57" s="28"/>
      <c r="Z57" s="28"/>
      <c r="AA57" s="28"/>
      <c r="AB57" s="28"/>
    </row>
    <row r="58">
      <c r="A58" s="21" t="s">
        <v>126</v>
      </c>
      <c r="B58" s="22" t="s">
        <v>127</v>
      </c>
      <c r="C58" s="23" t="str">
        <f>IFERROR(__xludf.DUMMYFUNCTION("GOOGLETRANSLATE(B58, ""en"", ""fr"")"),"Compte: Définissez un nom d'utilisateur et un mot de passe pour ce personnage pour enregistrer vos progrès.")</f>
        <v>Compte: Définissez un nom d'utilisateur et un mot de passe pour ce personnage pour enregistrer vos progrès.</v>
      </c>
      <c r="D58" s="23" t="str">
        <f>IFERROR(__xludf.DUMMYFUNCTION("GOOGLETRANSLATE(B58, ""en"", ""es"")"),"Cuenta: Establezca un nombre de usuario y contraseña para que este personaje guarde su progreso.")</f>
        <v>Cuenta: Establezca un nombre de usuario y contraseña para que este personaje guarde su progreso.</v>
      </c>
      <c r="E58" s="23" t="str">
        <f>IFERROR(__xludf.DUMMYFUNCTION("GOOGLETRANSLATE(B58, ""en"", ""ru"")"),"Учетная запись: Установите имя пользователя и пароль для этого персонажа, чтобы сохранить свой прогресс.")</f>
        <v>Учетная запись: Установите имя пользователя и пароль для этого персонажа, чтобы сохранить свой прогресс.</v>
      </c>
      <c r="F58" s="23" t="str">
        <f>IFERROR(__xludf.DUMMYFUNCTION("GOOGLETRANSLATE(B58, ""en"", ""tr"")"),"Hesap: İlerlemenizi kaydetmek için bu karakter için bir kullanıcı adı ve şifre ayarlayın.")</f>
        <v>Hesap: İlerlemenizi kaydetmek için bu karakter için bir kullanıcı adı ve şifre ayarlayın.</v>
      </c>
      <c r="G58" s="23" t="str">
        <f>IFERROR(__xludf.DUMMYFUNCTION("GOOGLETRANSLATE(B58, ""en"", ""pt"")"),"Conta: Defina um nome de usuário e senha para este caractere para salvar seu progresso.")</f>
        <v>Conta: Defina um nome de usuário e senha para este caractere para salvar seu progresso.</v>
      </c>
      <c r="H58" s="24" t="str">
        <f>IFERROR(__xludf.DUMMYFUNCTION("GOOGLETRANSLATE(B58, ""en"", ""de"")"),"Konto: Legen Sie einen Benutzernamen und ein Kennwort für dieses Zeichen fest, um Ihren Fortschritt zu speichern.")</f>
        <v>Konto: Legen Sie einen Benutzernamen und ein Kennwort für dieses Zeichen fest, um Ihren Fortschritt zu speichern.</v>
      </c>
      <c r="I58" s="23" t="str">
        <f>IFERROR(__xludf.DUMMYFUNCTION("GOOGLETRANSLATE(B58, ""en"", ""pl"")"),"Konto: Ustaw nazwę użytkownika i hasło do tej postaci, aby zapisać swoje postępy.")</f>
        <v>Konto: Ustaw nazwę użytkownika i hasło do tej postaci, aby zapisać swoje postępy.</v>
      </c>
      <c r="J58" s="25" t="str">
        <f>IFERROR(__xludf.DUMMYFUNCTION("GOOGLETRANSLATE(B58, ""en"", ""zh"")"),"帐户：为此字符设置用户名和密码以保存您的进度。")</f>
        <v>帐户：为此字符设置用户名和密码以保存您的进度。</v>
      </c>
      <c r="K58" s="25" t="str">
        <f>IFERROR(__xludf.DUMMYFUNCTION("GOOGLETRANSLATE(B58, ""en"", ""vi"")"),"Tài khoản: Đặt tên người dùng và mật khẩu cho nhân vật này để lưu tiến trình của bạn.")</f>
        <v>Tài khoản: Đặt tên người dùng và mật khẩu cho nhân vật này để lưu tiến trình của bạn.</v>
      </c>
      <c r="L58" s="26" t="str">
        <f>IFERROR(__xludf.DUMMYFUNCTION("GOOGLETRANSLATE(B58, ""en"", ""hr"")"),"Račun: Postavite korisničko ime i lozinku za ovaj znak za spremanje vašeg napretka.")</f>
        <v>Račun: Postavite korisničko ime i lozinku za ovaj znak za spremanje vašeg napretka.</v>
      </c>
      <c r="M58" s="28"/>
      <c r="N58" s="28"/>
      <c r="O58" s="28"/>
      <c r="P58" s="28"/>
      <c r="Q58" s="28"/>
      <c r="R58" s="28"/>
      <c r="S58" s="28"/>
      <c r="T58" s="28"/>
      <c r="U58" s="28"/>
      <c r="V58" s="28"/>
      <c r="W58" s="28"/>
      <c r="X58" s="28"/>
      <c r="Y58" s="28"/>
      <c r="Z58" s="28"/>
      <c r="AA58" s="28"/>
      <c r="AB58" s="28"/>
    </row>
    <row r="59">
      <c r="A59" s="21" t="s">
        <v>128</v>
      </c>
      <c r="B59" s="22" t="s">
        <v>129</v>
      </c>
      <c r="C59" s="23" t="str">
        <f>IFERROR(__xludf.DUMMYFUNCTION("GOOGLETRANSLATE(B59, ""en"", ""fr"")"),"Paramètres: Appuyez sur pour afficher / masquer plus d'options.")</f>
        <v>Paramètres: Appuyez sur pour afficher / masquer plus d'options.</v>
      </c>
      <c r="D59" s="23" t="str">
        <f>IFERROR(__xludf.DUMMYFUNCTION("GOOGLETRANSLATE(B59, ""en"", ""es"")"),"Configuración: Presione para mostrar / ocultar más opciones.")</f>
        <v>Configuración: Presione para mostrar / ocultar más opciones.</v>
      </c>
      <c r="E59" s="23" t="str">
        <f>IFERROR(__xludf.DUMMYFUNCTION("GOOGLETRANSLATE(B59, ""en"", ""ru"")"),"Настройки: нажмите, чтобы показать / скрыть больше вариантов.")</f>
        <v>Настройки: нажмите, чтобы показать / скрыть больше вариантов.</v>
      </c>
      <c r="F59" s="23" t="str">
        <f>IFERROR(__xludf.DUMMYFUNCTION("GOOGLETRANSLATE(B59, ""en"", ""tr"")"),"Ayarlar: Daha fazla seçenek göstermek / gizlemek için tuşuna basın.")</f>
        <v>Ayarlar: Daha fazla seçenek göstermek / gizlemek için tuşuna basın.</v>
      </c>
      <c r="G59" s="23" t="str">
        <f>IFERROR(__xludf.DUMMYFUNCTION("GOOGLETRANSLATE(B59, ""en"", ""pt"")"),"Configurações: Pressione para mostrar / ocultar mais opções.")</f>
        <v>Configurações: Pressione para mostrar / ocultar mais opções.</v>
      </c>
      <c r="H59" s="24" t="str">
        <f>IFERROR(__xludf.DUMMYFUNCTION("GOOGLETRANSLATE(B59, ""en"", ""de"")"),"Einstellungen: Drücken Sie, um weitere Optionen anzuzeigen / auszublenden.")</f>
        <v>Einstellungen: Drücken Sie, um weitere Optionen anzuzeigen / auszublenden.</v>
      </c>
      <c r="I59" s="23" t="str">
        <f>IFERROR(__xludf.DUMMYFUNCTION("GOOGLETRANSLATE(B59, ""en"", ""pl"")"),"Ustawienia: Naciśnij, aby pokazać / ukryć więcej opcji.")</f>
        <v>Ustawienia: Naciśnij, aby pokazać / ukryć więcej opcji.</v>
      </c>
      <c r="J59" s="25" t="str">
        <f>IFERROR(__xludf.DUMMYFUNCTION("GOOGLETRANSLATE(B59, ""en"", ""zh"")"),"设置：按下以显示/隐藏更多选项。")</f>
        <v>设置：按下以显示/隐藏更多选项。</v>
      </c>
      <c r="K59" s="25" t="str">
        <f>IFERROR(__xludf.DUMMYFUNCTION("GOOGLETRANSLATE(B59, ""en"", ""vi"")"),"Cài đặt: Nhấn để hiển thị / ẩn nhiều tùy chọn hơn.")</f>
        <v>Cài đặt: Nhấn để hiển thị / ẩn nhiều tùy chọn hơn.</v>
      </c>
      <c r="L59" s="26" t="str">
        <f>IFERROR(__xludf.DUMMYFUNCTION("GOOGLETRANSLATE(B59, ""en"", ""hr"")"),"Postavke: Pritisnite za prikaz / skrivanje više opcija.")</f>
        <v>Postavke: Pritisnite za prikaz / skrivanje više opcija.</v>
      </c>
      <c r="M59" s="28"/>
      <c r="N59" s="28"/>
      <c r="O59" s="28"/>
      <c r="P59" s="28"/>
      <c r="Q59" s="28"/>
      <c r="R59" s="28"/>
      <c r="S59" s="28"/>
      <c r="T59" s="28"/>
      <c r="U59" s="28"/>
      <c r="V59" s="28"/>
      <c r="W59" s="28"/>
      <c r="X59" s="28"/>
      <c r="Y59" s="28"/>
      <c r="Z59" s="28"/>
      <c r="AA59" s="28"/>
      <c r="AB59" s="28"/>
    </row>
    <row r="60">
      <c r="A60" s="21" t="s">
        <v>130</v>
      </c>
      <c r="B60" s="22" t="s">
        <v>130</v>
      </c>
      <c r="C60" s="23" t="str">
        <f>IFERROR(__xludf.DUMMYFUNCTION("GOOGLETRANSLATE(B60, ""en"", ""fr"")"),"Paramètres")</f>
        <v>Paramètres</v>
      </c>
      <c r="D60" s="23" t="str">
        <f>IFERROR(__xludf.DUMMYFUNCTION("GOOGLETRANSLATE(B60, ""en"", ""es"")"),"Ajustes")</f>
        <v>Ajustes</v>
      </c>
      <c r="E60" s="23" t="str">
        <f>IFERROR(__xludf.DUMMYFUNCTION("GOOGLETRANSLATE(B60, ""en"", ""ru"")"),"Настройки")</f>
        <v>Настройки</v>
      </c>
      <c r="F60" s="23" t="str">
        <f>IFERROR(__xludf.DUMMYFUNCTION("GOOGLETRANSLATE(B60, ""en"", ""tr"")"),"Ayarlar")</f>
        <v>Ayarlar</v>
      </c>
      <c r="G60" s="23" t="str">
        <f>IFERROR(__xludf.DUMMYFUNCTION("GOOGLETRANSLATE(B60, ""en"", ""pt"")"),"Definições")</f>
        <v>Definições</v>
      </c>
      <c r="H60" s="24" t="str">
        <f>IFERROR(__xludf.DUMMYFUNCTION("GOOGLETRANSLATE(B60, ""en"", ""de"")"),"Einstellungen")</f>
        <v>Einstellungen</v>
      </c>
      <c r="I60" s="23" t="str">
        <f>IFERROR(__xludf.DUMMYFUNCTION("GOOGLETRANSLATE(B60, ""en"", ""pl"")"),"Ustawienia")</f>
        <v>Ustawienia</v>
      </c>
      <c r="J60" s="25" t="str">
        <f>IFERROR(__xludf.DUMMYFUNCTION("GOOGLETRANSLATE(B60, ""en"", ""zh"")"),"设置")</f>
        <v>设置</v>
      </c>
      <c r="K60" s="25" t="str">
        <f>IFERROR(__xludf.DUMMYFUNCTION("GOOGLETRANSLATE(B60, ""en"", ""vi"")"),"Cài đặt")</f>
        <v>Cài đặt</v>
      </c>
      <c r="L60" s="26" t="str">
        <f>IFERROR(__xludf.DUMMYFUNCTION("GOOGLETRANSLATE(B60, ""en"", ""hr"")"),"Postavke")</f>
        <v>Postavke</v>
      </c>
      <c r="M60" s="28"/>
      <c r="N60" s="28"/>
      <c r="O60" s="28"/>
      <c r="P60" s="28"/>
      <c r="Q60" s="28"/>
      <c r="R60" s="28"/>
      <c r="S60" s="28"/>
      <c r="T60" s="28"/>
      <c r="U60" s="28"/>
      <c r="V60" s="28"/>
      <c r="W60" s="28"/>
      <c r="X60" s="28"/>
      <c r="Y60" s="28"/>
      <c r="Z60" s="28"/>
      <c r="AA60" s="28"/>
      <c r="AB60" s="28"/>
    </row>
    <row r="61">
      <c r="A61" s="21" t="s">
        <v>131</v>
      </c>
      <c r="B61" s="22" t="s">
        <v>132</v>
      </c>
      <c r="C61" s="23" t="str">
        <f>IFERROR(__xludf.DUMMYFUNCTION("GOOGLETRANSLATE(B61, ""en"", ""fr"")"),"Plein écran")</f>
        <v>Plein écran</v>
      </c>
      <c r="D61" s="23" t="str">
        <f>IFERROR(__xludf.DUMMYFUNCTION("GOOGLETRANSLATE(B61, ""en"", ""es"")"),"Pantalla completa")</f>
        <v>Pantalla completa</v>
      </c>
      <c r="E61" s="23" t="str">
        <f>IFERROR(__xludf.DUMMYFUNCTION("GOOGLETRANSLATE(B61, ""en"", ""ru"")"),"Полноэкранный")</f>
        <v>Полноэкранный</v>
      </c>
      <c r="F61" s="23" t="str">
        <f>IFERROR(__xludf.DUMMYFUNCTION("GOOGLETRANSLATE(B61, ""en"", ""tr"")"),"Tam ekran")</f>
        <v>Tam ekran</v>
      </c>
      <c r="G61" s="23" t="str">
        <f>IFERROR(__xludf.DUMMYFUNCTION("GOOGLETRANSLATE(B61, ""en"", ""pt"")"),"Tela cheia")</f>
        <v>Tela cheia</v>
      </c>
      <c r="H61" s="24" t="str">
        <f>IFERROR(__xludf.DUMMYFUNCTION("GOOGLETRANSLATE(B61, ""en"", ""de"")"),"Vollbildschirm")</f>
        <v>Vollbildschirm</v>
      </c>
      <c r="I61" s="23" t="str">
        <f>IFERROR(__xludf.DUMMYFUNCTION("GOOGLETRANSLATE(B61, ""en"", ""pl"")"),"Pełny ekran")</f>
        <v>Pełny ekran</v>
      </c>
      <c r="J61" s="25" t="str">
        <f>IFERROR(__xludf.DUMMYFUNCTION("GOOGLETRANSLATE(B61, ""en"", ""zh"")"),"全屏")</f>
        <v>全屏</v>
      </c>
      <c r="K61" s="25" t="str">
        <f>IFERROR(__xludf.DUMMYFUNCTION("GOOGLETRANSLATE(B61, ""en"", ""vi"")"),"Toàn màn hình")</f>
        <v>Toàn màn hình</v>
      </c>
      <c r="L61" s="26" t="str">
        <f>IFERROR(__xludf.DUMMYFUNCTION("GOOGLETRANSLATE(B61, ""en"", ""hr"")"),"Puni zaslon")</f>
        <v>Puni zaslon</v>
      </c>
      <c r="M61" s="28"/>
      <c r="N61" s="28"/>
      <c r="O61" s="28"/>
      <c r="P61" s="28"/>
      <c r="Q61" s="28"/>
      <c r="R61" s="28"/>
      <c r="S61" s="28"/>
      <c r="T61" s="28"/>
      <c r="U61" s="28"/>
      <c r="V61" s="28"/>
      <c r="W61" s="28"/>
      <c r="X61" s="28"/>
      <c r="Y61" s="28"/>
      <c r="Z61" s="28"/>
      <c r="AA61" s="28"/>
      <c r="AB61" s="28"/>
    </row>
    <row r="62">
      <c r="A62" s="21" t="s">
        <v>133</v>
      </c>
      <c r="B62" s="22" t="s">
        <v>134</v>
      </c>
      <c r="C62" s="23" t="str">
        <f>IFERROR(__xludf.DUMMYFUNCTION("GOOGLETRANSLATE(B62, ""en"", ""fr"")"),"Volume de la musique")</f>
        <v>Volume de la musique</v>
      </c>
      <c r="D62" s="23" t="str">
        <f>IFERROR(__xludf.DUMMYFUNCTION("GOOGLETRANSLATE(B62, ""en"", ""es"")"),"Volumen de la música")</f>
        <v>Volumen de la música</v>
      </c>
      <c r="E62" s="23" t="str">
        <f>IFERROR(__xludf.DUMMYFUNCTION("GOOGLETRANSLATE(B62, ""en"", ""ru"")"),"Объем музыки")</f>
        <v>Объем музыки</v>
      </c>
      <c r="F62" s="23" t="str">
        <f>IFERROR(__xludf.DUMMYFUNCTION("GOOGLETRANSLATE(B62, ""en"", ""tr"")"),"Müzik sesi")</f>
        <v>Müzik sesi</v>
      </c>
      <c r="G62" s="23" t="str">
        <f>IFERROR(__xludf.DUMMYFUNCTION("GOOGLETRANSLATE(B62, ""en"", ""pt"")"),"Volume da música")</f>
        <v>Volume da música</v>
      </c>
      <c r="H62" s="24" t="str">
        <f>IFERROR(__xludf.DUMMYFUNCTION("GOOGLETRANSLATE(B62, ""en"", ""de"")"),"Musiklautstärke")</f>
        <v>Musiklautstärke</v>
      </c>
      <c r="I62" s="23" t="str">
        <f>IFERROR(__xludf.DUMMYFUNCTION("GOOGLETRANSLATE(B62, ""en"", ""pl"")"),"Głośność muzyki")</f>
        <v>Głośność muzyki</v>
      </c>
      <c r="J62" s="25" t="str">
        <f>IFERROR(__xludf.DUMMYFUNCTION("GOOGLETRANSLATE(B62, ""en"", ""zh"")"),"音乐卷")</f>
        <v>音乐卷</v>
      </c>
      <c r="K62" s="25" t="str">
        <f>IFERROR(__xludf.DUMMYFUNCTION("GOOGLETRANSLATE(B62, ""en"", ""vi"")"),"Âm lượng nhạc")</f>
        <v>Âm lượng nhạc</v>
      </c>
      <c r="L62" s="26" t="str">
        <f>IFERROR(__xludf.DUMMYFUNCTION("GOOGLETRANSLATE(B62, ""en"", ""hr"")"),"Glasnoća glazbe")</f>
        <v>Glasnoća glazbe</v>
      </c>
      <c r="M62" s="28"/>
      <c r="N62" s="28"/>
      <c r="O62" s="28"/>
      <c r="P62" s="28"/>
      <c r="Q62" s="28"/>
      <c r="R62" s="28"/>
      <c r="S62" s="28"/>
      <c r="T62" s="28"/>
      <c r="U62" s="28"/>
      <c r="V62" s="28"/>
      <c r="W62" s="28"/>
      <c r="X62" s="28"/>
      <c r="Y62" s="28"/>
      <c r="Z62" s="28"/>
      <c r="AA62" s="28"/>
      <c r="AB62" s="28"/>
    </row>
    <row r="63">
      <c r="A63" s="21" t="s">
        <v>135</v>
      </c>
      <c r="B63" s="22" t="s">
        <v>136</v>
      </c>
      <c r="C63" s="23" t="s">
        <v>137</v>
      </c>
      <c r="D63" s="23" t="str">
        <f>IFERROR(__xludf.DUMMYFUNCTION("GOOGLETRANSLATE(B63, ""en"", ""es"")"),"Volumen de los efectos")</f>
        <v>Volumen de los efectos</v>
      </c>
      <c r="E63" s="23" t="str">
        <f>IFERROR(__xludf.DUMMYFUNCTION("GOOGLETRANSLATE(B63, ""en"", ""ru"")"),"Влияние тома")</f>
        <v>Влияние тома</v>
      </c>
      <c r="F63" s="23" t="str">
        <f>IFERROR(__xludf.DUMMYFUNCTION("GOOGLETRANSLATE(B63, ""en"", ""tr"")"),"Efekt Hacmi")</f>
        <v>Efekt Hacmi</v>
      </c>
      <c r="G63" s="23" t="str">
        <f>IFERROR(__xludf.DUMMYFUNCTION("GOOGLETRANSLATE(B63, ""en"", ""pt"")"),"Volume de efeitos.")</f>
        <v>Volume de efeitos.</v>
      </c>
      <c r="H63" s="24" t="str">
        <f>IFERROR(__xludf.DUMMYFUNCTION("GOOGLETRANSLATE(B63, ""en"", ""de"")"),"Effektvolumen")</f>
        <v>Effektvolumen</v>
      </c>
      <c r="I63" s="23" t="str">
        <f>IFERROR(__xludf.DUMMYFUNCTION("GOOGLETRANSLATE(B63, ""en"", ""pl"")"),"Wolumin efekty.")</f>
        <v>Wolumin efekty.</v>
      </c>
      <c r="J63" s="25" t="str">
        <f>IFERROR(__xludf.DUMMYFUNCTION("GOOGLETRANSLATE(B63, ""en"", ""zh"")"),"效果卷")</f>
        <v>效果卷</v>
      </c>
      <c r="K63" s="25" t="str">
        <f>IFERROR(__xludf.DUMMYFUNCTION("GOOGLETRANSLATE(B63, ""en"", ""vi"")"),"Hiệu ứng Tập")</f>
        <v>Hiệu ứng Tập</v>
      </c>
      <c r="L63" s="26" t="str">
        <f>IFERROR(__xludf.DUMMYFUNCTION("GOOGLETRANSLATE(B63, ""en"", ""hr"")"),"Glasnoća učinaka")</f>
        <v>Glasnoća učinaka</v>
      </c>
      <c r="M63" s="28"/>
      <c r="N63" s="28"/>
      <c r="O63" s="28"/>
      <c r="P63" s="28"/>
      <c r="Q63" s="28"/>
      <c r="R63" s="28"/>
      <c r="S63" s="28"/>
      <c r="T63" s="28"/>
      <c r="U63" s="28"/>
      <c r="V63" s="28"/>
      <c r="W63" s="28"/>
      <c r="X63" s="28"/>
      <c r="Y63" s="28"/>
      <c r="Z63" s="28"/>
      <c r="AA63" s="28"/>
      <c r="AB63" s="28"/>
    </row>
    <row r="64">
      <c r="A64" s="21" t="s">
        <v>138</v>
      </c>
      <c r="B64" s="22" t="s">
        <v>139</v>
      </c>
      <c r="C64" s="23" t="str">
        <f>IFERROR(__xludf.DUMMYFUNCTION("GOOGLETRANSLATE(B64, ""en"", ""fr"")"),"Échelle de l'interface graphique")</f>
        <v>Échelle de l'interface graphique</v>
      </c>
      <c r="D64" s="23" t="str">
        <f>IFERROR(__xludf.DUMMYFUNCTION("GOOGLETRANSLATE(B64, ""en"", ""es"")"),"Escala de GUI")</f>
        <v>Escala de GUI</v>
      </c>
      <c r="E64" s="23" t="str">
        <f>IFERROR(__xludf.DUMMYFUNCTION("GOOGLETRANSLATE(B64, ""en"", ""ru"")"),"Шкала GUI")</f>
        <v>Шкала GUI</v>
      </c>
      <c r="F64" s="23" t="str">
        <f>IFERROR(__xludf.DUMMYFUNCTION("GOOGLETRANSLATE(B64, ""en"", ""tr"")"),"Gui ölçeği")</f>
        <v>Gui ölçeği</v>
      </c>
      <c r="G64" s="23" t="str">
        <f>IFERROR(__xludf.DUMMYFUNCTION("GOOGLETRANSLATE(B64, ""en"", ""pt"")"),"Escala da GUI.")</f>
        <v>Escala da GUI.</v>
      </c>
      <c r="H64" s="24" t="str">
        <f>IFERROR(__xludf.DUMMYFUNCTION("GOOGLETRANSLATE(B64, ""en"", ""de"")"),"GUI-Skala")</f>
        <v>GUI-Skala</v>
      </c>
      <c r="I64" s="23" t="str">
        <f>IFERROR(__xludf.DUMMYFUNCTION("GOOGLETRANSLATE(B64, ""en"", ""pl"")"),"Skala GUI.")</f>
        <v>Skala GUI.</v>
      </c>
      <c r="J64" s="25" t="str">
        <f>IFERROR(__xludf.DUMMYFUNCTION("GOOGLETRANSLATE(B64, ""en"", ""zh"")"),"GUI规模")</f>
        <v>GUI规模</v>
      </c>
      <c r="K64" s="25" t="str">
        <f>IFERROR(__xludf.DUMMYFUNCTION("GOOGLETRANSLATE(B64, ""en"", ""vi"")"),"Quy mô GUI.")</f>
        <v>Quy mô GUI.</v>
      </c>
      <c r="L64" s="26" t="str">
        <f>IFERROR(__xludf.DUMMYFUNCTION("GOOGLETRANSLATE(B64, ""en"", ""hr"")"),"GUI ljestvica")</f>
        <v>GUI ljestvica</v>
      </c>
      <c r="M64" s="28"/>
      <c r="N64" s="28"/>
      <c r="O64" s="28"/>
      <c r="P64" s="28"/>
      <c r="Q64" s="28"/>
      <c r="R64" s="28"/>
      <c r="S64" s="28"/>
      <c r="T64" s="28"/>
      <c r="U64" s="28"/>
      <c r="V64" s="28"/>
      <c r="W64" s="28"/>
      <c r="X64" s="28"/>
      <c r="Y64" s="28"/>
      <c r="Z64" s="28"/>
      <c r="AA64" s="28"/>
      <c r="AB64" s="28"/>
    </row>
    <row r="65">
      <c r="A65" s="21" t="s">
        <v>140</v>
      </c>
      <c r="B65" s="22" t="s">
        <v>141</v>
      </c>
      <c r="C65" s="23" t="str">
        <f>IFERROR(__xludf.DUMMYFUNCTION("GOOGLETRANSLATE(B65, ""en"", ""fr"")"),"Montrer le virtuel d-pad")</f>
        <v>Montrer le virtuel d-pad</v>
      </c>
      <c r="D65" s="23" t="str">
        <f>IFERROR(__xludf.DUMMYFUNCTION("GOOGLETRANSLATE(B65, ""en"", ""es"")"),"Mostrar el D-Pad virtual")</f>
        <v>Mostrar el D-Pad virtual</v>
      </c>
      <c r="E65" s="23" t="str">
        <f>IFERROR(__xludf.DUMMYFUNCTION("GOOGLETRANSLATE(B65, ""en"", ""ru"")"),"Показать виртуальную D-Pad")</f>
        <v>Показать виртуальную D-Pad</v>
      </c>
      <c r="F65" s="23" t="str">
        <f>IFERROR(__xludf.DUMMYFUNCTION("GOOGLETRANSLATE(B65, ""en"", ""tr"")"),"Sanal D-Pad'i göster")</f>
        <v>Sanal D-Pad'i göster</v>
      </c>
      <c r="G65" s="23" t="str">
        <f>IFERROR(__xludf.DUMMYFUNCTION("GOOGLETRANSLATE(B65, ""en"", ""pt"")"),"Mostrar o D-Pad virtual")</f>
        <v>Mostrar o D-Pad virtual</v>
      </c>
      <c r="H65" s="24" t="str">
        <f>IFERROR(__xludf.DUMMYFUNCTION("GOOGLETRANSLATE(B65, ""en"", ""de"")"),"Zeigen Sie das virtuelle D-Pad")</f>
        <v>Zeigen Sie das virtuelle D-Pad</v>
      </c>
      <c r="I65" s="23" t="str">
        <f>IFERROR(__xludf.DUMMYFUNCTION("GOOGLETRANSLATE(B65, ""en"", ""pl"")"),"Pokaż wirtualny D-pad")</f>
        <v>Pokaż wirtualny D-pad</v>
      </c>
      <c r="J65" s="25" t="str">
        <f>IFERROR(__xludf.DUMMYFUNCTION("GOOGLETRANSLATE(B65, ""en"", ""zh"")"),"显示虚拟D-PAD")</f>
        <v>显示虚拟D-PAD</v>
      </c>
      <c r="K65" s="25" t="str">
        <f>IFERROR(__xludf.DUMMYFUNCTION("GOOGLETRANSLATE(B65, ""en"", ""vi"")"),"Hiển thị d-pad ảo")</f>
        <v>Hiển thị d-pad ảo</v>
      </c>
      <c r="L65" s="26" t="str">
        <f>IFERROR(__xludf.DUMMYFUNCTION("GOOGLETRANSLATE(B65, ""en"", ""hr"")"),"Prikaži virtualni D-Pad")</f>
        <v>Prikaži virtualni D-Pad</v>
      </c>
      <c r="M65" s="28"/>
      <c r="N65" s="28"/>
      <c r="O65" s="28"/>
      <c r="P65" s="28"/>
      <c r="Q65" s="28"/>
      <c r="R65" s="28"/>
      <c r="S65" s="28"/>
      <c r="T65" s="28"/>
      <c r="U65" s="28"/>
      <c r="V65" s="28"/>
      <c r="W65" s="28"/>
      <c r="X65" s="28"/>
      <c r="Y65" s="28"/>
      <c r="Z65" s="28"/>
      <c r="AA65" s="28"/>
      <c r="AB65" s="28"/>
    </row>
    <row r="66">
      <c r="A66" s="21" t="s">
        <v>142</v>
      </c>
      <c r="B66" s="22" t="s">
        <v>143</v>
      </c>
      <c r="C66" s="23" t="s">
        <v>144</v>
      </c>
      <c r="D66" s="23" t="str">
        <f>IFERROR(__xludf.DUMMYFUNCTION("GOOGLETRANSLATE(B66, ""en"", ""es"")"),"Añadir artículos recogidos a Hotbar")</f>
        <v>Añadir artículos recogidos a Hotbar</v>
      </c>
      <c r="E66" s="23" t="str">
        <f>IFERROR(__xludf.DUMMYFUNCTION("GOOGLETRANSLATE(B66, ""en"", ""ru"")"),"Добавьте подобранные предметы на hotbar")</f>
        <v>Добавьте подобранные предметы на hotbar</v>
      </c>
      <c r="F66" s="23" t="str">
        <f>IFERROR(__xludf.DUMMYFUNCTION("GOOGLETRANSLATE(B66, ""en"", ""tr"")"),"Hotbar'a Toplanan Öğeleri Ekle")</f>
        <v>Hotbar'a Toplanan Öğeleri Ekle</v>
      </c>
      <c r="G66" s="23" t="str">
        <f>IFERROR(__xludf.DUMMYFUNCTION("GOOGLETRANSLATE(B66, ""en"", ""pt"")"),"Adicionar itens pegos para o Hotbar")</f>
        <v>Adicionar itens pegos para o Hotbar</v>
      </c>
      <c r="H66" s="24" t="str">
        <f>IFERROR(__xludf.DUMMYFUNCTION("GOOGLETRANSLATE(B66, ""en"", ""de"")"),"Add Avimed Up-Elemente zu Hotbar")</f>
        <v>Add Avimed Up-Elemente zu Hotbar</v>
      </c>
      <c r="I66" s="23" t="str">
        <f>IFERROR(__xludf.DUMMYFUNCTION("GOOGLETRANSLATE(B66, ""en"", ""pl"")"),"Dodaj wybrane elementy do Hotbar")</f>
        <v>Dodaj wybrane elementy do Hotbar</v>
      </c>
      <c r="J66" s="25" t="str">
        <f>IFERROR(__xludf.DUMMYFUNCTION("GOOGLETRANSLATE(B66, ""en"", ""zh"")"),"将拾取的项目添加到HotBar")</f>
        <v>将拾取的项目添加到HotBar</v>
      </c>
      <c r="K66" s="25" t="str">
        <f>IFERROR(__xludf.DUMMYFUNCTION("GOOGLETRANSLATE(B66, ""en"", ""vi"")"),"Thêm các mục được chọn vào Hotbar")</f>
        <v>Thêm các mục được chọn vào Hotbar</v>
      </c>
      <c r="L66" s="26" t="str">
        <f>IFERROR(__xludf.DUMMYFUNCTION("GOOGLETRANSLATE(B66, ""en"", ""hr"")"),"Dodajte pokupljene stavke na Hotbar")</f>
        <v>Dodajte pokupljene stavke na Hotbar</v>
      </c>
      <c r="M66" s="28"/>
      <c r="N66" s="28"/>
      <c r="O66" s="28"/>
      <c r="P66" s="28"/>
      <c r="Q66" s="28"/>
      <c r="R66" s="28"/>
      <c r="S66" s="28"/>
      <c r="T66" s="28"/>
      <c r="U66" s="28"/>
      <c r="V66" s="28"/>
      <c r="W66" s="28"/>
      <c r="X66" s="28"/>
      <c r="Y66" s="28"/>
      <c r="Z66" s="28"/>
      <c r="AA66" s="28"/>
      <c r="AB66" s="28"/>
    </row>
    <row r="67">
      <c r="A67" s="21" t="s">
        <v>145</v>
      </c>
      <c r="B67" s="22" t="s">
        <v>146</v>
      </c>
      <c r="C67" s="23" t="str">
        <f>IFERROR(__xludf.DUMMYFUNCTION("GOOGLETRANSLATE(B67, ""en"", ""fr"")"),"Filtre de profanation de chat")</f>
        <v>Filtre de profanation de chat</v>
      </c>
      <c r="D67" s="23" t="str">
        <f>IFERROR(__xludf.DUMMYFUNCTION("GOOGLETRANSLATE(B67, ""en"", ""es"")"),"Filtro de profanidad de chat")</f>
        <v>Filtro de profanidad de chat</v>
      </c>
      <c r="E67" s="23" t="str">
        <f>IFERROR(__xludf.DUMMYFUNCTION("GOOGLETRANSLATE(B67, ""en"", ""ru"")"),"Фильтр масштабирования чата")</f>
        <v>Фильтр масштабирования чата</v>
      </c>
      <c r="F67" s="23" t="str">
        <f>IFERROR(__xludf.DUMMYFUNCTION("GOOGLETRANSLATE(B67, ""en"", ""tr"")"),"Sohbet Küfür Filtresi")</f>
        <v>Sohbet Küfür Filtresi</v>
      </c>
      <c r="G67" s="23" t="str">
        <f>IFERROR(__xludf.DUMMYFUNCTION("GOOGLETRANSLATE(B67, ""en"", ""pt"")"),"Filtro de profanidade de bate-papo.")</f>
        <v>Filtro de profanidade de bate-papo.</v>
      </c>
      <c r="H67" s="24" t="str">
        <f>IFERROR(__xludf.DUMMYFUNCTION("GOOGLETRANSLATE(B67, ""en"", ""de"")"),"Chat-Profanity-Filter.")</f>
        <v>Chat-Profanity-Filter.</v>
      </c>
      <c r="I67" s="23" t="str">
        <f>IFERROR(__xludf.DUMMYFUNCTION("GOOGLETRANSLATE(B67, ""en"", ""pl"")"),"Filtr wielofunkcyjny czatu.")</f>
        <v>Filtr wielofunkcyjny czatu.</v>
      </c>
      <c r="J67" s="25" t="str">
        <f>IFERROR(__xludf.DUMMYFUNCTION("GOOGLETRANSLATE(B67, ""en"", ""zh"")"),"聊天亵渎过滤器")</f>
        <v>聊天亵渎过滤器</v>
      </c>
      <c r="K67" s="25" t="str">
        <f>IFERROR(__xludf.DUMMYFUNCTION("GOOGLETRANSLATE(B67, ""en"", ""vi"")"),"Trò chuyện Bộ lọc thô tục")</f>
        <v>Trò chuyện Bộ lọc thô tục</v>
      </c>
      <c r="L67" s="26" t="str">
        <f>IFERROR(__xludf.DUMMYFUNCTION("GOOGLETRANSLATE(B67, ""en"", ""hr"")"),"Filtar za razgovor")</f>
        <v>Filtar za razgovor</v>
      </c>
      <c r="M67" s="28"/>
      <c r="N67" s="28"/>
      <c r="O67" s="28"/>
      <c r="P67" s="28"/>
      <c r="Q67" s="28"/>
      <c r="R67" s="28"/>
      <c r="S67" s="28"/>
      <c r="T67" s="28"/>
      <c r="U67" s="28"/>
      <c r="V67" s="28"/>
      <c r="W67" s="28"/>
      <c r="X67" s="28"/>
      <c r="Y67" s="28"/>
      <c r="Z67" s="28"/>
      <c r="AA67" s="28"/>
      <c r="AB67" s="28"/>
    </row>
    <row r="68">
      <c r="A68" s="21" t="s">
        <v>147</v>
      </c>
      <c r="B68" s="22" t="s">
        <v>148</v>
      </c>
      <c r="C68" s="23" t="str">
        <f>IFERROR(__xludf.DUMMYFUNCTION("GOOGLETRANSLATE(B68, ""en"", ""fr"")"),"Clignotant")</f>
        <v>Clignotant</v>
      </c>
      <c r="D68" s="23" t="str">
        <f>IFERROR(__xludf.DUMMYFUNCTION("GOOGLETRANSLATE(B68, ""en"", ""es"")"),"Parpadeo ligero")</f>
        <v>Parpadeo ligero</v>
      </c>
      <c r="E68" s="23" t="str">
        <f>IFERROR(__xludf.DUMMYFUNCTION("GOOGLETRANSLATE(B68, ""en"", ""ru"")"),"Легкий мерцание")</f>
        <v>Легкий мерцание</v>
      </c>
      <c r="F68" s="23" t="str">
        <f>IFERROR(__xludf.DUMMYFUNCTION("GOOGLETRANSLATE(B68, ""en"", ""tr"")"),"Hafif titreme")</f>
        <v>Hafif titreme</v>
      </c>
      <c r="G68" s="23" t="str">
        <f>IFERROR(__xludf.DUMMYFUNCTION("GOOGLETRANSLATE(B68, ""en"", ""pt"")"),"Cintilação leve")</f>
        <v>Cintilação leve</v>
      </c>
      <c r="H68" s="24" t="str">
        <f>IFERROR(__xludf.DUMMYFUNCTION("GOOGLETRANSLATE(B68, ""en"", ""de"")"),"Leichter Flimmern")</f>
        <v>Leichter Flimmern</v>
      </c>
      <c r="I68" s="23" t="str">
        <f>IFERROR(__xludf.DUMMYFUNCTION("GOOGLETRANSLATE(B68, ""en"", ""pl"")"),"Lekki migotanie")</f>
        <v>Lekki migotanie</v>
      </c>
      <c r="J68" s="25" t="str">
        <f>IFERROR(__xludf.DUMMYFUNCTION("GOOGLETRANSLATE(B68, ""en"", ""zh"")"),"轻闪烁")</f>
        <v>轻闪烁</v>
      </c>
      <c r="K68" s="25" t="str">
        <f>IFERROR(__xludf.DUMMYFUNCTION("GOOGLETRANSLATE(B68, ""en"", ""vi"")"),"Ánh sáng nhấp nháy")</f>
        <v>Ánh sáng nhấp nháy</v>
      </c>
      <c r="L68" s="26" t="str">
        <f>IFERROR(__xludf.DUMMYFUNCTION("GOOGLETRANSLATE(B68, ""en"", ""hr"")"),"Treperenje")</f>
        <v>Treperenje</v>
      </c>
      <c r="M68" s="28"/>
      <c r="N68" s="28"/>
      <c r="O68" s="28"/>
      <c r="P68" s="28"/>
      <c r="Q68" s="28"/>
      <c r="R68" s="28"/>
      <c r="S68" s="28"/>
      <c r="T68" s="28"/>
      <c r="U68" s="28"/>
      <c r="V68" s="28"/>
      <c r="W68" s="28"/>
      <c r="X68" s="28"/>
      <c r="Y68" s="28"/>
      <c r="Z68" s="28"/>
      <c r="AA68" s="28"/>
      <c r="AB68" s="28"/>
    </row>
    <row r="69">
      <c r="A69" s="21" t="s">
        <v>149</v>
      </c>
      <c r="B69" s="22" t="s">
        <v>150</v>
      </c>
      <c r="C69" s="23" t="str">
        <f>IFERROR(__xludf.DUMMYFUNCTION("GOOGLETRANSLATE(B69, ""en"", ""fr"")"),"Afficher le comptoir FPS")</f>
        <v>Afficher le comptoir FPS</v>
      </c>
      <c r="D69" s="23" t="str">
        <f>IFERROR(__xludf.DUMMYFUNCTION("GOOGLETRANSLATE(B69, ""en"", ""es"")"),"Mostrar el contador de fps")</f>
        <v>Mostrar el contador de fps</v>
      </c>
      <c r="E69" s="23" t="str">
        <f>IFERROR(__xludf.DUMMYFUNCTION("GOOGLETRANSLATE(B69, ""en"", ""ru"")"),"Показать счетчик FPS")</f>
        <v>Показать счетчик FPS</v>
      </c>
      <c r="F69" s="23" t="str">
        <f>IFERROR(__xludf.DUMMYFUNCTION("GOOGLETRANSLATE(B69, ""en"", ""tr"")"),"Fps sayacı göster")</f>
        <v>Fps sayacı göster</v>
      </c>
      <c r="G69" s="23" t="str">
        <f>IFERROR(__xludf.DUMMYFUNCTION("GOOGLETRANSLATE(B69, ""en"", ""pt"")"),"Mostrar contador de fps.")</f>
        <v>Mostrar contador de fps.</v>
      </c>
      <c r="H69" s="24" t="str">
        <f>IFERROR(__xludf.DUMMYFUNCTION("GOOGLETRANSLATE(B69, ""en"", ""de"")"),"FPS-Zähler anzeigen.")</f>
        <v>FPS-Zähler anzeigen.</v>
      </c>
      <c r="I69" s="23" t="str">
        <f>IFERROR(__xludf.DUMMYFUNCTION("GOOGLETRANSLATE(B69, ""en"", ""pl"")"),"Pokaż Counter FPS.")</f>
        <v>Pokaż Counter FPS.</v>
      </c>
      <c r="J69" s="25" t="str">
        <f>IFERROR(__xludf.DUMMYFUNCTION("GOOGLETRANSLATE(B69, ""en"", ""zh"")"),"显示FPS柜台")</f>
        <v>显示FPS柜台</v>
      </c>
      <c r="K69" s="25" t="str">
        <f>IFERROR(__xludf.DUMMYFUNCTION("GOOGLETRANSLATE(B69, ""en"", ""vi"")"),"Hiển thị bộ đếm FPS")</f>
        <v>Hiển thị bộ đếm FPS</v>
      </c>
      <c r="L69" s="26" t="str">
        <f>IFERROR(__xludf.DUMMYFUNCTION("GOOGLETRANSLATE(B69, ""en"", ""hr"")"),"Prikaži fps brojač")</f>
        <v>Prikaži fps brojač</v>
      </c>
      <c r="M69" s="28"/>
      <c r="N69" s="28"/>
      <c r="O69" s="28"/>
      <c r="P69" s="28"/>
      <c r="Q69" s="28"/>
      <c r="R69" s="28"/>
      <c r="S69" s="28"/>
      <c r="T69" s="28"/>
      <c r="U69" s="28"/>
      <c r="V69" s="28"/>
      <c r="W69" s="28"/>
      <c r="X69" s="28"/>
      <c r="Y69" s="28"/>
      <c r="Z69" s="28"/>
      <c r="AA69" s="28"/>
      <c r="AB69" s="28"/>
    </row>
    <row r="70">
      <c r="A70" s="21" t="s">
        <v>151</v>
      </c>
      <c r="B70" s="22" t="s">
        <v>152</v>
      </c>
      <c r="C70" s="23" t="str">
        <f>IFERROR(__xludf.DUMMYFUNCTION("GOOGLETRANSLATE(B70, ""en"", ""fr"")"),"Créer un compte")</f>
        <v>Créer un compte</v>
      </c>
      <c r="D70" s="23" t="str">
        <f>IFERROR(__xludf.DUMMYFUNCTION("GOOGLETRANSLATE(B70, ""en"", ""es"")"),"Crear una cuenta")</f>
        <v>Crear una cuenta</v>
      </c>
      <c r="E70" s="23" t="str">
        <f>IFERROR(__xludf.DUMMYFUNCTION("GOOGLETRANSLATE(B70, ""en"", ""ru"")"),"Создать аккаунт")</f>
        <v>Создать аккаунт</v>
      </c>
      <c r="F70" s="23" t="str">
        <f>IFERROR(__xludf.DUMMYFUNCTION("GOOGLETRANSLATE(B70, ""en"", ""tr"")"),"Hesap oluşturmak")</f>
        <v>Hesap oluşturmak</v>
      </c>
      <c r="G70" s="23" t="str">
        <f>IFERROR(__xludf.DUMMYFUNCTION("GOOGLETRANSLATE(B70, ""en"", ""pt"")"),"Criar Conta")</f>
        <v>Criar Conta</v>
      </c>
      <c r="H70" s="24" t="str">
        <f>IFERROR(__xludf.DUMMYFUNCTION("GOOGLETRANSLATE(B70, ""en"", ""de"")"),"Benutzerkonto erstellen")</f>
        <v>Benutzerkonto erstellen</v>
      </c>
      <c r="I70" s="23" t="str">
        <f>IFERROR(__xludf.DUMMYFUNCTION("GOOGLETRANSLATE(B70, ""en"", ""pl"")"),"Utwórz konto")</f>
        <v>Utwórz konto</v>
      </c>
      <c r="J70" s="25" t="str">
        <f>IFERROR(__xludf.DUMMYFUNCTION("GOOGLETRANSLATE(B70, ""en"", ""zh"")"),"创建账户")</f>
        <v>创建账户</v>
      </c>
      <c r="K70" s="25" t="str">
        <f>IFERROR(__xludf.DUMMYFUNCTION("GOOGLETRANSLATE(B70, ""en"", ""vi"")"),"Tạo tài khoản")</f>
        <v>Tạo tài khoản</v>
      </c>
      <c r="L70" s="26" t="str">
        <f>IFERROR(__xludf.DUMMYFUNCTION("GOOGLETRANSLATE(B70, ""en"", ""hr"")"),"Stvoriti račun")</f>
        <v>Stvoriti račun</v>
      </c>
      <c r="M70" s="28"/>
      <c r="N70" s="28"/>
      <c r="O70" s="28"/>
      <c r="P70" s="28"/>
      <c r="Q70" s="28"/>
      <c r="R70" s="28"/>
      <c r="S70" s="28"/>
      <c r="T70" s="28"/>
      <c r="U70" s="28"/>
      <c r="V70" s="28"/>
      <c r="W70" s="28"/>
      <c r="X70" s="28"/>
      <c r="Y70" s="28"/>
      <c r="Z70" s="28"/>
      <c r="AA70" s="28"/>
      <c r="AB70" s="28"/>
    </row>
    <row r="71">
      <c r="A71" s="21" t="s">
        <v>153</v>
      </c>
      <c r="B71" s="22" t="s">
        <v>154</v>
      </c>
      <c r="C71" s="23" t="s">
        <v>155</v>
      </c>
      <c r="D71" s="23" t="str">
        <f>IFERROR(__xludf.DUMMYFUNCTION("GOOGLETRANSLATE(B71, ""en"", ""es"")"),"Elija un nombre de usuario y contraseña para guardar este carácter para que pueda iniciar sesión más tarde.")</f>
        <v>Elija un nombre de usuario y contraseña para guardar este carácter para que pueda iniciar sesión más tarde.</v>
      </c>
      <c r="E71" s="23" t="str">
        <f>IFERROR(__xludf.DUMMYFUNCTION("GOOGLETRANSLATE(B71, ""en"", ""ru"")"),"Выберите имя пользователя и пароль, чтобы сохранить этот символ, чтобы вы могли войти в систему позже.")</f>
        <v>Выберите имя пользователя и пароль, чтобы сохранить этот символ, чтобы вы могли войти в систему позже.</v>
      </c>
      <c r="F71" s="23" t="str">
        <f>IFERROR(__xludf.DUMMYFUNCTION("GOOGLETRANSLATE(B71, ""en"", ""tr"")"),"Bu karakteri kaydetmek için bir kullanıcı adı ve şifre seçin, böylece daha sonra giriş yapabilirsiniz.")</f>
        <v>Bu karakteri kaydetmek için bir kullanıcı adı ve şifre seçin, böylece daha sonra giriş yapabilirsiniz.</v>
      </c>
      <c r="G71" s="23" t="str">
        <f>IFERROR(__xludf.DUMMYFUNCTION("GOOGLETRANSLATE(B71, ""en"", ""pt"")"),"Escolha um nome de usuário e senha para salvar este caractere para que você possa efetuar login mais tarde.")</f>
        <v>Escolha um nome de usuário e senha para salvar este caractere para que você possa efetuar login mais tarde.</v>
      </c>
      <c r="H71" s="24" t="str">
        <f>IFERROR(__xludf.DUMMYFUNCTION("GOOGLETRANSLATE(B71, ""en"", ""de"")"),"Wählen Sie einen Benutzernamen und ein Kennwort, um dieses Zeichen zu speichern, damit Sie sich später anmelden können.")</f>
        <v>Wählen Sie einen Benutzernamen und ein Kennwort, um dieses Zeichen zu speichern, damit Sie sich später anmelden können.</v>
      </c>
      <c r="I71" s="23" t="str">
        <f>IFERROR(__xludf.DUMMYFUNCTION("GOOGLETRANSLATE(B71, ""en"", ""pl"")"),"Wybierz nazwę użytkownika i hasło, aby zapisać tę znak, dzięki czemu możesz się zalogować później.")</f>
        <v>Wybierz nazwę użytkownika i hasło, aby zapisać tę znak, dzięki czemu możesz się zalogować później.</v>
      </c>
      <c r="J71" s="25" t="str">
        <f>IFERROR(__xludf.DUMMYFUNCTION("GOOGLETRANSLATE(B71, ""en"", ""zh"")"),"选择用户名和密码以保存此字符，以便稍后登录。")</f>
        <v>选择用户名和密码以保存此字符，以便稍后登录。</v>
      </c>
      <c r="K71" s="25" t="str">
        <f>IFERROR(__xludf.DUMMYFUNCTION("GOOGLETRANSLATE(B71, ""en"", ""vi"")"),"Chọn tên người dùng và mật khẩu để lưu ký tự này để bạn có thể đăng nhập sau.")</f>
        <v>Chọn tên người dùng và mật khẩu để lưu ký tự này để bạn có thể đăng nhập sau.</v>
      </c>
      <c r="L71" s="26" t="str">
        <f>IFERROR(__xludf.DUMMYFUNCTION("GOOGLETRANSLATE(B71, ""en"", ""hr"")"),"Odaberite korisničko ime i lozinku za spremanje ovog znaka tako da se možete prijaviti kasnije.")</f>
        <v>Odaberite korisničko ime i lozinku za spremanje ovog znaka tako da se možete prijaviti kasnije.</v>
      </c>
      <c r="M71" s="28"/>
      <c r="N71" s="28"/>
      <c r="O71" s="28"/>
      <c r="P71" s="28"/>
      <c r="Q71" s="28"/>
      <c r="R71" s="28"/>
      <c r="S71" s="28"/>
      <c r="T71" s="28"/>
      <c r="U71" s="28"/>
      <c r="V71" s="28"/>
      <c r="W71" s="28"/>
      <c r="X71" s="28"/>
      <c r="Y71" s="28"/>
      <c r="Z71" s="28"/>
      <c r="AA71" s="28"/>
      <c r="AB71" s="28"/>
    </row>
    <row r="72">
      <c r="A72" s="21" t="s">
        <v>156</v>
      </c>
      <c r="B72" s="22" t="s">
        <v>157</v>
      </c>
      <c r="C72" s="23" t="str">
        <f>IFERROR(__xludf.DUMMYFUNCTION("GOOGLETRANSLATE(B72, ""en"", ""fr"")"),"Entrez un nom d'utilisateur")</f>
        <v>Entrez un nom d'utilisateur</v>
      </c>
      <c r="D72" s="23" t="str">
        <f>IFERROR(__xludf.DUMMYFUNCTION("GOOGLETRANSLATE(B72, ""en"", ""es"")"),"Introduzca un nombre de usuario")</f>
        <v>Introduzca un nombre de usuario</v>
      </c>
      <c r="E72" s="23" t="str">
        <f>IFERROR(__xludf.DUMMYFUNCTION("GOOGLETRANSLATE(B72, ""en"", ""ru"")"),"Введите имя пользователя")</f>
        <v>Введите имя пользователя</v>
      </c>
      <c r="F72" s="23" t="str">
        <f>IFERROR(__xludf.DUMMYFUNCTION("GOOGLETRANSLATE(B72, ""en"", ""tr"")"),"Bir kullanıcı adı girin")</f>
        <v>Bir kullanıcı adı girin</v>
      </c>
      <c r="G72" s="23" t="str">
        <f>IFERROR(__xludf.DUMMYFUNCTION("GOOGLETRANSLATE(B72, ""en"", ""pt"")"),"Digite um nome de usuário")</f>
        <v>Digite um nome de usuário</v>
      </c>
      <c r="H72" s="24" t="str">
        <f>IFERROR(__xludf.DUMMYFUNCTION("GOOGLETRANSLATE(B72, ""en"", ""de"")"),"Gebe einen Benutzernamen ein")</f>
        <v>Gebe einen Benutzernamen ein</v>
      </c>
      <c r="I72" s="23" t="str">
        <f>IFERROR(__xludf.DUMMYFUNCTION("GOOGLETRANSLATE(B72, ""en"", ""pl"")"),"Wpisz nazwę użytkownika")</f>
        <v>Wpisz nazwę użytkownika</v>
      </c>
      <c r="J72" s="25" t="str">
        <f>IFERROR(__xludf.DUMMYFUNCTION("GOOGLETRANSLATE(B72, ""en"", ""zh"")"),"输入用户名")</f>
        <v>输入用户名</v>
      </c>
      <c r="K72" s="25" t="str">
        <f>IFERROR(__xludf.DUMMYFUNCTION("GOOGLETRANSLATE(B72, ""en"", ""vi"")"),"Nhập tên người sử dụng")</f>
        <v>Nhập tên người sử dụng</v>
      </c>
      <c r="L72" s="26" t="str">
        <f>IFERROR(__xludf.DUMMYFUNCTION("GOOGLETRANSLATE(B72, ""en"", ""hr"")"),"Unesite korisničko ime")</f>
        <v>Unesite korisničko ime</v>
      </c>
      <c r="M72" s="28"/>
      <c r="N72" s="28"/>
      <c r="O72" s="28"/>
      <c r="P72" s="28"/>
      <c r="Q72" s="28"/>
      <c r="R72" s="28"/>
      <c r="S72" s="28"/>
      <c r="T72" s="28"/>
      <c r="U72" s="28"/>
      <c r="V72" s="28"/>
      <c r="W72" s="28"/>
      <c r="X72" s="28"/>
      <c r="Y72" s="28"/>
      <c r="Z72" s="28"/>
      <c r="AA72" s="28"/>
      <c r="AB72" s="28"/>
    </row>
    <row r="73">
      <c r="A73" s="21" t="s">
        <v>158</v>
      </c>
      <c r="B73" s="22" t="s">
        <v>159</v>
      </c>
      <c r="C73" s="23" t="str">
        <f>IFERROR(__xludf.DUMMYFUNCTION("GOOGLETRANSLATE(B73, ""en"", ""fr"")"),"Entrer un mot de passe")</f>
        <v>Entrer un mot de passe</v>
      </c>
      <c r="D73" s="23" t="str">
        <f>IFERROR(__xludf.DUMMYFUNCTION("GOOGLETRANSLATE(B73, ""en"", ""es"")"),"Ingrese una contraseña")</f>
        <v>Ingrese una contraseña</v>
      </c>
      <c r="E73" s="23" t="str">
        <f>IFERROR(__xludf.DUMMYFUNCTION("GOOGLETRANSLATE(B73, ""en"", ""ru"")"),"введите пароль")</f>
        <v>введите пароль</v>
      </c>
      <c r="F73" s="23" t="str">
        <f>IFERROR(__xludf.DUMMYFUNCTION("GOOGLETRANSLATE(B73, ""en"", ""tr"")"),"Bir parola girin")</f>
        <v>Bir parola girin</v>
      </c>
      <c r="G73" s="23" t="str">
        <f>IFERROR(__xludf.DUMMYFUNCTION("GOOGLETRANSLATE(B73, ""en"", ""pt"")"),"insira uma senha")</f>
        <v>insira uma senha</v>
      </c>
      <c r="H73" s="24" t="str">
        <f>IFERROR(__xludf.DUMMYFUNCTION("GOOGLETRANSLATE(B73, ""en"", ""de"")"),"Geben Sie ein Passwort ein")</f>
        <v>Geben Sie ein Passwort ein</v>
      </c>
      <c r="I73" s="23" t="str">
        <f>IFERROR(__xludf.DUMMYFUNCTION("GOOGLETRANSLATE(B73, ""en"", ""pl"")"),"Wpisz hasło")</f>
        <v>Wpisz hasło</v>
      </c>
      <c r="J73" s="25" t="str">
        <f>IFERROR(__xludf.DUMMYFUNCTION("GOOGLETRANSLATE(B73, ""en"", ""zh"")"),"输入密码")</f>
        <v>输入密码</v>
      </c>
      <c r="K73" s="25" t="str">
        <f>IFERROR(__xludf.DUMMYFUNCTION("GOOGLETRANSLATE(B73, ""en"", ""vi"")"),"nhập mật khẩu")</f>
        <v>nhập mật khẩu</v>
      </c>
      <c r="L73" s="26" t="str">
        <f>IFERROR(__xludf.DUMMYFUNCTION("GOOGLETRANSLATE(B73, ""en"", ""hr"")"),"Unesite lozinku")</f>
        <v>Unesite lozinku</v>
      </c>
      <c r="M73" s="28"/>
      <c r="N73" s="28"/>
      <c r="O73" s="28"/>
      <c r="P73" s="28"/>
      <c r="Q73" s="28"/>
      <c r="R73" s="28"/>
      <c r="S73" s="28"/>
      <c r="T73" s="28"/>
      <c r="U73" s="28"/>
      <c r="V73" s="28"/>
      <c r="W73" s="28"/>
      <c r="X73" s="28"/>
      <c r="Y73" s="28"/>
      <c r="Z73" s="28"/>
      <c r="AA73" s="28"/>
      <c r="AB73" s="28"/>
    </row>
    <row r="74">
      <c r="A74" s="21" t="s">
        <v>152</v>
      </c>
      <c r="B74" s="22" t="s">
        <v>152</v>
      </c>
      <c r="C74" s="23" t="str">
        <f>IFERROR(__xludf.DUMMYFUNCTION("GOOGLETRANSLATE(B74, ""en"", ""fr"")"),"Créer un compte")</f>
        <v>Créer un compte</v>
      </c>
      <c r="D74" s="23" t="str">
        <f>IFERROR(__xludf.DUMMYFUNCTION("GOOGLETRANSLATE(B74, ""en"", ""es"")"),"Crear una cuenta")</f>
        <v>Crear una cuenta</v>
      </c>
      <c r="E74" s="23" t="str">
        <f>IFERROR(__xludf.DUMMYFUNCTION("GOOGLETRANSLATE(B74, ""en"", ""ru"")"),"Создать аккаунт")</f>
        <v>Создать аккаунт</v>
      </c>
      <c r="F74" s="23" t="str">
        <f>IFERROR(__xludf.DUMMYFUNCTION("GOOGLETRANSLATE(B74, ""en"", ""tr"")"),"Hesap oluşturmak")</f>
        <v>Hesap oluşturmak</v>
      </c>
      <c r="G74" s="23" t="str">
        <f>IFERROR(__xludf.DUMMYFUNCTION("GOOGLETRANSLATE(B74, ""en"", ""pt"")"),"Criar Conta")</f>
        <v>Criar Conta</v>
      </c>
      <c r="H74" s="24" t="str">
        <f>IFERROR(__xludf.DUMMYFUNCTION("GOOGLETRANSLATE(B74, ""en"", ""de"")"),"Benutzerkonto erstellen")</f>
        <v>Benutzerkonto erstellen</v>
      </c>
      <c r="I74" s="23" t="str">
        <f>IFERROR(__xludf.DUMMYFUNCTION("GOOGLETRANSLATE(B74, ""en"", ""pl"")"),"Utwórz konto")</f>
        <v>Utwórz konto</v>
      </c>
      <c r="J74" s="25" t="str">
        <f>IFERROR(__xludf.DUMMYFUNCTION("GOOGLETRANSLATE(B74, ""en"", ""zh"")"),"创建账户")</f>
        <v>创建账户</v>
      </c>
      <c r="K74" s="25" t="str">
        <f>IFERROR(__xludf.DUMMYFUNCTION("GOOGLETRANSLATE(B74, ""en"", ""vi"")"),"Tạo tài khoản")</f>
        <v>Tạo tài khoản</v>
      </c>
      <c r="L74" s="26" t="str">
        <f>IFERROR(__xludf.DUMMYFUNCTION("GOOGLETRANSLATE(B74, ""en"", ""hr"")"),"Stvoriti račun")</f>
        <v>Stvoriti račun</v>
      </c>
      <c r="M74" s="28"/>
      <c r="N74" s="28"/>
      <c r="O74" s="28"/>
      <c r="P74" s="28"/>
      <c r="Q74" s="28"/>
      <c r="R74" s="28"/>
      <c r="S74" s="28"/>
      <c r="T74" s="28"/>
      <c r="U74" s="28"/>
      <c r="V74" s="28"/>
      <c r="W74" s="28"/>
      <c r="X74" s="28"/>
      <c r="Y74" s="28"/>
      <c r="Z74" s="28"/>
      <c r="AA74" s="28"/>
      <c r="AB74" s="28"/>
    </row>
    <row r="75">
      <c r="A75" s="21" t="s">
        <v>160</v>
      </c>
      <c r="B75" s="22" t="s">
        <v>160</v>
      </c>
      <c r="C75" s="23" t="s">
        <v>161</v>
      </c>
      <c r="D75" s="23" t="str">
        <f>IFERROR(__xludf.DUMMYFUNCTION("GOOGLETRANSLATE(B75, ""en"", ""es"")"),"Nombre de usuario tomado")</f>
        <v>Nombre de usuario tomado</v>
      </c>
      <c r="E75" s="23" t="str">
        <f>IFERROR(__xludf.DUMMYFUNCTION("GOOGLETRANSLATE(B75, ""en"", ""ru"")"),"Имя пользователя принято")</f>
        <v>Имя пользователя принято</v>
      </c>
      <c r="F75" s="23" t="str">
        <f>IFERROR(__xludf.DUMMYFUNCTION("GOOGLETRANSLATE(B75, ""en"", ""tr"")"),"Kullanıcı adı alınmış")</f>
        <v>Kullanıcı adı alınmış</v>
      </c>
      <c r="G75" s="23" t="str">
        <f>IFERROR(__xludf.DUMMYFUNCTION("GOOGLETRANSLATE(B75, ""en"", ""pt"")"),"Nome de usuário já utilizado")</f>
        <v>Nome de usuário já utilizado</v>
      </c>
      <c r="H75" s="24" t="str">
        <f>IFERROR(__xludf.DUMMYFUNCTION("GOOGLETRANSLATE(B75, ""en"", ""de"")"),"Benutzername vergeben")</f>
        <v>Benutzername vergeben</v>
      </c>
      <c r="I75" s="23" t="str">
        <f>IFERROR(__xludf.DUMMYFUNCTION("GOOGLETRANSLATE(B75, ""en"", ""pl"")"),"Nazwa użytkownika zajęta")</f>
        <v>Nazwa użytkownika zajęta</v>
      </c>
      <c r="J75" s="25" t="str">
        <f>IFERROR(__xludf.DUMMYFUNCTION("GOOGLETRANSLATE(B75, ""en"", ""zh"")"),"用户名已被使用")</f>
        <v>用户名已被使用</v>
      </c>
      <c r="K75" s="25" t="str">
        <f>IFERROR(__xludf.DUMMYFUNCTION("GOOGLETRANSLATE(B75, ""en"", ""vi"")"),"Tên này đã dc sử dụng")</f>
        <v>Tên này đã dc sử dụng</v>
      </c>
      <c r="L75" s="26" t="str">
        <f>IFERROR(__xludf.DUMMYFUNCTION("GOOGLETRANSLATE(B75, ""en"", ""hr"")"),"Korisničko ime zauzeto")</f>
        <v>Korisničko ime zauzeto</v>
      </c>
      <c r="M75" s="28"/>
      <c r="N75" s="28"/>
      <c r="O75" s="28"/>
      <c r="P75" s="28"/>
      <c r="Q75" s="28"/>
      <c r="R75" s="28"/>
      <c r="S75" s="28"/>
      <c r="T75" s="28"/>
      <c r="U75" s="28"/>
      <c r="V75" s="28"/>
      <c r="W75" s="28"/>
      <c r="X75" s="28"/>
      <c r="Y75" s="28"/>
      <c r="Z75" s="28"/>
      <c r="AA75" s="28"/>
      <c r="AB75" s="28"/>
    </row>
    <row r="76">
      <c r="A76" s="21" t="s">
        <v>162</v>
      </c>
      <c r="B76" s="22" t="s">
        <v>163</v>
      </c>
      <c r="C76" s="23" t="str">
        <f>IFERROR(__xludf.DUMMYFUNCTION("GOOGLETRANSLATE(B76, ""en"", ""fr"")"),"Compte")</f>
        <v>Compte</v>
      </c>
      <c r="D76" s="23" t="str">
        <f>IFERROR(__xludf.DUMMYFUNCTION("GOOGLETRANSLATE(B76, ""en"", ""es"")"),"Cuenta")</f>
        <v>Cuenta</v>
      </c>
      <c r="E76" s="23" t="str">
        <f>IFERROR(__xludf.DUMMYFUNCTION("GOOGLETRANSLATE(B76, ""en"", ""ru"")"),"Счет")</f>
        <v>Счет</v>
      </c>
      <c r="F76" s="23" t="str">
        <f>IFERROR(__xludf.DUMMYFUNCTION("GOOGLETRANSLATE(B76, ""en"", ""tr"")"),"Hesap")</f>
        <v>Hesap</v>
      </c>
      <c r="G76" s="23" t="str">
        <f>IFERROR(__xludf.DUMMYFUNCTION("GOOGLETRANSLATE(B76, ""en"", ""pt"")"),"Conta")</f>
        <v>Conta</v>
      </c>
      <c r="H76" s="24" t="str">
        <f>IFERROR(__xludf.DUMMYFUNCTION("GOOGLETRANSLATE(B76, ""en"", ""de"")"),"Konto")</f>
        <v>Konto</v>
      </c>
      <c r="I76" s="23" t="str">
        <f>IFERROR(__xludf.DUMMYFUNCTION("GOOGLETRANSLATE(B76, ""en"", ""pl"")"),"Konto")</f>
        <v>Konto</v>
      </c>
      <c r="J76" s="25" t="str">
        <f>IFERROR(__xludf.DUMMYFUNCTION("GOOGLETRANSLATE(B76, ""en"", ""zh"")"),"帐户")</f>
        <v>帐户</v>
      </c>
      <c r="K76" s="25" t="str">
        <f>IFERROR(__xludf.DUMMYFUNCTION("GOOGLETRANSLATE(B76, ""en"", ""vi"")"),"Tài khoản")</f>
        <v>Tài khoản</v>
      </c>
      <c r="L76" s="26" t="str">
        <f>IFERROR(__xludf.DUMMYFUNCTION("GOOGLETRANSLATE(B76, ""en"", ""hr"")"),"Račun")</f>
        <v>Račun</v>
      </c>
      <c r="M76" s="28"/>
      <c r="N76" s="28"/>
      <c r="O76" s="28"/>
      <c r="P76" s="28"/>
      <c r="Q76" s="28"/>
      <c r="R76" s="28"/>
      <c r="S76" s="28"/>
      <c r="T76" s="28"/>
      <c r="U76" s="28"/>
      <c r="V76" s="28"/>
      <c r="W76" s="28"/>
      <c r="X76" s="28"/>
      <c r="Y76" s="28"/>
      <c r="Z76" s="28"/>
      <c r="AA76" s="28"/>
      <c r="AB76" s="28"/>
    </row>
    <row r="77">
      <c r="A77" s="21" t="s">
        <v>164</v>
      </c>
      <c r="B77" s="22" t="s">
        <v>165</v>
      </c>
      <c r="C77" s="23" t="str">
        <f>IFERROR(__xludf.DUMMYFUNCTION("GOOGLETRANSLATE(B77, ""en"", ""fr"")"),"Changer le mot de passe")</f>
        <v>Changer le mot de passe</v>
      </c>
      <c r="D77" s="23" t="str">
        <f>IFERROR(__xludf.DUMMYFUNCTION("GOOGLETRANSLATE(B77, ""en"", ""es"")"),"Cambiar la contraseña")</f>
        <v>Cambiar la contraseña</v>
      </c>
      <c r="E77" s="23" t="str">
        <f>IFERROR(__xludf.DUMMYFUNCTION("GOOGLETRANSLATE(B77, ""en"", ""ru"")"),"Измени пароль")</f>
        <v>Измени пароль</v>
      </c>
      <c r="F77" s="23" t="str">
        <f>IFERROR(__xludf.DUMMYFUNCTION("GOOGLETRANSLATE(B77, ""en"", ""tr"")"),"Şifre değiştir")</f>
        <v>Şifre değiştir</v>
      </c>
      <c r="G77" s="23" t="str">
        <f>IFERROR(__xludf.DUMMYFUNCTION("GOOGLETRANSLATE(B77, ""en"", ""pt"")"),"Mudar senha")</f>
        <v>Mudar senha</v>
      </c>
      <c r="H77" s="24" t="str">
        <f>IFERROR(__xludf.DUMMYFUNCTION("GOOGLETRANSLATE(B77, ""en"", ""de"")"),"Passwort ändern")</f>
        <v>Passwort ändern</v>
      </c>
      <c r="I77" s="23" t="str">
        <f>IFERROR(__xludf.DUMMYFUNCTION("GOOGLETRANSLATE(B77, ""en"", ""pl"")"),"Zmień hasło")</f>
        <v>Zmień hasło</v>
      </c>
      <c r="J77" s="25" t="str">
        <f>IFERROR(__xludf.DUMMYFUNCTION("GOOGLETRANSLATE(B77, ""en"", ""zh"")"),"更改密码")</f>
        <v>更改密码</v>
      </c>
      <c r="K77" s="25" t="str">
        <f>IFERROR(__xludf.DUMMYFUNCTION("GOOGLETRANSLATE(B77, ""en"", ""vi"")"),"Đổi mật khẩu")</f>
        <v>Đổi mật khẩu</v>
      </c>
      <c r="L77" s="26" t="str">
        <f>IFERROR(__xludf.DUMMYFUNCTION("GOOGLETRANSLATE(B77, ""en"", ""hr"")"),"Promijeniti zaporku")</f>
        <v>Promijeniti zaporku</v>
      </c>
      <c r="M77" s="28"/>
      <c r="N77" s="28"/>
      <c r="O77" s="28"/>
      <c r="P77" s="28"/>
      <c r="Q77" s="28"/>
      <c r="R77" s="28"/>
      <c r="S77" s="28"/>
      <c r="T77" s="28"/>
      <c r="U77" s="28"/>
      <c r="V77" s="28"/>
      <c r="W77" s="28"/>
      <c r="X77" s="28"/>
      <c r="Y77" s="28"/>
      <c r="Z77" s="28"/>
      <c r="AA77" s="28"/>
      <c r="AB77" s="28"/>
    </row>
    <row r="78">
      <c r="A78" s="21" t="s">
        <v>166</v>
      </c>
      <c r="B78" s="22" t="s">
        <v>167</v>
      </c>
      <c r="C78" s="23" t="str">
        <f>IFERROR(__xludf.DUMMYFUNCTION("GOOGLETRANSLATE(B78, ""en"", ""fr"")"),"Changer de nom")</f>
        <v>Changer de nom</v>
      </c>
      <c r="D78" s="23" t="str">
        <f>IFERROR(__xludf.DUMMYFUNCTION("GOOGLETRANSLATE(B78, ""en"", ""es"")"),"Cambiar nombre")</f>
        <v>Cambiar nombre</v>
      </c>
      <c r="E78" s="23" t="str">
        <f>IFERROR(__xludf.DUMMYFUNCTION("GOOGLETRANSLATE(B78, ""en"", ""ru"")"),"Изменить имя")</f>
        <v>Изменить имя</v>
      </c>
      <c r="F78" s="23" t="str">
        <f>IFERROR(__xludf.DUMMYFUNCTION("GOOGLETRANSLATE(B78, ""en"", ""tr"")"),"İsmini değiştir")</f>
        <v>İsmini değiştir</v>
      </c>
      <c r="G78" s="23" t="str">
        <f>IFERROR(__xludf.DUMMYFUNCTION("GOOGLETRANSLATE(B78, ""en"", ""pt"")"),"Mude o nome")</f>
        <v>Mude o nome</v>
      </c>
      <c r="H78" s="24" t="str">
        <f>IFERROR(__xludf.DUMMYFUNCTION("GOOGLETRANSLATE(B78, ""en"", ""de"")"),"Namen ändern")</f>
        <v>Namen ändern</v>
      </c>
      <c r="I78" s="23" t="str">
        <f>IFERROR(__xludf.DUMMYFUNCTION("GOOGLETRANSLATE(B78, ""en"", ""pl"")"),"Zmień nazwę")</f>
        <v>Zmień nazwę</v>
      </c>
      <c r="J78" s="25" t="str">
        <f>IFERROR(__xludf.DUMMYFUNCTION("GOOGLETRANSLATE(B78, ""en"", ""zh"")"),"更换名字")</f>
        <v>更换名字</v>
      </c>
      <c r="K78" s="25" t="str">
        <f>IFERROR(__xludf.DUMMYFUNCTION("GOOGLETRANSLATE(B78, ""en"", ""vi"")"),"Đổi tên")</f>
        <v>Đổi tên</v>
      </c>
      <c r="L78" s="26" t="str">
        <f>IFERROR(__xludf.DUMMYFUNCTION("GOOGLETRANSLATE(B78, ""en"", ""hr"")"),"Imena")</f>
        <v>Imena</v>
      </c>
      <c r="M78" s="28"/>
      <c r="N78" s="28"/>
      <c r="O78" s="28"/>
      <c r="P78" s="28"/>
      <c r="Q78" s="28"/>
      <c r="R78" s="28"/>
      <c r="S78" s="28"/>
      <c r="T78" s="28"/>
      <c r="U78" s="28"/>
      <c r="V78" s="28"/>
      <c r="W78" s="28"/>
      <c r="X78" s="28"/>
      <c r="Y78" s="28"/>
      <c r="Z78" s="28"/>
      <c r="AA78" s="28"/>
      <c r="AB78" s="28"/>
    </row>
    <row r="79">
      <c r="A79" s="21" t="s">
        <v>168</v>
      </c>
      <c r="B79" s="22" t="s">
        <v>168</v>
      </c>
      <c r="C79" s="23" t="str">
        <f>IFERROR(__xludf.DUMMYFUNCTION("GOOGLETRANSLATE(B79, ""en"", ""fr"")"),"Mot de passe actuel")</f>
        <v>Mot de passe actuel</v>
      </c>
      <c r="D79" s="23" t="str">
        <f>IFERROR(__xludf.DUMMYFUNCTION("GOOGLETRANSLATE(B79, ""en"", ""es"")"),"Contraseña actual")</f>
        <v>Contraseña actual</v>
      </c>
      <c r="E79" s="23" t="str">
        <f>IFERROR(__xludf.DUMMYFUNCTION("GOOGLETRANSLATE(B79, ""en"", ""ru"")"),"Текущий пароль")</f>
        <v>Текущий пароль</v>
      </c>
      <c r="F79" s="23" t="str">
        <f>IFERROR(__xludf.DUMMYFUNCTION("GOOGLETRANSLATE(B79, ""en"", ""tr"")"),"Şimdiki Şifre")</f>
        <v>Şimdiki Şifre</v>
      </c>
      <c r="G79" s="23" t="str">
        <f>IFERROR(__xludf.DUMMYFUNCTION("GOOGLETRANSLATE(B79, ""en"", ""pt"")"),"Senha atual")</f>
        <v>Senha atual</v>
      </c>
      <c r="H79" s="24" t="str">
        <f>IFERROR(__xludf.DUMMYFUNCTION("GOOGLETRANSLATE(B79, ""en"", ""de"")"),"Aktuelles Passwort")</f>
        <v>Aktuelles Passwort</v>
      </c>
      <c r="I79" s="23" t="str">
        <f>IFERROR(__xludf.DUMMYFUNCTION("GOOGLETRANSLATE(B79, ""en"", ""pl"")"),"Aktualne hasło")</f>
        <v>Aktualne hasło</v>
      </c>
      <c r="J79" s="25" t="str">
        <f>IFERROR(__xludf.DUMMYFUNCTION("GOOGLETRANSLATE(B79, ""en"", ""zh"")"),"当前密码")</f>
        <v>当前密码</v>
      </c>
      <c r="K79" s="25" t="str">
        <f>IFERROR(__xludf.DUMMYFUNCTION("GOOGLETRANSLATE(B79, ""en"", ""vi"")"),"Mật khẩu hiện tại")</f>
        <v>Mật khẩu hiện tại</v>
      </c>
      <c r="L79" s="26" t="str">
        <f>IFERROR(__xludf.DUMMYFUNCTION("GOOGLETRANSLATE(B79, ""en"", ""hr"")"),"Trenutna lozinka")</f>
        <v>Trenutna lozinka</v>
      </c>
      <c r="M79" s="28"/>
      <c r="N79" s="28"/>
      <c r="O79" s="28"/>
      <c r="P79" s="28"/>
      <c r="Q79" s="28"/>
      <c r="R79" s="28"/>
      <c r="S79" s="28"/>
      <c r="T79" s="28"/>
      <c r="U79" s="28"/>
      <c r="V79" s="28"/>
      <c r="W79" s="28"/>
      <c r="X79" s="28"/>
      <c r="Y79" s="28"/>
      <c r="Z79" s="28"/>
      <c r="AA79" s="28"/>
      <c r="AB79" s="28"/>
    </row>
    <row r="80">
      <c r="A80" s="21" t="s">
        <v>169</v>
      </c>
      <c r="B80" s="22" t="s">
        <v>169</v>
      </c>
      <c r="C80" s="23" t="str">
        <f>IFERROR(__xludf.DUMMYFUNCTION("GOOGLETRANSLATE(B80, ""en"", ""fr"")"),"Nouveau mot de passe")</f>
        <v>Nouveau mot de passe</v>
      </c>
      <c r="D80" s="23" t="str">
        <f>IFERROR(__xludf.DUMMYFUNCTION("GOOGLETRANSLATE(B80, ""en"", ""es"")"),"Nueva contraseña")</f>
        <v>Nueva contraseña</v>
      </c>
      <c r="E80" s="23" t="str">
        <f>IFERROR(__xludf.DUMMYFUNCTION("GOOGLETRANSLATE(B80, ""en"", ""ru"")"),"Новый пароль")</f>
        <v>Новый пароль</v>
      </c>
      <c r="F80" s="23" t="str">
        <f>IFERROR(__xludf.DUMMYFUNCTION("GOOGLETRANSLATE(B80, ""en"", ""tr"")"),"Yeni Şifre")</f>
        <v>Yeni Şifre</v>
      </c>
      <c r="G80" s="23" t="str">
        <f>IFERROR(__xludf.DUMMYFUNCTION("GOOGLETRANSLATE(B80, ""en"", ""pt"")"),"Nova Senha")</f>
        <v>Nova Senha</v>
      </c>
      <c r="H80" s="24" t="str">
        <f>IFERROR(__xludf.DUMMYFUNCTION("GOOGLETRANSLATE(B80, ""en"", ""de"")"),"Neues Kennwort")</f>
        <v>Neues Kennwort</v>
      </c>
      <c r="I80" s="23" t="str">
        <f>IFERROR(__xludf.DUMMYFUNCTION("GOOGLETRANSLATE(B80, ""en"", ""pl"")"),"Nowe hasło")</f>
        <v>Nowe hasło</v>
      </c>
      <c r="J80" s="25" t="str">
        <f>IFERROR(__xludf.DUMMYFUNCTION("GOOGLETRANSLATE(B80, ""en"", ""zh"")"),"新密码")</f>
        <v>新密码</v>
      </c>
      <c r="K80" s="25" t="str">
        <f>IFERROR(__xludf.DUMMYFUNCTION("GOOGLETRANSLATE(B80, ""en"", ""vi"")"),"Mật khẩu mới")</f>
        <v>Mật khẩu mới</v>
      </c>
      <c r="L80" s="26" t="str">
        <f>IFERROR(__xludf.DUMMYFUNCTION("GOOGLETRANSLATE(B80, ""en"", ""hr"")"),"Nova lozinka")</f>
        <v>Nova lozinka</v>
      </c>
      <c r="M80" s="28"/>
      <c r="N80" s="28"/>
      <c r="O80" s="28"/>
      <c r="P80" s="28"/>
      <c r="Q80" s="28"/>
      <c r="R80" s="28"/>
      <c r="S80" s="28"/>
      <c r="T80" s="28"/>
      <c r="U80" s="28"/>
      <c r="V80" s="28"/>
      <c r="W80" s="28"/>
      <c r="X80" s="28"/>
      <c r="Y80" s="28"/>
      <c r="Z80" s="28"/>
      <c r="AA80" s="28"/>
      <c r="AB80" s="28"/>
    </row>
    <row r="81">
      <c r="A81" s="21" t="s">
        <v>170</v>
      </c>
      <c r="B81" s="22" t="s">
        <v>170</v>
      </c>
      <c r="C81" s="23" t="s">
        <v>171</v>
      </c>
      <c r="D81" s="23" t="str">
        <f>IFERROR(__xludf.DUMMYFUNCTION("GOOGLETRANSLATE(B81, ""en"", ""es"")"),"Contraseña actual incorrecta")</f>
        <v>Contraseña actual incorrecta</v>
      </c>
      <c r="E81" s="23" t="str">
        <f>IFERROR(__xludf.DUMMYFUNCTION("GOOGLETRANSLATE(B81, ""en"", ""ru"")"),"Неверный текущий пароль")</f>
        <v>Неверный текущий пароль</v>
      </c>
      <c r="F81" s="23" t="str">
        <f>IFERROR(__xludf.DUMMYFUNCTION("GOOGLETRANSLATE(B81, ""en"", ""tr"")"),"Yanlış güncel şifre")</f>
        <v>Yanlış güncel şifre</v>
      </c>
      <c r="G81" s="23" t="str">
        <f>IFERROR(__xludf.DUMMYFUNCTION("GOOGLETRANSLATE(B81, ""en"", ""pt"")"),"Senha atual incorreta")</f>
        <v>Senha atual incorreta</v>
      </c>
      <c r="H81" s="24" t="str">
        <f>IFERROR(__xludf.DUMMYFUNCTION("GOOGLETRANSLATE(B81, ""en"", ""de"")"),"Falsches aktuelles Passwort.")</f>
        <v>Falsches aktuelles Passwort.</v>
      </c>
      <c r="I81" s="23" t="str">
        <f>IFERROR(__xludf.DUMMYFUNCTION("GOOGLETRANSLATE(B81, ""en"", ""pl"")"),"Nieprawidłowe bieżące hasło")</f>
        <v>Nieprawidłowe bieżące hasło</v>
      </c>
      <c r="J81" s="25" t="str">
        <f>IFERROR(__xludf.DUMMYFUNCTION("GOOGLETRANSLATE(B81, ""en"", ""zh"")"),"当前密码不正确")</f>
        <v>当前密码不正确</v>
      </c>
      <c r="K81" s="25" t="str">
        <f>IFERROR(__xludf.DUMMYFUNCTION("GOOGLETRANSLATE(B81, ""en"", ""vi"")"),"Mật khẩu hiện tại không chính xác")</f>
        <v>Mật khẩu hiện tại không chính xác</v>
      </c>
      <c r="L81" s="26" t="str">
        <f>IFERROR(__xludf.DUMMYFUNCTION("GOOGLETRANSLATE(B81, ""en"", ""hr"")"),"Netočna trenutna lozinka")</f>
        <v>Netočna trenutna lozinka</v>
      </c>
      <c r="M81" s="28"/>
      <c r="N81" s="28"/>
      <c r="O81" s="28"/>
      <c r="P81" s="28"/>
      <c r="Q81" s="28"/>
      <c r="R81" s="28"/>
      <c r="S81" s="28"/>
      <c r="T81" s="28"/>
      <c r="U81" s="28"/>
      <c r="V81" s="28"/>
      <c r="W81" s="28"/>
      <c r="X81" s="28"/>
      <c r="Y81" s="28"/>
      <c r="Z81" s="28"/>
      <c r="AA81" s="28"/>
      <c r="AB81" s="28"/>
    </row>
    <row r="82">
      <c r="A82" s="21" t="s">
        <v>172</v>
      </c>
      <c r="B82" s="22" t="s">
        <v>172</v>
      </c>
      <c r="C82" s="23" t="str">
        <f>IFERROR(__xludf.DUMMYFUNCTION("GOOGLETRANSLATE(B82, ""en"", ""fr"")"),"Mot de passe changé")</f>
        <v>Mot de passe changé</v>
      </c>
      <c r="D82" s="23" t="str">
        <f>IFERROR(__xludf.DUMMYFUNCTION("GOOGLETRANSLATE(B82, ""en"", ""es"")"),"contraseña cambiada")</f>
        <v>contraseña cambiada</v>
      </c>
      <c r="E82" s="23" t="str">
        <f>IFERROR(__xludf.DUMMYFUNCTION("GOOGLETRANSLATE(B82, ""en"", ""ru"")"),"пароль изменен")</f>
        <v>пароль изменен</v>
      </c>
      <c r="F82" s="23" t="str">
        <f>IFERROR(__xludf.DUMMYFUNCTION("GOOGLETRANSLATE(B82, ""en"", ""tr"")"),"şifre değişti")</f>
        <v>şifre değişti</v>
      </c>
      <c r="G82" s="23" t="str">
        <f>IFERROR(__xludf.DUMMYFUNCTION("GOOGLETRANSLATE(B82, ""en"", ""pt"")"),"Senha alterada")</f>
        <v>Senha alterada</v>
      </c>
      <c r="H82" s="24" t="str">
        <f>IFERROR(__xludf.DUMMYFUNCTION("GOOGLETRANSLATE(B82, ""en"", ""de"")"),"Passwort geändert")</f>
        <v>Passwort geändert</v>
      </c>
      <c r="I82" s="23" t="str">
        <f>IFERROR(__xludf.DUMMYFUNCTION("GOOGLETRANSLATE(B82, ""en"", ""pl"")"),"Hasło zostało zmienione")</f>
        <v>Hasło zostało zmienione</v>
      </c>
      <c r="J82" s="25" t="str">
        <f>IFERROR(__xludf.DUMMYFUNCTION("GOOGLETRANSLATE(B82, ""en"", ""zh"")"),"密码已更改")</f>
        <v>密码已更改</v>
      </c>
      <c r="K82" s="25" t="str">
        <f>IFERROR(__xludf.DUMMYFUNCTION("GOOGLETRANSLATE(B82, ""en"", ""vi"")"),"mật khẩu đã được thay đổi")</f>
        <v>mật khẩu đã được thay đổi</v>
      </c>
      <c r="L82" s="26" t="str">
        <f>IFERROR(__xludf.DUMMYFUNCTION("GOOGLETRANSLATE(B82, ""en"", ""hr"")"),"Lozinka se promijenila")</f>
        <v>Lozinka se promijenila</v>
      </c>
      <c r="M82" s="28"/>
      <c r="N82" s="28"/>
      <c r="O82" s="28"/>
      <c r="P82" s="28"/>
      <c r="Q82" s="28"/>
      <c r="R82" s="28"/>
      <c r="S82" s="28"/>
      <c r="T82" s="28"/>
      <c r="U82" s="28"/>
      <c r="V82" s="28"/>
      <c r="W82" s="28"/>
      <c r="X82" s="28"/>
      <c r="Y82" s="28"/>
      <c r="Z82" s="28"/>
      <c r="AA82" s="28"/>
      <c r="AB82" s="28"/>
    </row>
    <row r="83">
      <c r="A83" s="21" t="s">
        <v>173</v>
      </c>
      <c r="B83" s="22" t="s">
        <v>173</v>
      </c>
      <c r="C83" s="23" t="str">
        <f>IFERROR(__xludf.DUMMYFUNCTION("GOOGLETRANSLATE(B83, ""en"", ""fr"")"),"Nom du personnage actuel")</f>
        <v>Nom du personnage actuel</v>
      </c>
      <c r="D83" s="23" t="str">
        <f>IFERROR(__xludf.DUMMYFUNCTION("GOOGLETRANSLATE(B83, ""en"", ""es"")"),"Nombre del personaje actual")</f>
        <v>Nombre del personaje actual</v>
      </c>
      <c r="E83" s="23" t="str">
        <f>IFERROR(__xludf.DUMMYFUNCTION("GOOGLETRANSLATE(B83, ""en"", ""ru"")"),"Текущее имя персонажа")</f>
        <v>Текущее имя персонажа</v>
      </c>
      <c r="F83" s="23" t="str">
        <f>IFERROR(__xludf.DUMMYFUNCTION("GOOGLETRANSLATE(B83, ""en"", ""tr"")"),"Geçerli karakter adı")</f>
        <v>Geçerli karakter adı</v>
      </c>
      <c r="G83" s="23" t="str">
        <f>IFERROR(__xludf.DUMMYFUNCTION("GOOGLETRANSLATE(B83, ""en"", ""pt"")"),"Nome do personagem atual")</f>
        <v>Nome do personagem atual</v>
      </c>
      <c r="H83" s="24" t="str">
        <f>IFERROR(__xludf.DUMMYFUNCTION("GOOGLETRANSLATE(B83, ""en"", ""de"")"),"Aktueller Zeichenname")</f>
        <v>Aktueller Zeichenname</v>
      </c>
      <c r="I83" s="23" t="str">
        <f>IFERROR(__xludf.DUMMYFUNCTION("GOOGLETRANSLATE(B83, ""en"", ""pl"")"),"Nazwa bieżącej znaku.")</f>
        <v>Nazwa bieżącej znaku.</v>
      </c>
      <c r="J83" s="25" t="str">
        <f>IFERROR(__xludf.DUMMYFUNCTION("GOOGLETRANSLATE(B83, ""en"", ""zh"")"),"当前字符名称")</f>
        <v>当前字符名称</v>
      </c>
      <c r="K83" s="25" t="str">
        <f>IFERROR(__xludf.DUMMYFUNCTION("GOOGLETRANSLATE(B83, ""en"", ""vi"")"),"Tên nhân vật hiện tại")</f>
        <v>Tên nhân vật hiện tại</v>
      </c>
      <c r="L83" s="26" t="str">
        <f>IFERROR(__xludf.DUMMYFUNCTION("GOOGLETRANSLATE(B83, ""en"", ""hr"")"),"Trenutno ime znakova")</f>
        <v>Trenutno ime znakova</v>
      </c>
      <c r="M83" s="28"/>
      <c r="N83" s="28"/>
      <c r="O83" s="28"/>
      <c r="P83" s="28"/>
      <c r="Q83" s="28"/>
      <c r="R83" s="28"/>
      <c r="S83" s="28"/>
      <c r="T83" s="28"/>
      <c r="U83" s="28"/>
      <c r="V83" s="28"/>
      <c r="W83" s="28"/>
      <c r="X83" s="28"/>
      <c r="Y83" s="28"/>
      <c r="Z83" s="28"/>
      <c r="AA83" s="28"/>
      <c r="AB83" s="28"/>
    </row>
    <row r="84">
      <c r="A84" s="21" t="s">
        <v>174</v>
      </c>
      <c r="B84" s="22" t="s">
        <v>174</v>
      </c>
      <c r="C84" s="23" t="str">
        <f>IFERROR(__xludf.DUMMYFUNCTION("GOOGLETRANSLATE(B84, ""en"", ""fr"")"),"Nom du nouveau personnage")</f>
        <v>Nom du nouveau personnage</v>
      </c>
      <c r="D84" s="23" t="str">
        <f>IFERROR(__xludf.DUMMYFUNCTION("GOOGLETRANSLATE(B84, ""en"", ""es"")"),"Nuevo nombre de personaje")</f>
        <v>Nuevo nombre de personaje</v>
      </c>
      <c r="E84" s="23" t="str">
        <f>IFERROR(__xludf.DUMMYFUNCTION("GOOGLETRANSLATE(B84, ""en"", ""ru"")"),"Новое имя персонажа")</f>
        <v>Новое имя персонажа</v>
      </c>
      <c r="F84" s="23" t="str">
        <f>IFERROR(__xludf.DUMMYFUNCTION("GOOGLETRANSLATE(B84, ""en"", ""tr"")"),"Yeni karakter adı")</f>
        <v>Yeni karakter adı</v>
      </c>
      <c r="G84" s="23" t="str">
        <f>IFERROR(__xludf.DUMMYFUNCTION("GOOGLETRANSLATE(B84, ""en"", ""pt"")"),"Nome do novo personagem")</f>
        <v>Nome do novo personagem</v>
      </c>
      <c r="H84" s="24" t="str">
        <f>IFERROR(__xludf.DUMMYFUNCTION("GOOGLETRANSLATE(B84, ""en"", ""de"")"),"Neuer Zeichenname")</f>
        <v>Neuer Zeichenname</v>
      </c>
      <c r="I84" s="23" t="str">
        <f>IFERROR(__xludf.DUMMYFUNCTION("GOOGLETRANSLATE(B84, ""en"", ""pl"")"),"Nowa nazwa znaku.")</f>
        <v>Nowa nazwa znaku.</v>
      </c>
      <c r="J84" s="25" t="str">
        <f>IFERROR(__xludf.DUMMYFUNCTION("GOOGLETRANSLATE(B84, ""en"", ""zh"")"),"新字符名称")</f>
        <v>新字符名称</v>
      </c>
      <c r="K84" s="25" t="str">
        <f>IFERROR(__xludf.DUMMYFUNCTION("GOOGLETRANSLATE(B84, ""en"", ""vi"")"),"Tên nhân vật mới.")</f>
        <v>Tên nhân vật mới.</v>
      </c>
      <c r="L84" s="26" t="str">
        <f>IFERROR(__xludf.DUMMYFUNCTION("GOOGLETRANSLATE(B84, ""en"", ""hr"")"),"Novi naziv znaka")</f>
        <v>Novi naziv znaka</v>
      </c>
      <c r="M84" s="28"/>
      <c r="N84" s="28"/>
      <c r="O84" s="28"/>
      <c r="P84" s="28"/>
      <c r="Q84" s="28"/>
      <c r="R84" s="28"/>
      <c r="S84" s="28"/>
      <c r="T84" s="28"/>
      <c r="U84" s="28"/>
      <c r="V84" s="28"/>
      <c r="W84" s="28"/>
      <c r="X84" s="28"/>
      <c r="Y84" s="28"/>
      <c r="Z84" s="28"/>
      <c r="AA84" s="28"/>
      <c r="AB84" s="28"/>
    </row>
    <row r="85">
      <c r="A85" s="21" t="s">
        <v>175</v>
      </c>
      <c r="B85" s="22" t="s">
        <v>176</v>
      </c>
      <c r="C85" s="23" t="str">
        <f>IFERROR(__xludf.DUMMYFUNCTION("GOOGLETRANSLATE(B85, ""en"", ""fr"")"),"Nouveau nom requis.")</f>
        <v>Nouveau nom requis.</v>
      </c>
      <c r="D85" s="23" t="str">
        <f>IFERROR(__xludf.DUMMYFUNCTION("GOOGLETRANSLATE(B85, ""en"", ""es"")"),"NUEVO NOMBRE REQUERIDO.")</f>
        <v>NUEVO NOMBRE REQUERIDO.</v>
      </c>
      <c r="E85" s="23" t="str">
        <f>IFERROR(__xludf.DUMMYFUNCTION("GOOGLETRANSLATE(B85, ""en"", ""ru"")"),"Требуется новое имя.")</f>
        <v>Требуется новое имя.</v>
      </c>
      <c r="F85" s="23" t="str">
        <f>IFERROR(__xludf.DUMMYFUNCTION("GOOGLETRANSLATE(B85, ""en"", ""tr"")"),"Yeni isim gerekli.")</f>
        <v>Yeni isim gerekli.</v>
      </c>
      <c r="G85" s="23" t="str">
        <f>IFERROR(__xludf.DUMMYFUNCTION("GOOGLETRANSLATE(B85, ""en"", ""pt"")"),"Novo nome necessário.")</f>
        <v>Novo nome necessário.</v>
      </c>
      <c r="H85" s="24" t="str">
        <f>IFERROR(__xludf.DUMMYFUNCTION("GOOGLETRANSLATE(B85, ""en"", ""de"")"),"Neuer Name erforderlich.")</f>
        <v>Neuer Name erforderlich.</v>
      </c>
      <c r="I85" s="23" t="str">
        <f>IFERROR(__xludf.DUMMYFUNCTION("GOOGLETRANSLATE(B85, ""en"", ""pl"")"),"Wymagana nowa nazwa.")</f>
        <v>Wymagana nowa nazwa.</v>
      </c>
      <c r="J85" s="25" t="str">
        <f>IFERROR(__xludf.DUMMYFUNCTION("GOOGLETRANSLATE(B85, ""en"", ""zh"")"),"需要新名称。")</f>
        <v>需要新名称。</v>
      </c>
      <c r="K85" s="25" t="str">
        <f>IFERROR(__xludf.DUMMYFUNCTION("GOOGLETRANSLATE(B85, ""en"", ""vi"")"),"Tên mới cần thiết.")</f>
        <v>Tên mới cần thiết.</v>
      </c>
      <c r="L85" s="26" t="str">
        <f>IFERROR(__xludf.DUMMYFUNCTION("GOOGLETRANSLATE(B85, ""en"", ""hr"")"),"Potrebno je novo ime.")</f>
        <v>Potrebno je novo ime.</v>
      </c>
      <c r="M85" s="28"/>
      <c r="N85" s="28"/>
      <c r="O85" s="28"/>
      <c r="P85" s="28"/>
      <c r="Q85" s="28"/>
      <c r="R85" s="28"/>
      <c r="S85" s="28"/>
      <c r="T85" s="28"/>
      <c r="U85" s="28"/>
      <c r="V85" s="28"/>
      <c r="W85" s="28"/>
      <c r="X85" s="28"/>
      <c r="Y85" s="28"/>
      <c r="Z85" s="28"/>
      <c r="AA85" s="28"/>
      <c r="AB85" s="28"/>
    </row>
    <row r="86">
      <c r="A86" s="21" t="s">
        <v>177</v>
      </c>
      <c r="B86" s="22" t="s">
        <v>178</v>
      </c>
      <c r="C86" s="23" t="s">
        <v>179</v>
      </c>
      <c r="D86" s="23" t="str">
        <f>IFERROR(__xludf.DUMMYFUNCTION("GOOGLETRANSLATE(B86, ""en"", ""es"")"),"El nuevo nombre debe ser diferente al nombre de la corriente.")</f>
        <v>El nuevo nombre debe ser diferente al nombre de la corriente.</v>
      </c>
      <c r="E86" s="23" t="str">
        <f>IFERROR(__xludf.DUMMYFUNCTION("GOOGLETRANSLATE(B86, ""en"", ""ru"")"),"Новое имя должно отличаться от текущего имени.")</f>
        <v>Новое имя должно отличаться от текущего имени.</v>
      </c>
      <c r="F86" s="23" t="str">
        <f>IFERROR(__xludf.DUMMYFUNCTION("GOOGLETRANSLATE(B86, ""en"", ""tr"")"),"Yeni ad, geçerli addan farklı olmalıdır.")</f>
        <v>Yeni ad, geçerli addan farklı olmalıdır.</v>
      </c>
      <c r="G86" s="23" t="str">
        <f>IFERROR(__xludf.DUMMYFUNCTION("GOOGLETRANSLATE(B86, ""en"", ""pt"")"),"Novo nome deve ser diferente do nome atual.")</f>
        <v>Novo nome deve ser diferente do nome atual.</v>
      </c>
      <c r="H86" s="24" t="str">
        <f>IFERROR(__xludf.DUMMYFUNCTION("GOOGLETRANSLATE(B86, ""en"", ""de"")"),"Der neue Name muss anders sein als der aktuelle Name.")</f>
        <v>Der neue Name muss anders sein als der aktuelle Name.</v>
      </c>
      <c r="I86" s="23" t="str">
        <f>IFERROR(__xludf.DUMMYFUNCTION("GOOGLETRANSLATE(B86, ""en"", ""pl"")"),"Nowa nazwa musi być inna niż obecna nazwa.")</f>
        <v>Nowa nazwa musi być inna niż obecna nazwa.</v>
      </c>
      <c r="J86" s="25" t="str">
        <f>IFERROR(__xludf.DUMMYFUNCTION("GOOGLETRANSLATE(B86, ""en"", ""zh"")"),"新名称必须与当前名称不同。")</f>
        <v>新名称必须与当前名称不同。</v>
      </c>
      <c r="K86" s="25" t="str">
        <f>IFERROR(__xludf.DUMMYFUNCTION("GOOGLETRANSLATE(B86, ""en"", ""vi"")"),"Tên mới phải khác với tên hiện tại.")</f>
        <v>Tên mới phải khác với tên hiện tại.</v>
      </c>
      <c r="L86" s="26" t="str">
        <f>IFERROR(__xludf.DUMMYFUNCTION("GOOGLETRANSLATE(B86, ""en"", ""hr"")"),"Novo ime mora biti drugačije od trenutnog imena.")</f>
        <v>Novo ime mora biti drugačije od trenutnog imena.</v>
      </c>
      <c r="M86" s="28"/>
      <c r="N86" s="28"/>
      <c r="O86" s="28"/>
      <c r="P86" s="28"/>
      <c r="Q86" s="28"/>
      <c r="R86" s="28"/>
      <c r="S86" s="28"/>
      <c r="T86" s="28"/>
      <c r="U86" s="28"/>
      <c r="V86" s="28"/>
      <c r="W86" s="28"/>
      <c r="X86" s="28"/>
      <c r="Y86" s="28"/>
      <c r="Z86" s="28"/>
      <c r="AA86" s="28"/>
      <c r="AB86" s="28"/>
    </row>
    <row r="87">
      <c r="A87" s="21" t="s">
        <v>180</v>
      </c>
      <c r="B87" s="22" t="s">
        <v>181</v>
      </c>
      <c r="C87" s="23" t="s">
        <v>182</v>
      </c>
      <c r="D87" s="23" t="str">
        <f>IFERROR(__xludf.DUMMYFUNCTION("GOOGLETRANSLATE(B87, ""en"", ""es"")"),"Nombre del personaje cambiado.")</f>
        <v>Nombre del personaje cambiado.</v>
      </c>
      <c r="E87" s="23" t="str">
        <f>IFERROR(__xludf.DUMMYFUNCTION("GOOGLETRANSLATE(B87, ""en"", ""ru"")"),"Имя персонажа изменилось.")</f>
        <v>Имя персонажа изменилось.</v>
      </c>
      <c r="F87" s="23" t="str">
        <f>IFERROR(__xludf.DUMMYFUNCTION("GOOGLETRANSLATE(B87, ""en"", ""tr"")"),"Karakter adı değişti.")</f>
        <v>Karakter adı değişti.</v>
      </c>
      <c r="G87" s="23" t="str">
        <f>IFERROR(__xludf.DUMMYFUNCTION("GOOGLETRANSLATE(B87, ""en"", ""pt"")"),"Nome do personagem alterado.")</f>
        <v>Nome do personagem alterado.</v>
      </c>
      <c r="H87" s="24" t="str">
        <f>IFERROR(__xludf.DUMMYFUNCTION("GOOGLETRANSLATE(B87, ""en"", ""de"")"),"Zeichenname wurde geändert.")</f>
        <v>Zeichenname wurde geändert.</v>
      </c>
      <c r="I87" s="23" t="str">
        <f>IFERROR(__xludf.DUMMYFUNCTION("GOOGLETRANSLATE(B87, ""en"", ""pl"")"),"Zmieniono nazwę znaku.")</f>
        <v>Zmieniono nazwę znaku.</v>
      </c>
      <c r="J87" s="25" t="str">
        <f>IFERROR(__xludf.DUMMYFUNCTION("GOOGLETRANSLATE(B87, ""en"", ""zh"")"),"字符名称已更改。")</f>
        <v>字符名称已更改。</v>
      </c>
      <c r="K87" s="25" t="str">
        <f>IFERROR(__xludf.DUMMYFUNCTION("GOOGLETRANSLATE(B87, ""en"", ""vi"")"),"Tên nhân vật đã thay đổi.")</f>
        <v>Tên nhân vật đã thay đổi.</v>
      </c>
      <c r="L87" s="26" t="str">
        <f>IFERROR(__xludf.DUMMYFUNCTION("GOOGLETRANSLATE(B87, ""en"", ""hr"")"),"Ime znakova promijenio.")</f>
        <v>Ime znakova promijenio.</v>
      </c>
      <c r="M87" s="28"/>
      <c r="N87" s="28"/>
      <c r="O87" s="28"/>
      <c r="P87" s="28"/>
      <c r="Q87" s="28"/>
      <c r="R87" s="28"/>
      <c r="S87" s="28"/>
      <c r="T87" s="28"/>
      <c r="U87" s="28"/>
      <c r="V87" s="28"/>
      <c r="W87" s="28"/>
      <c r="X87" s="28"/>
      <c r="Y87" s="28"/>
      <c r="Z87" s="28"/>
      <c r="AA87" s="28"/>
      <c r="AB87" s="28"/>
    </row>
    <row r="88">
      <c r="A88" s="21" t="s">
        <v>183</v>
      </c>
      <c r="B88" s="22" t="s">
        <v>184</v>
      </c>
      <c r="C88" s="23" t="str">
        <f>IFERROR(__xludf.DUMMYFUNCTION("GOOGLETRANSLATE(B88, ""en"", ""fr"")"),"Acheter des articles")</f>
        <v>Acheter des articles</v>
      </c>
      <c r="D88" s="23" t="str">
        <f>IFERROR(__xludf.DUMMYFUNCTION("GOOGLETRANSLATE(B88, ""en"", ""es"")"),"Artículos de compra")</f>
        <v>Artículos de compra</v>
      </c>
      <c r="E88" s="23" t="str">
        <f>IFERROR(__xludf.DUMMYFUNCTION("GOOGLETRANSLATE(B88, ""en"", ""ru"")"),"Покупка предметов")</f>
        <v>Покупка предметов</v>
      </c>
      <c r="F88" s="23" t="str">
        <f>IFERROR(__xludf.DUMMYFUNCTION("GOOGLETRANSLATE(B88, ""en"", ""tr"")"),"Ürün satın alma")</f>
        <v>Ürün satın alma</v>
      </c>
      <c r="G88" s="23" t="str">
        <f>IFERROR(__xludf.DUMMYFUNCTION("GOOGLETRANSLATE(B88, ""en"", ""pt"")"),"Comprando itens")</f>
        <v>Comprando itens</v>
      </c>
      <c r="H88" s="24" t="str">
        <f>IFERROR(__xludf.DUMMYFUNCTION("GOOGLETRANSLATE(B88, ""en"", ""de"")"),"Artikel kaufen.")</f>
        <v>Artikel kaufen.</v>
      </c>
      <c r="I88" s="23" t="str">
        <f>IFERROR(__xludf.DUMMYFUNCTION("GOOGLETRANSLATE(B88, ""en"", ""pl"")"),"Kupowanie przedmiotów")</f>
        <v>Kupowanie przedmiotów</v>
      </c>
      <c r="J88" s="25" t="str">
        <f>IFERROR(__xludf.DUMMYFUNCTION("GOOGLETRANSLATE(B88, ""en"", ""zh"")"),"购买物品")</f>
        <v>购买物品</v>
      </c>
      <c r="K88" s="25" t="str">
        <f>IFERROR(__xludf.DUMMYFUNCTION("GOOGLETRANSLATE(B88, ""en"", ""vi"")"),"Mua vật phẩm")</f>
        <v>Mua vật phẩm</v>
      </c>
      <c r="L88" s="26" t="str">
        <f>IFERROR(__xludf.DUMMYFUNCTION("GOOGLETRANSLATE(B88, ""en"", ""hr"")"),"Kupnja stavki")</f>
        <v>Kupnja stavki</v>
      </c>
      <c r="M88" s="28"/>
      <c r="N88" s="28"/>
      <c r="O88" s="28"/>
      <c r="P88" s="28"/>
      <c r="Q88" s="28"/>
      <c r="R88" s="28"/>
      <c r="S88" s="28"/>
      <c r="T88" s="28"/>
      <c r="U88" s="28"/>
      <c r="V88" s="28"/>
      <c r="W88" s="28"/>
      <c r="X88" s="28"/>
      <c r="Y88" s="28"/>
      <c r="Z88" s="28"/>
      <c r="AA88" s="28"/>
      <c r="AB88" s="28"/>
    </row>
    <row r="89">
      <c r="A89" s="21" t="s">
        <v>185</v>
      </c>
      <c r="B89" s="22" t="s">
        <v>186</v>
      </c>
      <c r="C89" s="23" t="s">
        <v>187</v>
      </c>
      <c r="D89" s="23" t="str">
        <f>IFERROR(__xludf.DUMMYFUNCTION("GOOGLETRANSLATE(B89, ""en"", ""es"")"),"Reunión")</f>
        <v>Reunión</v>
      </c>
      <c r="E89" s="23" t="str">
        <f>IFERROR(__xludf.DUMMYFUNCTION("GOOGLETRANSLATE(B89, ""en"", ""ru"")"),"Встреча")</f>
        <v>Встреча</v>
      </c>
      <c r="F89" s="23" t="str">
        <f>IFERROR(__xludf.DUMMYFUNCTION("GOOGLETRANSLATE(B89, ""en"", ""tr"")"),"Toplanma")</f>
        <v>Toplanma</v>
      </c>
      <c r="G89" s="23" t="str">
        <f>IFERROR(__xludf.DUMMYFUNCTION("GOOGLETRANSLATE(B89, ""en"", ""pt"")"),"Reunião")</f>
        <v>Reunião</v>
      </c>
      <c r="H89" s="24" t="str">
        <f>IFERROR(__xludf.DUMMYFUNCTION("GOOGLETRANSLATE(B89, ""en"", ""de"")"),"Sammeln")</f>
        <v>Sammeln</v>
      </c>
      <c r="I89" s="23" t="str">
        <f>IFERROR(__xludf.DUMMYFUNCTION("GOOGLETRANSLATE(B89, ""en"", ""pl"")"),"Zgromadzenie")</f>
        <v>Zgromadzenie</v>
      </c>
      <c r="J89" s="25" t="str">
        <f>IFERROR(__xludf.DUMMYFUNCTION("GOOGLETRANSLATE(B89, ""en"", ""zh"")"),"搜集")</f>
        <v>搜集</v>
      </c>
      <c r="K89" s="25" t="str">
        <f>IFERROR(__xludf.DUMMYFUNCTION("GOOGLETRANSLATE(B89, ""en"", ""vi"")"),"Thu thập")</f>
        <v>Thu thập</v>
      </c>
      <c r="L89" s="26" t="str">
        <f>IFERROR(__xludf.DUMMYFUNCTION("GOOGLETRANSLATE(B89, ""en"", ""hr"")"),"Prikupljanje")</f>
        <v>Prikupljanje</v>
      </c>
      <c r="M89" s="28"/>
      <c r="N89" s="28"/>
      <c r="O89" s="28"/>
      <c r="P89" s="28"/>
      <c r="Q89" s="28"/>
      <c r="R89" s="28"/>
      <c r="S89" s="28"/>
      <c r="T89" s="28"/>
      <c r="U89" s="28"/>
      <c r="V89" s="28"/>
      <c r="W89" s="28"/>
      <c r="X89" s="28"/>
      <c r="Y89" s="28"/>
      <c r="Z89" s="28"/>
      <c r="AA89" s="28"/>
      <c r="AB89" s="28"/>
    </row>
    <row r="90">
      <c r="A90" s="21" t="s">
        <v>188</v>
      </c>
      <c r="B90" s="22" t="s">
        <v>189</v>
      </c>
      <c r="C90" s="23" t="str">
        <f>IFERROR(__xludf.DUMMYFUNCTION("GOOGLETRANSLATE(B90, ""en"", ""fr"")"),"Vêtements d'artisanat")</f>
        <v>Vêtements d'artisanat</v>
      </c>
      <c r="D90" s="23" t="str">
        <f>IFERROR(__xludf.DUMMYFUNCTION("GOOGLETRANSLATE(B90, ""en"", ""es"")"),"Crafting Ropa")</f>
        <v>Crafting Ropa</v>
      </c>
      <c r="E90" s="23" t="str">
        <f>IFERROR(__xludf.DUMMYFUNCTION("GOOGLETRANSLATE(B90, ""en"", ""ru"")"),"Одежда для крафта")</f>
        <v>Одежда для крафта</v>
      </c>
      <c r="F90" s="23" t="str">
        <f>IFERROR(__xludf.DUMMYFUNCTION("GOOGLETRANSLATE(B90, ""en"", ""tr"")"),"İşçiliği kıyafetleri")</f>
        <v>İşçiliği kıyafetleri</v>
      </c>
      <c r="G90" s="23" t="str">
        <f>IFERROR(__xludf.DUMMYFUNCTION("GOOGLETRANSLATE(B90, ""en"", ""pt"")"),"Artesanalmente roupas")</f>
        <v>Artesanalmente roupas</v>
      </c>
      <c r="H90" s="24" t="str">
        <f>IFERROR(__xludf.DUMMYFUNCTION("GOOGLETRANSLATE(B90, ""en"", ""de"")"),"Kräuselende Kleidung")</f>
        <v>Kräuselende Kleidung</v>
      </c>
      <c r="I90" s="23" t="str">
        <f>IFERROR(__xludf.DUMMYFUNCTION("GOOGLETRANSLATE(B90, ""en"", ""pl"")"),"Odzież rzemieślnicza")</f>
        <v>Odzież rzemieślnicza</v>
      </c>
      <c r="J90" s="25" t="str">
        <f>IFERROR(__xludf.DUMMYFUNCTION("GOOGLETRANSLATE(B90, ""en"", ""zh"")"),"制作衣服")</f>
        <v>制作衣服</v>
      </c>
      <c r="K90" s="25" t="str">
        <f>IFERROR(__xludf.DUMMYFUNCTION("GOOGLETRANSLATE(B90, ""en"", ""vi"")"),"Chế tạo quần áo")</f>
        <v>Chế tạo quần áo</v>
      </c>
      <c r="L90" s="26" t="str">
        <f>IFERROR(__xludf.DUMMYFUNCTION("GOOGLETRANSLATE(B90, ""en"", ""hr"")"),"Odjeća za izradu")</f>
        <v>Odjeća za izradu</v>
      </c>
      <c r="M90" s="28"/>
      <c r="N90" s="28"/>
      <c r="O90" s="28"/>
      <c r="P90" s="28"/>
      <c r="Q90" s="28"/>
      <c r="R90" s="28"/>
      <c r="S90" s="28"/>
      <c r="T90" s="28"/>
      <c r="U90" s="28"/>
      <c r="V90" s="28"/>
      <c r="W90" s="28"/>
      <c r="X90" s="28"/>
      <c r="Y90" s="28"/>
      <c r="Z90" s="28"/>
      <c r="AA90" s="28"/>
      <c r="AB90" s="28"/>
    </row>
    <row r="91">
      <c r="A91" s="21" t="s">
        <v>190</v>
      </c>
      <c r="B91" s="22" t="s">
        <v>191</v>
      </c>
      <c r="C91" s="23" t="str">
        <f>IFERROR(__xludf.DUMMYFUNCTION("GOOGLETRANSLATE(B91, ""en"", ""fr"")"),"Crafting Barres métalliques")</f>
        <v>Crafting Barres métalliques</v>
      </c>
      <c r="D91" s="23" t="str">
        <f>IFERROR(__xludf.DUMMYFUNCTION("GOOGLETRANSLATE(B91, ""en"", ""es"")"),"Elaboración de barras de metal")</f>
        <v>Elaboración de barras de metal</v>
      </c>
      <c r="E91" s="23" t="str">
        <f>IFERROR(__xludf.DUMMYFUNCTION("GOOGLETRANSLATE(B91, ""en"", ""ru"")"),"Ремесленные металлические бары")</f>
        <v>Ремесленные металлические бары</v>
      </c>
      <c r="F91" s="23" t="str">
        <f>IFERROR(__xludf.DUMMYFUNCTION("GOOGLETRANSLATE(B91, ""en"", ""tr"")"),"Metal çubuklar işçiliği")</f>
        <v>Metal çubuklar işçiliği</v>
      </c>
      <c r="G91" s="23" t="str">
        <f>IFERROR(__xludf.DUMMYFUNCTION("GOOGLETRANSLATE(B91, ""en"", ""pt"")"),"Crafting Metal Bars.")</f>
        <v>Crafting Metal Bars.</v>
      </c>
      <c r="H91" s="24" t="str">
        <f>IFERROR(__xludf.DUMMYFUNCTION("GOOGLETRANSLATE(B91, ""en"", ""de"")"),"Metallstäbe basteln.")</f>
        <v>Metallstäbe basteln.</v>
      </c>
      <c r="I91" s="23" t="str">
        <f>IFERROR(__xludf.DUMMYFUNCTION("GOOGLETRANSLATE(B91, ""en"", ""pl"")"),"Crafting metalowe pręty")</f>
        <v>Crafting metalowe pręty</v>
      </c>
      <c r="J91" s="25" t="str">
        <f>IFERROR(__xludf.DUMMYFUNCTION("GOOGLETRANSLATE(B91, ""en"", ""zh"")"),"制作金属棒")</f>
        <v>制作金属棒</v>
      </c>
      <c r="K91" s="25" t="str">
        <f>IFERROR(__xludf.DUMMYFUNCTION("GOOGLETRANSLATE(B91, ""en"", ""vi"")"),"Crafting Metal Bars.")</f>
        <v>Crafting Metal Bars.</v>
      </c>
      <c r="L91" s="26" t="str">
        <f>IFERROR(__xludf.DUMMYFUNCTION("GOOGLETRANSLATE(B91, ""en"", ""hr"")"),"Crafting Metal Bars")</f>
        <v>Crafting Metal Bars</v>
      </c>
      <c r="M91" s="28"/>
      <c r="N91" s="28"/>
      <c r="O91" s="28"/>
      <c r="P91" s="28"/>
      <c r="Q91" s="28"/>
      <c r="R91" s="28"/>
      <c r="S91" s="28"/>
      <c r="T91" s="28"/>
      <c r="U91" s="28"/>
      <c r="V91" s="28"/>
      <c r="W91" s="28"/>
      <c r="X91" s="28"/>
      <c r="Y91" s="28"/>
      <c r="Z91" s="28"/>
      <c r="AA91" s="28"/>
      <c r="AB91" s="28"/>
    </row>
    <row r="92">
      <c r="A92" s="21" t="s">
        <v>192</v>
      </c>
      <c r="B92" s="22" t="s">
        <v>193</v>
      </c>
      <c r="C92" s="23" t="str">
        <f>IFERROR(__xludf.DUMMYFUNCTION("GOOGLETRANSLATE(B92, ""en"", ""fr"")"),"Armes d'artisanat")</f>
        <v>Armes d'artisanat</v>
      </c>
      <c r="D92" s="23" t="str">
        <f>IFERROR(__xludf.DUMMYFUNCTION("GOOGLETRANSLATE(B92, ""en"", ""es"")"),"Armas de elaboración")</f>
        <v>Armas de elaboración</v>
      </c>
      <c r="E92" s="23" t="str">
        <f>IFERROR(__xludf.DUMMYFUNCTION("GOOGLETRANSLATE(B92, ""en"", ""ru"")"),"Оручье оружие")</f>
        <v>Оручье оружие</v>
      </c>
      <c r="F92" s="23" t="str">
        <f>IFERROR(__xludf.DUMMYFUNCTION("GOOGLETRANSLATE(B92, ""en"", ""tr"")"),"Silah işçiliği")</f>
        <v>Silah işçiliği</v>
      </c>
      <c r="G92" s="23" t="str">
        <f>IFERROR(__xludf.DUMMYFUNCTION("GOOGLETRANSLATE(B92, ""en"", ""pt"")"),"Armas de artesanato")</f>
        <v>Armas de artesanato</v>
      </c>
      <c r="H92" s="24" t="str">
        <f>IFERROR(__xludf.DUMMYFUNCTION("GOOGLETRANSLATE(B92, ""en"", ""de"")"),"Waffen baulenzen.")</f>
        <v>Waffen baulenzen.</v>
      </c>
      <c r="I92" s="23" t="str">
        <f>IFERROR(__xludf.DUMMYFUNCTION("GOOGLETRANSLATE(B92, ""en"", ""pl"")"),"Crafting Weapons.")</f>
        <v>Crafting Weapons.</v>
      </c>
      <c r="J92" s="25" t="str">
        <f>IFERROR(__xludf.DUMMYFUNCTION("GOOGLETRANSLATE(B92, ""en"", ""zh"")"),"制作武器")</f>
        <v>制作武器</v>
      </c>
      <c r="K92" s="25" t="str">
        <f>IFERROR(__xludf.DUMMYFUNCTION("GOOGLETRANSLATE(B92, ""en"", ""vi"")"),"Vũ khí chế tạo")</f>
        <v>Vũ khí chế tạo</v>
      </c>
      <c r="L92" s="26" t="str">
        <f>IFERROR(__xludf.DUMMYFUNCTION("GOOGLETRANSLATE(B92, ""en"", ""hr"")"),"Izraditi oružje")</f>
        <v>Izraditi oružje</v>
      </c>
      <c r="M92" s="28"/>
      <c r="N92" s="28"/>
      <c r="O92" s="28"/>
      <c r="P92" s="28"/>
      <c r="Q92" s="28"/>
      <c r="R92" s="28"/>
      <c r="S92" s="28"/>
      <c r="T92" s="28"/>
      <c r="U92" s="28"/>
      <c r="V92" s="28"/>
      <c r="W92" s="28"/>
      <c r="X92" s="28"/>
      <c r="Y92" s="28"/>
      <c r="Z92" s="28"/>
      <c r="AA92" s="28"/>
      <c r="AB92" s="28"/>
    </row>
    <row r="93">
      <c r="A93" s="21" t="s">
        <v>194</v>
      </c>
      <c r="B93" s="22" t="s">
        <v>195</v>
      </c>
      <c r="C93" s="23" t="str">
        <f>IFERROR(__xludf.DUMMYFUNCTION("GOOGLETRANSLATE(B93, ""en"", ""fr"")"),"Bancaire")</f>
        <v>Bancaire</v>
      </c>
      <c r="D93" s="23" t="str">
        <f>IFERROR(__xludf.DUMMYFUNCTION("GOOGLETRANSLATE(B93, ""en"", ""es"")"),"Bancario")</f>
        <v>Bancario</v>
      </c>
      <c r="E93" s="23" t="str">
        <f>IFERROR(__xludf.DUMMYFUNCTION("GOOGLETRANSLATE(B93, ""en"", ""ru"")"),"Банковское дело")</f>
        <v>Банковское дело</v>
      </c>
      <c r="F93" s="23" t="str">
        <f>IFERROR(__xludf.DUMMYFUNCTION("GOOGLETRANSLATE(B93, ""en"", ""tr"")"),"Bankacılık")</f>
        <v>Bankacılık</v>
      </c>
      <c r="G93" s="23" t="str">
        <f>IFERROR(__xludf.DUMMYFUNCTION("GOOGLETRANSLATE(B93, ""en"", ""pt"")"),"Bancário")</f>
        <v>Bancário</v>
      </c>
      <c r="H93" s="24" t="str">
        <f>IFERROR(__xludf.DUMMYFUNCTION("GOOGLETRANSLATE(B93, ""en"", ""de"")"),"Banken")</f>
        <v>Banken</v>
      </c>
      <c r="I93" s="23" t="str">
        <f>IFERROR(__xludf.DUMMYFUNCTION("GOOGLETRANSLATE(B93, ""en"", ""pl"")"),"Bankowość")</f>
        <v>Bankowość</v>
      </c>
      <c r="J93" s="25" t="str">
        <f>IFERROR(__xludf.DUMMYFUNCTION("GOOGLETRANSLATE(B93, ""en"", ""zh"")"),"银行业")</f>
        <v>银行业</v>
      </c>
      <c r="K93" s="25" t="str">
        <f>IFERROR(__xludf.DUMMYFUNCTION("GOOGLETRANSLATE(B93, ""en"", ""vi"")"),"Ngân hàng.")</f>
        <v>Ngân hàng.</v>
      </c>
      <c r="L93" s="26" t="str">
        <f>IFERROR(__xludf.DUMMYFUNCTION("GOOGLETRANSLATE(B93, ""en"", ""hr"")"),"Bankarstvo")</f>
        <v>Bankarstvo</v>
      </c>
      <c r="M93" s="28"/>
      <c r="N93" s="28"/>
      <c r="O93" s="28"/>
      <c r="P93" s="28"/>
      <c r="Q93" s="28"/>
      <c r="R93" s="28"/>
      <c r="S93" s="28"/>
      <c r="T93" s="28"/>
      <c r="U93" s="28"/>
      <c r="V93" s="28"/>
      <c r="W93" s="28"/>
      <c r="X93" s="28"/>
      <c r="Y93" s="28"/>
      <c r="Z93" s="28"/>
      <c r="AA93" s="28"/>
      <c r="AB93" s="28"/>
    </row>
    <row r="94">
      <c r="A94" s="21" t="s">
        <v>196</v>
      </c>
      <c r="B94" s="22" t="s">
        <v>197</v>
      </c>
      <c r="C94" s="23" t="str">
        <f>IFERROR(__xludf.DUMMYFUNCTION("GOOGLETRANSLATE(B94, ""en"", ""fr"")"),"Combat")</f>
        <v>Combat</v>
      </c>
      <c r="D94" s="23" t="str">
        <f>IFERROR(__xludf.DUMMYFUNCTION("GOOGLETRANSLATE(B94, ""en"", ""es"")"),"Combate")</f>
        <v>Combate</v>
      </c>
      <c r="E94" s="23" t="str">
        <f>IFERROR(__xludf.DUMMYFUNCTION("GOOGLETRANSLATE(B94, ""en"", ""ru"")"),"Бой")</f>
        <v>Бой</v>
      </c>
      <c r="F94" s="23" t="str">
        <f>IFERROR(__xludf.DUMMYFUNCTION("GOOGLETRANSLATE(B94, ""en"", ""tr"")"),"Mücâdele etmek")</f>
        <v>Mücâdele etmek</v>
      </c>
      <c r="G94" s="23" t="str">
        <f>IFERROR(__xludf.DUMMYFUNCTION("GOOGLETRANSLATE(B94, ""en"", ""pt"")"),"Combate")</f>
        <v>Combate</v>
      </c>
      <c r="H94" s="24" t="str">
        <f>IFERROR(__xludf.DUMMYFUNCTION("GOOGLETRANSLATE(B94, ""en"", ""de"")"),"Kampf")</f>
        <v>Kampf</v>
      </c>
      <c r="I94" s="23" t="str">
        <f>IFERROR(__xludf.DUMMYFUNCTION("GOOGLETRANSLATE(B94, ""en"", ""pl"")"),"Walka")</f>
        <v>Walka</v>
      </c>
      <c r="J94" s="25" t="str">
        <f>IFERROR(__xludf.DUMMYFUNCTION("GOOGLETRANSLATE(B94, ""en"", ""zh"")"),"战斗")</f>
        <v>战斗</v>
      </c>
      <c r="K94" s="25" t="str">
        <f>IFERROR(__xludf.DUMMYFUNCTION("GOOGLETRANSLATE(B94, ""en"", ""vi"")"),"Chiến đấu")</f>
        <v>Chiến đấu</v>
      </c>
      <c r="L94" s="26" t="str">
        <f>IFERROR(__xludf.DUMMYFUNCTION("GOOGLETRANSLATE(B94, ""en"", ""hr"")"),"Borba")</f>
        <v>Borba</v>
      </c>
      <c r="M94" s="28"/>
      <c r="N94" s="28"/>
      <c r="O94" s="28"/>
      <c r="P94" s="28"/>
      <c r="Q94" s="28"/>
      <c r="R94" s="28"/>
      <c r="S94" s="28"/>
      <c r="T94" s="28"/>
      <c r="U94" s="28"/>
      <c r="V94" s="28"/>
      <c r="W94" s="28"/>
      <c r="X94" s="28"/>
      <c r="Y94" s="28"/>
      <c r="Z94" s="28"/>
      <c r="AA94" s="28"/>
      <c r="AB94" s="28"/>
    </row>
    <row r="95">
      <c r="A95" s="21" t="s">
        <v>198</v>
      </c>
      <c r="B95" s="22" t="s">
        <v>199</v>
      </c>
      <c r="C95" s="23" t="str">
        <f>IFERROR(__xludf.DUMMYFUNCTION("GOOGLETRANSLATE(B95, ""en"", ""fr"")"),"TOUS")</f>
        <v>TOUS</v>
      </c>
      <c r="D95" s="23" t="str">
        <f>IFERROR(__xludf.DUMMYFUNCTION("GOOGLETRANSLATE(B95, ""en"", ""es"")"),"TODOS")</f>
        <v>TODOS</v>
      </c>
      <c r="E95" s="23" t="str">
        <f>IFERROR(__xludf.DUMMYFUNCTION("GOOGLETRANSLATE(B95, ""en"", ""ru"")"),"ВСЕ")</f>
        <v>ВСЕ</v>
      </c>
      <c r="F95" s="23" t="str">
        <f>IFERROR(__xludf.DUMMYFUNCTION("GOOGLETRANSLATE(B95, ""en"", ""tr"")"),"HERŞEY")</f>
        <v>HERŞEY</v>
      </c>
      <c r="G95" s="23" t="str">
        <f>IFERROR(__xludf.DUMMYFUNCTION("GOOGLETRANSLATE(B95, ""en"", ""pt"")"),"TUDO")</f>
        <v>TUDO</v>
      </c>
      <c r="H95" s="24" t="str">
        <f>IFERROR(__xludf.DUMMYFUNCTION("GOOGLETRANSLATE(B95, ""en"", ""de"")"),"ALLE")</f>
        <v>ALLE</v>
      </c>
      <c r="I95" s="23" t="str">
        <f>IFERROR(__xludf.DUMMYFUNCTION("GOOGLETRANSLATE(B95, ""en"", ""pl"")"),"WSZYSTKO")</f>
        <v>WSZYSTKO</v>
      </c>
      <c r="J95" s="25" t="str">
        <f>IFERROR(__xludf.DUMMYFUNCTION("GOOGLETRANSLATE(B95, ""en"", ""zh"")"),"全部")</f>
        <v>全部</v>
      </c>
      <c r="K95" s="25" t="str">
        <f>IFERROR(__xludf.DUMMYFUNCTION("GOOGLETRANSLATE(B95, ""en"", ""vi"")"),"TẤT CẢ CÁC")</f>
        <v>TẤT CẢ CÁC</v>
      </c>
      <c r="L95" s="26" t="str">
        <f>IFERROR(__xludf.DUMMYFUNCTION("GOOGLETRANSLATE(B95, ""en"", ""hr"")"),"SVI")</f>
        <v>SVI</v>
      </c>
      <c r="M95" s="28"/>
      <c r="N95" s="28"/>
      <c r="O95" s="28"/>
      <c r="P95" s="28"/>
      <c r="Q95" s="28"/>
      <c r="R95" s="28"/>
      <c r="S95" s="28"/>
      <c r="T95" s="28"/>
      <c r="U95" s="28"/>
      <c r="V95" s="28"/>
      <c r="W95" s="28"/>
      <c r="X95" s="28"/>
      <c r="Y95" s="28"/>
      <c r="Z95" s="28"/>
      <c r="AA95" s="28"/>
      <c r="AB95" s="28"/>
    </row>
    <row r="96">
      <c r="A96" s="21" t="s">
        <v>200</v>
      </c>
      <c r="B96" s="22" t="s">
        <v>201</v>
      </c>
      <c r="C96" s="23" t="str">
        <f>IFERROR(__xludf.DUMMYFUNCTION("GOOGLETRANSLATE(B96, ""en"", ""fr"")"),"LOCAL")</f>
        <v>LOCAL</v>
      </c>
      <c r="D96" s="23" t="str">
        <f>IFERROR(__xludf.DUMMYFUNCTION("GOOGLETRANSLATE(B96, ""en"", ""es"")"),"LOCAL")</f>
        <v>LOCAL</v>
      </c>
      <c r="E96" s="23" t="str">
        <f>IFERROR(__xludf.DUMMYFUNCTION("GOOGLETRANSLATE(B96, ""en"", ""ru"")"),"МЕСТНЫЙ")</f>
        <v>МЕСТНЫЙ</v>
      </c>
      <c r="F96" s="23" t="str">
        <f>IFERROR(__xludf.DUMMYFUNCTION("GOOGLETRANSLATE(B96, ""en"", ""tr"")"),"YEREL")</f>
        <v>YEREL</v>
      </c>
      <c r="G96" s="23" t="str">
        <f>IFERROR(__xludf.DUMMYFUNCTION("GOOGLETRANSLATE(B96, ""en"", ""pt"")"),"LOCAL")</f>
        <v>LOCAL</v>
      </c>
      <c r="H96" s="24" t="str">
        <f>IFERROR(__xludf.DUMMYFUNCTION("GOOGLETRANSLATE(B96, ""en"", ""de"")"),"LOKAL")</f>
        <v>LOKAL</v>
      </c>
      <c r="I96" s="23" t="str">
        <f>IFERROR(__xludf.DUMMYFUNCTION("GOOGLETRANSLATE(B96, ""en"", ""pl"")"),"LOKALNY")</f>
        <v>LOKALNY</v>
      </c>
      <c r="J96" s="25" t="str">
        <f>IFERROR(__xludf.DUMMYFUNCTION("GOOGLETRANSLATE(B96, ""en"", ""zh"")"),"当地的")</f>
        <v>当地的</v>
      </c>
      <c r="K96" s="25" t="str">
        <f>IFERROR(__xludf.DUMMYFUNCTION("GOOGLETRANSLATE(B96, ""en"", ""vi"")"),"ĐỊA PHƯƠNG")</f>
        <v>ĐỊA PHƯƠNG</v>
      </c>
      <c r="L96" s="26" t="str">
        <f>IFERROR(__xludf.DUMMYFUNCTION("GOOGLETRANSLATE(B96, ""en"", ""hr"")"),"Lokalni")</f>
        <v>Lokalni</v>
      </c>
      <c r="M96" s="28"/>
      <c r="N96" s="28"/>
      <c r="O96" s="28"/>
      <c r="P96" s="28"/>
      <c r="Q96" s="28"/>
      <c r="R96" s="28"/>
      <c r="S96" s="28"/>
      <c r="T96" s="28"/>
      <c r="U96" s="28"/>
      <c r="V96" s="28"/>
      <c r="W96" s="28"/>
      <c r="X96" s="28"/>
      <c r="Y96" s="28"/>
      <c r="Z96" s="28"/>
      <c r="AA96" s="28"/>
      <c r="AB96" s="28"/>
    </row>
    <row r="97">
      <c r="A97" s="21" t="s">
        <v>202</v>
      </c>
      <c r="B97" s="22" t="s">
        <v>203</v>
      </c>
      <c r="C97" s="23" t="str">
        <f>IFERROR(__xludf.DUMMYFUNCTION("GOOGLETRANSLATE(B97, ""en"", ""fr"")"),"GLOBAL")</f>
        <v>GLOBAL</v>
      </c>
      <c r="D97" s="23" t="str">
        <f>IFERROR(__xludf.DUMMYFUNCTION("GOOGLETRANSLATE(B97, ""en"", ""es"")"),"GLOBAL")</f>
        <v>GLOBAL</v>
      </c>
      <c r="E97" s="23" t="str">
        <f>IFERROR(__xludf.DUMMYFUNCTION("GOOGLETRANSLATE(B97, ""en"", ""ru"")"),"ГЛОБАЛЬНЫЙ")</f>
        <v>ГЛОБАЛЬНЫЙ</v>
      </c>
      <c r="F97" s="23" t="str">
        <f>IFERROR(__xludf.DUMMYFUNCTION("GOOGLETRANSLATE(B97, ""en"", ""tr"")"),"Küresel")</f>
        <v>Küresel</v>
      </c>
      <c r="G97" s="23" t="str">
        <f>IFERROR(__xludf.DUMMYFUNCTION("GOOGLETRANSLATE(B97, ""en"", ""pt"")"),"GLOBAL")</f>
        <v>GLOBAL</v>
      </c>
      <c r="H97" s="24" t="str">
        <f>IFERROR(__xludf.DUMMYFUNCTION("GOOGLETRANSLATE(B97, ""en"", ""de"")"),"Global")</f>
        <v>Global</v>
      </c>
      <c r="I97" s="23" t="str">
        <f>IFERROR(__xludf.DUMMYFUNCTION("GOOGLETRANSLATE(B97, ""en"", ""pl"")"),"ŚWIATOWY")</f>
        <v>ŚWIATOWY</v>
      </c>
      <c r="J97" s="25" t="str">
        <f>IFERROR(__xludf.DUMMYFUNCTION("GOOGLETRANSLATE(B97, ""en"", ""zh"")"),"全球的")</f>
        <v>全球的</v>
      </c>
      <c r="K97" s="25" t="str">
        <f>IFERROR(__xludf.DUMMYFUNCTION("GOOGLETRANSLATE(B97, ""en"", ""vi"")"),"TOÀN CẦU")</f>
        <v>TOÀN CẦU</v>
      </c>
      <c r="L97" s="26" t="str">
        <f>IFERROR(__xludf.DUMMYFUNCTION("GOOGLETRANSLATE(B97, ""en"", ""hr"")"),"GLOBALNO")</f>
        <v>GLOBALNO</v>
      </c>
      <c r="M97" s="28"/>
      <c r="N97" s="28"/>
      <c r="O97" s="28"/>
      <c r="P97" s="28"/>
      <c r="Q97" s="28"/>
      <c r="R97" s="28"/>
      <c r="S97" s="28"/>
      <c r="T97" s="28"/>
      <c r="U97" s="28"/>
      <c r="V97" s="28"/>
      <c r="W97" s="28"/>
      <c r="X97" s="28"/>
      <c r="Y97" s="28"/>
      <c r="Z97" s="28"/>
      <c r="AA97" s="28"/>
      <c r="AB97" s="28"/>
    </row>
    <row r="98">
      <c r="A98" s="21" t="s">
        <v>204</v>
      </c>
      <c r="B98" s="22" t="s">
        <v>205</v>
      </c>
      <c r="C98" s="23" t="str">
        <f>IFERROR(__xludf.DUMMYFUNCTION("GOOGLETRANSLATE(B98, ""en"", ""fr"")"),"COMMERCE")</f>
        <v>COMMERCE</v>
      </c>
      <c r="D98" s="23" t="str">
        <f>IFERROR(__xludf.DUMMYFUNCTION("GOOGLETRANSLATE(B98, ""en"", ""es"")"),"COMERCIO")</f>
        <v>COMERCIO</v>
      </c>
      <c r="E98" s="23" t="str">
        <f>IFERROR(__xludf.DUMMYFUNCTION("GOOGLETRANSLATE(B98, ""en"", ""ru"")"),"ТОРГОВЛЯ")</f>
        <v>ТОРГОВЛЯ</v>
      </c>
      <c r="F98" s="23" t="str">
        <f>IFERROR(__xludf.DUMMYFUNCTION("GOOGLETRANSLATE(B98, ""en"", ""tr"")"),"TİCARET")</f>
        <v>TİCARET</v>
      </c>
      <c r="G98" s="23" t="str">
        <f>IFERROR(__xludf.DUMMYFUNCTION("GOOGLETRANSLATE(B98, ""en"", ""pt"")"),"TROCA")</f>
        <v>TROCA</v>
      </c>
      <c r="H98" s="24" t="str">
        <f>IFERROR(__xludf.DUMMYFUNCTION("GOOGLETRANSLATE(B98, ""en"", ""de"")"),"HANDEL")</f>
        <v>HANDEL</v>
      </c>
      <c r="I98" s="23" t="str">
        <f>IFERROR(__xludf.DUMMYFUNCTION("GOOGLETRANSLATE(B98, ""en"", ""pl"")"),"HANDEL")</f>
        <v>HANDEL</v>
      </c>
      <c r="J98" s="25" t="str">
        <f>IFERROR(__xludf.DUMMYFUNCTION("GOOGLETRANSLATE(B98, ""en"", ""zh"")"),"贸易")</f>
        <v>贸易</v>
      </c>
      <c r="K98" s="25" t="str">
        <f>IFERROR(__xludf.DUMMYFUNCTION("GOOGLETRANSLATE(B98, ""en"", ""vi"")"),"BUÔN BÁN")</f>
        <v>BUÔN BÁN</v>
      </c>
      <c r="L98" s="26" t="str">
        <f>IFERROR(__xludf.DUMMYFUNCTION("GOOGLETRANSLATE(B98, ""en"", ""hr"")"),"TRGOVINA")</f>
        <v>TRGOVINA</v>
      </c>
      <c r="M98" s="28"/>
      <c r="N98" s="28"/>
      <c r="O98" s="28"/>
      <c r="P98" s="28"/>
      <c r="Q98" s="28"/>
      <c r="R98" s="28"/>
      <c r="S98" s="28"/>
      <c r="T98" s="28"/>
      <c r="U98" s="28"/>
      <c r="V98" s="28"/>
      <c r="W98" s="28"/>
      <c r="X98" s="28"/>
      <c r="Y98" s="28"/>
      <c r="Z98" s="28"/>
      <c r="AA98" s="28"/>
      <c r="AB98" s="28"/>
    </row>
    <row r="99">
      <c r="A99" s="21" t="s">
        <v>206</v>
      </c>
      <c r="B99" s="22" t="s">
        <v>207</v>
      </c>
      <c r="C99" s="23" t="str">
        <f>IFERROR(__xludf.DUMMYFUNCTION("GOOGLETRANSLATE(B99, ""en"", ""fr"")"),"Entrez un message")</f>
        <v>Entrez un message</v>
      </c>
      <c r="D99" s="23" t="str">
        <f>IFERROR(__xludf.DUMMYFUNCTION("GOOGLETRANSLATE(B99, ""en"", ""es"")"),"Entrar en un mensaje")</f>
        <v>Entrar en un mensaje</v>
      </c>
      <c r="E99" s="23" t="str">
        <f>IFERROR(__xludf.DUMMYFUNCTION("GOOGLETRANSLATE(B99, ""en"", ""ru"")"),"Введите сообщение")</f>
        <v>Введите сообщение</v>
      </c>
      <c r="F99" s="23" t="str">
        <f>IFERROR(__xludf.DUMMYFUNCTION("GOOGLETRANSLATE(B99, ""en"", ""tr"")"),"Bir mesaj girin")</f>
        <v>Bir mesaj girin</v>
      </c>
      <c r="G99" s="23" t="str">
        <f>IFERROR(__xludf.DUMMYFUNCTION("GOOGLETRANSLATE(B99, ""en"", ""pt"")"),"Digite uma mensagem")</f>
        <v>Digite uma mensagem</v>
      </c>
      <c r="H99" s="24" t="str">
        <f>IFERROR(__xludf.DUMMYFUNCTION("GOOGLETRANSLATE(B99, ""en"", ""de"")"),"Eine Nachricht eingeben")</f>
        <v>Eine Nachricht eingeben</v>
      </c>
      <c r="I99" s="23" t="str">
        <f>IFERROR(__xludf.DUMMYFUNCTION("GOOGLETRANSLATE(B99, ""en"", ""pl"")"),"Wprowadź wiadomość")</f>
        <v>Wprowadź wiadomość</v>
      </c>
      <c r="J99" s="25" t="str">
        <f>IFERROR(__xludf.DUMMYFUNCTION("GOOGLETRANSLATE(B99, ""en"", ""zh"")"),"输入消息")</f>
        <v>输入消息</v>
      </c>
      <c r="K99" s="25" t="str">
        <f>IFERROR(__xludf.DUMMYFUNCTION("GOOGLETRANSLATE(B99, ""en"", ""vi"")"),"Nhập một thông báo")</f>
        <v>Nhập một thông báo</v>
      </c>
      <c r="L99" s="26" t="str">
        <f>IFERROR(__xludf.DUMMYFUNCTION("GOOGLETRANSLATE(B99, ""en"", ""hr"")"),"Unesite poruku")</f>
        <v>Unesite poruku</v>
      </c>
      <c r="M99" s="28"/>
      <c r="N99" s="28"/>
      <c r="O99" s="28"/>
      <c r="P99" s="28"/>
      <c r="Q99" s="28"/>
      <c r="R99" s="28"/>
      <c r="S99" s="28"/>
      <c r="T99" s="28"/>
      <c r="U99" s="28"/>
      <c r="V99" s="28"/>
      <c r="W99" s="28"/>
      <c r="X99" s="28"/>
      <c r="Y99" s="28"/>
      <c r="Z99" s="28"/>
      <c r="AA99" s="28"/>
      <c r="AB99" s="28"/>
    </row>
    <row r="100">
      <c r="A100" s="21" t="s">
        <v>208</v>
      </c>
      <c r="B100" s="22" t="s">
        <v>208</v>
      </c>
      <c r="C100" s="23" t="str">
        <f>IFERROR(__xludf.DUMMYFUNCTION("GOOGLETRANSLATE(B100, ""en"", ""fr"")"),"Refroidir")</f>
        <v>Refroidir</v>
      </c>
      <c r="D100" s="23" t="str">
        <f>IFERROR(__xludf.DUMMYFUNCTION("GOOGLETRANSLATE(B100, ""en"", ""es"")"),"Enfriarse")</f>
        <v>Enfriarse</v>
      </c>
      <c r="E100" s="23" t="str">
        <f>IFERROR(__xludf.DUMMYFUNCTION("GOOGLETRANSLATE(B100, ""en"", ""ru"")"),"Остыть")</f>
        <v>Остыть</v>
      </c>
      <c r="F100" s="23" t="str">
        <f>IFERROR(__xludf.DUMMYFUNCTION("GOOGLETRANSLATE(B100, ""en"", ""tr"")"),"Sakin ol")</f>
        <v>Sakin ol</v>
      </c>
      <c r="G100" s="23" t="str">
        <f>IFERROR(__xludf.DUMMYFUNCTION("GOOGLETRANSLATE(B100, ""en"", ""pt"")"),"Esfriar")</f>
        <v>Esfriar</v>
      </c>
      <c r="H100" s="24" t="str">
        <f>IFERROR(__xludf.DUMMYFUNCTION("GOOGLETRANSLATE(B100, ""en"", ""de"")"),"Abkühlen")</f>
        <v>Abkühlen</v>
      </c>
      <c r="I100" s="23" t="str">
        <f>IFERROR(__xludf.DUMMYFUNCTION("GOOGLETRANSLATE(B100, ""en"", ""pl"")"),"Ochłonąć")</f>
        <v>Ochłonąć</v>
      </c>
      <c r="J100" s="25" t="str">
        <f>IFERROR(__xludf.DUMMYFUNCTION("GOOGLETRANSLATE(B100, ""en"", ""zh"")"),"冷却")</f>
        <v>冷却</v>
      </c>
      <c r="K100" s="25" t="str">
        <f>IFERROR(__xludf.DUMMYFUNCTION("GOOGLETRANSLATE(B100, ""en"", ""vi"")"),"Nguội đi")</f>
        <v>Nguội đi</v>
      </c>
      <c r="L100" s="26" t="str">
        <f>IFERROR(__xludf.DUMMYFUNCTION("GOOGLETRANSLATE(B100, ""en"", ""hr"")"),"Smiri se")</f>
        <v>Smiri se</v>
      </c>
      <c r="M100" s="28"/>
      <c r="N100" s="28"/>
      <c r="O100" s="28"/>
      <c r="P100" s="28"/>
      <c r="Q100" s="28"/>
      <c r="R100" s="28"/>
      <c r="S100" s="28"/>
      <c r="T100" s="28"/>
      <c r="U100" s="28"/>
      <c r="V100" s="28"/>
      <c r="W100" s="28"/>
      <c r="X100" s="28"/>
      <c r="Y100" s="28"/>
      <c r="Z100" s="28"/>
      <c r="AA100" s="28"/>
      <c r="AB100" s="28"/>
    </row>
    <row r="101">
      <c r="A101" s="21" t="s">
        <v>209</v>
      </c>
      <c r="B101" s="22" t="s">
        <v>209</v>
      </c>
      <c r="C101" s="23" t="str">
        <f>IFERROR(__xludf.DUMMYFUNCTION("GOOGLETRANSLATE(B101, ""en"", ""fr"")"),"Envoi en cours")</f>
        <v>Envoi en cours</v>
      </c>
      <c r="D101" s="23" t="str">
        <f>IFERROR(__xludf.DUMMYFUNCTION("GOOGLETRANSLATE(B101, ""en"", ""es"")"),"Enviando")</f>
        <v>Enviando</v>
      </c>
      <c r="E101" s="23" t="str">
        <f>IFERROR(__xludf.DUMMYFUNCTION("GOOGLETRANSLATE(B101, ""en"", ""ru"")"),"Отправка")</f>
        <v>Отправка</v>
      </c>
      <c r="F101" s="23" t="str">
        <f>IFERROR(__xludf.DUMMYFUNCTION("GOOGLETRANSLATE(B101, ""en"", ""tr"")"),"Gönderme")</f>
        <v>Gönderme</v>
      </c>
      <c r="G101" s="23" t="str">
        <f>IFERROR(__xludf.DUMMYFUNCTION("GOOGLETRANSLATE(B101, ""en"", ""pt"")"),"Enviando")</f>
        <v>Enviando</v>
      </c>
      <c r="H101" s="24" t="str">
        <f>IFERROR(__xludf.DUMMYFUNCTION("GOOGLETRANSLATE(B101, ""en"", ""de"")"),"Sendend")</f>
        <v>Sendend</v>
      </c>
      <c r="I101" s="23" t="str">
        <f>IFERROR(__xludf.DUMMYFUNCTION("GOOGLETRANSLATE(B101, ""en"", ""pl"")"),"Wysyłanie")</f>
        <v>Wysyłanie</v>
      </c>
      <c r="J101" s="25" t="str">
        <f>IFERROR(__xludf.DUMMYFUNCTION("GOOGLETRANSLATE(B101, ""en"", ""zh"")"),"送")</f>
        <v>送</v>
      </c>
      <c r="K101" s="25" t="str">
        <f>IFERROR(__xludf.DUMMYFUNCTION("GOOGLETRANSLATE(B101, ""en"", ""vi"")"),"Gửi")</f>
        <v>Gửi</v>
      </c>
      <c r="L101" s="26" t="str">
        <f>IFERROR(__xludf.DUMMYFUNCTION("GOOGLETRANSLATE(B101, ""en"", ""hr"")"),"Slanje")</f>
        <v>Slanje</v>
      </c>
      <c r="M101" s="28"/>
      <c r="N101" s="28"/>
      <c r="O101" s="28"/>
      <c r="P101" s="28"/>
      <c r="Q101" s="28"/>
      <c r="R101" s="28"/>
      <c r="S101" s="28"/>
      <c r="T101" s="28"/>
      <c r="U101" s="28"/>
      <c r="V101" s="28"/>
      <c r="W101" s="28"/>
      <c r="X101" s="28"/>
      <c r="Y101" s="28"/>
      <c r="Z101" s="28"/>
      <c r="AA101" s="28"/>
      <c r="AB101" s="28"/>
    </row>
    <row r="102">
      <c r="A102" s="21" t="s">
        <v>210</v>
      </c>
      <c r="B102" s="22" t="s">
        <v>114</v>
      </c>
      <c r="C102" s="23" t="str">
        <f>IFERROR(__xludf.DUMMYFUNCTION("GOOGLETRANSLATE(B102, ""en"", ""fr"")"),"Statistiques")</f>
        <v>Statistiques</v>
      </c>
      <c r="D102" s="23" t="str">
        <f>IFERROR(__xludf.DUMMYFUNCTION("GOOGLETRANSLATE(B102, ""en"", ""es"")"),"Estadísticas")</f>
        <v>Estadísticas</v>
      </c>
      <c r="E102" s="23" t="str">
        <f>IFERROR(__xludf.DUMMYFUNCTION("GOOGLETRANSLATE(B102, ""en"", ""ru"")"),"Статистика")</f>
        <v>Статистика</v>
      </c>
      <c r="F102" s="23" t="str">
        <f>IFERROR(__xludf.DUMMYFUNCTION("GOOGLETRANSLATE(B102, ""en"", ""tr"")"),"İstatistikler")</f>
        <v>İstatistikler</v>
      </c>
      <c r="G102" s="23" t="str">
        <f>IFERROR(__xludf.DUMMYFUNCTION("GOOGLETRANSLATE(B102, ""en"", ""pt"")"),"Estatísticas")</f>
        <v>Estatísticas</v>
      </c>
      <c r="H102" s="24" t="str">
        <f>IFERROR(__xludf.DUMMYFUNCTION("GOOGLETRANSLATE(B102, ""en"", ""de"")"),"Statistiken")</f>
        <v>Statistiken</v>
      </c>
      <c r="I102" s="23" t="str">
        <f>IFERROR(__xludf.DUMMYFUNCTION("GOOGLETRANSLATE(B102, ""en"", ""pl"")"),"Statystyki")</f>
        <v>Statystyki</v>
      </c>
      <c r="J102" s="25" t="str">
        <f>IFERROR(__xludf.DUMMYFUNCTION("GOOGLETRANSLATE(B102, ""en"", ""zh"")"),"统计")</f>
        <v>统计</v>
      </c>
      <c r="K102" s="25" t="str">
        <f>IFERROR(__xludf.DUMMYFUNCTION("GOOGLETRANSLATE(B102, ""en"", ""vi"")"),"Số liệu thống kê")</f>
        <v>Số liệu thống kê</v>
      </c>
      <c r="L102" s="26" t="str">
        <f>IFERROR(__xludf.DUMMYFUNCTION("GOOGLETRANSLATE(B102, ""en"", ""hr"")"),"Statistika")</f>
        <v>Statistika</v>
      </c>
      <c r="M102" s="28"/>
      <c r="N102" s="28"/>
      <c r="O102" s="28"/>
      <c r="P102" s="28"/>
      <c r="Q102" s="28"/>
      <c r="R102" s="28"/>
      <c r="S102" s="28"/>
      <c r="T102" s="28"/>
      <c r="U102" s="28"/>
      <c r="V102" s="28"/>
      <c r="W102" s="28"/>
      <c r="X102" s="28"/>
      <c r="Y102" s="28"/>
      <c r="Z102" s="28"/>
      <c r="AA102" s="28"/>
      <c r="AB102" s="28"/>
    </row>
    <row r="103">
      <c r="A103" s="21" t="s">
        <v>211</v>
      </c>
      <c r="B103" s="22" t="s">
        <v>212</v>
      </c>
      <c r="C103" s="23" t="str">
        <f>IFERROR(__xludf.DUMMYFUNCTION("GOOGLETRANSLATE(B103, ""en"", ""fr"")"),"Banque")</f>
        <v>Banque</v>
      </c>
      <c r="D103" s="23" t="str">
        <f>IFERROR(__xludf.DUMMYFUNCTION("GOOGLETRANSLATE(B103, ""en"", ""es"")"),"Banco")</f>
        <v>Banco</v>
      </c>
      <c r="E103" s="23" t="str">
        <f>IFERROR(__xludf.DUMMYFUNCTION("GOOGLETRANSLATE(B103, ""en"", ""ru"")"),"банк")</f>
        <v>банк</v>
      </c>
      <c r="F103" s="23" t="str">
        <f>IFERROR(__xludf.DUMMYFUNCTION("GOOGLETRANSLATE(B103, ""en"", ""tr"")"),"Banka")</f>
        <v>Banka</v>
      </c>
      <c r="G103" s="23" t="str">
        <f>IFERROR(__xludf.DUMMYFUNCTION("GOOGLETRANSLATE(B103, ""en"", ""pt"")"),"Banco")</f>
        <v>Banco</v>
      </c>
      <c r="H103" s="24" t="str">
        <f>IFERROR(__xludf.DUMMYFUNCTION("GOOGLETRANSLATE(B103, ""en"", ""de"")"),"Bank")</f>
        <v>Bank</v>
      </c>
      <c r="I103" s="23" t="str">
        <f>IFERROR(__xludf.DUMMYFUNCTION("GOOGLETRANSLATE(B103, ""en"", ""pl"")"),"Bank")</f>
        <v>Bank</v>
      </c>
      <c r="J103" s="25" t="str">
        <f>IFERROR(__xludf.DUMMYFUNCTION("GOOGLETRANSLATE(B103, ""en"", ""zh"")"),"银行")</f>
        <v>银行</v>
      </c>
      <c r="K103" s="25" t="str">
        <f>IFERROR(__xludf.DUMMYFUNCTION("GOOGLETRANSLATE(B103, ""en"", ""vi"")"),"ngân hàng")</f>
        <v>ngân hàng</v>
      </c>
      <c r="L103" s="26" t="str">
        <f>IFERROR(__xludf.DUMMYFUNCTION("GOOGLETRANSLATE(B103, ""en"", ""hr"")"),"Banka")</f>
        <v>Banka</v>
      </c>
      <c r="M103" s="28"/>
      <c r="N103" s="28"/>
      <c r="O103" s="28"/>
      <c r="P103" s="28"/>
      <c r="Q103" s="28"/>
      <c r="R103" s="28"/>
      <c r="S103" s="28"/>
      <c r="T103" s="28"/>
      <c r="U103" s="28"/>
      <c r="V103" s="28"/>
      <c r="W103" s="28"/>
      <c r="X103" s="28"/>
      <c r="Y103" s="28"/>
      <c r="Z103" s="28"/>
      <c r="AA103" s="28"/>
      <c r="AB103" s="28"/>
    </row>
    <row r="104">
      <c r="A104" s="21" t="s">
        <v>213</v>
      </c>
      <c r="B104" s="22" t="s">
        <v>214</v>
      </c>
      <c r="C104" s="23" t="s">
        <v>215</v>
      </c>
      <c r="D104" s="23" t="str">
        <f>IFERROR(__xludf.DUMMYFUNCTION("GOOGLETRANSLATE(B104, ""en"", ""es"")"),"Deposite todos los artículos de inventario.")</f>
        <v>Deposite todos los artículos de inventario.</v>
      </c>
      <c r="E104" s="23" t="str">
        <f>IFERROR(__xludf.DUMMYFUNCTION("GOOGLETRANSLATE(B104, ""en"", ""ru"")"),"Депонируйте все предметы инвентаризации")</f>
        <v>Депонируйте все предметы инвентаризации</v>
      </c>
      <c r="F104" s="23" t="str">
        <f>IFERROR(__xludf.DUMMYFUNCTION("GOOGLETRANSLATE(B104, ""en"", ""tr"")"),"Tüm stok maddelerini yatırın")</f>
        <v>Tüm stok maddelerini yatırın</v>
      </c>
      <c r="G104" s="23" t="str">
        <f>IFERROR(__xludf.DUMMYFUNCTION("GOOGLETRANSLATE(B104, ""en"", ""pt"")"),"Depositar todos os itens de inventário")</f>
        <v>Depositar todos os itens de inventário</v>
      </c>
      <c r="H104" s="24" t="str">
        <f>IFERROR(__xludf.DUMMYFUNCTION("GOOGLETRANSLATE(B104, ""en"", ""de"")"),"Zerlegen Sie alle Inventarartikel")</f>
        <v>Zerlegen Sie alle Inventarartikel</v>
      </c>
      <c r="I104" s="23" t="str">
        <f>IFERROR(__xludf.DUMMYFUNCTION("GOOGLETRANSLATE(B104, ""en"", ""pl"")"),"Wpłać wszystkie elementy zapasów")</f>
        <v>Wpłać wszystkie elementy zapasów</v>
      </c>
      <c r="J104" s="25" t="str">
        <f>IFERROR(__xludf.DUMMYFUNCTION("GOOGLETRANSLATE(B104, ""en"", ""zh"")"),"存入所有库存项目")</f>
        <v>存入所有库存项目</v>
      </c>
      <c r="K104" s="25" t="str">
        <f>IFERROR(__xludf.DUMMYFUNCTION("GOOGLETRANSLATE(B104, ""en"", ""vi"")"),"Gửi tất cả các mục hàng tồn kho")</f>
        <v>Gửi tất cả các mục hàng tồn kho</v>
      </c>
      <c r="L104" s="26" t="str">
        <f>IFERROR(__xludf.DUMMYFUNCTION("GOOGLETRANSLATE(B104, ""en"", ""hr"")"),"Uplatite sve stavke inventara")</f>
        <v>Uplatite sve stavke inventara</v>
      </c>
      <c r="M104" s="28"/>
      <c r="N104" s="28"/>
      <c r="O104" s="28"/>
      <c r="P104" s="28"/>
      <c r="Q104" s="28"/>
      <c r="R104" s="28"/>
      <c r="S104" s="28"/>
      <c r="T104" s="28"/>
      <c r="U104" s="28"/>
      <c r="V104" s="28"/>
      <c r="W104" s="28"/>
      <c r="X104" s="28"/>
      <c r="Y104" s="28"/>
      <c r="Z104" s="28"/>
      <c r="AA104" s="28"/>
      <c r="AB104" s="28"/>
    </row>
    <row r="105">
      <c r="A105" s="21" t="s">
        <v>216</v>
      </c>
      <c r="B105" s="22" t="s">
        <v>217</v>
      </c>
      <c r="C105" s="23" t="s">
        <v>218</v>
      </c>
      <c r="D105" s="23" t="str">
        <f>IFERROR(__xludf.DUMMYFUNCTION("GOOGLETRANSLATE(B105, ""en"", ""es"")"),"Cuenta necesaria para el peso de almacenamiento del banco UGRADE.")</f>
        <v>Cuenta necesaria para el peso de almacenamiento del banco UGRADE.</v>
      </c>
      <c r="E105" s="23" t="str">
        <f>IFERROR(__xludf.DUMMYFUNCTION("GOOGLETRANSLATE(B105, ""en"", ""ru"")"),"Учетная запись необходима для массы хранения банка.")</f>
        <v>Учетная запись необходима для массы хранения банка.</v>
      </c>
      <c r="F105" s="23" t="str">
        <f>IFERROR(__xludf.DUMMYFUNCTION("GOOGLETRANSLATE(B105, ""en"", ""tr"")"),"Banka depolama ağırlığını geliştirmek için gereken hesap.")</f>
        <v>Banka depolama ağırlığını geliştirmek için gereken hesap.</v>
      </c>
      <c r="G105" s="23" t="str">
        <f>IFERROR(__xludf.DUMMYFUNCTION("GOOGLETRANSLATE(B105, ""en"", ""pt"")"),"Conta necessária para o peso do armazenamento do banco Ugrade.")</f>
        <v>Conta necessária para o peso do armazenamento do banco Ugrade.</v>
      </c>
      <c r="H105" s="24" t="str">
        <f>IFERROR(__xludf.DUMMYFUNCTION("GOOGLETRANSLATE(B105, ""en"", ""de"")"),"Konto, das zum U-Bahn-Speichergewicht erforderlich ist.")</f>
        <v>Konto, das zum U-Bahn-Speichergewicht erforderlich ist.</v>
      </c>
      <c r="I105" s="23" t="str">
        <f>IFERROR(__xludf.DUMMYFUNCTION("GOOGLETRANSLATE(B105, ""en"", ""pl"")"),"Konto potrzebne do Ugradki Banku Magażnika.")</f>
        <v>Konto potrzebne do Ugradki Banku Magażnika.</v>
      </c>
      <c r="J105" s="25" t="str">
        <f>IFERROR(__xludf.DUMMYFUNCTION("GOOGLETRANSLATE(B105, ""en"", ""zh"")"),"ugrade银行存储权重需要帐户。")</f>
        <v>ugrade银行存储权重需要帐户。</v>
      </c>
      <c r="K105" s="25" t="str">
        <f>IFERROR(__xludf.DUMMYFUNCTION("GOOGLETRANSLATE(B105, ""en"", ""vi"")"),"Tài khoản cần thiết để lưu trữ lưu trữ ngân hàng.")</f>
        <v>Tài khoản cần thiết để lưu trữ lưu trữ ngân hàng.</v>
      </c>
      <c r="L105" s="26" t="str">
        <f>IFERROR(__xludf.DUMMYFUNCTION("GOOGLETRANSLATE(B105, ""en"", ""hr"")"),"Račun koji je potreban za težinu bankovnog skladištenja.")</f>
        <v>Račun koji je potreban za težinu bankovnog skladištenja.</v>
      </c>
      <c r="M105" s="28"/>
      <c r="N105" s="28"/>
      <c r="O105" s="28"/>
      <c r="P105" s="28"/>
      <c r="Q105" s="28"/>
      <c r="R105" s="28"/>
      <c r="S105" s="28"/>
      <c r="T105" s="28"/>
      <c r="U105" s="28"/>
      <c r="V105" s="28"/>
      <c r="W105" s="28"/>
      <c r="X105" s="28"/>
      <c r="Y105" s="28"/>
      <c r="Z105" s="28"/>
      <c r="AA105" s="28"/>
      <c r="AB105" s="28"/>
    </row>
    <row r="106">
      <c r="A106" s="21" t="s">
        <v>219</v>
      </c>
      <c r="B106" s="22" t="s">
        <v>220</v>
      </c>
      <c r="C106" s="23" t="s">
        <v>221</v>
      </c>
      <c r="D106" s="23" t="str">
        <f>IFERROR(__xludf.DUMMYFUNCTION("GOOGLETRANSLATE(B106, ""en"", ""es"")"),"Actualizar almacenamiento bancario")</f>
        <v>Actualizar almacenamiento bancario</v>
      </c>
      <c r="E106" s="23" t="str">
        <f>IFERROR(__xludf.DUMMYFUNCTION("GOOGLETRANSLATE(B106, ""en"", ""ru"")"),"Обновление банковского хранилища")</f>
        <v>Обновление банковского хранилища</v>
      </c>
      <c r="F106" s="23" t="str">
        <f>IFERROR(__xludf.DUMMYFUNCTION("GOOGLETRANSLATE(B106, ""en"", ""tr"")"),"Banka Depolama Yükseltme")</f>
        <v>Banka Depolama Yükseltme</v>
      </c>
      <c r="G106" s="23" t="str">
        <f>IFERROR(__xludf.DUMMYFUNCTION("GOOGLETRANSLATE(B106, ""en"", ""pt"")"),"Atualizar o armazenamento do banco")</f>
        <v>Atualizar o armazenamento do banco</v>
      </c>
      <c r="H106" s="24" t="str">
        <f>IFERROR(__xludf.DUMMYFUNCTION("GOOGLETRANSLATE(B106, ""en"", ""de"")"),"Upgrade Bankspeicherung.")</f>
        <v>Upgrade Bankspeicherung.</v>
      </c>
      <c r="I106" s="23" t="str">
        <f>IFERROR(__xludf.DUMMYFUNCTION("GOOGLETRANSLATE(B106, ""en"", ""pl"")"),"Upgrade Bank Storage.")</f>
        <v>Upgrade Bank Storage.</v>
      </c>
      <c r="J106" s="25" t="str">
        <f>IFERROR(__xludf.DUMMYFUNCTION("GOOGLETRANSLATE(B106, ""en"", ""zh"")"),"升级银行存储")</f>
        <v>升级银行存储</v>
      </c>
      <c r="K106" s="25" t="str">
        <f>IFERROR(__xludf.DUMMYFUNCTION("GOOGLETRANSLATE(B106, ""en"", ""vi"")"),"Nâng cấp lưu trữ ngân hàng")</f>
        <v>Nâng cấp lưu trữ ngân hàng</v>
      </c>
      <c r="L106" s="26" t="str">
        <f>IFERROR(__xludf.DUMMYFUNCTION("GOOGLETRANSLATE(B106, ""en"", ""hr"")"),"Nadogradite bankovnu pohranu")</f>
        <v>Nadogradite bankovnu pohranu</v>
      </c>
      <c r="M106" s="28"/>
      <c r="N106" s="28"/>
      <c r="O106" s="28"/>
      <c r="P106" s="28"/>
      <c r="Q106" s="28"/>
      <c r="R106" s="28"/>
      <c r="S106" s="28"/>
      <c r="T106" s="28"/>
      <c r="U106" s="28"/>
      <c r="V106" s="28"/>
      <c r="W106" s="28"/>
      <c r="X106" s="28"/>
      <c r="Y106" s="28"/>
      <c r="Z106" s="28"/>
      <c r="AA106" s="28"/>
      <c r="AB106" s="28"/>
    </row>
    <row r="107">
      <c r="A107" s="21" t="s">
        <v>222</v>
      </c>
      <c r="B107" s="22" t="s">
        <v>222</v>
      </c>
      <c r="C107" s="23" t="str">
        <f>IFERROR(__xludf.DUMMYFUNCTION("GOOGLETRANSLATE(B107, ""en"", ""fr"")"),"Pas assez de gloire")</f>
        <v>Pas assez de gloire</v>
      </c>
      <c r="D107" s="23" t="str">
        <f>IFERROR(__xludf.DUMMYFUNCTION("GOOGLETRANSLATE(B107, ""en"", ""es"")"),"No es suficiente gloria")</f>
        <v>No es suficiente gloria</v>
      </c>
      <c r="E107" s="23" t="str">
        <f>IFERROR(__xludf.DUMMYFUNCTION("GOOGLETRANSLATE(B107, ""en"", ""ru"")"),"Недостаточно славы")</f>
        <v>Недостаточно славы</v>
      </c>
      <c r="F107" s="23" t="str">
        <f>IFERROR(__xludf.DUMMYFUNCTION("GOOGLETRANSLATE(B107, ""en"", ""tr"")"),"Yeterince şeref değil")</f>
        <v>Yeterince şeref değil</v>
      </c>
      <c r="G107" s="23" t="str">
        <f>IFERROR(__xludf.DUMMYFUNCTION("GOOGLETRANSLATE(B107, ""en"", ""pt"")"),"Glória não suficiente")</f>
        <v>Glória não suficiente</v>
      </c>
      <c r="H107" s="24" t="str">
        <f>IFERROR(__xludf.DUMMYFUNCTION("GOOGLETRANSLATE(B107, ""en"", ""de"")"),"Nicht genug Ruhm")</f>
        <v>Nicht genug Ruhm</v>
      </c>
      <c r="I107" s="23" t="str">
        <f>IFERROR(__xludf.DUMMYFUNCTION("GOOGLETRANSLATE(B107, ""en"", ""pl"")"),"Za mało chwały")</f>
        <v>Za mało chwały</v>
      </c>
      <c r="J107" s="25" t="str">
        <f>IFERROR(__xludf.DUMMYFUNCTION("GOOGLETRANSLATE(B107, ""en"", ""zh"")"),"不够荣耀")</f>
        <v>不够荣耀</v>
      </c>
      <c r="K107" s="25" t="str">
        <f>IFERROR(__xludf.DUMMYFUNCTION("GOOGLETRANSLATE(B107, ""en"", ""vi"")"),"Không đủ vinh quang")</f>
        <v>Không đủ vinh quang</v>
      </c>
      <c r="L107" s="26" t="str">
        <f>IFERROR(__xludf.DUMMYFUNCTION("GOOGLETRANSLATE(B107, ""en"", ""hr"")"),"Nije dovoljno slave")</f>
        <v>Nije dovoljno slave</v>
      </c>
      <c r="M107" s="28"/>
      <c r="N107" s="28"/>
      <c r="O107" s="28"/>
      <c r="P107" s="28"/>
      <c r="Q107" s="28"/>
      <c r="R107" s="28"/>
      <c r="S107" s="28"/>
      <c r="T107" s="28"/>
      <c r="U107" s="28"/>
      <c r="V107" s="28"/>
      <c r="W107" s="28"/>
      <c r="X107" s="28"/>
      <c r="Y107" s="28"/>
      <c r="Z107" s="28"/>
      <c r="AA107" s="28"/>
      <c r="AB107" s="28"/>
    </row>
    <row r="108">
      <c r="A108" s="21" t="s">
        <v>223</v>
      </c>
      <c r="B108" s="22" t="s">
        <v>223</v>
      </c>
      <c r="C108" s="23" t="str">
        <f>IFERROR(__xludf.DUMMYFUNCTION("GOOGLETRANSLATE(B108, ""en"", ""fr"")"),"Espace de rangement")</f>
        <v>Espace de rangement</v>
      </c>
      <c r="D108" s="23" t="str">
        <f>IFERROR(__xludf.DUMMYFUNCTION("GOOGLETRANSLATE(B108, ""en"", ""es"")"),"Almacenamiento")</f>
        <v>Almacenamiento</v>
      </c>
      <c r="E108" s="23" t="str">
        <f>IFERROR(__xludf.DUMMYFUNCTION("GOOGLETRANSLATE(B108, ""en"", ""ru"")"),"Место хранения")</f>
        <v>Место хранения</v>
      </c>
      <c r="F108" s="23" t="str">
        <f>IFERROR(__xludf.DUMMYFUNCTION("GOOGLETRANSLATE(B108, ""en"", ""tr"")"),"Depolamak")</f>
        <v>Depolamak</v>
      </c>
      <c r="G108" s="23" t="str">
        <f>IFERROR(__xludf.DUMMYFUNCTION("GOOGLETRANSLATE(B108, ""en"", ""pt"")"),"Armazenar")</f>
        <v>Armazenar</v>
      </c>
      <c r="H108" s="24" t="str">
        <f>IFERROR(__xludf.DUMMYFUNCTION("GOOGLETRANSLATE(B108, ""en"", ""de"")"),"Lagerung")</f>
        <v>Lagerung</v>
      </c>
      <c r="I108" s="23" t="str">
        <f>IFERROR(__xludf.DUMMYFUNCTION("GOOGLETRANSLATE(B108, ""en"", ""pl"")"),"Składowanie")</f>
        <v>Składowanie</v>
      </c>
      <c r="J108" s="25" t="str">
        <f>IFERROR(__xludf.DUMMYFUNCTION("GOOGLETRANSLATE(B108, ""en"", ""zh"")"),"贮存")</f>
        <v>贮存</v>
      </c>
      <c r="K108" s="25" t="str">
        <f>IFERROR(__xludf.DUMMYFUNCTION("GOOGLETRANSLATE(B108, ""en"", ""vi"")"),"Kho")</f>
        <v>Kho</v>
      </c>
      <c r="L108" s="26" t="str">
        <f>IFERROR(__xludf.DUMMYFUNCTION("GOOGLETRANSLATE(B108, ""en"", ""hr"")"),"Skladište")</f>
        <v>Skladište</v>
      </c>
      <c r="M108" s="28"/>
      <c r="N108" s="28"/>
      <c r="O108" s="28"/>
      <c r="P108" s="28"/>
      <c r="Q108" s="28"/>
      <c r="R108" s="28"/>
      <c r="S108" s="28"/>
      <c r="T108" s="28"/>
      <c r="U108" s="28"/>
      <c r="V108" s="28"/>
      <c r="W108" s="28"/>
      <c r="X108" s="28"/>
      <c r="Y108" s="28"/>
      <c r="Z108" s="28"/>
      <c r="AA108" s="28"/>
      <c r="AB108" s="28"/>
    </row>
    <row r="109">
      <c r="A109" s="21" t="s">
        <v>224</v>
      </c>
      <c r="B109" s="22" t="s">
        <v>225</v>
      </c>
      <c r="C109" s="23" t="str">
        <f>IFERROR(__xludf.DUMMYFUNCTION("GOOGLETRANSLATE(B109, ""en"", ""fr"")"),"Poids total du stockage")</f>
        <v>Poids total du stockage</v>
      </c>
      <c r="D109" s="23" t="str">
        <f>IFERROR(__xludf.DUMMYFUNCTION("GOOGLETRANSLATE(B109, ""en"", ""es"")"),"Peso total de almacenamiento")</f>
        <v>Peso total de almacenamiento</v>
      </c>
      <c r="E109" s="23" t="str">
        <f>IFERROR(__xludf.DUMMYFUNCTION("GOOGLETRANSLATE(B109, ""en"", ""ru"")"),"Общий вес хранения")</f>
        <v>Общий вес хранения</v>
      </c>
      <c r="F109" s="23" t="str">
        <f>IFERROR(__xludf.DUMMYFUNCTION("GOOGLETRANSLATE(B109, ""en"", ""tr"")"),"Toplam saklama ağırlığı")</f>
        <v>Toplam saklama ağırlığı</v>
      </c>
      <c r="G109" s="23" t="str">
        <f>IFERROR(__xludf.DUMMYFUNCTION("GOOGLETRANSLATE(B109, ""en"", ""pt"")"),"Peso total de armazenamento")</f>
        <v>Peso total de armazenamento</v>
      </c>
      <c r="H109" s="24" t="str">
        <f>IFERROR(__xludf.DUMMYFUNCTION("GOOGLETRANSLATE(B109, ""en"", ""de"")"),"Gesamtlagergewicht.")</f>
        <v>Gesamtlagergewicht.</v>
      </c>
      <c r="I109" s="23" t="str">
        <f>IFERROR(__xludf.DUMMYFUNCTION("GOOGLETRANSLATE(B109, ""en"", ""pl"")"),"Całkowita waga pamięci")</f>
        <v>Całkowita waga pamięci</v>
      </c>
      <c r="J109" s="25" t="str">
        <f>IFERROR(__xludf.DUMMYFUNCTION("GOOGLETRANSLATE(B109, ""en"", ""zh"")"),"总储物重量")</f>
        <v>总储物重量</v>
      </c>
      <c r="K109" s="25" t="str">
        <f>IFERROR(__xludf.DUMMYFUNCTION("GOOGLETRANSLATE(B109, ""en"", ""vi"")"),"Tổng trọng lượng lưu trữ")</f>
        <v>Tổng trọng lượng lưu trữ</v>
      </c>
      <c r="L109" s="26" t="str">
        <f>IFERROR(__xludf.DUMMYFUNCTION("GOOGLETRANSLATE(B109, ""en"", ""hr"")"),"Ukupna težina skladištenja")</f>
        <v>Ukupna težina skladištenja</v>
      </c>
      <c r="M109" s="28"/>
      <c r="N109" s="28"/>
      <c r="O109" s="28"/>
      <c r="P109" s="28"/>
      <c r="Q109" s="28"/>
      <c r="R109" s="28"/>
      <c r="S109" s="28"/>
      <c r="T109" s="28"/>
      <c r="U109" s="28"/>
      <c r="V109" s="28"/>
      <c r="W109" s="28"/>
      <c r="X109" s="28"/>
      <c r="Y109" s="28"/>
      <c r="Z109" s="28"/>
      <c r="AA109" s="28"/>
      <c r="AB109" s="28"/>
    </row>
    <row r="110">
      <c r="A110" s="21" t="s">
        <v>226</v>
      </c>
      <c r="B110" s="22" t="s">
        <v>227</v>
      </c>
      <c r="C110" s="23" t="str">
        <f>IFERROR(__xludf.DUMMYFUNCTION("GOOGLETRANSLATE(B110, ""en"", ""fr"")"),"Le stockage est vide.")</f>
        <v>Le stockage est vide.</v>
      </c>
      <c r="D110" s="23" t="str">
        <f>IFERROR(__xludf.DUMMYFUNCTION("GOOGLETRANSLATE(B110, ""en"", ""es"")"),"El almacenamiento está vacío.")</f>
        <v>El almacenamiento está vacío.</v>
      </c>
      <c r="E110" s="23" t="str">
        <f>IFERROR(__xludf.DUMMYFUNCTION("GOOGLETRANSLATE(B110, ""en"", ""ru"")"),"Хранение пусто.")</f>
        <v>Хранение пусто.</v>
      </c>
      <c r="F110" s="23" t="str">
        <f>IFERROR(__xludf.DUMMYFUNCTION("GOOGLETRANSLATE(B110, ""en"", ""tr"")"),"Depolama boş.")</f>
        <v>Depolama boş.</v>
      </c>
      <c r="G110" s="23" t="str">
        <f>IFERROR(__xludf.DUMMYFUNCTION("GOOGLETRANSLATE(B110, ""en"", ""pt"")"),"O armazenamento está vazio.")</f>
        <v>O armazenamento está vazio.</v>
      </c>
      <c r="H110" s="24" t="str">
        <f>IFERROR(__xludf.DUMMYFUNCTION("GOOGLETRANSLATE(B110, ""en"", ""de"")"),"Die Lagerung ist leer.")</f>
        <v>Die Lagerung ist leer.</v>
      </c>
      <c r="I110" s="23" t="str">
        <f>IFERROR(__xludf.DUMMYFUNCTION("GOOGLETRANSLATE(B110, ""en"", ""pl"")"),"Przechowywanie jest puste.")</f>
        <v>Przechowywanie jest puste.</v>
      </c>
      <c r="J110" s="25" t="str">
        <f>IFERROR(__xludf.DUMMYFUNCTION("GOOGLETRANSLATE(B110, ""en"", ""zh"")"),"存储是空的。")</f>
        <v>存储是空的。</v>
      </c>
      <c r="K110" s="25" t="str">
        <f>IFERROR(__xludf.DUMMYFUNCTION("GOOGLETRANSLATE(B110, ""en"", ""vi"")"),"Lưu trữ trống rỗng.")</f>
        <v>Lưu trữ trống rỗng.</v>
      </c>
      <c r="L110" s="26" t="str">
        <f>IFERROR(__xludf.DUMMYFUNCTION("GOOGLETRANSLATE(B110, ""en"", ""hr"")"),"Skladištenje je prazno.")</f>
        <v>Skladištenje je prazno.</v>
      </c>
      <c r="M110" s="28"/>
      <c r="N110" s="28"/>
      <c r="O110" s="28"/>
      <c r="P110" s="28"/>
      <c r="Q110" s="28"/>
      <c r="R110" s="28"/>
      <c r="S110" s="28"/>
      <c r="T110" s="28"/>
      <c r="U110" s="28"/>
      <c r="V110" s="28"/>
      <c r="W110" s="28"/>
      <c r="X110" s="28"/>
      <c r="Y110" s="28"/>
      <c r="Z110" s="28"/>
      <c r="AA110" s="28"/>
      <c r="AB110" s="28"/>
    </row>
    <row r="111">
      <c r="A111" s="21" t="s">
        <v>228</v>
      </c>
      <c r="B111" s="22" t="s">
        <v>228</v>
      </c>
      <c r="C111" s="23" t="str">
        <f>IFERROR(__xludf.DUMMYFUNCTION("GOOGLETRANSLATE(B111, ""en"", ""fr"")"),"Verser")</f>
        <v>Verser</v>
      </c>
      <c r="D111" s="23" t="str">
        <f>IFERROR(__xludf.DUMMYFUNCTION("GOOGLETRANSLATE(B111, ""en"", ""es"")"),"Depositar")</f>
        <v>Depositar</v>
      </c>
      <c r="E111" s="23" t="str">
        <f>IFERROR(__xludf.DUMMYFUNCTION("GOOGLETRANSLATE(B111, ""en"", ""ru"")"),"Депозит")</f>
        <v>Депозит</v>
      </c>
      <c r="F111" s="23" t="str">
        <f>IFERROR(__xludf.DUMMYFUNCTION("GOOGLETRANSLATE(B111, ""en"", ""tr"")"),"Depozito")</f>
        <v>Depozito</v>
      </c>
      <c r="G111" s="23" t="str">
        <f>IFERROR(__xludf.DUMMYFUNCTION("GOOGLETRANSLATE(B111, ""en"", ""pt"")"),"Depósito")</f>
        <v>Depósito</v>
      </c>
      <c r="H111" s="24" t="str">
        <f>IFERROR(__xludf.DUMMYFUNCTION("GOOGLETRANSLATE(B111, ""en"", ""de"")"),"Anzahlung")</f>
        <v>Anzahlung</v>
      </c>
      <c r="I111" s="23" t="str">
        <f>IFERROR(__xludf.DUMMYFUNCTION("GOOGLETRANSLATE(B111, ""en"", ""pl"")"),"Depozyt")</f>
        <v>Depozyt</v>
      </c>
      <c r="J111" s="25" t="str">
        <f>IFERROR(__xludf.DUMMYFUNCTION("GOOGLETRANSLATE(B111, ""en"", ""zh"")"),"订金")</f>
        <v>订金</v>
      </c>
      <c r="K111" s="25" t="str">
        <f>IFERROR(__xludf.DUMMYFUNCTION("GOOGLETRANSLATE(B111, ""en"", ""vi"")"),"Gửi tiền")</f>
        <v>Gửi tiền</v>
      </c>
      <c r="L111" s="26" t="str">
        <f>IFERROR(__xludf.DUMMYFUNCTION("GOOGLETRANSLATE(B111, ""en"", ""hr"")"),"Polog")</f>
        <v>Polog</v>
      </c>
      <c r="M111" s="28"/>
      <c r="N111" s="28"/>
      <c r="O111" s="28"/>
      <c r="P111" s="28"/>
      <c r="Q111" s="28"/>
      <c r="R111" s="28"/>
      <c r="S111" s="28"/>
      <c r="T111" s="28"/>
      <c r="U111" s="28"/>
      <c r="V111" s="28"/>
      <c r="W111" s="28"/>
      <c r="X111" s="28"/>
      <c r="Y111" s="28"/>
      <c r="Z111" s="28"/>
      <c r="AA111" s="28"/>
      <c r="AB111" s="28"/>
    </row>
    <row r="112">
      <c r="A112" s="21" t="s">
        <v>229</v>
      </c>
      <c r="B112" s="22" t="s">
        <v>213</v>
      </c>
      <c r="C112" s="23" t="str">
        <f>IFERROR(__xludf.DUMMYFUNCTION("GOOGLETRANSLATE(B112, ""en"", ""fr"")"),"Déposer tout")</f>
        <v>Déposer tout</v>
      </c>
      <c r="D112" s="23" t="str">
        <f>IFERROR(__xludf.DUMMYFUNCTION("GOOGLETRANSLATE(B112, ""en"", ""es"")"),"Depositar todo")</f>
        <v>Depositar todo</v>
      </c>
      <c r="E112" s="23" t="str">
        <f>IFERROR(__xludf.DUMMYFUNCTION("GOOGLETRANSLATE(B112, ""en"", ""ru"")"),"Депозит все")</f>
        <v>Депозит все</v>
      </c>
      <c r="F112" s="23" t="str">
        <f>IFERROR(__xludf.DUMMYFUNCTION("GOOGLETRANSLATE(B112, ""en"", ""tr"")"),"Hepsini yatırmak")</f>
        <v>Hepsini yatırmak</v>
      </c>
      <c r="G112" s="23" t="str">
        <f>IFERROR(__xludf.DUMMYFUNCTION("GOOGLETRANSLATE(B112, ""en"", ""pt"")"),"Depósito All.")</f>
        <v>Depósito All.</v>
      </c>
      <c r="H112" s="24" t="str">
        <f>IFERROR(__xludf.DUMMYFUNCTION("GOOGLETRANSLATE(B112, ""en"", ""de"")"),"Kaution All.")</f>
        <v>Kaution All.</v>
      </c>
      <c r="I112" s="23" t="str">
        <f>IFERROR(__xludf.DUMMYFUNCTION("GOOGLETRANSLATE(B112, ""en"", ""pl"")"),"Wpłać na wszystkie")</f>
        <v>Wpłać na wszystkie</v>
      </c>
      <c r="J112" s="25" t="str">
        <f>IFERROR(__xludf.DUMMYFUNCTION("GOOGLETRANSLATE(B112, ""en"", ""zh"")"),"存款所有")</f>
        <v>存款所有</v>
      </c>
      <c r="K112" s="25" t="str">
        <f>IFERROR(__xludf.DUMMYFUNCTION("GOOGLETRANSLATE(B112, ""en"", ""vi"")"),"Gửi tất cả")</f>
        <v>Gửi tất cả</v>
      </c>
      <c r="L112" s="26" t="str">
        <f>IFERROR(__xludf.DUMMYFUNCTION("GOOGLETRANSLATE(B112, ""en"", ""hr"")"),"Uplatite sve")</f>
        <v>Uplatite sve</v>
      </c>
      <c r="M112" s="28"/>
      <c r="N112" s="28"/>
      <c r="O112" s="28"/>
      <c r="P112" s="28"/>
      <c r="Q112" s="28"/>
      <c r="R112" s="28"/>
      <c r="S112" s="28"/>
      <c r="T112" s="28"/>
      <c r="U112" s="28"/>
      <c r="V112" s="28"/>
      <c r="W112" s="28"/>
      <c r="X112" s="28"/>
      <c r="Y112" s="28"/>
      <c r="Z112" s="28"/>
      <c r="AA112" s="28"/>
      <c r="AB112" s="28"/>
    </row>
    <row r="113">
      <c r="A113" s="21" t="s">
        <v>230</v>
      </c>
      <c r="B113" s="22" t="s">
        <v>230</v>
      </c>
      <c r="C113" s="23" t="str">
        <f>IFERROR(__xludf.DUMMYFUNCTION("GOOGLETRANSLATE(B113, ""en"", ""fr"")"),"Se désister")</f>
        <v>Se désister</v>
      </c>
      <c r="D113" s="23" t="str">
        <f>IFERROR(__xludf.DUMMYFUNCTION("GOOGLETRANSLATE(B113, ""en"", ""es"")"),"Retirar")</f>
        <v>Retirar</v>
      </c>
      <c r="E113" s="23" t="str">
        <f>IFERROR(__xludf.DUMMYFUNCTION("GOOGLETRANSLATE(B113, ""en"", ""ru"")"),"Снять со счета")</f>
        <v>Снять со счета</v>
      </c>
      <c r="F113" s="23" t="str">
        <f>IFERROR(__xludf.DUMMYFUNCTION("GOOGLETRANSLATE(B113, ""en"", ""tr"")"),"Geri çekilmek")</f>
        <v>Geri çekilmek</v>
      </c>
      <c r="G113" s="23" t="str">
        <f>IFERROR(__xludf.DUMMYFUNCTION("GOOGLETRANSLATE(B113, ""en"", ""pt"")"),"Retirar")</f>
        <v>Retirar</v>
      </c>
      <c r="H113" s="24" t="str">
        <f>IFERROR(__xludf.DUMMYFUNCTION("GOOGLETRANSLATE(B113, ""en"", ""de"")"),"Zurückziehen")</f>
        <v>Zurückziehen</v>
      </c>
      <c r="I113" s="23" t="str">
        <f>IFERROR(__xludf.DUMMYFUNCTION("GOOGLETRANSLATE(B113, ""en"", ""pl"")"),"Wycofać")</f>
        <v>Wycofać</v>
      </c>
      <c r="J113" s="25" t="str">
        <f>IFERROR(__xludf.DUMMYFUNCTION("GOOGLETRANSLATE(B113, ""en"", ""zh"")"),"提取")</f>
        <v>提取</v>
      </c>
      <c r="K113" s="25" t="str">
        <f>IFERROR(__xludf.DUMMYFUNCTION("GOOGLETRANSLATE(B113, ""en"", ""vi"")"),"Rút")</f>
        <v>Rút</v>
      </c>
      <c r="L113" s="26" t="str">
        <f>IFERROR(__xludf.DUMMYFUNCTION("GOOGLETRANSLATE(B113, ""en"", ""hr"")"),"Povući")</f>
        <v>Povući</v>
      </c>
      <c r="M113" s="28"/>
      <c r="N113" s="28"/>
      <c r="O113" s="28"/>
      <c r="P113" s="28"/>
      <c r="Q113" s="28"/>
      <c r="R113" s="28"/>
      <c r="S113" s="28"/>
      <c r="T113" s="28"/>
      <c r="U113" s="28"/>
      <c r="V113" s="28"/>
      <c r="W113" s="28"/>
      <c r="X113" s="28"/>
      <c r="Y113" s="28"/>
      <c r="Z113" s="28"/>
      <c r="AA113" s="28"/>
      <c r="AB113" s="28"/>
    </row>
    <row r="114">
      <c r="A114" s="21" t="s">
        <v>231</v>
      </c>
      <c r="B114" s="22" t="s">
        <v>232</v>
      </c>
      <c r="C114" s="23" t="str">
        <f>IFERROR(__xludf.DUMMYFUNCTION("GOOGLETRANSLATE(B114, ""en"", ""fr"")"),"Retirer tout")</f>
        <v>Retirer tout</v>
      </c>
      <c r="D114" s="23" t="str">
        <f>IFERROR(__xludf.DUMMYFUNCTION("GOOGLETRANSLATE(B114, ""en"", ""es"")"),"Retirar todo")</f>
        <v>Retirar todo</v>
      </c>
      <c r="E114" s="23" t="str">
        <f>IFERROR(__xludf.DUMMYFUNCTION("GOOGLETRANSLATE(B114, ""en"", ""ru"")"),"Вывести все")</f>
        <v>Вывести все</v>
      </c>
      <c r="F114" s="23" t="str">
        <f>IFERROR(__xludf.DUMMYFUNCTION("GOOGLETRANSLATE(B114, ""en"", ""tr"")"),"Hepsini geri çekmek")</f>
        <v>Hepsini geri çekmek</v>
      </c>
      <c r="G114" s="23" t="str">
        <f>IFERROR(__xludf.DUMMYFUNCTION("GOOGLETRANSLATE(B114, ""en"", ""pt"")"),"Retirar tudo")</f>
        <v>Retirar tudo</v>
      </c>
      <c r="H114" s="24" t="str">
        <f>IFERROR(__xludf.DUMMYFUNCTION("GOOGLETRANSLATE(B114, ""en"", ""de"")"),"Alles zurückziehen")</f>
        <v>Alles zurückziehen</v>
      </c>
      <c r="I114" s="23" t="str">
        <f>IFERROR(__xludf.DUMMYFUNCTION("GOOGLETRANSLATE(B114, ""en"", ""pl"")"),"Wycofaj się")</f>
        <v>Wycofaj się</v>
      </c>
      <c r="J114" s="25" t="str">
        <f>IFERROR(__xludf.DUMMYFUNCTION("GOOGLETRANSLATE(B114, ""en"", ""zh"")"),"撤回所有")</f>
        <v>撤回所有</v>
      </c>
      <c r="K114" s="25" t="str">
        <f>IFERROR(__xludf.DUMMYFUNCTION("GOOGLETRANSLATE(B114, ""en"", ""vi"")"),"Rút tất cả")</f>
        <v>Rút tất cả</v>
      </c>
      <c r="L114" s="26" t="str">
        <f>IFERROR(__xludf.DUMMYFUNCTION("GOOGLETRANSLATE(B114, ""en"", ""hr"")"),"Povući sve")</f>
        <v>Povući sve</v>
      </c>
      <c r="M114" s="28"/>
      <c r="N114" s="28"/>
      <c r="O114" s="28"/>
      <c r="P114" s="28"/>
      <c r="Q114" s="28"/>
      <c r="R114" s="28"/>
      <c r="S114" s="28"/>
      <c r="T114" s="28"/>
      <c r="U114" s="28"/>
      <c r="V114" s="28"/>
      <c r="W114" s="28"/>
      <c r="X114" s="28"/>
      <c r="Y114" s="28"/>
      <c r="Z114" s="28"/>
      <c r="AA114" s="28"/>
      <c r="AB114" s="28"/>
    </row>
    <row r="115">
      <c r="A115" s="21" t="s">
        <v>233</v>
      </c>
      <c r="B115" s="22" t="s">
        <v>233</v>
      </c>
      <c r="C115" s="23" t="str">
        <f>IFERROR(__xludf.DUMMYFUNCTION("GOOGLETRANSLATE(B115, ""en"", ""fr"")"),"Pas assez d'espace libre")</f>
        <v>Pas assez d'espace libre</v>
      </c>
      <c r="D115" s="23" t="str">
        <f>IFERROR(__xludf.DUMMYFUNCTION("GOOGLETRANSLATE(B115, ""en"", ""es"")"),"No hay suficiente espacio libre")</f>
        <v>No hay suficiente espacio libre</v>
      </c>
      <c r="E115" s="23" t="str">
        <f>IFERROR(__xludf.DUMMYFUNCTION("GOOGLETRANSLATE(B115, ""en"", ""ru"")"),"Не хватает свободного места")</f>
        <v>Не хватает свободного места</v>
      </c>
      <c r="F115" s="23" t="str">
        <f>IFERROR(__xludf.DUMMYFUNCTION("GOOGLETRANSLATE(B115, ""en"", ""tr"")"),"Yeterince boş alan yok")</f>
        <v>Yeterince boş alan yok</v>
      </c>
      <c r="G115" s="23" t="str">
        <f>IFERROR(__xludf.DUMMYFUNCTION("GOOGLETRANSLATE(B115, ""en"", ""pt"")"),"Não há espaço livre suficiente")</f>
        <v>Não há espaço livre suficiente</v>
      </c>
      <c r="H115" s="24" t="str">
        <f>IFERROR(__xludf.DUMMYFUNCTION("GOOGLETRANSLATE(B115, ""en"", ""de"")"),"Nicht genügend freier Speicherplatz")</f>
        <v>Nicht genügend freier Speicherplatz</v>
      </c>
      <c r="I115" s="23" t="str">
        <f>IFERROR(__xludf.DUMMYFUNCTION("GOOGLETRANSLATE(B115, ""en"", ""pl"")"),"Za mało wolnej przestrzeni")</f>
        <v>Za mało wolnej przestrzeni</v>
      </c>
      <c r="J115" s="25" t="str">
        <f>IFERROR(__xludf.DUMMYFUNCTION("GOOGLETRANSLATE(B115, ""en"", ""zh"")"),"没有足够的自由空间")</f>
        <v>没有足够的自由空间</v>
      </c>
      <c r="K115" s="25" t="str">
        <f>IFERROR(__xludf.DUMMYFUNCTION("GOOGLETRANSLATE(B115, ""en"", ""vi"")"),"Không đủ chỗ trống")</f>
        <v>Không đủ chỗ trống</v>
      </c>
      <c r="L115" s="26" t="str">
        <f>IFERROR(__xludf.DUMMYFUNCTION("GOOGLETRANSLATE(B115, ""en"", ""hr"")"),"Nema dovoljno slobodnog prostora")</f>
        <v>Nema dovoljno slobodnog prostora</v>
      </c>
      <c r="M115" s="28"/>
      <c r="N115" s="28"/>
      <c r="O115" s="28"/>
      <c r="P115" s="28"/>
      <c r="Q115" s="28"/>
      <c r="R115" s="28"/>
      <c r="S115" s="28"/>
      <c r="T115" s="28"/>
      <c r="U115" s="28"/>
      <c r="V115" s="28"/>
      <c r="W115" s="28"/>
      <c r="X115" s="28"/>
      <c r="Y115" s="28"/>
      <c r="Z115" s="28"/>
      <c r="AA115" s="28"/>
      <c r="AB115" s="28"/>
    </row>
    <row r="116">
      <c r="A116" s="21" t="s">
        <v>234</v>
      </c>
      <c r="B116" s="22" t="s">
        <v>125</v>
      </c>
      <c r="C116" s="23" t="str">
        <f>IFERROR(__xludf.DUMMYFUNCTION("GOOGLETRANSLATE(B116, ""en"", ""fr"")"),"Inventaire")</f>
        <v>Inventaire</v>
      </c>
      <c r="D116" s="23" t="str">
        <f>IFERROR(__xludf.DUMMYFUNCTION("GOOGLETRANSLATE(B116, ""en"", ""es"")"),"Inventario")</f>
        <v>Inventario</v>
      </c>
      <c r="E116" s="23" t="str">
        <f>IFERROR(__xludf.DUMMYFUNCTION("GOOGLETRANSLATE(B116, ""en"", ""ru"")"),"Инвентарь")</f>
        <v>Инвентарь</v>
      </c>
      <c r="F116" s="23" t="str">
        <f>IFERROR(__xludf.DUMMYFUNCTION("GOOGLETRANSLATE(B116, ""en"", ""tr"")"),"Envanter")</f>
        <v>Envanter</v>
      </c>
      <c r="G116" s="23" t="str">
        <f>IFERROR(__xludf.DUMMYFUNCTION("GOOGLETRANSLATE(B116, ""en"", ""pt"")"),"Inventário")</f>
        <v>Inventário</v>
      </c>
      <c r="H116" s="24" t="str">
        <f>IFERROR(__xludf.DUMMYFUNCTION("GOOGLETRANSLATE(B116, ""en"", ""de"")"),"Inventar")</f>
        <v>Inventar</v>
      </c>
      <c r="I116" s="23" t="str">
        <f>IFERROR(__xludf.DUMMYFUNCTION("GOOGLETRANSLATE(B116, ""en"", ""pl"")"),"Spis")</f>
        <v>Spis</v>
      </c>
      <c r="J116" s="25" t="str">
        <f>IFERROR(__xludf.DUMMYFUNCTION("GOOGLETRANSLATE(B116, ""en"", ""zh"")"),"存货")</f>
        <v>存货</v>
      </c>
      <c r="K116" s="25" t="str">
        <f>IFERROR(__xludf.DUMMYFUNCTION("GOOGLETRANSLATE(B116, ""en"", ""vi"")"),"Kiểm kê")</f>
        <v>Kiểm kê</v>
      </c>
      <c r="L116" s="26" t="str">
        <f>IFERROR(__xludf.DUMMYFUNCTION("GOOGLETRANSLATE(B116, ""en"", ""hr"")"),"Inventar")</f>
        <v>Inventar</v>
      </c>
      <c r="M116" s="28"/>
      <c r="N116" s="28"/>
      <c r="O116" s="28"/>
      <c r="P116" s="28"/>
      <c r="Q116" s="28"/>
      <c r="R116" s="28"/>
      <c r="S116" s="28"/>
      <c r="T116" s="28"/>
      <c r="U116" s="28"/>
      <c r="V116" s="28"/>
      <c r="W116" s="28"/>
      <c r="X116" s="28"/>
      <c r="Y116" s="28"/>
      <c r="Z116" s="28"/>
      <c r="AA116" s="28"/>
      <c r="AB116" s="28"/>
    </row>
    <row r="117">
      <c r="A117" s="21" t="s">
        <v>235</v>
      </c>
      <c r="B117" s="22" t="s">
        <v>236</v>
      </c>
      <c r="C117" s="23" t="str">
        <f>IFERROR(__xludf.DUMMYFUNCTION("GOOGLETRANSLATE(B117, ""en"", ""fr"")"),"Poids total des stocks")</f>
        <v>Poids total des stocks</v>
      </c>
      <c r="D117" s="23" t="str">
        <f>IFERROR(__xludf.DUMMYFUNCTION("GOOGLETRANSLATE(B117, ""en"", ""es"")"),"Peso total del inventario")</f>
        <v>Peso total del inventario</v>
      </c>
      <c r="E117" s="23" t="str">
        <f>IFERROR(__xludf.DUMMYFUNCTION("GOOGLETRANSLATE(B117, ""en"", ""ru"")"),"Общий вес инвентаря")</f>
        <v>Общий вес инвентаря</v>
      </c>
      <c r="F117" s="23" t="str">
        <f>IFERROR(__xludf.DUMMYFUNCTION("GOOGLETRANSLATE(B117, ""en"", ""tr"")"),"Toplam Envanter Ağırlığı")</f>
        <v>Toplam Envanter Ağırlığı</v>
      </c>
      <c r="G117" s="23" t="str">
        <f>IFERROR(__xludf.DUMMYFUNCTION("GOOGLETRANSLATE(B117, ""en"", ""pt"")"),"Peso total de inventário")</f>
        <v>Peso total de inventário</v>
      </c>
      <c r="H117" s="24" t="str">
        <f>IFERROR(__xludf.DUMMYFUNCTION("GOOGLETRANSLATE(B117, ""en"", ""de"")"),"Gesamtgewicht des Inventars.")</f>
        <v>Gesamtgewicht des Inventars.</v>
      </c>
      <c r="I117" s="23" t="str">
        <f>IFERROR(__xludf.DUMMYFUNCTION("GOOGLETRANSLATE(B117, ""en"", ""pl"")"),"Całkowita waga zapasów")</f>
        <v>Całkowita waga zapasów</v>
      </c>
      <c r="J117" s="25" t="str">
        <f>IFERROR(__xludf.DUMMYFUNCTION("GOOGLETRANSLATE(B117, ""en"", ""zh"")"),"总库存重量")</f>
        <v>总库存重量</v>
      </c>
      <c r="K117" s="25" t="str">
        <f>IFERROR(__xludf.DUMMYFUNCTION("GOOGLETRANSLATE(B117, ""en"", ""vi"")"),"Tổng trọng lượng hàng tồn kho")</f>
        <v>Tổng trọng lượng hàng tồn kho</v>
      </c>
      <c r="L117" s="26" t="str">
        <f>IFERROR(__xludf.DUMMYFUNCTION("GOOGLETRANSLATE(B117, ""en"", ""hr"")"),"Ukupna težina inventara")</f>
        <v>Ukupna težina inventara</v>
      </c>
      <c r="M117" s="28"/>
      <c r="N117" s="28"/>
      <c r="O117" s="28"/>
      <c r="P117" s="28"/>
      <c r="Q117" s="28"/>
      <c r="R117" s="28"/>
      <c r="S117" s="28"/>
      <c r="T117" s="28"/>
      <c r="U117" s="28"/>
      <c r="V117" s="28"/>
      <c r="W117" s="28"/>
      <c r="X117" s="28"/>
      <c r="Y117" s="28"/>
      <c r="Z117" s="28"/>
      <c r="AA117" s="28"/>
      <c r="AB117" s="28"/>
    </row>
    <row r="118">
      <c r="A118" s="21" t="s">
        <v>237</v>
      </c>
      <c r="B118" s="22" t="s">
        <v>238</v>
      </c>
      <c r="C118" s="23" t="str">
        <f>IFERROR(__xludf.DUMMYFUNCTION("GOOGLETRANSLATE(B118, ""en"", ""fr"")"),"Chercher")</f>
        <v>Chercher</v>
      </c>
      <c r="D118" s="23" t="str">
        <f>IFERROR(__xludf.DUMMYFUNCTION("GOOGLETRANSLATE(B118, ""en"", ""es"")"),"Buscar")</f>
        <v>Buscar</v>
      </c>
      <c r="E118" s="23" t="str">
        <f>IFERROR(__xludf.DUMMYFUNCTION("GOOGLETRANSLATE(B118, ""en"", ""ru"")"),"Поиск")</f>
        <v>Поиск</v>
      </c>
      <c r="F118" s="23" t="str">
        <f>IFERROR(__xludf.DUMMYFUNCTION("GOOGLETRANSLATE(B118, ""en"", ""tr"")"),"Arama")</f>
        <v>Arama</v>
      </c>
      <c r="G118" s="23" t="str">
        <f>IFERROR(__xludf.DUMMYFUNCTION("GOOGLETRANSLATE(B118, ""en"", ""pt"")"),"Procurar")</f>
        <v>Procurar</v>
      </c>
      <c r="H118" s="24" t="str">
        <f>IFERROR(__xludf.DUMMYFUNCTION("GOOGLETRANSLATE(B118, ""en"", ""de"")"),"Suche")</f>
        <v>Suche</v>
      </c>
      <c r="I118" s="23" t="str">
        <f>IFERROR(__xludf.DUMMYFUNCTION("GOOGLETRANSLATE(B118, ""en"", ""pl"")"),"Szukaj")</f>
        <v>Szukaj</v>
      </c>
      <c r="J118" s="25" t="str">
        <f>IFERROR(__xludf.DUMMYFUNCTION("GOOGLETRANSLATE(B118, ""en"", ""zh"")"),"搜索")</f>
        <v>搜索</v>
      </c>
      <c r="K118" s="25" t="str">
        <f>IFERROR(__xludf.DUMMYFUNCTION("GOOGLETRANSLATE(B118, ""en"", ""vi"")"),"Tìm kiếm")</f>
        <v>Tìm kiếm</v>
      </c>
      <c r="L118" s="26" t="str">
        <f>IFERROR(__xludf.DUMMYFUNCTION("GOOGLETRANSLATE(B118, ""en"", ""hr"")"),"traži")</f>
        <v>traži</v>
      </c>
      <c r="M118" s="28"/>
      <c r="N118" s="28"/>
      <c r="O118" s="28"/>
      <c r="P118" s="28"/>
      <c r="Q118" s="28"/>
      <c r="R118" s="28"/>
      <c r="S118" s="28"/>
      <c r="T118" s="28"/>
      <c r="U118" s="28"/>
      <c r="V118" s="28"/>
      <c r="W118" s="28"/>
      <c r="X118" s="28"/>
      <c r="Y118" s="28"/>
      <c r="Z118" s="28"/>
      <c r="AA118" s="28"/>
      <c r="AB118" s="28"/>
    </row>
    <row r="119">
      <c r="A119" s="21" t="s">
        <v>239</v>
      </c>
      <c r="B119" s="22" t="s">
        <v>240</v>
      </c>
      <c r="C119" s="23" t="str">
        <f>IFERROR(__xludf.DUMMYFUNCTION("GOOGLETRANSLATE(B119, ""en"", ""fr"")"),"L'inventaire est vide.")</f>
        <v>L'inventaire est vide.</v>
      </c>
      <c r="D119" s="23" t="str">
        <f>IFERROR(__xludf.DUMMYFUNCTION("GOOGLETRANSLATE(B119, ""en"", ""es"")"),"El inventario está vacío.")</f>
        <v>El inventario está vacío.</v>
      </c>
      <c r="E119" s="23" t="str">
        <f>IFERROR(__xludf.DUMMYFUNCTION("GOOGLETRANSLATE(B119, ""en"", ""ru"")"),"Инвентарь пуст.")</f>
        <v>Инвентарь пуст.</v>
      </c>
      <c r="F119" s="23" t="str">
        <f>IFERROR(__xludf.DUMMYFUNCTION("GOOGLETRANSLATE(B119, ""en"", ""tr"")"),"Envanter boş.")</f>
        <v>Envanter boş.</v>
      </c>
      <c r="G119" s="23" t="str">
        <f>IFERROR(__xludf.DUMMYFUNCTION("GOOGLETRANSLATE(B119, ""en"", ""pt"")"),"O inventário está vazio.")</f>
        <v>O inventário está vazio.</v>
      </c>
      <c r="H119" s="24" t="str">
        <f>IFERROR(__xludf.DUMMYFUNCTION("GOOGLETRANSLATE(B119, ""en"", ""de"")"),"Inventar ist leer.")</f>
        <v>Inventar ist leer.</v>
      </c>
      <c r="I119" s="23" t="str">
        <f>IFERROR(__xludf.DUMMYFUNCTION("GOOGLETRANSLATE(B119, ""en"", ""pl"")"),"Inwentaryzacja jest pusta.")</f>
        <v>Inwentaryzacja jest pusta.</v>
      </c>
      <c r="J119" s="25" t="str">
        <f>IFERROR(__xludf.DUMMYFUNCTION("GOOGLETRANSLATE(B119, ""en"", ""zh"")"),"库存是空的。")</f>
        <v>库存是空的。</v>
      </c>
      <c r="K119" s="25" t="str">
        <f>IFERROR(__xludf.DUMMYFUNCTION("GOOGLETRANSLATE(B119, ""en"", ""vi"")"),"Hàng tồn kho là trống rỗng.")</f>
        <v>Hàng tồn kho là trống rỗng.</v>
      </c>
      <c r="L119" s="26" t="str">
        <f>IFERROR(__xludf.DUMMYFUNCTION("GOOGLETRANSLATE(B119, ""en"", ""hr"")"),"Inventar je prazan.")</f>
        <v>Inventar je prazan.</v>
      </c>
      <c r="M119" s="28"/>
      <c r="N119" s="28"/>
      <c r="O119" s="28"/>
      <c r="P119" s="28"/>
      <c r="Q119" s="28"/>
      <c r="R119" s="28"/>
      <c r="S119" s="28"/>
      <c r="T119" s="28"/>
      <c r="U119" s="28"/>
      <c r="V119" s="28"/>
      <c r="W119" s="28"/>
      <c r="X119" s="28"/>
      <c r="Y119" s="28"/>
      <c r="Z119" s="28"/>
      <c r="AA119" s="28"/>
      <c r="AB119" s="28"/>
    </row>
    <row r="120">
      <c r="A120" s="21" t="s">
        <v>241</v>
      </c>
      <c r="B120" s="22" t="s">
        <v>241</v>
      </c>
      <c r="C120" s="23" t="str">
        <f>IFERROR(__xludf.DUMMYFUNCTION("GOOGLETRANSLATE(B120, ""en"", ""fr"")"),"Supprimer de la barre Hot")</f>
        <v>Supprimer de la barre Hot</v>
      </c>
      <c r="D120" s="23" t="str">
        <f>IFERROR(__xludf.DUMMYFUNCTION("GOOGLETRANSLATE(B120, ""en"", ""es"")"),"Eliminar de Hotbar")</f>
        <v>Eliminar de Hotbar</v>
      </c>
      <c r="E120" s="23" t="str">
        <f>IFERROR(__xludf.DUMMYFUNCTION("GOOGLETRANSLATE(B120, ""en"", ""ru"")"),"Удалить из hotbar")</f>
        <v>Удалить из hotbar</v>
      </c>
      <c r="F120" s="23" t="str">
        <f>IFERROR(__xludf.DUMMYFUNCTION("GOOGLETRANSLATE(B120, ""en"", ""tr"")"),"Hotbar'dan kaldır")</f>
        <v>Hotbar'dan kaldır</v>
      </c>
      <c r="G120" s="23" t="str">
        <f>IFERROR(__xludf.DUMMYFUNCTION("GOOGLETRANSLATE(B120, ""en"", ""pt"")"),"Remover do Hotbar.")</f>
        <v>Remover do Hotbar.</v>
      </c>
      <c r="H120" s="24" t="str">
        <f>IFERROR(__xludf.DUMMYFUNCTION("GOOGLETRANSLATE(B120, ""en"", ""de"")"),"Aus der Hotbar entfernen.")</f>
        <v>Aus der Hotbar entfernen.</v>
      </c>
      <c r="I120" s="23" t="str">
        <f>IFERROR(__xludf.DUMMYFUNCTION("GOOGLETRANSLATE(B120, ""en"", ""pl"")"),"Usuń z Hotbar.")</f>
        <v>Usuń z Hotbar.</v>
      </c>
      <c r="J120" s="25" t="str">
        <f>IFERROR(__xludf.DUMMYFUNCTION("GOOGLETRANSLATE(B120, ""en"", ""zh"")"),"从hotbar中删除")</f>
        <v>从hotbar中删除</v>
      </c>
      <c r="K120" s="25" t="str">
        <f>IFERROR(__xludf.DUMMYFUNCTION("GOOGLETRANSLATE(B120, ""en"", ""vi"")"),"Xóa khỏi Hotbar.")</f>
        <v>Xóa khỏi Hotbar.</v>
      </c>
      <c r="L120" s="26" t="str">
        <f>IFERROR(__xludf.DUMMYFUNCTION("GOOGLETRANSLATE(B120, ""en"", ""hr"")"),"Uklonite s Hotbar")</f>
        <v>Uklonite s Hotbar</v>
      </c>
      <c r="M120" s="28"/>
      <c r="N120" s="28"/>
      <c r="O120" s="28"/>
      <c r="P120" s="28"/>
      <c r="Q120" s="28"/>
      <c r="R120" s="28"/>
      <c r="S120" s="28"/>
      <c r="T120" s="28"/>
      <c r="U120" s="28"/>
      <c r="V120" s="28"/>
      <c r="W120" s="28"/>
      <c r="X120" s="28"/>
      <c r="Y120" s="28"/>
      <c r="Z120" s="28"/>
      <c r="AA120" s="28"/>
      <c r="AB120" s="28"/>
    </row>
    <row r="121">
      <c r="A121" s="21" t="s">
        <v>242</v>
      </c>
      <c r="B121" s="22" t="s">
        <v>242</v>
      </c>
      <c r="C121" s="23" t="str">
        <f>IFERROR(__xludf.DUMMYFUNCTION("GOOGLETRANSLATE(B121, ""en"", ""fr"")"),"Barre de chaleur pleine")</f>
        <v>Barre de chaleur pleine</v>
      </c>
      <c r="D121" s="23" t="str">
        <f>IFERROR(__xludf.DUMMYFUNCTION("GOOGLETRANSLATE(B121, ""en"", ""es"")"),"Hotbar lleno")</f>
        <v>Hotbar lleno</v>
      </c>
      <c r="E121" s="23" t="str">
        <f>IFERROR(__xludf.DUMMYFUNCTION("GOOGLETRANSLATE(B121, ""en"", ""ru"")"),"Hotbar полный")</f>
        <v>Hotbar полный</v>
      </c>
      <c r="F121" s="23" t="str">
        <f>IFERROR(__xludf.DUMMYFUNCTION("GOOGLETRANSLATE(B121, ""en"", ""tr"")"),"Hotbar dolu")</f>
        <v>Hotbar dolu</v>
      </c>
      <c r="G121" s="23" t="str">
        <f>IFERROR(__xludf.DUMMYFUNCTION("GOOGLETRANSLATE(B121, ""en"", ""pt"")"),"Hotbar cheio")</f>
        <v>Hotbar cheio</v>
      </c>
      <c r="H121" s="24" t="str">
        <f>IFERROR(__xludf.DUMMYFUNCTION("GOOGLETRANSLATE(B121, ""en"", ""de"")"),"Hotbar Full.")</f>
        <v>Hotbar Full.</v>
      </c>
      <c r="I121" s="23" t="str">
        <f>IFERROR(__xludf.DUMMYFUNCTION("GOOGLETRANSLATE(B121, ""en"", ""pl"")"),"Hotbar Full.")</f>
        <v>Hotbar Full.</v>
      </c>
      <c r="J121" s="25" t="str">
        <f>IFERROR(__xludf.DUMMYFUNCTION("GOOGLETRANSLATE(B121, ""en"", ""zh"")"),"Hotbar Full.")</f>
        <v>Hotbar Full.</v>
      </c>
      <c r="K121" s="25" t="str">
        <f>IFERROR(__xludf.DUMMYFUNCTION("GOOGLETRANSLATE(B121, ""en"", ""vi"")"),"Hotbar đầy đủ")</f>
        <v>Hotbar đầy đủ</v>
      </c>
      <c r="L121" s="26" t="str">
        <f>IFERROR(__xludf.DUMMYFUNCTION("GOOGLETRANSLATE(B121, ""en"", ""hr"")"),"Hotbar pun")</f>
        <v>Hotbar pun</v>
      </c>
      <c r="M121" s="28"/>
      <c r="N121" s="28"/>
      <c r="O121" s="28"/>
      <c r="P121" s="28"/>
      <c r="Q121" s="28"/>
      <c r="R121" s="28"/>
      <c r="S121" s="28"/>
      <c r="T121" s="28"/>
      <c r="U121" s="28"/>
      <c r="V121" s="28"/>
      <c r="W121" s="28"/>
      <c r="X121" s="28"/>
      <c r="Y121" s="28"/>
      <c r="Z121" s="28"/>
      <c r="AA121" s="28"/>
      <c r="AB121" s="28"/>
    </row>
    <row r="122">
      <c r="A122" s="21" t="s">
        <v>243</v>
      </c>
      <c r="B122" s="22" t="s">
        <v>243</v>
      </c>
      <c r="C122" s="23" t="str">
        <f>IFERROR(__xludf.DUMMYFUNCTION("GOOGLETRANSLATE(B122, ""en"", ""fr"")"),"Ajouter à HotBar")</f>
        <v>Ajouter à HotBar</v>
      </c>
      <c r="D122" s="23" t="str">
        <f>IFERROR(__xludf.DUMMYFUNCTION("GOOGLETRANSLATE(B122, ""en"", ""es"")"),"Añadir a Hotbar")</f>
        <v>Añadir a Hotbar</v>
      </c>
      <c r="E122" s="23" t="str">
        <f>IFERROR(__xludf.DUMMYFUNCTION("GOOGLETRANSLATE(B122, ""en"", ""ru"")"),"Добавить в HotBar")</f>
        <v>Добавить в HotBar</v>
      </c>
      <c r="F122" s="23" t="str">
        <f>IFERROR(__xludf.DUMMYFUNCTION("GOOGLETRANSLATE(B122, ""en"", ""tr"")"),"Hotbar'a ekle")</f>
        <v>Hotbar'a ekle</v>
      </c>
      <c r="G122" s="23" t="str">
        <f>IFERROR(__xludf.DUMMYFUNCTION("GOOGLETRANSLATE(B122, ""en"", ""pt"")"),"Adicionar ao Hotbar.")</f>
        <v>Adicionar ao Hotbar.</v>
      </c>
      <c r="H122" s="24" t="str">
        <f>IFERROR(__xludf.DUMMYFUNCTION("GOOGLETRANSLATE(B122, ""en"", ""de"")"),"Zu Hotbar hinzufügen")</f>
        <v>Zu Hotbar hinzufügen</v>
      </c>
      <c r="I122" s="23" t="str">
        <f>IFERROR(__xludf.DUMMYFUNCTION("GOOGLETRANSLATE(B122, ""en"", ""pl"")"),"Dodaj do Hotbar.")</f>
        <v>Dodaj do Hotbar.</v>
      </c>
      <c r="J122" s="25" t="str">
        <f>IFERROR(__xludf.DUMMYFUNCTION("GOOGLETRANSLATE(B122, ""en"", ""zh"")"),"添加到Hotbar.")</f>
        <v>添加到Hotbar.</v>
      </c>
      <c r="K122" s="25" t="str">
        <f>IFERROR(__xludf.DUMMYFUNCTION("GOOGLETRANSLATE(B122, ""en"", ""vi"")"),"Thêm vào thanh nóng")</f>
        <v>Thêm vào thanh nóng</v>
      </c>
      <c r="L122" s="26" t="str">
        <f>IFERROR(__xludf.DUMMYFUNCTION("GOOGLETRANSLATE(B122, ""en"", ""hr"")"),"Dodajte na vruću traku")</f>
        <v>Dodajte na vruću traku</v>
      </c>
      <c r="M122" s="28"/>
      <c r="N122" s="28"/>
      <c r="O122" s="28"/>
      <c r="P122" s="28"/>
      <c r="Q122" s="28"/>
      <c r="R122" s="28"/>
      <c r="S122" s="28"/>
      <c r="T122" s="28"/>
      <c r="U122" s="28"/>
      <c r="V122" s="28"/>
      <c r="W122" s="28"/>
      <c r="X122" s="28"/>
      <c r="Y122" s="28"/>
      <c r="Z122" s="28"/>
      <c r="AA122" s="28"/>
      <c r="AB122" s="28"/>
    </row>
    <row r="123">
      <c r="A123" s="21" t="s">
        <v>244</v>
      </c>
      <c r="B123" s="22" t="s">
        <v>244</v>
      </c>
      <c r="C123" s="23" t="str">
        <f>IFERROR(__xludf.DUMMYFUNCTION("GOOGLETRANSLATE(B123, ""en"", ""fr"")"),"Équipement rapide")</f>
        <v>Équipement rapide</v>
      </c>
      <c r="D123" s="23" t="str">
        <f>IFERROR(__xludf.DUMMYFUNCTION("GOOGLETRANSLATE(B123, ""en"", ""es"")"),"Equipamiento rápido")</f>
        <v>Equipamiento rápido</v>
      </c>
      <c r="E123" s="23" t="str">
        <f>IFERROR(__xludf.DUMMYFUNCTION("GOOGLETRANSLATE(B123, ""en"", ""ru"")"),"Быстрое оборудование")</f>
        <v>Быстрое оборудование</v>
      </c>
      <c r="F123" s="23" t="str">
        <f>IFERROR(__xludf.DUMMYFUNCTION("GOOGLETRANSLATE(B123, ""en"", ""tr"")"),"Hızlı donatmak")</f>
        <v>Hızlı donatmak</v>
      </c>
      <c r="G123" s="23" t="str">
        <f>IFERROR(__xludf.DUMMYFUNCTION("GOOGLETRANSLATE(B123, ""en"", ""pt"")"),"Equipador rápido.")</f>
        <v>Equipador rápido.</v>
      </c>
      <c r="H123" s="24" t="str">
        <f>IFERROR(__xludf.DUMMYFUNCTION("GOOGLETRANSLATE(B123, ""en"", ""de"")"),"Schnelle Ausrüstung")</f>
        <v>Schnelle Ausrüstung</v>
      </c>
      <c r="I123" s="23" t="str">
        <f>IFERROR(__xludf.DUMMYFUNCTION("GOOGLETRANSLATE(B123, ""en"", ""pl"")"),"Szybki Equip.")</f>
        <v>Szybki Equip.</v>
      </c>
      <c r="J123" s="25" t="str">
        <f>IFERROR(__xludf.DUMMYFUNCTION("GOOGLETRANSLATE(B123, ""en"", ""zh"")"),"快速装备")</f>
        <v>快速装备</v>
      </c>
      <c r="K123" s="25" t="str">
        <f>IFERROR(__xludf.DUMMYFUNCTION("GOOGLETRANSLATE(B123, ""en"", ""vi"")"),"Trang bị nhanh")</f>
        <v>Trang bị nhanh</v>
      </c>
      <c r="L123" s="26" t="str">
        <f>IFERROR(__xludf.DUMMYFUNCTION("GOOGLETRANSLATE(B123, ""en"", ""hr"")"),"Brza oprema")</f>
        <v>Brza oprema</v>
      </c>
      <c r="M123" s="28"/>
      <c r="N123" s="28"/>
      <c r="O123" s="28"/>
      <c r="P123" s="28"/>
      <c r="Q123" s="28"/>
      <c r="R123" s="28"/>
      <c r="S123" s="28"/>
      <c r="T123" s="28"/>
      <c r="U123" s="28"/>
      <c r="V123" s="28"/>
      <c r="W123" s="28"/>
      <c r="X123" s="28"/>
      <c r="Y123" s="28"/>
      <c r="Z123" s="28"/>
      <c r="AA123" s="28"/>
      <c r="AB123" s="28"/>
    </row>
    <row r="124">
      <c r="A124" s="21" t="s">
        <v>245</v>
      </c>
      <c r="B124" s="22" t="s">
        <v>245</v>
      </c>
      <c r="C124" s="23" t="str">
        <f>IFERROR(__xludf.DUMMYFUNCTION("GOOGLETRANSLATE(B124, ""en"", ""fr"")"),"Usage rapide")</f>
        <v>Usage rapide</v>
      </c>
      <c r="D124" s="23" t="str">
        <f>IFERROR(__xludf.DUMMYFUNCTION("GOOGLETRANSLATE(B124, ""en"", ""es"")"),"Uso rápido")</f>
        <v>Uso rápido</v>
      </c>
      <c r="E124" s="23" t="str">
        <f>IFERROR(__xludf.DUMMYFUNCTION("GOOGLETRANSLATE(B124, ""en"", ""ru"")"),"Быстрое использование")</f>
        <v>Быстрое использование</v>
      </c>
      <c r="F124" s="23" t="str">
        <f>IFERROR(__xludf.DUMMYFUNCTION("GOOGLETRANSLATE(B124, ""en"", ""tr"")"),"Hızlı kullanım")</f>
        <v>Hızlı kullanım</v>
      </c>
      <c r="G124" s="23" t="str">
        <f>IFERROR(__xludf.DUMMYFUNCTION("GOOGLETRANSLATE(B124, ""en"", ""pt"")"),"Uso rápido")</f>
        <v>Uso rápido</v>
      </c>
      <c r="H124" s="24" t="str">
        <f>IFERROR(__xludf.DUMMYFUNCTION("GOOGLETRANSLATE(B124, ""en"", ""de"")"),"Schnelle Verwendung")</f>
        <v>Schnelle Verwendung</v>
      </c>
      <c r="I124" s="23" t="str">
        <f>IFERROR(__xludf.DUMMYFUNCTION("GOOGLETRANSLATE(B124, ""en"", ""pl"")"),"Szybkie użycie")</f>
        <v>Szybkie użycie</v>
      </c>
      <c r="J124" s="25" t="str">
        <f>IFERROR(__xludf.DUMMYFUNCTION("GOOGLETRANSLATE(B124, ""en"", ""zh"")"),"快速使用")</f>
        <v>快速使用</v>
      </c>
      <c r="K124" s="25" t="str">
        <f>IFERROR(__xludf.DUMMYFUNCTION("GOOGLETRANSLATE(B124, ""en"", ""vi"")"),"Sử dụng nhanh chóng")</f>
        <v>Sử dụng nhanh chóng</v>
      </c>
      <c r="L124" s="26" t="str">
        <f>IFERROR(__xludf.DUMMYFUNCTION("GOOGLETRANSLATE(B124, ""en"", ""hr"")"),"Brzo korištenje")</f>
        <v>Brzo korištenje</v>
      </c>
      <c r="M124" s="28"/>
      <c r="N124" s="28"/>
      <c r="O124" s="28"/>
      <c r="P124" s="28"/>
      <c r="Q124" s="28"/>
      <c r="R124" s="28"/>
      <c r="S124" s="28"/>
      <c r="T124" s="28"/>
      <c r="U124" s="28"/>
      <c r="V124" s="28"/>
      <c r="W124" s="28"/>
      <c r="X124" s="28"/>
      <c r="Y124" s="28"/>
      <c r="Z124" s="28"/>
      <c r="AA124" s="28"/>
      <c r="AB124" s="28"/>
    </row>
    <row r="125">
      <c r="A125" s="21" t="s">
        <v>246</v>
      </c>
      <c r="B125" s="22" t="s">
        <v>246</v>
      </c>
      <c r="C125" s="23" t="str">
        <f>IFERROR(__xludf.DUMMYFUNCTION("GOOGLETRANSLATE(B125, ""en"", ""fr"")"),"Tomber")</f>
        <v>Tomber</v>
      </c>
      <c r="D125" s="23" t="str">
        <f>IFERROR(__xludf.DUMMYFUNCTION("GOOGLETRANSLATE(B125, ""en"", ""es"")"),"Soltar")</f>
        <v>Soltar</v>
      </c>
      <c r="E125" s="23" t="str">
        <f>IFERROR(__xludf.DUMMYFUNCTION("GOOGLETRANSLATE(B125, ""en"", ""ru"")"),"Уронить")</f>
        <v>Уронить</v>
      </c>
      <c r="F125" s="23" t="str">
        <f>IFERROR(__xludf.DUMMYFUNCTION("GOOGLETRANSLATE(B125, ""en"", ""tr"")"),"Düşürmek")</f>
        <v>Düşürmek</v>
      </c>
      <c r="G125" s="23" t="str">
        <f>IFERROR(__xludf.DUMMYFUNCTION("GOOGLETRANSLATE(B125, ""en"", ""pt"")"),"Derrubar")</f>
        <v>Derrubar</v>
      </c>
      <c r="H125" s="24" t="str">
        <f>IFERROR(__xludf.DUMMYFUNCTION("GOOGLETRANSLATE(B125, ""en"", ""de"")"),"Tropfen")</f>
        <v>Tropfen</v>
      </c>
      <c r="I125" s="23" t="str">
        <f>IFERROR(__xludf.DUMMYFUNCTION("GOOGLETRANSLATE(B125, ""en"", ""pl"")"),"Upuszczać")</f>
        <v>Upuszczać</v>
      </c>
      <c r="J125" s="25" t="str">
        <f>IFERROR(__xludf.DUMMYFUNCTION("GOOGLETRANSLATE(B125, ""en"", ""zh"")"),"降低")</f>
        <v>降低</v>
      </c>
      <c r="K125" s="25" t="str">
        <f>IFERROR(__xludf.DUMMYFUNCTION("GOOGLETRANSLATE(B125, ""en"", ""vi"")"),"Rơi vãi")</f>
        <v>Rơi vãi</v>
      </c>
      <c r="L125" s="26" t="str">
        <f>IFERROR(__xludf.DUMMYFUNCTION("GOOGLETRANSLATE(B125, ""en"", ""hr"")"),"Pad")</f>
        <v>Pad</v>
      </c>
      <c r="M125" s="28"/>
      <c r="N125" s="28"/>
      <c r="O125" s="28"/>
      <c r="P125" s="28"/>
      <c r="Q125" s="28"/>
      <c r="R125" s="28"/>
      <c r="S125" s="28"/>
      <c r="T125" s="28"/>
      <c r="U125" s="28"/>
      <c r="V125" s="28"/>
      <c r="W125" s="28"/>
      <c r="X125" s="28"/>
      <c r="Y125" s="28"/>
      <c r="Z125" s="28"/>
      <c r="AA125" s="28"/>
      <c r="AB125" s="28"/>
    </row>
    <row r="126">
      <c r="A126" s="21" t="s">
        <v>247</v>
      </c>
      <c r="B126" s="22" t="s">
        <v>248</v>
      </c>
      <c r="C126" s="23" t="str">
        <f>IFERROR(__xludf.DUMMYFUNCTION("GOOGLETRANSLATE(B126, ""en"", ""fr"")"),"Laisser tomber tout")</f>
        <v>Laisser tomber tout</v>
      </c>
      <c r="D126" s="23" t="str">
        <f>IFERROR(__xludf.DUMMYFUNCTION("GOOGLETRANSLATE(B126, ""en"", ""es"")"),"Caer todo")</f>
        <v>Caer todo</v>
      </c>
      <c r="E126" s="23" t="str">
        <f>IFERROR(__xludf.DUMMYFUNCTION("GOOGLETRANSLATE(B126, ""en"", ""ru"")"),"Падение все")</f>
        <v>Падение все</v>
      </c>
      <c r="F126" s="23" t="str">
        <f>IFERROR(__xludf.DUMMYFUNCTION("GOOGLETRANSLATE(B126, ""en"", ""tr"")"),"Hepsini düşürmek")</f>
        <v>Hepsini düşürmek</v>
      </c>
      <c r="G126" s="23" t="str">
        <f>IFERROR(__xludf.DUMMYFUNCTION("GOOGLETRANSLATE(B126, ""en"", ""pt"")"),"Drop All.")</f>
        <v>Drop All.</v>
      </c>
      <c r="H126" s="24" t="str">
        <f>IFERROR(__xludf.DUMMYFUNCTION("GOOGLETRANSLATE(B126, ""en"", ""de"")"),"Alles fallen lassen.")</f>
        <v>Alles fallen lassen.</v>
      </c>
      <c r="I126" s="23" t="str">
        <f>IFERROR(__xludf.DUMMYFUNCTION("GOOGLETRANSLATE(B126, ""en"", ""pl"")"),"Upuść wszystko")</f>
        <v>Upuść wszystko</v>
      </c>
      <c r="J126" s="25" t="str">
        <f>IFERROR(__xludf.DUMMYFUNCTION("GOOGLETRANSLATE(B126, ""en"", ""zh"")"),"放下所有")</f>
        <v>放下所有</v>
      </c>
      <c r="K126" s="25" t="str">
        <f>IFERROR(__xludf.DUMMYFUNCTION("GOOGLETRANSLATE(B126, ""en"", ""vi"")"),"Thả tất cả")</f>
        <v>Thả tất cả</v>
      </c>
      <c r="L126" s="26" t="str">
        <f>IFERROR(__xludf.DUMMYFUNCTION("GOOGLETRANSLATE(B126, ""en"", ""hr"")"),"Spustiti sve")</f>
        <v>Spustiti sve</v>
      </c>
      <c r="M126" s="28"/>
      <c r="N126" s="28"/>
      <c r="O126" s="28"/>
      <c r="P126" s="28"/>
      <c r="Q126" s="28"/>
      <c r="R126" s="28"/>
      <c r="S126" s="28"/>
      <c r="T126" s="28"/>
      <c r="U126" s="28"/>
      <c r="V126" s="28"/>
      <c r="W126" s="28"/>
      <c r="X126" s="28"/>
      <c r="Y126" s="28"/>
      <c r="Z126" s="28"/>
      <c r="AA126" s="28"/>
      <c r="AB126" s="28"/>
    </row>
    <row r="127">
      <c r="A127" s="21" t="s">
        <v>249</v>
      </c>
      <c r="B127" s="22" t="s">
        <v>249</v>
      </c>
      <c r="C127" s="23" t="str">
        <f>IFERROR(__xludf.DUMMYFUNCTION("GOOGLETRANSLATE(B127, ""en"", ""fr"")"),"Poids")</f>
        <v>Poids</v>
      </c>
      <c r="D127" s="23" t="str">
        <f>IFERROR(__xludf.DUMMYFUNCTION("GOOGLETRANSLATE(B127, ""en"", ""es"")"),"Peso")</f>
        <v>Peso</v>
      </c>
      <c r="E127" s="23" t="str">
        <f>IFERROR(__xludf.DUMMYFUNCTION("GOOGLETRANSLATE(B127, ""en"", ""ru"")"),"Масса")</f>
        <v>Масса</v>
      </c>
      <c r="F127" s="23" t="str">
        <f>IFERROR(__xludf.DUMMYFUNCTION("GOOGLETRANSLATE(B127, ""en"", ""tr"")"),"Ağırlık")</f>
        <v>Ağırlık</v>
      </c>
      <c r="G127" s="23" t="str">
        <f>IFERROR(__xludf.DUMMYFUNCTION("GOOGLETRANSLATE(B127, ""en"", ""pt"")"),"Peso")</f>
        <v>Peso</v>
      </c>
      <c r="H127" s="24" t="str">
        <f>IFERROR(__xludf.DUMMYFUNCTION("GOOGLETRANSLATE(B127, ""en"", ""de"")"),"Gewicht")</f>
        <v>Gewicht</v>
      </c>
      <c r="I127" s="23" t="str">
        <f>IFERROR(__xludf.DUMMYFUNCTION("GOOGLETRANSLATE(B127, ""en"", ""pl"")"),"Waga")</f>
        <v>Waga</v>
      </c>
      <c r="J127" s="25" t="str">
        <f>IFERROR(__xludf.DUMMYFUNCTION("GOOGLETRANSLATE(B127, ""en"", ""zh"")"),"重量")</f>
        <v>重量</v>
      </c>
      <c r="K127" s="25" t="str">
        <f>IFERROR(__xludf.DUMMYFUNCTION("GOOGLETRANSLATE(B127, ""en"", ""vi"")"),"Cân nặng")</f>
        <v>Cân nặng</v>
      </c>
      <c r="L127" s="26" t="str">
        <f>IFERROR(__xludf.DUMMYFUNCTION("GOOGLETRANSLATE(B127, ""en"", ""hr"")"),"Težina")</f>
        <v>Težina</v>
      </c>
      <c r="M127" s="28"/>
      <c r="N127" s="28"/>
      <c r="O127" s="28"/>
      <c r="P127" s="28"/>
      <c r="Q127" s="28"/>
      <c r="R127" s="28"/>
      <c r="S127" s="28"/>
      <c r="T127" s="28"/>
      <c r="U127" s="28"/>
      <c r="V127" s="28"/>
      <c r="W127" s="28"/>
      <c r="X127" s="28"/>
      <c r="Y127" s="28"/>
      <c r="Z127" s="28"/>
      <c r="AA127" s="28"/>
      <c r="AB127" s="28"/>
    </row>
    <row r="128">
      <c r="A128" s="21" t="s">
        <v>250</v>
      </c>
      <c r="B128" s="22" t="s">
        <v>250</v>
      </c>
      <c r="C128" s="23" t="str">
        <f>IFERROR(__xludf.DUMMYFUNCTION("GOOGLETRANSLATE(B128, ""en"", ""fr"")"),"Afficher les détails de l'article")</f>
        <v>Afficher les détails de l'article</v>
      </c>
      <c r="D128" s="23" t="str">
        <f>IFERROR(__xludf.DUMMYFUNCTION("GOOGLETRANSLATE(B128, ""en"", ""es"")"),"Mostrar detalles del artículo")</f>
        <v>Mostrar detalles del artículo</v>
      </c>
      <c r="E128" s="23" t="str">
        <f>IFERROR(__xludf.DUMMYFUNCTION("GOOGLETRANSLATE(B128, ""en"", ""ru"")"),"Показать детали предмета")</f>
        <v>Показать детали предмета</v>
      </c>
      <c r="F128" s="23" t="str">
        <f>IFERROR(__xludf.DUMMYFUNCTION("GOOGLETRANSLATE(B128, ""en"", ""tr"")"),"Ürün ayrıntılarını göster")</f>
        <v>Ürün ayrıntılarını göster</v>
      </c>
      <c r="G128" s="23" t="str">
        <f>IFERROR(__xludf.DUMMYFUNCTION("GOOGLETRANSLATE(B128, ""en"", ""pt"")"),"Mostrar detalhes do item")</f>
        <v>Mostrar detalhes do item</v>
      </c>
      <c r="H128" s="24" t="str">
        <f>IFERROR(__xludf.DUMMYFUNCTION("GOOGLETRANSLATE(B128, ""en"", ""de"")"),"Artikeldetails anzeigen.")</f>
        <v>Artikeldetails anzeigen.</v>
      </c>
      <c r="I128" s="23" t="str">
        <f>IFERROR(__xludf.DUMMYFUNCTION("GOOGLETRANSLATE(B128, ""en"", ""pl"")"),"Pokaż szczegóły elementu")</f>
        <v>Pokaż szczegóły elementu</v>
      </c>
      <c r="J128" s="25" t="str">
        <f>IFERROR(__xludf.DUMMYFUNCTION("GOOGLETRANSLATE(B128, ""en"", ""zh"")"),"显示项目详细信息")</f>
        <v>显示项目详细信息</v>
      </c>
      <c r="K128" s="25" t="str">
        <f>IFERROR(__xludf.DUMMYFUNCTION("GOOGLETRANSLATE(B128, ""en"", ""vi"")"),"Hiển thị chi tiết mục")</f>
        <v>Hiển thị chi tiết mục</v>
      </c>
      <c r="L128" s="26" t="str">
        <f>IFERROR(__xludf.DUMMYFUNCTION("GOOGLETRANSLATE(B128, ""en"", ""hr"")"),"Prikaži pojedinosti o stavci")</f>
        <v>Prikaži pojedinosti o stavci</v>
      </c>
      <c r="M128" s="28"/>
      <c r="N128" s="28"/>
      <c r="O128" s="28"/>
      <c r="P128" s="28"/>
      <c r="Q128" s="28"/>
      <c r="R128" s="28"/>
      <c r="S128" s="28"/>
      <c r="T128" s="28"/>
      <c r="U128" s="28"/>
      <c r="V128" s="28"/>
      <c r="W128" s="28"/>
      <c r="X128" s="28"/>
      <c r="Y128" s="28"/>
      <c r="Z128" s="28"/>
      <c r="AA128" s="28"/>
      <c r="AB128" s="28"/>
    </row>
    <row r="129">
      <c r="A129" s="21" t="s">
        <v>251</v>
      </c>
      <c r="B129" s="22" t="s">
        <v>252</v>
      </c>
      <c r="C129" s="23" t="str">
        <f>IFERROR(__xludf.DUMMYFUNCTION("GOOGLETRANSLATE(B129, ""en"", ""fr"")"),"Aucun élément trouvé.")</f>
        <v>Aucun élément trouvé.</v>
      </c>
      <c r="D129" s="23" t="str">
        <f>IFERROR(__xludf.DUMMYFUNCTION("GOOGLETRANSLATE(B129, ""en"", ""es"")"),"No se encontraron artículos.")</f>
        <v>No se encontraron artículos.</v>
      </c>
      <c r="E129" s="23" t="str">
        <f>IFERROR(__xludf.DUMMYFUNCTION("GOOGLETRANSLATE(B129, ""en"", ""ru"")"),"Ничего не найдено.")</f>
        <v>Ничего не найдено.</v>
      </c>
      <c r="F129" s="23" t="str">
        <f>IFERROR(__xludf.DUMMYFUNCTION("GOOGLETRANSLATE(B129, ""en"", ""tr"")"),"Hiç bir öğe bulunamadı.")</f>
        <v>Hiç bir öğe bulunamadı.</v>
      </c>
      <c r="G129" s="23" t="str">
        <f>IFERROR(__xludf.DUMMYFUNCTION("GOOGLETRANSLATE(B129, ""en"", ""pt"")"),"Nenhum item encontrado.")</f>
        <v>Nenhum item encontrado.</v>
      </c>
      <c r="H129" s="24" t="str">
        <f>IFERROR(__xludf.DUMMYFUNCTION("GOOGLETRANSLATE(B129, ""en"", ""de"")"),"Keine Elemente gefunden.")</f>
        <v>Keine Elemente gefunden.</v>
      </c>
      <c r="I129" s="23" t="str">
        <f>IFERROR(__xludf.DUMMYFUNCTION("GOOGLETRANSLATE(B129, ""en"", ""pl"")"),"Nie znaleziono żadnych przedmiotów.")</f>
        <v>Nie znaleziono żadnych przedmiotów.</v>
      </c>
      <c r="J129" s="25" t="str">
        <f>IFERROR(__xludf.DUMMYFUNCTION("GOOGLETRANSLATE(B129, ""en"", ""zh"")"),"未找到任何项目。")</f>
        <v>未找到任何项目。</v>
      </c>
      <c r="K129" s="25" t="str">
        <f>IFERROR(__xludf.DUMMYFUNCTION("GOOGLETRANSLATE(B129, ""en"", ""vi"")"),"Không tìm thấy vật nào.")</f>
        <v>Không tìm thấy vật nào.</v>
      </c>
      <c r="L129" s="26" t="str">
        <f>IFERROR(__xludf.DUMMYFUNCTION("GOOGLETRANSLATE(B129, ""en"", ""hr"")"),"Nema pronađenih stavki.")</f>
        <v>Nema pronađenih stavki.</v>
      </c>
      <c r="M129" s="28"/>
      <c r="N129" s="28"/>
      <c r="O129" s="28"/>
      <c r="P129" s="28"/>
      <c r="Q129" s="28"/>
      <c r="R129" s="28"/>
      <c r="S129" s="28"/>
      <c r="T129" s="28"/>
      <c r="U129" s="28"/>
      <c r="V129" s="28"/>
      <c r="W129" s="28"/>
      <c r="X129" s="28"/>
      <c r="Y129" s="28"/>
      <c r="Z129" s="28"/>
      <c r="AA129" s="28"/>
      <c r="AB129" s="28"/>
    </row>
    <row r="130">
      <c r="A130" s="21" t="s">
        <v>253</v>
      </c>
      <c r="B130" s="22" t="s">
        <v>254</v>
      </c>
      <c r="C130" s="23" t="str">
        <f>IFERROR(__xludf.DUMMYFUNCTION("GOOGLETRANSLATE(B130, ""en"", ""fr"")"),"Aucune option d'artisanat disponible.")</f>
        <v>Aucune option d'artisanat disponible.</v>
      </c>
      <c r="D130" s="23" t="str">
        <f>IFERROR(__xludf.DUMMYFUNCTION("GOOGLETRANSLATE(B130, ""en"", ""es"")"),"No hay opciones de artesanía disponibles.")</f>
        <v>No hay opciones de artesanía disponibles.</v>
      </c>
      <c r="E130" s="23" t="str">
        <f>IFERROR(__xludf.DUMMYFUNCTION("GOOGLETRANSLATE(B130, ""en"", ""ru"")"),"Нет вариантов крафта.")</f>
        <v>Нет вариантов крафта.</v>
      </c>
      <c r="F130" s="23" t="str">
        <f>IFERROR(__xludf.DUMMYFUNCTION("GOOGLETRANSLATE(B130, ""en"", ""tr"")"),"İşçiliği seçeneği yok.")</f>
        <v>İşçiliği seçeneği yok.</v>
      </c>
      <c r="G130" s="23" t="str">
        <f>IFERROR(__xludf.DUMMYFUNCTION("GOOGLETRANSLATE(B130, ""en"", ""pt"")"),"Sem opções de artesanato disponíveis.")</f>
        <v>Sem opções de artesanato disponíveis.</v>
      </c>
      <c r="H130" s="24" t="str">
        <f>IFERROR(__xludf.DUMMYFUNCTION("GOOGLETRANSLATE(B130, ""en"", ""de"")"),"Keine Handlungsoptionen verfügbar.")</f>
        <v>Keine Handlungsoptionen verfügbar.</v>
      </c>
      <c r="I130" s="23" t="str">
        <f>IFERROR(__xludf.DUMMYFUNCTION("GOOGLETRANSLATE(B130, ""en"", ""pl"")"),"Brak dostępnych opcji craftingów.")</f>
        <v>Brak dostępnych opcji craftingów.</v>
      </c>
      <c r="J130" s="25" t="str">
        <f>IFERROR(__xludf.DUMMYFUNCTION("GOOGLETRANSLATE(B130, ""en"", ""zh"")"),"没有可用的制作选项。")</f>
        <v>没有可用的制作选项。</v>
      </c>
      <c r="K130" s="25" t="str">
        <f>IFERROR(__xludf.DUMMYFUNCTION("GOOGLETRANSLATE(B130, ""en"", ""vi"")"),"Không có lựa chọn chế tạo có sẵn.")</f>
        <v>Không có lựa chọn chế tạo có sẵn.</v>
      </c>
      <c r="L130" s="26" t="str">
        <f>IFERROR(__xludf.DUMMYFUNCTION("GOOGLETRANSLATE(B130, ""en"", ""hr"")"),"Nema dostupnih opcija za izradu.")</f>
        <v>Nema dostupnih opcija za izradu.</v>
      </c>
      <c r="M130" s="28"/>
      <c r="N130" s="28"/>
      <c r="O130" s="28"/>
      <c r="P130" s="28"/>
      <c r="Q130" s="28"/>
      <c r="R130" s="28"/>
      <c r="S130" s="28"/>
      <c r="T130" s="28"/>
      <c r="U130" s="28"/>
      <c r="V130" s="28"/>
      <c r="W130" s="28"/>
      <c r="X130" s="28"/>
      <c r="Y130" s="28"/>
      <c r="Z130" s="28"/>
      <c r="AA130" s="28"/>
      <c r="AB130" s="28"/>
    </row>
    <row r="131">
      <c r="A131" s="21" t="s">
        <v>255</v>
      </c>
      <c r="B131" s="22" t="s">
        <v>255</v>
      </c>
      <c r="C131" s="23" t="str">
        <f>IFERROR(__xludf.DUMMYFUNCTION("GOOGLETRANSLATE(B131, ""en"", ""fr"")"),"Artisanat")</f>
        <v>Artisanat</v>
      </c>
      <c r="D131" s="23" t="str">
        <f>IFERROR(__xludf.DUMMYFUNCTION("GOOGLETRANSLATE(B131, ""en"", ""es"")"),"Artesanía")</f>
        <v>Artesanía</v>
      </c>
      <c r="E131" s="23" t="str">
        <f>IFERROR(__xludf.DUMMYFUNCTION("GOOGLETRANSLATE(B131, ""en"", ""ru"")"),"Ремесло")</f>
        <v>Ремесло</v>
      </c>
      <c r="F131" s="23" t="str">
        <f>IFERROR(__xludf.DUMMYFUNCTION("GOOGLETRANSLATE(B131, ""en"", ""tr"")"),"Zanaat")</f>
        <v>Zanaat</v>
      </c>
      <c r="G131" s="23" t="str">
        <f>IFERROR(__xludf.DUMMYFUNCTION("GOOGLETRANSLATE(B131, ""en"", ""pt"")"),"Artesanato")</f>
        <v>Artesanato</v>
      </c>
      <c r="H131" s="24" t="str">
        <f>IFERROR(__xludf.DUMMYFUNCTION("GOOGLETRANSLATE(B131, ""en"", ""de"")"),"Handwerk")</f>
        <v>Handwerk</v>
      </c>
      <c r="I131" s="23" t="str">
        <f>IFERROR(__xludf.DUMMYFUNCTION("GOOGLETRANSLATE(B131, ""en"", ""pl"")"),"Rękodzieło")</f>
        <v>Rękodzieło</v>
      </c>
      <c r="J131" s="25" t="str">
        <f>IFERROR(__xludf.DUMMYFUNCTION("GOOGLETRANSLATE(B131, ""en"", ""zh"")"),"工艺")</f>
        <v>工艺</v>
      </c>
      <c r="K131" s="25" t="str">
        <f>IFERROR(__xludf.DUMMYFUNCTION("GOOGLETRANSLATE(B131, ""en"", ""vi"")"),"Thủ công")</f>
        <v>Thủ công</v>
      </c>
      <c r="L131" s="26" t="str">
        <f>IFERROR(__xludf.DUMMYFUNCTION("GOOGLETRANSLATE(B131, ""en"", ""hr"")"),"Obrt")</f>
        <v>Obrt</v>
      </c>
      <c r="M131" s="28"/>
      <c r="N131" s="28"/>
      <c r="O131" s="28"/>
      <c r="P131" s="28"/>
      <c r="Q131" s="28"/>
      <c r="R131" s="28"/>
      <c r="S131" s="28"/>
      <c r="T131" s="28"/>
      <c r="U131" s="28"/>
      <c r="V131" s="28"/>
      <c r="W131" s="28"/>
      <c r="X131" s="28"/>
      <c r="Y131" s="28"/>
      <c r="Z131" s="28"/>
      <c r="AA131" s="28"/>
      <c r="AB131" s="28"/>
    </row>
    <row r="132">
      <c r="A132" s="29" t="s">
        <v>256</v>
      </c>
      <c r="B132" s="22" t="s">
        <v>256</v>
      </c>
      <c r="C132" s="23" t="str">
        <f>IFERROR(__xludf.DUMMYFUNCTION("GOOGLETRANSLATE(B132, ""en"", ""fr"")"),"Niveau")</f>
        <v>Niveau</v>
      </c>
      <c r="D132" s="23" t="str">
        <f>IFERROR(__xludf.DUMMYFUNCTION("GOOGLETRANSLATE(B132, ""en"", ""es"")"),"Nivel")</f>
        <v>Nivel</v>
      </c>
      <c r="E132" s="23" t="str">
        <f>IFERROR(__xludf.DUMMYFUNCTION("GOOGLETRANSLATE(B132, ""en"", ""ru"")"),"Уровень")</f>
        <v>Уровень</v>
      </c>
      <c r="F132" s="23" t="str">
        <f>IFERROR(__xludf.DUMMYFUNCTION("GOOGLETRANSLATE(B132, ""en"", ""tr"")"),"Seviye")</f>
        <v>Seviye</v>
      </c>
      <c r="G132" s="23" t="str">
        <f>IFERROR(__xludf.DUMMYFUNCTION("GOOGLETRANSLATE(B132, ""en"", ""pt"")"),"Nível")</f>
        <v>Nível</v>
      </c>
      <c r="H132" s="24" t="str">
        <f>IFERROR(__xludf.DUMMYFUNCTION("GOOGLETRANSLATE(B132, ""en"", ""de"")"),"Niveau")</f>
        <v>Niveau</v>
      </c>
      <c r="I132" s="23" t="str">
        <f>IFERROR(__xludf.DUMMYFUNCTION("GOOGLETRANSLATE(B132, ""en"", ""pl"")"),"Poziom")</f>
        <v>Poziom</v>
      </c>
      <c r="J132" s="25" t="str">
        <f>IFERROR(__xludf.DUMMYFUNCTION("GOOGLETRANSLATE(B132, ""en"", ""zh"")"),"等级")</f>
        <v>等级</v>
      </c>
      <c r="K132" s="25" t="str">
        <f>IFERROR(__xludf.DUMMYFUNCTION("GOOGLETRANSLATE(B132, ""en"", ""vi"")"),"Cấp độ")</f>
        <v>Cấp độ</v>
      </c>
      <c r="L132" s="26" t="str">
        <f>IFERROR(__xludf.DUMMYFUNCTION("GOOGLETRANSLATE(B132, ""en"", ""hr"")"),"Razina")</f>
        <v>Razina</v>
      </c>
      <c r="M132" s="28"/>
      <c r="N132" s="28"/>
      <c r="O132" s="28"/>
      <c r="P132" s="28"/>
      <c r="Q132" s="28"/>
      <c r="R132" s="28"/>
      <c r="S132" s="28"/>
      <c r="T132" s="28"/>
      <c r="U132" s="28"/>
      <c r="V132" s="28"/>
      <c r="W132" s="28"/>
      <c r="X132" s="28"/>
      <c r="Y132" s="28"/>
      <c r="Z132" s="28"/>
      <c r="AA132" s="28"/>
      <c r="AB132" s="28"/>
    </row>
    <row r="133">
      <c r="A133" s="29" t="s">
        <v>257</v>
      </c>
      <c r="B133" s="22" t="s">
        <v>257</v>
      </c>
      <c r="C133" s="23" t="s">
        <v>258</v>
      </c>
      <c r="D133" s="23" t="str">
        <f>IFERROR(__xludf.DUMMYFUNCTION("GOOGLETRANSLATE(B133, ""en"", ""es"")"),"Exp")</f>
        <v>Exp</v>
      </c>
      <c r="E133" s="23" t="str">
        <f>IFERROR(__xludf.DUMMYFUNCTION("GOOGLETRANSLATE(B133, ""en"", ""ru"")"),"Превышать")</f>
        <v>Превышать</v>
      </c>
      <c r="F133" s="23" t="str">
        <f>IFERROR(__xludf.DUMMYFUNCTION("GOOGLETRANSLATE(B133, ""en"", ""tr"")"),"Tecrübe")</f>
        <v>Tecrübe</v>
      </c>
      <c r="G133" s="23" t="str">
        <f>IFERROR(__xludf.DUMMYFUNCTION("GOOGLETRANSLATE(B133, ""en"", ""pt"")"),"Exp.")</f>
        <v>Exp.</v>
      </c>
      <c r="H133" s="24" t="str">
        <f>IFERROR(__xludf.DUMMYFUNCTION("GOOGLETRANSLATE(B133, ""en"", ""de"")"),"EXP.")</f>
        <v>EXP.</v>
      </c>
      <c r="I133" s="23" t="str">
        <f>IFERROR(__xludf.DUMMYFUNCTION("GOOGLETRANSLATE(B133, ""en"", ""pl"")"),"Do potęgi")</f>
        <v>Do potęgi</v>
      </c>
      <c r="J133" s="25" t="str">
        <f>IFERROR(__xludf.DUMMYFUNCTION("GOOGLETRANSLATE(B133, ""en"", ""zh"")"),"exp.")</f>
        <v>exp.</v>
      </c>
      <c r="K133" s="25" t="str">
        <f>IFERROR(__xludf.DUMMYFUNCTION("GOOGLETRANSLATE(B133, ""en"", ""vi"")"),"NS")</f>
        <v>NS</v>
      </c>
      <c r="L133" s="26" t="str">
        <f>IFERROR(__xludf.DUMMYFUNCTION("GOOGLETRANSLATE(B133, ""en"", ""hr"")"),"Exp")</f>
        <v>Exp</v>
      </c>
      <c r="M133" s="28"/>
      <c r="N133" s="28"/>
      <c r="O133" s="28"/>
      <c r="P133" s="28"/>
      <c r="Q133" s="28"/>
      <c r="R133" s="28"/>
      <c r="S133" s="28"/>
      <c r="T133" s="28"/>
      <c r="U133" s="28"/>
      <c r="V133" s="28"/>
      <c r="W133" s="28"/>
      <c r="X133" s="28"/>
      <c r="Y133" s="28"/>
      <c r="Z133" s="28"/>
      <c r="AA133" s="28"/>
      <c r="AB133" s="28"/>
    </row>
    <row r="134">
      <c r="A134" s="29" t="s">
        <v>116</v>
      </c>
      <c r="B134" s="22" t="s">
        <v>116</v>
      </c>
      <c r="C134" s="23" t="str">
        <f>IFERROR(__xludf.DUMMYFUNCTION("GOOGLETRANSLATE(B134, ""en"", ""fr"")"),"Tâches")</f>
        <v>Tâches</v>
      </c>
      <c r="D134" s="23" t="str">
        <f>IFERROR(__xludf.DUMMYFUNCTION("GOOGLETRANSLATE(B134, ""en"", ""es"")"),"Tareas")</f>
        <v>Tareas</v>
      </c>
      <c r="E134" s="23" t="str">
        <f>IFERROR(__xludf.DUMMYFUNCTION("GOOGLETRANSLATE(B134, ""en"", ""ru"")"),"Задания")</f>
        <v>Задания</v>
      </c>
      <c r="F134" s="23" t="str">
        <f>IFERROR(__xludf.DUMMYFUNCTION("GOOGLETRANSLATE(B134, ""en"", ""tr"")"),"Görevler")</f>
        <v>Görevler</v>
      </c>
      <c r="G134" s="23" t="str">
        <f>IFERROR(__xludf.DUMMYFUNCTION("GOOGLETRANSLATE(B134, ""en"", ""pt"")"),"Tarefas")</f>
        <v>Tarefas</v>
      </c>
      <c r="H134" s="24" t="str">
        <f>IFERROR(__xludf.DUMMYFUNCTION("GOOGLETRANSLATE(B134, ""en"", ""de"")"),"Aufgaben")</f>
        <v>Aufgaben</v>
      </c>
      <c r="I134" s="23" t="str">
        <f>IFERROR(__xludf.DUMMYFUNCTION("GOOGLETRANSLATE(B134, ""en"", ""pl"")"),"Zadania")</f>
        <v>Zadania</v>
      </c>
      <c r="J134" s="25" t="str">
        <f>IFERROR(__xludf.DUMMYFUNCTION("GOOGLETRANSLATE(B134, ""en"", ""zh"")"),"任务")</f>
        <v>任务</v>
      </c>
      <c r="K134" s="25" t="str">
        <f>IFERROR(__xludf.DUMMYFUNCTION("GOOGLETRANSLATE(B134, ""en"", ""vi"")"),"Nhiệm vụ")</f>
        <v>Nhiệm vụ</v>
      </c>
      <c r="L134" s="26" t="str">
        <f>IFERROR(__xludf.DUMMYFUNCTION("GOOGLETRANSLATE(B134, ""en"", ""hr"")"),"Zadatke")</f>
        <v>Zadatke</v>
      </c>
      <c r="M134" s="28"/>
      <c r="N134" s="28"/>
      <c r="O134" s="28"/>
      <c r="P134" s="28"/>
      <c r="Q134" s="28"/>
      <c r="R134" s="28"/>
      <c r="S134" s="28"/>
      <c r="T134" s="28"/>
      <c r="U134" s="28"/>
      <c r="V134" s="28"/>
      <c r="W134" s="28"/>
      <c r="X134" s="28"/>
      <c r="Y134" s="28"/>
      <c r="Z134" s="28"/>
      <c r="AA134" s="28"/>
      <c r="AB134" s="28"/>
    </row>
    <row r="135">
      <c r="A135" s="29" t="s">
        <v>259</v>
      </c>
      <c r="B135" s="22" t="s">
        <v>259</v>
      </c>
      <c r="C135" s="23" t="str">
        <f>IFERROR(__xludf.DUMMYFUNCTION("GOOGLETRANSLATE(B135, ""en"", ""fr"")"),"Tâche")</f>
        <v>Tâche</v>
      </c>
      <c r="D135" s="23" t="str">
        <f>IFERROR(__xludf.DUMMYFUNCTION("GOOGLETRANSLATE(B135, ""en"", ""es"")"),"Tarea")</f>
        <v>Tarea</v>
      </c>
      <c r="E135" s="23" t="str">
        <f>IFERROR(__xludf.DUMMYFUNCTION("GOOGLETRANSLATE(B135, ""en"", ""ru"")"),"Задача")</f>
        <v>Задача</v>
      </c>
      <c r="F135" s="23" t="str">
        <f>IFERROR(__xludf.DUMMYFUNCTION("GOOGLETRANSLATE(B135, ""en"", ""tr"")"),"Görev")</f>
        <v>Görev</v>
      </c>
      <c r="G135" s="23" t="str">
        <f>IFERROR(__xludf.DUMMYFUNCTION("GOOGLETRANSLATE(B135, ""en"", ""pt"")"),"Tarefa")</f>
        <v>Tarefa</v>
      </c>
      <c r="H135" s="24" t="str">
        <f>IFERROR(__xludf.DUMMYFUNCTION("GOOGLETRANSLATE(B135, ""en"", ""de"")"),"Aufgabe")</f>
        <v>Aufgabe</v>
      </c>
      <c r="I135" s="23" t="str">
        <f>IFERROR(__xludf.DUMMYFUNCTION("GOOGLETRANSLATE(B135, ""en"", ""pl"")"),"Zadanie")</f>
        <v>Zadanie</v>
      </c>
      <c r="J135" s="25" t="str">
        <f>IFERROR(__xludf.DUMMYFUNCTION("GOOGLETRANSLATE(B135, ""en"", ""zh"")"),"任务")</f>
        <v>任务</v>
      </c>
      <c r="K135" s="25" t="str">
        <f>IFERROR(__xludf.DUMMYFUNCTION("GOOGLETRANSLATE(B135, ""en"", ""vi"")"),"Nhiệm vụ")</f>
        <v>Nhiệm vụ</v>
      </c>
      <c r="L135" s="26" t="str">
        <f>IFERROR(__xludf.DUMMYFUNCTION("GOOGLETRANSLATE(B135, ""en"", ""hr"")"),"Zadatak")</f>
        <v>Zadatak</v>
      </c>
      <c r="M135" s="28"/>
      <c r="N135" s="28"/>
      <c r="O135" s="28"/>
      <c r="P135" s="28"/>
      <c r="Q135" s="28"/>
      <c r="R135" s="28"/>
      <c r="S135" s="28"/>
      <c r="T135" s="28"/>
      <c r="U135" s="28"/>
      <c r="V135" s="28"/>
      <c r="W135" s="28"/>
      <c r="X135" s="28"/>
      <c r="Y135" s="28"/>
      <c r="Z135" s="28"/>
      <c r="AA135" s="28"/>
      <c r="AB135" s="28"/>
    </row>
    <row r="136">
      <c r="A136" s="21" t="s">
        <v>260</v>
      </c>
      <c r="B136" s="22" t="s">
        <v>260</v>
      </c>
      <c r="C136" s="23" t="s">
        <v>261</v>
      </c>
      <c r="D136" s="23" t="str">
        <f>IFERROR(__xludf.DUMMYFUNCTION("GOOGLETRANSLATE(B136, ""en"", ""es"")"),"Progreso")</f>
        <v>Progreso</v>
      </c>
      <c r="E136" s="23" t="str">
        <f>IFERROR(__xludf.DUMMYFUNCTION("GOOGLETRANSLATE(B136, ""en"", ""ru"")"),"Прогресс")</f>
        <v>Прогресс</v>
      </c>
      <c r="F136" s="23" t="str">
        <f>IFERROR(__xludf.DUMMYFUNCTION("GOOGLETRANSLATE(B136, ""en"", ""tr"")"),"İlerlemek")</f>
        <v>İlerlemek</v>
      </c>
      <c r="G136" s="23" t="str">
        <f>IFERROR(__xludf.DUMMYFUNCTION("GOOGLETRANSLATE(B136, ""en"", ""pt"")"),"Progresso")</f>
        <v>Progresso</v>
      </c>
      <c r="H136" s="24" t="str">
        <f>IFERROR(__xludf.DUMMYFUNCTION("GOOGLETRANSLATE(B136, ""en"", ""de"")"),"Fortschritt")</f>
        <v>Fortschritt</v>
      </c>
      <c r="I136" s="23" t="str">
        <f>IFERROR(__xludf.DUMMYFUNCTION("GOOGLETRANSLATE(B136, ""en"", ""pl"")"),"Postęp")</f>
        <v>Postęp</v>
      </c>
      <c r="J136" s="25" t="str">
        <f>IFERROR(__xludf.DUMMYFUNCTION("GOOGLETRANSLATE(B136, ""en"", ""zh"")"),"进步")</f>
        <v>进步</v>
      </c>
      <c r="K136" s="25" t="str">
        <f>IFERROR(__xludf.DUMMYFUNCTION("GOOGLETRANSLATE(B136, ""en"", ""vi"")"),"Tiến triển")</f>
        <v>Tiến triển</v>
      </c>
      <c r="L136" s="26" t="str">
        <f>IFERROR(__xludf.DUMMYFUNCTION("GOOGLETRANSLATE(B136, ""en"", ""hr"")"),"Napredak")</f>
        <v>Napredak</v>
      </c>
      <c r="M136" s="28"/>
      <c r="N136" s="28"/>
      <c r="O136" s="28"/>
      <c r="P136" s="28"/>
      <c r="Q136" s="28"/>
      <c r="R136" s="28"/>
      <c r="S136" s="28"/>
      <c r="T136" s="28"/>
      <c r="U136" s="28"/>
      <c r="V136" s="28"/>
      <c r="W136" s="28"/>
      <c r="X136" s="28"/>
      <c r="Y136" s="28"/>
      <c r="Z136" s="28"/>
      <c r="AA136" s="28"/>
      <c r="AB136" s="28"/>
    </row>
    <row r="137">
      <c r="A137" s="21" t="s">
        <v>262</v>
      </c>
      <c r="B137" s="22" t="s">
        <v>262</v>
      </c>
      <c r="C137" s="23" t="str">
        <f>IFERROR(__xludf.DUMMYFUNCTION("GOOGLETRANSLATE(B137, ""en"", ""fr"")"),"Récompense")</f>
        <v>Récompense</v>
      </c>
      <c r="D137" s="23" t="str">
        <f>IFERROR(__xludf.DUMMYFUNCTION("GOOGLETRANSLATE(B137, ""en"", ""es"")"),"Recompensa")</f>
        <v>Recompensa</v>
      </c>
      <c r="E137" s="23" t="str">
        <f>IFERROR(__xludf.DUMMYFUNCTION("GOOGLETRANSLATE(B137, ""en"", ""ru"")"),"Награда")</f>
        <v>Награда</v>
      </c>
      <c r="F137" s="23" t="str">
        <f>IFERROR(__xludf.DUMMYFUNCTION("GOOGLETRANSLATE(B137, ""en"", ""tr"")"),"Ödül")</f>
        <v>Ödül</v>
      </c>
      <c r="G137" s="23" t="str">
        <f>IFERROR(__xludf.DUMMYFUNCTION("GOOGLETRANSLATE(B137, ""en"", ""pt"")"),"Recompensa")</f>
        <v>Recompensa</v>
      </c>
      <c r="H137" s="24" t="str">
        <f>IFERROR(__xludf.DUMMYFUNCTION("GOOGLETRANSLATE(B137, ""en"", ""de"")"),"Belohnen")</f>
        <v>Belohnen</v>
      </c>
      <c r="I137" s="23" t="str">
        <f>IFERROR(__xludf.DUMMYFUNCTION("GOOGLETRANSLATE(B137, ""en"", ""pl"")"),"Nagroda")</f>
        <v>Nagroda</v>
      </c>
      <c r="J137" s="25" t="str">
        <f>IFERROR(__xludf.DUMMYFUNCTION("GOOGLETRANSLATE(B137, ""en"", ""zh"")"),"报酬")</f>
        <v>报酬</v>
      </c>
      <c r="K137" s="25" t="str">
        <f>IFERROR(__xludf.DUMMYFUNCTION("GOOGLETRANSLATE(B137, ""en"", ""vi"")"),"Giải thưởng")</f>
        <v>Giải thưởng</v>
      </c>
      <c r="L137" s="26" t="str">
        <f>IFERROR(__xludf.DUMMYFUNCTION("GOOGLETRANSLATE(B137, ""en"", ""hr"")"),"Nagrada")</f>
        <v>Nagrada</v>
      </c>
      <c r="M137" s="28"/>
      <c r="N137" s="28"/>
      <c r="O137" s="28"/>
      <c r="P137" s="28"/>
      <c r="Q137" s="28"/>
      <c r="R137" s="28"/>
      <c r="S137" s="28"/>
      <c r="T137" s="28"/>
      <c r="U137" s="28"/>
      <c r="V137" s="28"/>
      <c r="W137" s="28"/>
      <c r="X137" s="28"/>
      <c r="Y137" s="28"/>
      <c r="Z137" s="28"/>
      <c r="AA137" s="28"/>
      <c r="AB137" s="28"/>
    </row>
    <row r="138">
      <c r="A138" s="21" t="s">
        <v>263</v>
      </c>
      <c r="B138" s="22" t="s">
        <v>263</v>
      </c>
      <c r="C138" s="23" t="str">
        <f>IFERROR(__xludf.DUMMYFUNCTION("GOOGLETRANSLATE(B138, ""en"", ""fr"")"),"Pister")</f>
        <v>Pister</v>
      </c>
      <c r="D138" s="23" t="str">
        <f>IFERROR(__xludf.DUMMYFUNCTION("GOOGLETRANSLATE(B138, ""en"", ""es"")"),"Pista")</f>
        <v>Pista</v>
      </c>
      <c r="E138" s="23" t="str">
        <f>IFERROR(__xludf.DUMMYFUNCTION("GOOGLETRANSLATE(B138, ""en"", ""ru"")"),"Отслеживать")</f>
        <v>Отслеживать</v>
      </c>
      <c r="F138" s="23" t="str">
        <f>IFERROR(__xludf.DUMMYFUNCTION("GOOGLETRANSLATE(B138, ""en"", ""tr"")"),"İzlemek")</f>
        <v>İzlemek</v>
      </c>
      <c r="G138" s="23" t="str">
        <f>IFERROR(__xludf.DUMMYFUNCTION("GOOGLETRANSLATE(B138, ""en"", ""pt"")"),"Acompanhar")</f>
        <v>Acompanhar</v>
      </c>
      <c r="H138" s="24" t="str">
        <f>IFERROR(__xludf.DUMMYFUNCTION("GOOGLETRANSLATE(B138, ""en"", ""de"")"),"Spur")</f>
        <v>Spur</v>
      </c>
      <c r="I138" s="23" t="str">
        <f>IFERROR(__xludf.DUMMYFUNCTION("GOOGLETRANSLATE(B138, ""en"", ""pl"")"),"Ścieżka")</f>
        <v>Ścieżka</v>
      </c>
      <c r="J138" s="25" t="str">
        <f>IFERROR(__xludf.DUMMYFUNCTION("GOOGLETRANSLATE(B138, ""en"", ""zh"")"),"追踪")</f>
        <v>追踪</v>
      </c>
      <c r="K138" s="25" t="str">
        <f>IFERROR(__xludf.DUMMYFUNCTION("GOOGLETRANSLATE(B138, ""en"", ""vi"")"),"Theo dõi")</f>
        <v>Theo dõi</v>
      </c>
      <c r="L138" s="26" t="str">
        <f>IFERROR(__xludf.DUMMYFUNCTION("GOOGLETRANSLATE(B138, ""en"", ""hr"")"),"Staza")</f>
        <v>Staza</v>
      </c>
      <c r="M138" s="28"/>
      <c r="N138" s="28"/>
      <c r="O138" s="28"/>
      <c r="P138" s="28"/>
      <c r="Q138" s="28"/>
      <c r="R138" s="28"/>
      <c r="S138" s="28"/>
      <c r="T138" s="28"/>
      <c r="U138" s="28"/>
      <c r="V138" s="28"/>
      <c r="W138" s="28"/>
      <c r="X138" s="28"/>
      <c r="Y138" s="28"/>
      <c r="Z138" s="28"/>
      <c r="AA138" s="28"/>
      <c r="AB138" s="28"/>
    </row>
    <row r="139">
      <c r="A139" s="21" t="s">
        <v>264</v>
      </c>
      <c r="B139" s="22" t="s">
        <v>264</v>
      </c>
      <c r="C139" s="23" t="str">
        <f>IFERROR(__xludf.DUMMYFUNCTION("GOOGLETRANSLATE(B139, ""en"", ""fr"")"),"Réclamer")</f>
        <v>Réclamer</v>
      </c>
      <c r="D139" s="23" t="str">
        <f>IFERROR(__xludf.DUMMYFUNCTION("GOOGLETRANSLATE(B139, ""en"", ""es"")"),"Afirmar")</f>
        <v>Afirmar</v>
      </c>
      <c r="E139" s="23" t="str">
        <f>IFERROR(__xludf.DUMMYFUNCTION("GOOGLETRANSLATE(B139, ""en"", ""ru"")"),"Требовать")</f>
        <v>Требовать</v>
      </c>
      <c r="F139" s="23" t="str">
        <f>IFERROR(__xludf.DUMMYFUNCTION("GOOGLETRANSLATE(B139, ""en"", ""tr"")"),"İddia")</f>
        <v>İddia</v>
      </c>
      <c r="G139" s="23" t="str">
        <f>IFERROR(__xludf.DUMMYFUNCTION("GOOGLETRANSLATE(B139, ""en"", ""pt"")"),"Alegar")</f>
        <v>Alegar</v>
      </c>
      <c r="H139" s="24" t="str">
        <f>IFERROR(__xludf.DUMMYFUNCTION("GOOGLETRANSLATE(B139, ""en"", ""de"")"),"Anspruch")</f>
        <v>Anspruch</v>
      </c>
      <c r="I139" s="23" t="str">
        <f>IFERROR(__xludf.DUMMYFUNCTION("GOOGLETRANSLATE(B139, ""en"", ""pl"")"),"Prawo")</f>
        <v>Prawo</v>
      </c>
      <c r="J139" s="25" t="str">
        <f>IFERROR(__xludf.DUMMYFUNCTION("GOOGLETRANSLATE(B139, ""en"", ""zh"")"),"宣称")</f>
        <v>宣称</v>
      </c>
      <c r="K139" s="25" t="str">
        <f>IFERROR(__xludf.DUMMYFUNCTION("GOOGLETRANSLATE(B139, ""en"", ""vi"")"),"Yêu cầu")</f>
        <v>Yêu cầu</v>
      </c>
      <c r="L139" s="26" t="str">
        <f>IFERROR(__xludf.DUMMYFUNCTION("GOOGLETRANSLATE(B139, ""en"", ""hr"")"),"Zahtjev")</f>
        <v>Zahtjev</v>
      </c>
      <c r="M139" s="28"/>
      <c r="N139" s="28"/>
      <c r="O139" s="28"/>
      <c r="P139" s="28"/>
      <c r="Q139" s="28"/>
      <c r="R139" s="28"/>
      <c r="S139" s="28"/>
      <c r="T139" s="28"/>
      <c r="U139" s="28"/>
      <c r="V139" s="28"/>
      <c r="W139" s="28"/>
      <c r="X139" s="28"/>
      <c r="Y139" s="28"/>
      <c r="Z139" s="28"/>
      <c r="AA139" s="28"/>
      <c r="AB139" s="28"/>
    </row>
    <row r="140">
      <c r="A140" s="21" t="s">
        <v>265</v>
      </c>
      <c r="B140" s="22" t="s">
        <v>266</v>
      </c>
      <c r="C140" s="23" t="str">
        <f>IFERROR(__xludf.DUMMYFUNCTION("GOOGLETRANSLATE(B140, ""en"", ""fr"")"),"Tâche terminée!")</f>
        <v>Tâche terminée!</v>
      </c>
      <c r="D140" s="23" t="str">
        <f>IFERROR(__xludf.DUMMYFUNCTION("GOOGLETRANSLATE(B140, ""en"", ""es"")"),"¡Tarea terminada!")</f>
        <v>¡Tarea terminada!</v>
      </c>
      <c r="E140" s="23" t="str">
        <f>IFERROR(__xludf.DUMMYFUNCTION("GOOGLETRANSLATE(B140, ""en"", ""ru"")"),"Задача завершена!")</f>
        <v>Задача завершена!</v>
      </c>
      <c r="F140" s="23" t="str">
        <f>IFERROR(__xludf.DUMMYFUNCTION("GOOGLETRANSLATE(B140, ""en"", ""tr"")"),"Görev tamamlandı!")</f>
        <v>Görev tamamlandı!</v>
      </c>
      <c r="G140" s="23" t="str">
        <f>IFERROR(__xludf.DUMMYFUNCTION("GOOGLETRANSLATE(B140, ""en"", ""pt"")"),"Tarefa completa!")</f>
        <v>Tarefa completa!</v>
      </c>
      <c r="H140" s="24" t="str">
        <f>IFERROR(__xludf.DUMMYFUNCTION("GOOGLETRANSLATE(B140, ""en"", ""de"")"),"Aufgabe erledigt!")</f>
        <v>Aufgabe erledigt!</v>
      </c>
      <c r="I140" s="23" t="str">
        <f>IFERROR(__xludf.DUMMYFUNCTION("GOOGLETRANSLATE(B140, ""en"", ""pl"")"),"Zadanie ukończone!")</f>
        <v>Zadanie ukończone!</v>
      </c>
      <c r="J140" s="25" t="str">
        <f>IFERROR(__xludf.DUMMYFUNCTION("GOOGLETRANSLATE(B140, ""en"", ""zh"")"),"任务完成！")</f>
        <v>任务完成！</v>
      </c>
      <c r="K140" s="25" t="str">
        <f>IFERROR(__xludf.DUMMYFUNCTION("GOOGLETRANSLATE(B140, ""en"", ""vi"")"),"Nhiệm vụ hoàn thành!")</f>
        <v>Nhiệm vụ hoàn thành!</v>
      </c>
      <c r="L140" s="26" t="str">
        <f>IFERROR(__xludf.DUMMYFUNCTION("GOOGLETRANSLATE(B140, ""en"", ""hr"")"),"Zadatak je dovršen!")</f>
        <v>Zadatak je dovršen!</v>
      </c>
      <c r="M140" s="28"/>
      <c r="N140" s="28"/>
      <c r="O140" s="28"/>
      <c r="P140" s="28"/>
      <c r="Q140" s="28"/>
      <c r="R140" s="28"/>
      <c r="S140" s="28"/>
      <c r="T140" s="28"/>
      <c r="U140" s="28"/>
      <c r="V140" s="28"/>
      <c r="W140" s="28"/>
      <c r="X140" s="28"/>
      <c r="Y140" s="28"/>
      <c r="Z140" s="28"/>
      <c r="AA140" s="28"/>
      <c r="AB140" s="28"/>
    </row>
    <row r="141">
      <c r="A141" s="21" t="s">
        <v>267</v>
      </c>
      <c r="B141" s="22" t="s">
        <v>268</v>
      </c>
      <c r="C141" s="23" t="s">
        <v>269</v>
      </c>
      <c r="D141" s="23" t="str">
        <f>IFERROR(__xludf.DUMMYFUNCTION("GOOGLETRANSLATE(B141, ""en"", ""es"")"),"¡Muriste!")</f>
        <v>¡Muriste!</v>
      </c>
      <c r="E141" s="23" t="str">
        <f>IFERROR(__xludf.DUMMYFUNCTION("GOOGLETRANSLATE(B141, ""en"", ""ru"")"),"Ты умер!")</f>
        <v>Ты умер!</v>
      </c>
      <c r="F141" s="23" t="str">
        <f>IFERROR(__xludf.DUMMYFUNCTION("GOOGLETRANSLATE(B141, ""en"", ""tr"")"),"Öldün!")</f>
        <v>Öldün!</v>
      </c>
      <c r="G141" s="23" t="str">
        <f>IFERROR(__xludf.DUMMYFUNCTION("GOOGLETRANSLATE(B141, ""en"", ""pt"")"),"Você morreu!")</f>
        <v>Você morreu!</v>
      </c>
      <c r="H141" s="24" t="str">
        <f>IFERROR(__xludf.DUMMYFUNCTION("GOOGLETRANSLATE(B141, ""en"", ""de"")"),"Du bist gestorben!")</f>
        <v>Du bist gestorben!</v>
      </c>
      <c r="I141" s="23" t="str">
        <f>IFERROR(__xludf.DUMMYFUNCTION("GOOGLETRANSLATE(B141, ""en"", ""pl"")"),"Umarłeś!")</f>
        <v>Umarłeś!</v>
      </c>
      <c r="J141" s="25" t="str">
        <f>IFERROR(__xludf.DUMMYFUNCTION("GOOGLETRANSLATE(B141, ""en"", ""zh"")"),"你死了！")</f>
        <v>你死了！</v>
      </c>
      <c r="K141" s="25" t="str">
        <f>IFERROR(__xludf.DUMMYFUNCTION("GOOGLETRANSLATE(B141, ""en"", ""vi"")"),"Bạn đã chết!")</f>
        <v>Bạn đã chết!</v>
      </c>
      <c r="L141" s="26" t="str">
        <f>IFERROR(__xludf.DUMMYFUNCTION("GOOGLETRANSLATE(B141, ""en"", ""hr"")"),"Umro si!")</f>
        <v>Umro si!</v>
      </c>
      <c r="M141" s="28"/>
      <c r="N141" s="28"/>
      <c r="O141" s="28"/>
      <c r="P141" s="28"/>
      <c r="Q141" s="28"/>
      <c r="R141" s="28"/>
      <c r="S141" s="28"/>
      <c r="T141" s="28"/>
      <c r="U141" s="28"/>
      <c r="V141" s="28"/>
      <c r="W141" s="28"/>
      <c r="X141" s="28"/>
      <c r="Y141" s="28"/>
      <c r="Z141" s="28"/>
      <c r="AA141" s="28"/>
      <c r="AB141" s="28"/>
    </row>
    <row r="142">
      <c r="A142" s="21" t="s">
        <v>270</v>
      </c>
      <c r="B142" s="22" t="s">
        <v>271</v>
      </c>
      <c r="C142" s="23" t="s">
        <v>272</v>
      </c>
      <c r="D142" s="23" t="str">
        <f>IFERROR(__xludf.DUMMYFUNCTION("GOOGLETRANSLATE(B142, ""en"", ""es"")"),"Estar mejor preparado la próxima vez. Los artículos durarán más tiempo cuando se hicieron con estadísticas de elaboración más altas.")</f>
        <v>Estar mejor preparado la próxima vez. Los artículos durarán más tiempo cuando se hicieron con estadísticas de elaboración más altas.</v>
      </c>
      <c r="E142" s="23" t="str">
        <f>IFERROR(__xludf.DUMMYFUNCTION("GOOGLETRANSLATE(B142, ""en"", ""ru"")"),"Будьте лучше подготовлены в следующий раз. Предметы будут длиться дольше, когда сделаны с более высокой статистикой по выращиванию.")</f>
        <v>Будьте лучше подготовлены в следующий раз. Предметы будут длиться дольше, когда сделаны с более высокой статистикой по выращиванию.</v>
      </c>
      <c r="F142" s="23" t="str">
        <f>IFERROR(__xludf.DUMMYFUNCTION("GOOGLETRANSLATE(B142, ""en"", ""tr"")"),"Bir dahaki sefere daha iyi hazır olun. Öğeler daha yüksek işçiliği istatistikleri ile yapıldığında daha uzun sürecek.")</f>
        <v>Bir dahaki sefere daha iyi hazır olun. Öğeler daha yüksek işçiliği istatistikleri ile yapıldığında daha uzun sürecek.</v>
      </c>
      <c r="G142" s="23" t="str">
        <f>IFERROR(__xludf.DUMMYFUNCTION("GOOGLETRANSLATE(B142, ""en"", ""pt"")"),"Ser melhor preparado da próxima vez. Os itens durarão mais tempo quando feitos com estatísticas de artesanato mais altas.")</f>
        <v>Ser melhor preparado da próxima vez. Os itens durarão mais tempo quando feitos com estatísticas de artesanato mais altas.</v>
      </c>
      <c r="H142" s="24" t="str">
        <f>IFERROR(__xludf.DUMMYFUNCTION("GOOGLETRANSLATE(B142, ""en"", ""de"")"),"Nächstes Mal besser vorbereitet sein. Gegenstände halten länger, wenn sie mit höheren Bastelstattern hergestellt werden.")</f>
        <v>Nächstes Mal besser vorbereitet sein. Gegenstände halten länger, wenn sie mit höheren Bastelstattern hergestellt werden.</v>
      </c>
      <c r="I142" s="23" t="str">
        <f>IFERROR(__xludf.DUMMYFUNCTION("GOOGLETRANSLATE(B142, ""en"", ""pl"")"),"Być lepiej przygotowanym następnym razem. Przedmioty będą trwać dłużej, gdy są wykonane z wyższych statystyk rzemieślniczych.")</f>
        <v>Być lepiej przygotowanym następnym razem. Przedmioty będą trwać dłużej, gdy są wykonane z wyższych statystyk rzemieślniczych.</v>
      </c>
      <c r="J142" s="25" t="str">
        <f>IFERROR(__xludf.DUMMYFUNCTION("GOOGLETRANSLATE(B142, ""en"", ""zh"")"),"下次准备好。用更高的制作统计数据制作时，物品将持续更长时间。")</f>
        <v>下次准备好。用更高的制作统计数据制作时，物品将持续更长时间。</v>
      </c>
      <c r="K142" s="25" t="str">
        <f>IFERROR(__xludf.DUMMYFUNCTION("GOOGLETRANSLATE(B142, ""en"", ""vi"")"),"Được chuẩn bị tốt hơn lần sau. Các mặt hàng sẽ kéo dài hơn khi được thực hiện với các chỉ số chế tạo cao hơn.")</f>
        <v>Được chuẩn bị tốt hơn lần sau. Các mặt hàng sẽ kéo dài hơn khi được thực hiện với các chỉ số chế tạo cao hơn.</v>
      </c>
      <c r="L142" s="26" t="str">
        <f>IFERROR(__xludf.DUMMYFUNCTION("GOOGLETRANSLATE(B142, ""en"", ""hr"")"),"Biti bolje pripremljeni sljedeći put. Stavke će trajati duže kada su napravljene s višim statistikom za izradu.")</f>
        <v>Biti bolje pripremljeni sljedeći put. Stavke će trajati duže kada su napravljene s višim statistikom za izradu.</v>
      </c>
      <c r="M142" s="28"/>
      <c r="N142" s="28"/>
      <c r="O142" s="28"/>
      <c r="P142" s="28"/>
      <c r="Q142" s="28"/>
      <c r="R142" s="28"/>
      <c r="S142" s="28"/>
      <c r="T142" s="28"/>
      <c r="U142" s="28"/>
      <c r="V142" s="28"/>
      <c r="W142" s="28"/>
      <c r="X142" s="28"/>
      <c r="Y142" s="28"/>
      <c r="Z142" s="28"/>
      <c r="AA142" s="28"/>
      <c r="AB142" s="28"/>
    </row>
    <row r="143">
      <c r="A143" s="21" t="s">
        <v>273</v>
      </c>
      <c r="B143" s="22" t="s">
        <v>274</v>
      </c>
      <c r="C143" s="23" t="s">
        <v>275</v>
      </c>
      <c r="D143" s="23" t="str">
        <f>IFERROR(__xludf.DUMMYFUNCTION("GOOGLETRANSLATE(B143, ""en"", ""es"")"),"Intenta trabajar con otros jugadores al hacer algo peligroso.")</f>
        <v>Intenta trabajar con otros jugadores al hacer algo peligroso.</v>
      </c>
      <c r="E143" s="23" t="str">
        <f>IFERROR(__xludf.DUMMYFUNCTION("GOOGLETRANSLATE(B143, ""en"", ""ru"")"),"Попробуйте работать с другими игроками, когда делаю что-то опасное.")</f>
        <v>Попробуйте работать с другими игроками, когда делаю что-то опасное.</v>
      </c>
      <c r="F143" s="23" t="str">
        <f>IFERROR(__xludf.DUMMYFUNCTION("GOOGLETRANSLATE(B143, ""en"", ""tr"")"),"Tehlikeli bir şey yaparken diğer oyuncularla çalışmayı deneyin.")</f>
        <v>Tehlikeli bir şey yaparken diğer oyuncularla çalışmayı deneyin.</v>
      </c>
      <c r="G143" s="23" t="str">
        <f>IFERROR(__xludf.DUMMYFUNCTION("GOOGLETRANSLATE(B143, ""en"", ""pt"")"),"Tente trabalhar com outros jogadores ao fazer algo perigoso.")</f>
        <v>Tente trabalhar com outros jogadores ao fazer algo perigoso.</v>
      </c>
      <c r="H143" s="24" t="str">
        <f>IFERROR(__xludf.DUMMYFUNCTION("GOOGLETRANSLATE(B143, ""en"", ""de"")"),"Versuchen Sie, mit anderen Spielern zu arbeiten, wenn Sie etwas Gefährliches tun.")</f>
        <v>Versuchen Sie, mit anderen Spielern zu arbeiten, wenn Sie etwas Gefährliches tun.</v>
      </c>
      <c r="I143" s="23" t="str">
        <f>IFERROR(__xludf.DUMMYFUNCTION("GOOGLETRANSLATE(B143, ""en"", ""pl"")"),"Spróbuj pracować z innymi graczami, gdy robiąc coś niebezpiecznego.")</f>
        <v>Spróbuj pracować z innymi graczami, gdy robiąc coś niebezpiecznego.</v>
      </c>
      <c r="J143" s="25" t="str">
        <f>IFERROR(__xludf.DUMMYFUNCTION("GOOGLETRANSLATE(B143, ""en"", ""zh"")"),"尝试在做一些危险时与其他玩家一起使用。")</f>
        <v>尝试在做一些危险时与其他玩家一起使用。</v>
      </c>
      <c r="K143" s="25" t="str">
        <f>IFERROR(__xludf.DUMMYFUNCTION("GOOGLETRANSLATE(B143, ""en"", ""vi"")"),"Hãy thử làm việc với những người chơi khác khi làm một cái gì đó nguy hiểm.")</f>
        <v>Hãy thử làm việc với những người chơi khác khi làm một cái gì đó nguy hiểm.</v>
      </c>
      <c r="L143" s="26" t="str">
        <f>IFERROR(__xludf.DUMMYFUNCTION("GOOGLETRANSLATE(B143, ""en"", ""hr"")"),"Pokušajte raditi s drugim igračima kada radite nešto opasno.")</f>
        <v>Pokušajte raditi s drugim igračima kada radite nešto opasno.</v>
      </c>
      <c r="M143" s="28"/>
      <c r="N143" s="28"/>
      <c r="O143" s="28"/>
      <c r="P143" s="28"/>
      <c r="Q143" s="28"/>
      <c r="R143" s="28"/>
      <c r="S143" s="28"/>
      <c r="T143" s="28"/>
      <c r="U143" s="28"/>
      <c r="V143" s="28"/>
      <c r="W143" s="28"/>
      <c r="X143" s="28"/>
      <c r="Y143" s="28"/>
      <c r="Z143" s="28"/>
      <c r="AA143" s="28"/>
      <c r="AB143" s="28"/>
    </row>
    <row r="144">
      <c r="A144" s="21" t="s">
        <v>276</v>
      </c>
      <c r="B144" s="22" t="s">
        <v>277</v>
      </c>
      <c r="C144" s="23" t="s">
        <v>278</v>
      </c>
      <c r="D144" s="23" t="str">
        <f>IFERROR(__xludf.DUMMYFUNCTION("GOOGLETRANSLATE(B144, ""en"", ""es"")"),"Muchas criaturas peligrosas solo aparecen por la noche.")</f>
        <v>Muchas criaturas peligrosas solo aparecen por la noche.</v>
      </c>
      <c r="E144" s="23" t="str">
        <f>IFERROR(__xludf.DUMMYFUNCTION("GOOGLETRANSLATE(B144, ""en"", ""ru"")"),"Многие опасные существа появляются только ночью.")</f>
        <v>Многие опасные существа появляются только ночью.</v>
      </c>
      <c r="F144" s="23" t="str">
        <f>IFERROR(__xludf.DUMMYFUNCTION("GOOGLETRANSLATE(B144, ""en"", ""tr"")"),"Birçok tehlikeli yaratık sadece geceleri ortaya çıkar.")</f>
        <v>Birçok tehlikeli yaratık sadece geceleri ortaya çıkar.</v>
      </c>
      <c r="G144" s="23" t="str">
        <f>IFERROR(__xludf.DUMMYFUNCTION("GOOGLETRANSLATE(B144, ""en"", ""pt"")"),"Muitas criaturas perigosas aparecem apenas à noite.")</f>
        <v>Muitas criaturas perigosas aparecem apenas à noite.</v>
      </c>
      <c r="H144" s="24" t="str">
        <f>IFERROR(__xludf.DUMMYFUNCTION("GOOGLETRANSLATE(B144, ""en"", ""de"")"),"Viele gefährliche Kreaturen erscheinen nur nachts.")</f>
        <v>Viele gefährliche Kreaturen erscheinen nur nachts.</v>
      </c>
      <c r="I144" s="23" t="str">
        <f>IFERROR(__xludf.DUMMYFUNCTION("GOOGLETRANSLATE(B144, ""en"", ""pl"")"),"Wiele niebezpiecznych stworzeń pojawia się tylko w nocy.")</f>
        <v>Wiele niebezpiecznych stworzeń pojawia się tylko w nocy.</v>
      </c>
      <c r="J144" s="25" t="str">
        <f>IFERROR(__xludf.DUMMYFUNCTION("GOOGLETRANSLATE(B144, ""en"", ""zh"")"),"许多危险的生物只出现在晚上。")</f>
        <v>许多危险的生物只出现在晚上。</v>
      </c>
      <c r="K144" s="25" t="str">
        <f>IFERROR(__xludf.DUMMYFUNCTION("GOOGLETRANSLATE(B144, ""en"", ""vi"")"),"Nhiều sinh vật nguy hiểm chỉ xuất hiện vào ban đêm.")</f>
        <v>Nhiều sinh vật nguy hiểm chỉ xuất hiện vào ban đêm.</v>
      </c>
      <c r="L144" s="26" t="str">
        <f>IFERROR(__xludf.DUMMYFUNCTION("GOOGLETRANSLATE(B144, ""en"", ""hr"")"),"Mnoga opasna stvorenja pojavljuju se samo noću.")</f>
        <v>Mnoga opasna stvorenja pojavljuju se samo noću.</v>
      </c>
      <c r="M144" s="28"/>
      <c r="N144" s="28"/>
      <c r="O144" s="28"/>
      <c r="P144" s="28"/>
      <c r="Q144" s="28"/>
      <c r="R144" s="28"/>
      <c r="S144" s="28"/>
      <c r="T144" s="28"/>
      <c r="U144" s="28"/>
      <c r="V144" s="28"/>
      <c r="W144" s="28"/>
      <c r="X144" s="28"/>
      <c r="Y144" s="28"/>
      <c r="Z144" s="28"/>
      <c r="AA144" s="28"/>
      <c r="AB144" s="28"/>
    </row>
    <row r="145">
      <c r="A145" s="21" t="s">
        <v>279</v>
      </c>
      <c r="B145" s="22" t="s">
        <v>279</v>
      </c>
      <c r="C145" s="23" t="s">
        <v>280</v>
      </c>
      <c r="D145" s="23" t="str">
        <f>IFERROR(__xludf.DUMMYFUNCTION("GOOGLETRANSLATE(B145, ""en"", ""es"")"),"Reaparecer")</f>
        <v>Reaparecer</v>
      </c>
      <c r="E145" s="23" t="str">
        <f>IFERROR(__xludf.DUMMYFUNCTION("GOOGLETRANSLATE(B145, ""en"", ""ru"")"),"респаун")</f>
        <v>респаун</v>
      </c>
      <c r="F145" s="23" t="str">
        <f>IFERROR(__xludf.DUMMYFUNCTION("GOOGLETRANSLATE(B145, ""en"", ""tr"")"),"yeniden doğma")</f>
        <v>yeniden doğma</v>
      </c>
      <c r="G145" s="23" t="str">
        <f>IFERROR(__xludf.DUMMYFUNCTION("GOOGLETRANSLATE(B145, ""en"", ""pt"")"),"reaparecimento")</f>
        <v>reaparecimento</v>
      </c>
      <c r="H145" s="24" t="str">
        <f>IFERROR(__xludf.DUMMYFUNCTION("GOOGLETRANSLATE(B145, ""en"", ""de"")"),"Respawnt.")</f>
        <v>Respawnt.</v>
      </c>
      <c r="I145" s="23" t="str">
        <f>IFERROR(__xludf.DUMMYFUNCTION("GOOGLETRANSLATE(B145, ""en"", ""pl"")"),"Odradzać się")</f>
        <v>Odradzać się</v>
      </c>
      <c r="J145" s="25" t="str">
        <f>IFERROR(__xludf.DUMMYFUNCTION("GOOGLETRANSLATE(B145, ""en"", ""zh"")"),"重生")</f>
        <v>重生</v>
      </c>
      <c r="K145" s="25" t="str">
        <f>IFERROR(__xludf.DUMMYFUNCTION("GOOGLETRANSLATE(B145, ""en"", ""vi"")"),"Hồi sinh")</f>
        <v>Hồi sinh</v>
      </c>
      <c r="L145" s="26" t="str">
        <f>IFERROR(__xludf.DUMMYFUNCTION("GOOGLETRANSLATE(B145, ""en"", ""hr"")"),"Respirati")</f>
        <v>Respirati</v>
      </c>
      <c r="M145" s="28"/>
      <c r="N145" s="28"/>
      <c r="O145" s="28"/>
      <c r="P145" s="28"/>
      <c r="Q145" s="28"/>
      <c r="R145" s="28"/>
      <c r="S145" s="28"/>
      <c r="T145" s="28"/>
      <c r="U145" s="28"/>
      <c r="V145" s="28"/>
      <c r="W145" s="28"/>
      <c r="X145" s="28"/>
      <c r="Y145" s="28"/>
      <c r="Z145" s="28"/>
      <c r="AA145" s="28"/>
      <c r="AB145" s="28"/>
    </row>
    <row r="146">
      <c r="A146" s="21" t="s">
        <v>281</v>
      </c>
      <c r="B146" s="22" t="s">
        <v>281</v>
      </c>
      <c r="C146" s="23" t="str">
        <f>IFERROR(__xludf.DUMMYFUNCTION("GOOGLETRANSLATE(B146, ""en"", ""fr"")"),"Donjon")</f>
        <v>Donjon</v>
      </c>
      <c r="D146" s="23" t="str">
        <f>IFERROR(__xludf.DUMMYFUNCTION("GOOGLETRANSLATE(B146, ""en"", ""es"")"),"Calabozo")</f>
        <v>Calabozo</v>
      </c>
      <c r="E146" s="23" t="str">
        <f>IFERROR(__xludf.DUMMYFUNCTION("GOOGLETRANSLATE(B146, ""en"", ""ru"")"),"Темница")</f>
        <v>Темница</v>
      </c>
      <c r="F146" s="23" t="str">
        <f>IFERROR(__xludf.DUMMYFUNCTION("GOOGLETRANSLATE(B146, ""en"", ""tr"")"),"Zindan")</f>
        <v>Zindan</v>
      </c>
      <c r="G146" s="23" t="str">
        <f>IFERROR(__xludf.DUMMYFUNCTION("GOOGLETRANSLATE(B146, ""en"", ""pt"")"),"Masmorra")</f>
        <v>Masmorra</v>
      </c>
      <c r="H146" s="24" t="str">
        <f>IFERROR(__xludf.DUMMYFUNCTION("GOOGLETRANSLATE(B146, ""en"", ""de"")"),"Verlies")</f>
        <v>Verlies</v>
      </c>
      <c r="I146" s="23" t="str">
        <f>IFERROR(__xludf.DUMMYFUNCTION("GOOGLETRANSLATE(B146, ""en"", ""pl"")"),"Loch")</f>
        <v>Loch</v>
      </c>
      <c r="J146" s="25" t="str">
        <f>IFERROR(__xludf.DUMMYFUNCTION("GOOGLETRANSLATE(B146, ""en"", ""zh"")"),"地牢")</f>
        <v>地牢</v>
      </c>
      <c r="K146" s="25" t="str">
        <f>IFERROR(__xludf.DUMMYFUNCTION("GOOGLETRANSLATE(B146, ""en"", ""vi"")"),"Ngục tối")</f>
        <v>Ngục tối</v>
      </c>
      <c r="L146" s="26" t="str">
        <f>IFERROR(__xludf.DUMMYFUNCTION("GOOGLETRANSLATE(B146, ""en"", ""hr"")"),"Tamnica")</f>
        <v>Tamnica</v>
      </c>
      <c r="M146" s="28"/>
      <c r="N146" s="28"/>
      <c r="O146" s="28"/>
      <c r="P146" s="28"/>
      <c r="Q146" s="28"/>
      <c r="R146" s="28"/>
      <c r="S146" s="28"/>
      <c r="T146" s="28"/>
      <c r="U146" s="28"/>
      <c r="V146" s="28"/>
      <c r="W146" s="28"/>
      <c r="X146" s="28"/>
      <c r="Y146" s="28"/>
      <c r="Z146" s="28"/>
      <c r="AA146" s="28"/>
      <c r="AB146" s="28"/>
    </row>
    <row r="147">
      <c r="A147" s="21" t="s">
        <v>282</v>
      </c>
      <c r="B147" s="22" t="s">
        <v>282</v>
      </c>
      <c r="C147" s="23" t="str">
        <f>IFERROR(__xludf.DUMMYFUNCTION("GOOGLETRANSLATE(B147, ""en"", ""fr"")"),"Difficulté")</f>
        <v>Difficulté</v>
      </c>
      <c r="D147" s="23" t="str">
        <f>IFERROR(__xludf.DUMMYFUNCTION("GOOGLETRANSLATE(B147, ""en"", ""es"")"),"Dificultad")</f>
        <v>Dificultad</v>
      </c>
      <c r="E147" s="23" t="str">
        <f>IFERROR(__xludf.DUMMYFUNCTION("GOOGLETRANSLATE(B147, ""en"", ""ru"")"),"Затруднение")</f>
        <v>Затруднение</v>
      </c>
      <c r="F147" s="23" t="str">
        <f>IFERROR(__xludf.DUMMYFUNCTION("GOOGLETRANSLATE(B147, ""en"", ""tr"")"),"Zorluk")</f>
        <v>Zorluk</v>
      </c>
      <c r="G147" s="23" t="str">
        <f>IFERROR(__xludf.DUMMYFUNCTION("GOOGLETRANSLATE(B147, ""en"", ""pt"")"),"Dificuldade")</f>
        <v>Dificuldade</v>
      </c>
      <c r="H147" s="24" t="str">
        <f>IFERROR(__xludf.DUMMYFUNCTION("GOOGLETRANSLATE(B147, ""en"", ""de"")"),"Schwierigkeit")</f>
        <v>Schwierigkeit</v>
      </c>
      <c r="I147" s="23" t="str">
        <f>IFERROR(__xludf.DUMMYFUNCTION("GOOGLETRANSLATE(B147, ""en"", ""pl"")"),"Trudność")</f>
        <v>Trudność</v>
      </c>
      <c r="J147" s="25" t="str">
        <f>IFERROR(__xludf.DUMMYFUNCTION("GOOGLETRANSLATE(B147, ""en"", ""zh"")"),"困难")</f>
        <v>困难</v>
      </c>
      <c r="K147" s="25" t="str">
        <f>IFERROR(__xludf.DUMMYFUNCTION("GOOGLETRANSLATE(B147, ""en"", ""vi"")"),"Khó khăn")</f>
        <v>Khó khăn</v>
      </c>
      <c r="L147" s="26" t="str">
        <f>IFERROR(__xludf.DUMMYFUNCTION("GOOGLETRANSLATE(B147, ""en"", ""hr"")"),"Poteškoća")</f>
        <v>Poteškoća</v>
      </c>
      <c r="M147" s="28"/>
      <c r="N147" s="28"/>
      <c r="O147" s="28"/>
      <c r="P147" s="28"/>
      <c r="Q147" s="28"/>
      <c r="R147" s="28"/>
      <c r="S147" s="28"/>
      <c r="T147" s="28"/>
      <c r="U147" s="28"/>
      <c r="V147" s="28"/>
      <c r="W147" s="28"/>
      <c r="X147" s="28"/>
      <c r="Y147" s="28"/>
      <c r="Z147" s="28"/>
      <c r="AA147" s="28"/>
      <c r="AB147" s="28"/>
    </row>
    <row r="148">
      <c r="A148" s="21" t="s">
        <v>283</v>
      </c>
      <c r="B148" s="22" t="s">
        <v>283</v>
      </c>
      <c r="C148" s="23" t="str">
        <f>IFERROR(__xludf.DUMMYFUNCTION("GOOGLETRANSLATE(B148, ""en"", ""fr"")"),"Débutant")</f>
        <v>Débutant</v>
      </c>
      <c r="D148" s="23" t="str">
        <f>IFERROR(__xludf.DUMMYFUNCTION("GOOGLETRANSLATE(B148, ""en"", ""es"")"),"Principiante")</f>
        <v>Principiante</v>
      </c>
      <c r="E148" s="23" t="str">
        <f>IFERROR(__xludf.DUMMYFUNCTION("GOOGLETRANSLATE(B148, ""en"", ""ru"")"),"Новичок")</f>
        <v>Новичок</v>
      </c>
      <c r="F148" s="23" t="str">
        <f>IFERROR(__xludf.DUMMYFUNCTION("GOOGLETRANSLATE(B148, ""en"", ""tr"")"),"Acemi")</f>
        <v>Acemi</v>
      </c>
      <c r="G148" s="23" t="str">
        <f>IFERROR(__xludf.DUMMYFUNCTION("GOOGLETRANSLATE(B148, ""en"", ""pt"")"),"Principiante")</f>
        <v>Principiante</v>
      </c>
      <c r="H148" s="24" t="str">
        <f>IFERROR(__xludf.DUMMYFUNCTION("GOOGLETRANSLATE(B148, ""en"", ""de"")"),"Anfänger")</f>
        <v>Anfänger</v>
      </c>
      <c r="I148" s="23" t="str">
        <f>IFERROR(__xludf.DUMMYFUNCTION("GOOGLETRANSLATE(B148, ""en"", ""pl"")"),"Początkujący")</f>
        <v>Początkujący</v>
      </c>
      <c r="J148" s="25" t="str">
        <f>IFERROR(__xludf.DUMMYFUNCTION("GOOGLETRANSLATE(B148, ""en"", ""zh"")"),"初学者")</f>
        <v>初学者</v>
      </c>
      <c r="K148" s="25" t="str">
        <f>IFERROR(__xludf.DUMMYFUNCTION("GOOGLETRANSLATE(B148, ""en"", ""vi"")"),"Người bắt đầu")</f>
        <v>Người bắt đầu</v>
      </c>
      <c r="L148" s="26" t="str">
        <f>IFERROR(__xludf.DUMMYFUNCTION("GOOGLETRANSLATE(B148, ""en"", ""hr"")"),"Početnik")</f>
        <v>Početnik</v>
      </c>
      <c r="M148" s="28"/>
      <c r="N148" s="28"/>
      <c r="O148" s="28"/>
      <c r="P148" s="28"/>
      <c r="Q148" s="28"/>
      <c r="R148" s="28"/>
      <c r="S148" s="28"/>
      <c r="T148" s="28"/>
      <c r="U148" s="28"/>
      <c r="V148" s="28"/>
      <c r="W148" s="28"/>
      <c r="X148" s="28"/>
      <c r="Y148" s="28"/>
      <c r="Z148" s="28"/>
      <c r="AA148" s="28"/>
      <c r="AB148" s="28"/>
    </row>
    <row r="149">
      <c r="A149" s="21" t="s">
        <v>284</v>
      </c>
      <c r="B149" s="22" t="s">
        <v>284</v>
      </c>
      <c r="C149" s="23" t="str">
        <f>IFERROR(__xludf.DUMMYFUNCTION("GOOGLETRANSLATE(B149, ""en"", ""fr"")"),"Avancée")</f>
        <v>Avancée</v>
      </c>
      <c r="D149" s="23" t="str">
        <f>IFERROR(__xludf.DUMMYFUNCTION("GOOGLETRANSLATE(B149, ""en"", ""es"")"),"Avanzado")</f>
        <v>Avanzado</v>
      </c>
      <c r="E149" s="23" t="str">
        <f>IFERROR(__xludf.DUMMYFUNCTION("GOOGLETRANSLATE(B149, ""en"", ""ru"")"),"Передовой")</f>
        <v>Передовой</v>
      </c>
      <c r="F149" s="23" t="str">
        <f>IFERROR(__xludf.DUMMYFUNCTION("GOOGLETRANSLATE(B149, ""en"", ""tr"")"),"ileri")</f>
        <v>ileri</v>
      </c>
      <c r="G149" s="23" t="str">
        <f>IFERROR(__xludf.DUMMYFUNCTION("GOOGLETRANSLATE(B149, ""en"", ""pt"")"),"Avançado")</f>
        <v>Avançado</v>
      </c>
      <c r="H149" s="24" t="str">
        <f>IFERROR(__xludf.DUMMYFUNCTION("GOOGLETRANSLATE(B149, ""en"", ""de"")"),"Fortschrittlich")</f>
        <v>Fortschrittlich</v>
      </c>
      <c r="I149" s="23" t="str">
        <f>IFERROR(__xludf.DUMMYFUNCTION("GOOGLETRANSLATE(B149, ""en"", ""pl"")"),"Zaawansowany")</f>
        <v>Zaawansowany</v>
      </c>
      <c r="J149" s="25" t="str">
        <f>IFERROR(__xludf.DUMMYFUNCTION("GOOGLETRANSLATE(B149, ""en"", ""zh"")"),"先进的")</f>
        <v>先进的</v>
      </c>
      <c r="K149" s="25" t="str">
        <f>IFERROR(__xludf.DUMMYFUNCTION("GOOGLETRANSLATE(B149, ""en"", ""vi"")"),"Nâng cao")</f>
        <v>Nâng cao</v>
      </c>
      <c r="L149" s="26" t="str">
        <f>IFERROR(__xludf.DUMMYFUNCTION("GOOGLETRANSLATE(B149, ""en"", ""hr"")"),"Napredna")</f>
        <v>Napredna</v>
      </c>
      <c r="M149" s="28"/>
      <c r="N149" s="28"/>
      <c r="O149" s="28"/>
      <c r="P149" s="28"/>
      <c r="Q149" s="28"/>
      <c r="R149" s="28"/>
      <c r="S149" s="28"/>
      <c r="T149" s="28"/>
      <c r="U149" s="28"/>
      <c r="V149" s="28"/>
      <c r="W149" s="28"/>
      <c r="X149" s="28"/>
      <c r="Y149" s="28"/>
      <c r="Z149" s="28"/>
      <c r="AA149" s="28"/>
      <c r="AB149" s="28"/>
    </row>
    <row r="150">
      <c r="A150" s="21" t="s">
        <v>285</v>
      </c>
      <c r="B150" s="22" t="s">
        <v>285</v>
      </c>
      <c r="C150" s="23" t="str">
        <f>IFERROR(__xludf.DUMMYFUNCTION("GOOGLETRANSLATE(B150, ""en"", ""fr"")"),"Expert")</f>
        <v>Expert</v>
      </c>
      <c r="D150" s="23" t="str">
        <f>IFERROR(__xludf.DUMMYFUNCTION("GOOGLETRANSLATE(B150, ""en"", ""es"")"),"Experto")</f>
        <v>Experto</v>
      </c>
      <c r="E150" s="23" t="str">
        <f>IFERROR(__xludf.DUMMYFUNCTION("GOOGLETRANSLATE(B150, ""en"", ""ru"")"),"Эксперт")</f>
        <v>Эксперт</v>
      </c>
      <c r="F150" s="23" t="str">
        <f>IFERROR(__xludf.DUMMYFUNCTION("GOOGLETRANSLATE(B150, ""en"", ""tr"")"),"Uzman")</f>
        <v>Uzman</v>
      </c>
      <c r="G150" s="23" t="str">
        <f>IFERROR(__xludf.DUMMYFUNCTION("GOOGLETRANSLATE(B150, ""en"", ""pt"")"),"Especialista")</f>
        <v>Especialista</v>
      </c>
      <c r="H150" s="24" t="str">
        <f>IFERROR(__xludf.DUMMYFUNCTION("GOOGLETRANSLATE(B150, ""en"", ""de"")"),"Experte")</f>
        <v>Experte</v>
      </c>
      <c r="I150" s="23" t="str">
        <f>IFERROR(__xludf.DUMMYFUNCTION("GOOGLETRANSLATE(B150, ""en"", ""pl"")"),"Ekspert")</f>
        <v>Ekspert</v>
      </c>
      <c r="J150" s="25" t="str">
        <f>IFERROR(__xludf.DUMMYFUNCTION("GOOGLETRANSLATE(B150, ""en"", ""zh"")"),"专家")</f>
        <v>专家</v>
      </c>
      <c r="K150" s="25" t="str">
        <f>IFERROR(__xludf.DUMMYFUNCTION("GOOGLETRANSLATE(B150, ""en"", ""vi"")"),"Thạo")</f>
        <v>Thạo</v>
      </c>
      <c r="L150" s="26" t="str">
        <f>IFERROR(__xludf.DUMMYFUNCTION("GOOGLETRANSLATE(B150, ""en"", ""hr"")"),"Stručnjak")</f>
        <v>Stručnjak</v>
      </c>
      <c r="M150" s="28"/>
      <c r="N150" s="28"/>
      <c r="O150" s="28"/>
      <c r="P150" s="28"/>
      <c r="Q150" s="28"/>
      <c r="R150" s="28"/>
      <c r="S150" s="28"/>
      <c r="T150" s="28"/>
      <c r="U150" s="28"/>
      <c r="V150" s="28"/>
      <c r="W150" s="28"/>
      <c r="X150" s="28"/>
      <c r="Y150" s="28"/>
      <c r="Z150" s="28"/>
      <c r="AA150" s="28"/>
      <c r="AB150" s="28"/>
    </row>
    <row r="151">
      <c r="A151" s="21" t="s">
        <v>286</v>
      </c>
      <c r="B151" s="22" t="s">
        <v>286</v>
      </c>
      <c r="C151" s="23" t="str">
        <f>IFERROR(__xludf.DUMMYFUNCTION("GOOGLETRANSLATE(B151, ""en"", ""fr"")"),"Maître")</f>
        <v>Maître</v>
      </c>
      <c r="D151" s="23" t="str">
        <f>IFERROR(__xludf.DUMMYFUNCTION("GOOGLETRANSLATE(B151, ""en"", ""es"")"),"Maestría")</f>
        <v>Maestría</v>
      </c>
      <c r="E151" s="23" t="str">
        <f>IFERROR(__xludf.DUMMYFUNCTION("GOOGLETRANSLATE(B151, ""en"", ""ru"")"),"Мастер")</f>
        <v>Мастер</v>
      </c>
      <c r="F151" s="23" t="str">
        <f>IFERROR(__xludf.DUMMYFUNCTION("GOOGLETRANSLATE(B151, ""en"", ""tr"")"),"Usta")</f>
        <v>Usta</v>
      </c>
      <c r="G151" s="23" t="str">
        <f>IFERROR(__xludf.DUMMYFUNCTION("GOOGLETRANSLATE(B151, ""en"", ""pt"")"),"Mestre")</f>
        <v>Mestre</v>
      </c>
      <c r="H151" s="24" t="str">
        <f>IFERROR(__xludf.DUMMYFUNCTION("GOOGLETRANSLATE(B151, ""en"", ""de"")"),"Meister")</f>
        <v>Meister</v>
      </c>
      <c r="I151" s="23" t="str">
        <f>IFERROR(__xludf.DUMMYFUNCTION("GOOGLETRANSLATE(B151, ""en"", ""pl"")"),"Gospodarz")</f>
        <v>Gospodarz</v>
      </c>
      <c r="J151" s="25" t="str">
        <f>IFERROR(__xludf.DUMMYFUNCTION("GOOGLETRANSLATE(B151, ""en"", ""zh"")"),"掌握")</f>
        <v>掌握</v>
      </c>
      <c r="K151" s="25" t="str">
        <f>IFERROR(__xludf.DUMMYFUNCTION("GOOGLETRANSLATE(B151, ""en"", ""vi"")"),"Bậc thầy")</f>
        <v>Bậc thầy</v>
      </c>
      <c r="L151" s="26" t="str">
        <f>IFERROR(__xludf.DUMMYFUNCTION("GOOGLETRANSLATE(B151, ""en"", ""hr"")"),"Ovladati; majstorski")</f>
        <v>Ovladati; majstorski</v>
      </c>
      <c r="M151" s="28"/>
      <c r="N151" s="28"/>
      <c r="O151" s="28"/>
      <c r="P151" s="28"/>
      <c r="Q151" s="28"/>
      <c r="R151" s="28"/>
      <c r="S151" s="28"/>
      <c r="T151" s="28"/>
      <c r="U151" s="28"/>
      <c r="V151" s="28"/>
      <c r="W151" s="28"/>
      <c r="X151" s="28"/>
      <c r="Y151" s="28"/>
      <c r="Z151" s="28"/>
      <c r="AA151" s="28"/>
      <c r="AB151" s="28"/>
    </row>
    <row r="152">
      <c r="A152" s="21" t="s">
        <v>287</v>
      </c>
      <c r="B152" s="22" t="s">
        <v>287</v>
      </c>
      <c r="C152" s="23" t="str">
        <f>IFERROR(__xludf.DUMMYFUNCTION("GOOGLETRANSLATE(B152, ""en"", ""fr"")"),"Coût d'entrée")</f>
        <v>Coût d'entrée</v>
      </c>
      <c r="D152" s="23" t="str">
        <f>IFERROR(__xludf.DUMMYFUNCTION("GOOGLETRANSLATE(B152, ""en"", ""es"")"),"Costo de entrada")</f>
        <v>Costo de entrada</v>
      </c>
      <c r="E152" s="23" t="str">
        <f>IFERROR(__xludf.DUMMYFUNCTION("GOOGLETRANSLATE(B152, ""en"", ""ru"")"),"Стоимость входа")</f>
        <v>Стоимость входа</v>
      </c>
      <c r="F152" s="23" t="str">
        <f>IFERROR(__xludf.DUMMYFUNCTION("GOOGLETRANSLATE(B152, ""en"", ""tr"")"),"Giriş maliyeti")</f>
        <v>Giriş maliyeti</v>
      </c>
      <c r="G152" s="23" t="str">
        <f>IFERROR(__xludf.DUMMYFUNCTION("GOOGLETRANSLATE(B152, ""en"", ""pt"")"),"Custo de entrada")</f>
        <v>Custo de entrada</v>
      </c>
      <c r="H152" s="24" t="str">
        <f>IFERROR(__xludf.DUMMYFUNCTION("GOOGLETRANSLATE(B152, ""en"", ""de"")"),"Eintrittskosten")</f>
        <v>Eintrittskosten</v>
      </c>
      <c r="I152" s="23" t="str">
        <f>IFERROR(__xludf.DUMMYFUNCTION("GOOGLETRANSLATE(B152, ""en"", ""pl"")"),"Koszt wejścia.")</f>
        <v>Koszt wejścia.</v>
      </c>
      <c r="J152" s="25" t="str">
        <f>IFERROR(__xludf.DUMMYFUNCTION("GOOGLETRANSLATE(B152, ""en"", ""zh"")"),"入场费")</f>
        <v>入场费</v>
      </c>
      <c r="K152" s="25" t="str">
        <f>IFERROR(__xludf.DUMMYFUNCTION("GOOGLETRANSLATE(B152, ""en"", ""vi"")"),"Chi phí nhập cảnh")</f>
        <v>Chi phí nhập cảnh</v>
      </c>
      <c r="L152" s="26" t="str">
        <f>IFERROR(__xludf.DUMMYFUNCTION("GOOGLETRANSLATE(B152, ""en"", ""hr"")"),"Trošak ulaska")</f>
        <v>Trošak ulaska</v>
      </c>
      <c r="M152" s="28"/>
      <c r="N152" s="28"/>
      <c r="O152" s="28"/>
      <c r="P152" s="28"/>
      <c r="Q152" s="28"/>
      <c r="R152" s="28"/>
      <c r="S152" s="28"/>
      <c r="T152" s="28"/>
      <c r="U152" s="28"/>
      <c r="V152" s="28"/>
      <c r="W152" s="28"/>
      <c r="X152" s="28"/>
      <c r="Y152" s="28"/>
      <c r="Z152" s="28"/>
      <c r="AA152" s="28"/>
      <c r="AB152" s="28"/>
    </row>
    <row r="153">
      <c r="A153" s="21" t="s">
        <v>288</v>
      </c>
      <c r="B153" s="22" t="s">
        <v>288</v>
      </c>
      <c r="C153" s="23" t="s">
        <v>289</v>
      </c>
      <c r="D153" s="23" t="str">
        <f>IFERROR(__xludf.DUMMYFUNCTION("GOOGLETRANSLATE(B153, ""en"", ""es"")"),"jugadores máximos")</f>
        <v>jugadores máximos</v>
      </c>
      <c r="E153" s="23" t="str">
        <f>IFERROR(__xludf.DUMMYFUNCTION("GOOGLETRANSLATE(B153, ""en"", ""ru"")"),"максимум игроков")</f>
        <v>максимум игроков</v>
      </c>
      <c r="F153" s="23" t="str">
        <f>IFERROR(__xludf.DUMMYFUNCTION("GOOGLETRANSLATE(B153, ""en"", ""tr"")"),"maksimum oyuncu")</f>
        <v>maksimum oyuncu</v>
      </c>
      <c r="G153" s="23" t="str">
        <f>IFERROR(__xludf.DUMMYFUNCTION("GOOGLETRANSLATE(B153, ""en"", ""pt"")"),"máximo de jogadores")</f>
        <v>máximo de jogadores</v>
      </c>
      <c r="H153" s="24" t="str">
        <f>IFERROR(__xludf.DUMMYFUNCTION("GOOGLETRANSLATE(B153, ""en"", ""de"")"),"Maximale Spieleranzahl")</f>
        <v>Maximale Spieleranzahl</v>
      </c>
      <c r="I153" s="23" t="str">
        <f>IFERROR(__xludf.DUMMYFUNCTION("GOOGLETRANSLATE(B153, ""en"", ""pl"")"),"maksimum graczy")</f>
        <v>maksimum graczy</v>
      </c>
      <c r="J153" s="25" t="str">
        <f>IFERROR(__xludf.DUMMYFUNCTION("GOOGLETRANSLATE(B153, ""en"", ""zh"")"),"最大球员")</f>
        <v>最大球员</v>
      </c>
      <c r="K153" s="25" t="str">
        <f>IFERROR(__xludf.DUMMYFUNCTION("GOOGLETRANSLATE(B153, ""en"", ""vi"")"),"Người chơi Max.")</f>
        <v>Người chơi Max.</v>
      </c>
      <c r="L153" s="26" t="str">
        <f>IFERROR(__xludf.DUMMYFUNCTION("GOOGLETRANSLATE(B153, ""en"", ""hr"")"),"maksimalno igrača")</f>
        <v>maksimalno igrača</v>
      </c>
      <c r="M153" s="28"/>
      <c r="N153" s="28"/>
      <c r="O153" s="28"/>
      <c r="P153" s="28"/>
      <c r="Q153" s="28"/>
      <c r="R153" s="28"/>
      <c r="S153" s="28"/>
      <c r="T153" s="28"/>
      <c r="U153" s="28"/>
      <c r="V153" s="28"/>
      <c r="W153" s="28"/>
      <c r="X153" s="28"/>
      <c r="Y153" s="28"/>
      <c r="Z153" s="28"/>
      <c r="AA153" s="28"/>
      <c r="AB153" s="28"/>
    </row>
    <row r="154">
      <c r="A154" s="21" t="s">
        <v>290</v>
      </c>
      <c r="B154" s="22" t="s">
        <v>290</v>
      </c>
      <c r="C154" s="23" t="str">
        <f>IFERROR(__xludf.DUMMYFUNCTION("GOOGLETRANSLATE(B154, ""en"", ""fr"")"),"Créer")</f>
        <v>Créer</v>
      </c>
      <c r="D154" s="23" t="str">
        <f>IFERROR(__xludf.DUMMYFUNCTION("GOOGLETRANSLATE(B154, ""en"", ""es"")"),"Crear")</f>
        <v>Crear</v>
      </c>
      <c r="E154" s="23" t="str">
        <f>IFERROR(__xludf.DUMMYFUNCTION("GOOGLETRANSLATE(B154, ""en"", ""ru"")"),"Создавать")</f>
        <v>Создавать</v>
      </c>
      <c r="F154" s="23" t="str">
        <f>IFERROR(__xludf.DUMMYFUNCTION("GOOGLETRANSLATE(B154, ""en"", ""tr"")"),"Oluşturmak")</f>
        <v>Oluşturmak</v>
      </c>
      <c r="G154" s="23" t="str">
        <f>IFERROR(__xludf.DUMMYFUNCTION("GOOGLETRANSLATE(B154, ""en"", ""pt"")"),"Crio")</f>
        <v>Crio</v>
      </c>
      <c r="H154" s="24" t="str">
        <f>IFERROR(__xludf.DUMMYFUNCTION("GOOGLETRANSLATE(B154, ""en"", ""de"")"),"Schaffen")</f>
        <v>Schaffen</v>
      </c>
      <c r="I154" s="23" t="str">
        <f>IFERROR(__xludf.DUMMYFUNCTION("GOOGLETRANSLATE(B154, ""en"", ""pl"")"),"Tworzyć")</f>
        <v>Tworzyć</v>
      </c>
      <c r="J154" s="25" t="str">
        <f>IFERROR(__xludf.DUMMYFUNCTION("GOOGLETRANSLATE(B154, ""en"", ""zh"")"),"创建")</f>
        <v>创建</v>
      </c>
      <c r="K154" s="25" t="str">
        <f>IFERROR(__xludf.DUMMYFUNCTION("GOOGLETRANSLATE(B154, ""en"", ""vi"")"),"Tạo ra")</f>
        <v>Tạo ra</v>
      </c>
      <c r="L154" s="26" t="str">
        <f>IFERROR(__xludf.DUMMYFUNCTION("GOOGLETRANSLATE(B154, ""en"", ""hr"")"),"Stvoriti")</f>
        <v>Stvoriti</v>
      </c>
      <c r="M154" s="28"/>
      <c r="N154" s="28"/>
      <c r="O154" s="28"/>
      <c r="P154" s="28"/>
      <c r="Q154" s="28"/>
      <c r="R154" s="28"/>
      <c r="S154" s="28"/>
      <c r="T154" s="28"/>
      <c r="U154" s="28"/>
      <c r="V154" s="28"/>
      <c r="W154" s="28"/>
      <c r="X154" s="28"/>
      <c r="Y154" s="28"/>
      <c r="Z154" s="28"/>
      <c r="AA154" s="28"/>
      <c r="AB154" s="28"/>
    </row>
    <row r="155">
      <c r="A155" s="21" t="s">
        <v>291</v>
      </c>
      <c r="B155" s="22" t="s">
        <v>291</v>
      </c>
      <c r="C155" s="23" t="str">
        <f>IFERROR(__xludf.DUMMYFUNCTION("GOOGLETRANSLATE(B155, ""en"", ""fr"")"),"Laisser")</f>
        <v>Laisser</v>
      </c>
      <c r="D155" s="23" t="str">
        <f>IFERROR(__xludf.DUMMYFUNCTION("GOOGLETRANSLATE(B155, ""en"", ""es"")"),"Dejar")</f>
        <v>Dejar</v>
      </c>
      <c r="E155" s="23" t="str">
        <f>IFERROR(__xludf.DUMMYFUNCTION("GOOGLETRANSLATE(B155, ""en"", ""ru"")"),"Оставлять")</f>
        <v>Оставлять</v>
      </c>
      <c r="F155" s="23" t="str">
        <f>IFERROR(__xludf.DUMMYFUNCTION("GOOGLETRANSLATE(B155, ""en"", ""tr"")"),"Terk etmek")</f>
        <v>Terk etmek</v>
      </c>
      <c r="G155" s="23" t="str">
        <f>IFERROR(__xludf.DUMMYFUNCTION("GOOGLETRANSLATE(B155, ""en"", ""pt"")"),"Sair")</f>
        <v>Sair</v>
      </c>
      <c r="H155" s="24" t="str">
        <f>IFERROR(__xludf.DUMMYFUNCTION("GOOGLETRANSLATE(B155, ""en"", ""de"")"),"Verlassen")</f>
        <v>Verlassen</v>
      </c>
      <c r="I155" s="23" t="str">
        <f>IFERROR(__xludf.DUMMYFUNCTION("GOOGLETRANSLATE(B155, ""en"", ""pl"")"),"Opuszczać")</f>
        <v>Opuszczać</v>
      </c>
      <c r="J155" s="25" t="str">
        <f>IFERROR(__xludf.DUMMYFUNCTION("GOOGLETRANSLATE(B155, ""en"", ""zh"")"),"离开")</f>
        <v>离开</v>
      </c>
      <c r="K155" s="25" t="str">
        <f>IFERROR(__xludf.DUMMYFUNCTION("GOOGLETRANSLATE(B155, ""en"", ""vi"")"),"Rời bỏ")</f>
        <v>Rời bỏ</v>
      </c>
      <c r="L155" s="26" t="str">
        <f>IFERROR(__xludf.DUMMYFUNCTION("GOOGLETRANSLATE(B155, ""en"", ""hr"")"),"Napustiti")</f>
        <v>Napustiti</v>
      </c>
      <c r="M155" s="28"/>
      <c r="N155" s="28"/>
      <c r="O155" s="28"/>
      <c r="P155" s="28"/>
      <c r="Q155" s="28"/>
      <c r="R155" s="28"/>
      <c r="S155" s="28"/>
      <c r="T155" s="28"/>
      <c r="U155" s="28"/>
      <c r="V155" s="28"/>
      <c r="W155" s="28"/>
      <c r="X155" s="28"/>
      <c r="Y155" s="28"/>
      <c r="Z155" s="28"/>
      <c r="AA155" s="28"/>
      <c r="AB155" s="28"/>
    </row>
    <row r="156">
      <c r="A156" s="21" t="s">
        <v>292</v>
      </c>
      <c r="B156" s="22" t="s">
        <v>292</v>
      </c>
      <c r="C156" s="23" t="str">
        <f>IFERROR(__xludf.DUMMYFUNCTION("GOOGLETRANSLATE(B156, ""en"", ""fr"")"),"Début")</f>
        <v>Début</v>
      </c>
      <c r="D156" s="23" t="str">
        <f>IFERROR(__xludf.DUMMYFUNCTION("GOOGLETRANSLATE(B156, ""en"", ""es"")"),"Comienzo")</f>
        <v>Comienzo</v>
      </c>
      <c r="E156" s="23" t="str">
        <f>IFERROR(__xludf.DUMMYFUNCTION("GOOGLETRANSLATE(B156, ""en"", ""ru"")"),"Начинать")</f>
        <v>Начинать</v>
      </c>
      <c r="F156" s="23" t="str">
        <f>IFERROR(__xludf.DUMMYFUNCTION("GOOGLETRANSLATE(B156, ""en"", ""tr"")"),"Başlangıç")</f>
        <v>Başlangıç</v>
      </c>
      <c r="G156" s="23" t="str">
        <f>IFERROR(__xludf.DUMMYFUNCTION("GOOGLETRANSLATE(B156, ""en"", ""pt"")"),"Começar")</f>
        <v>Começar</v>
      </c>
      <c r="H156" s="24" t="str">
        <f>IFERROR(__xludf.DUMMYFUNCTION("GOOGLETRANSLATE(B156, ""en"", ""de"")"),"Start")</f>
        <v>Start</v>
      </c>
      <c r="I156" s="23" t="str">
        <f>IFERROR(__xludf.DUMMYFUNCTION("GOOGLETRANSLATE(B156, ""en"", ""pl"")"),"Początek")</f>
        <v>Początek</v>
      </c>
      <c r="J156" s="25" t="str">
        <f>IFERROR(__xludf.DUMMYFUNCTION("GOOGLETRANSLATE(B156, ""en"", ""zh"")"),"开始")</f>
        <v>开始</v>
      </c>
      <c r="K156" s="25" t="str">
        <f>IFERROR(__xludf.DUMMYFUNCTION("GOOGLETRANSLATE(B156, ""en"", ""vi"")"),"Bắt đầu")</f>
        <v>Bắt đầu</v>
      </c>
      <c r="L156" s="26" t="str">
        <f>IFERROR(__xludf.DUMMYFUNCTION("GOOGLETRANSLATE(B156, ""en"", ""hr"")"),"Početak")</f>
        <v>Početak</v>
      </c>
      <c r="M156" s="28"/>
      <c r="N156" s="28"/>
      <c r="O156" s="28"/>
      <c r="P156" s="28"/>
      <c r="Q156" s="28"/>
      <c r="R156" s="28"/>
      <c r="S156" s="28"/>
      <c r="T156" s="28"/>
      <c r="U156" s="28"/>
      <c r="V156" s="28"/>
      <c r="W156" s="28"/>
      <c r="X156" s="28"/>
      <c r="Y156" s="28"/>
      <c r="Z156" s="28"/>
      <c r="AA156" s="28"/>
      <c r="AB156" s="28"/>
    </row>
    <row r="157">
      <c r="A157" s="21" t="s">
        <v>293</v>
      </c>
      <c r="B157" s="22" t="s">
        <v>293</v>
      </c>
      <c r="C157" s="23" t="str">
        <f>IFERROR(__xludf.DUMMYFUNCTION("GOOGLETRANSLATE(B157, ""en"", ""fr"")"),"Annuler")</f>
        <v>Annuler</v>
      </c>
      <c r="D157" s="23" t="str">
        <f>IFERROR(__xludf.DUMMYFUNCTION("GOOGLETRANSLATE(B157, ""en"", ""es"")"),"Cancelar")</f>
        <v>Cancelar</v>
      </c>
      <c r="E157" s="23" t="str">
        <f>IFERROR(__xludf.DUMMYFUNCTION("GOOGLETRANSLATE(B157, ""en"", ""ru"")"),"Отмена")</f>
        <v>Отмена</v>
      </c>
      <c r="F157" s="23" t="str">
        <f>IFERROR(__xludf.DUMMYFUNCTION("GOOGLETRANSLATE(B157, ""en"", ""tr"")"),"İptal")</f>
        <v>İptal</v>
      </c>
      <c r="G157" s="23" t="str">
        <f>IFERROR(__xludf.DUMMYFUNCTION("GOOGLETRANSLATE(B157, ""en"", ""pt"")"),"Cancelar")</f>
        <v>Cancelar</v>
      </c>
      <c r="H157" s="24" t="str">
        <f>IFERROR(__xludf.DUMMYFUNCTION("GOOGLETRANSLATE(B157, ""en"", ""de"")"),"Abbrechen")</f>
        <v>Abbrechen</v>
      </c>
      <c r="I157" s="23" t="str">
        <f>IFERROR(__xludf.DUMMYFUNCTION("GOOGLETRANSLATE(B157, ""en"", ""pl"")"),"Anulować")</f>
        <v>Anulować</v>
      </c>
      <c r="J157" s="25" t="str">
        <f>IFERROR(__xludf.DUMMYFUNCTION("GOOGLETRANSLATE(B157, ""en"", ""zh"")"),"取消")</f>
        <v>取消</v>
      </c>
      <c r="K157" s="25" t="str">
        <f>IFERROR(__xludf.DUMMYFUNCTION("GOOGLETRANSLATE(B157, ""en"", ""vi"")"),"Hủy bỏ")</f>
        <v>Hủy bỏ</v>
      </c>
      <c r="L157" s="26" t="str">
        <f>IFERROR(__xludf.DUMMYFUNCTION("GOOGLETRANSLATE(B157, ""en"", ""hr"")"),"Otkazati")</f>
        <v>Otkazati</v>
      </c>
      <c r="M157" s="28"/>
      <c r="N157" s="28"/>
      <c r="O157" s="28"/>
      <c r="P157" s="28"/>
      <c r="Q157" s="28"/>
      <c r="R157" s="28"/>
      <c r="S157" s="28"/>
      <c r="T157" s="28"/>
      <c r="U157" s="28"/>
      <c r="V157" s="28"/>
      <c r="W157" s="28"/>
      <c r="X157" s="28"/>
      <c r="Y157" s="28"/>
      <c r="Z157" s="28"/>
      <c r="AA157" s="28"/>
      <c r="AB157" s="28"/>
    </row>
    <row r="158">
      <c r="A158" s="21" t="s">
        <v>294</v>
      </c>
      <c r="B158" s="22" t="s">
        <v>294</v>
      </c>
      <c r="C158" s="23" t="str">
        <f>IFERROR(__xludf.DUMMYFUNCTION("GOOGLETRANSLATE(B158, ""en"", ""fr"")"),"Fête")</f>
        <v>Fête</v>
      </c>
      <c r="D158" s="23" t="str">
        <f>IFERROR(__xludf.DUMMYFUNCTION("GOOGLETRANSLATE(B158, ""en"", ""es"")"),"Partido")</f>
        <v>Partido</v>
      </c>
      <c r="E158" s="23" t="str">
        <f>IFERROR(__xludf.DUMMYFUNCTION("GOOGLETRANSLATE(B158, ""en"", ""ru"")"),"Вечеринка")</f>
        <v>Вечеринка</v>
      </c>
      <c r="F158" s="23" t="str">
        <f>IFERROR(__xludf.DUMMYFUNCTION("GOOGLETRANSLATE(B158, ""en"", ""tr"")"),"Parti")</f>
        <v>Parti</v>
      </c>
      <c r="G158" s="23" t="str">
        <f>IFERROR(__xludf.DUMMYFUNCTION("GOOGLETRANSLATE(B158, ""en"", ""pt"")"),"Festa")</f>
        <v>Festa</v>
      </c>
      <c r="H158" s="24" t="str">
        <f>IFERROR(__xludf.DUMMYFUNCTION("GOOGLETRANSLATE(B158, ""en"", ""de"")"),"Party")</f>
        <v>Party</v>
      </c>
      <c r="I158" s="23" t="str">
        <f>IFERROR(__xludf.DUMMYFUNCTION("GOOGLETRANSLATE(B158, ""en"", ""pl"")"),"Impreza")</f>
        <v>Impreza</v>
      </c>
      <c r="J158" s="25" t="str">
        <f>IFERROR(__xludf.DUMMYFUNCTION("GOOGLETRANSLATE(B158, ""en"", ""zh"")"),"聚会")</f>
        <v>聚会</v>
      </c>
      <c r="K158" s="25" t="str">
        <f>IFERROR(__xludf.DUMMYFUNCTION("GOOGLETRANSLATE(B158, ""en"", ""vi"")"),"Buổi tiệc")</f>
        <v>Buổi tiệc</v>
      </c>
      <c r="L158" s="26" t="str">
        <f>IFERROR(__xludf.DUMMYFUNCTION("GOOGLETRANSLATE(B158, ""en"", ""hr"")"),"Zabava")</f>
        <v>Zabava</v>
      </c>
      <c r="M158" s="28"/>
      <c r="N158" s="28"/>
      <c r="O158" s="28"/>
      <c r="P158" s="28"/>
      <c r="Q158" s="28"/>
      <c r="R158" s="28"/>
      <c r="S158" s="28"/>
      <c r="T158" s="28"/>
      <c r="U158" s="28"/>
      <c r="V158" s="28"/>
      <c r="W158" s="28"/>
      <c r="X158" s="28"/>
      <c r="Y158" s="28"/>
      <c r="Z158" s="28"/>
      <c r="AA158" s="28"/>
      <c r="AB158" s="28"/>
    </row>
    <row r="159">
      <c r="A159" s="21" t="s">
        <v>295</v>
      </c>
      <c r="B159" s="22" t="s">
        <v>295</v>
      </c>
      <c r="C159" s="23" t="str">
        <f>IFERROR(__xludf.DUMMYFUNCTION("GOOGLETRANSLATE(B159, ""en"", ""fr"")"),"Des soirées")</f>
        <v>Des soirées</v>
      </c>
      <c r="D159" s="23" t="str">
        <f>IFERROR(__xludf.DUMMYFUNCTION("GOOGLETRANSLATE(B159, ""en"", ""es"")"),"Fiestas")</f>
        <v>Fiestas</v>
      </c>
      <c r="E159" s="23" t="str">
        <f>IFERROR(__xludf.DUMMYFUNCTION("GOOGLETRANSLATE(B159, ""en"", ""ru"")"),"Стороны")</f>
        <v>Стороны</v>
      </c>
      <c r="F159" s="23" t="str">
        <f>IFERROR(__xludf.DUMMYFUNCTION("GOOGLETRANSLATE(B159, ""en"", ""tr"")"),"Partiler")</f>
        <v>Partiler</v>
      </c>
      <c r="G159" s="23" t="str">
        <f>IFERROR(__xludf.DUMMYFUNCTION("GOOGLETRANSLATE(B159, ""en"", ""pt"")"),"Festas")</f>
        <v>Festas</v>
      </c>
      <c r="H159" s="24" t="str">
        <f>IFERROR(__xludf.DUMMYFUNCTION("GOOGLETRANSLATE(B159, ""en"", ""de"")"),"Partys")</f>
        <v>Partys</v>
      </c>
      <c r="I159" s="23" t="str">
        <f>IFERROR(__xludf.DUMMYFUNCTION("GOOGLETRANSLATE(B159, ""en"", ""pl"")"),"Imprezy")</f>
        <v>Imprezy</v>
      </c>
      <c r="J159" s="25" t="str">
        <f>IFERROR(__xludf.DUMMYFUNCTION("GOOGLETRANSLATE(B159, ""en"", ""zh"")"),"派对")</f>
        <v>派对</v>
      </c>
      <c r="K159" s="25" t="str">
        <f>IFERROR(__xludf.DUMMYFUNCTION("GOOGLETRANSLATE(B159, ""en"", ""vi"")"),"Bên")</f>
        <v>Bên</v>
      </c>
      <c r="L159" s="26" t="str">
        <f>IFERROR(__xludf.DUMMYFUNCTION("GOOGLETRANSLATE(B159, ""en"", ""hr"")"),"Stranke")</f>
        <v>Stranke</v>
      </c>
      <c r="M159" s="28"/>
      <c r="N159" s="28"/>
      <c r="O159" s="28"/>
      <c r="P159" s="28"/>
      <c r="Q159" s="28"/>
      <c r="R159" s="28"/>
      <c r="S159" s="28"/>
      <c r="T159" s="28"/>
      <c r="U159" s="28"/>
      <c r="V159" s="28"/>
      <c r="W159" s="28"/>
      <c r="X159" s="28"/>
      <c r="Y159" s="28"/>
      <c r="Z159" s="28"/>
      <c r="AA159" s="28"/>
      <c r="AB159" s="28"/>
    </row>
    <row r="160">
      <c r="A160" s="21" t="s">
        <v>296</v>
      </c>
      <c r="B160" s="22" t="s">
        <v>287</v>
      </c>
      <c r="C160" s="23" t="str">
        <f>IFERROR(__xludf.DUMMYFUNCTION("GOOGLETRANSLATE(B160, ""en"", ""fr"")"),"Coût d'entrée")</f>
        <v>Coût d'entrée</v>
      </c>
      <c r="D160" s="23" t="str">
        <f>IFERROR(__xludf.DUMMYFUNCTION("GOOGLETRANSLATE(B160, ""en"", ""es"")"),"Costo de entrada")</f>
        <v>Costo de entrada</v>
      </c>
      <c r="E160" s="23" t="str">
        <f>IFERROR(__xludf.DUMMYFUNCTION("GOOGLETRANSLATE(B160, ""en"", ""ru"")"),"Стоимость входа")</f>
        <v>Стоимость входа</v>
      </c>
      <c r="F160" s="23" t="str">
        <f>IFERROR(__xludf.DUMMYFUNCTION("GOOGLETRANSLATE(B160, ""en"", ""tr"")"),"Giriş maliyeti")</f>
        <v>Giriş maliyeti</v>
      </c>
      <c r="G160" s="23" t="str">
        <f>IFERROR(__xludf.DUMMYFUNCTION("GOOGLETRANSLATE(B160, ""en"", ""pt"")"),"Custo de entrada")</f>
        <v>Custo de entrada</v>
      </c>
      <c r="H160" s="24" t="str">
        <f>IFERROR(__xludf.DUMMYFUNCTION("GOOGLETRANSLATE(B160, ""en"", ""de"")"),"Eintrittskosten")</f>
        <v>Eintrittskosten</v>
      </c>
      <c r="I160" s="23" t="str">
        <f>IFERROR(__xludf.DUMMYFUNCTION("GOOGLETRANSLATE(B160, ""en"", ""pl"")"),"Koszt wejścia.")</f>
        <v>Koszt wejścia.</v>
      </c>
      <c r="J160" s="25" t="str">
        <f>IFERROR(__xludf.DUMMYFUNCTION("GOOGLETRANSLATE(B160, ""en"", ""zh"")"),"入场费")</f>
        <v>入场费</v>
      </c>
      <c r="K160" s="25" t="str">
        <f>IFERROR(__xludf.DUMMYFUNCTION("GOOGLETRANSLATE(B160, ""en"", ""vi"")"),"Chi phí nhập cảnh")</f>
        <v>Chi phí nhập cảnh</v>
      </c>
      <c r="L160" s="26" t="str">
        <f>IFERROR(__xludf.DUMMYFUNCTION("GOOGLETRANSLATE(B160, ""en"", ""hr"")"),"Trošak ulaska")</f>
        <v>Trošak ulaska</v>
      </c>
      <c r="M160" s="28"/>
      <c r="N160" s="28"/>
      <c r="O160" s="28"/>
      <c r="P160" s="28"/>
      <c r="Q160" s="28"/>
      <c r="R160" s="28"/>
      <c r="S160" s="28"/>
      <c r="T160" s="28"/>
      <c r="U160" s="28"/>
      <c r="V160" s="28"/>
      <c r="W160" s="28"/>
      <c r="X160" s="28"/>
      <c r="Y160" s="28"/>
      <c r="Z160" s="28"/>
      <c r="AA160" s="28"/>
      <c r="AB160" s="28"/>
    </row>
    <row r="161">
      <c r="A161" s="21" t="s">
        <v>297</v>
      </c>
      <c r="B161" s="22" t="s">
        <v>297</v>
      </c>
      <c r="C161" s="23" t="s">
        <v>298</v>
      </c>
      <c r="D161" s="23" t="str">
        <f>IFERROR(__xludf.DUMMYFUNCTION("GOOGLETRANSLATE(B161, ""en"", ""es"")"),"Tiempo restante")</f>
        <v>Tiempo restante</v>
      </c>
      <c r="E161" s="23" t="str">
        <f>IFERROR(__xludf.DUMMYFUNCTION("GOOGLETRANSLATE(B161, ""en"", ""ru"")"),"Времени осталось")</f>
        <v>Времени осталось</v>
      </c>
      <c r="F161" s="23" t="str">
        <f>IFERROR(__xludf.DUMMYFUNCTION("GOOGLETRANSLATE(B161, ""en"", ""tr"")"),"Kalan süre")</f>
        <v>Kalan süre</v>
      </c>
      <c r="G161" s="23" t="str">
        <f>IFERROR(__xludf.DUMMYFUNCTION("GOOGLETRANSLATE(B161, ""en"", ""pt"")"),"Tempo restante")</f>
        <v>Tempo restante</v>
      </c>
      <c r="H161" s="24" t="str">
        <f>IFERROR(__xludf.DUMMYFUNCTION("GOOGLETRANSLATE(B161, ""en"", ""de"")"),"Die verbleibende Zeit.")</f>
        <v>Die verbleibende Zeit.</v>
      </c>
      <c r="I161" s="23" t="str">
        <f>IFERROR(__xludf.DUMMYFUNCTION("GOOGLETRANSLATE(B161, ""en"", ""pl"")"),"Pozostały czas")</f>
        <v>Pozostały czas</v>
      </c>
      <c r="J161" s="25" t="str">
        <f>IFERROR(__xludf.DUMMYFUNCTION("GOOGLETRANSLATE(B161, ""en"", ""zh"")"),"剩余时间")</f>
        <v>剩余时间</v>
      </c>
      <c r="K161" s="25" t="str">
        <f>IFERROR(__xludf.DUMMYFUNCTION("GOOGLETRANSLATE(B161, ""en"", ""vi"")"),"Thời gian còn lại")</f>
        <v>Thời gian còn lại</v>
      </c>
      <c r="L161" s="26" t="str">
        <f>IFERROR(__xludf.DUMMYFUNCTION("GOOGLETRANSLATE(B161, ""en"", ""hr"")"),"Preostalo vrijeme")</f>
        <v>Preostalo vrijeme</v>
      </c>
      <c r="M161" s="28"/>
      <c r="N161" s="28"/>
      <c r="O161" s="28"/>
      <c r="P161" s="28"/>
      <c r="Q161" s="28"/>
      <c r="R161" s="28"/>
      <c r="S161" s="28"/>
      <c r="T161" s="28"/>
      <c r="U161" s="28"/>
      <c r="V161" s="28"/>
      <c r="W161" s="28"/>
      <c r="X161" s="28"/>
      <c r="Y161" s="28"/>
      <c r="Z161" s="28"/>
      <c r="AA161" s="28"/>
      <c r="AB161" s="28"/>
    </row>
    <row r="162">
      <c r="A162" s="21" t="s">
        <v>299</v>
      </c>
      <c r="B162" s="22" t="s">
        <v>300</v>
      </c>
      <c r="C162" s="23" t="str">
        <f>IFERROR(__xludf.DUMMYFUNCTION("GOOGLETRANSLATE(B162, ""en"", ""fr"")"),"Égouts de ville")</f>
        <v>Égouts de ville</v>
      </c>
      <c r="D162" s="23" t="str">
        <f>IFERROR(__xludf.DUMMYFUNCTION("GOOGLETRANSLATE(B162, ""en"", ""es"")"),"Alcantarillas de la ciudad")</f>
        <v>Alcantarillas de la ciudad</v>
      </c>
      <c r="E162" s="23" t="str">
        <f>IFERROR(__xludf.DUMMYFUNCTION("GOOGLETRANSLATE(B162, ""en"", ""ru"")"),"Городские канализации")</f>
        <v>Городские канализации</v>
      </c>
      <c r="F162" s="23" t="str">
        <f>IFERROR(__xludf.DUMMYFUNCTION("GOOGLETRANSLATE(B162, ""en"", ""tr"")"),"Şehir kanalizasyonları")</f>
        <v>Şehir kanalizasyonları</v>
      </c>
      <c r="G162" s="23" t="str">
        <f>IFERROR(__xludf.DUMMYFUNCTION("GOOGLETRANSLATE(B162, ""en"", ""pt"")"),"Esgotos da cidade")</f>
        <v>Esgotos da cidade</v>
      </c>
      <c r="H162" s="24" t="str">
        <f>IFERROR(__xludf.DUMMYFUNCTION("GOOGLETRANSLATE(B162, ""en"", ""de"")"),"Stadtabwasserkanal")</f>
        <v>Stadtabwasserkanal</v>
      </c>
      <c r="I162" s="23" t="str">
        <f>IFERROR(__xludf.DUMMYFUNCTION("GOOGLETRANSLATE(B162, ""en"", ""pl"")"),"City Sewers.")</f>
        <v>City Sewers.</v>
      </c>
      <c r="J162" s="25" t="str">
        <f>IFERROR(__xludf.DUMMYFUNCTION("GOOGLETRANSLATE(B162, ""en"", ""zh"")"),"城市下水道")</f>
        <v>城市下水道</v>
      </c>
      <c r="K162" s="25" t="str">
        <f>IFERROR(__xludf.DUMMYFUNCTION("GOOGLETRANSLATE(B162, ""en"", ""vi"")"),"Cống thành phố")</f>
        <v>Cống thành phố</v>
      </c>
      <c r="L162" s="26" t="str">
        <f>IFERROR(__xludf.DUMMYFUNCTION("GOOGLETRANSLATE(B162, ""en"", ""hr"")"),"Gradska kanali")</f>
        <v>Gradska kanali</v>
      </c>
      <c r="M162" s="28"/>
      <c r="N162" s="28"/>
      <c r="O162" s="28"/>
      <c r="P162" s="28"/>
      <c r="Q162" s="28"/>
      <c r="R162" s="28"/>
      <c r="S162" s="28"/>
      <c r="T162" s="28"/>
      <c r="U162" s="28"/>
      <c r="V162" s="28"/>
      <c r="W162" s="28"/>
      <c r="X162" s="28"/>
      <c r="Y162" s="28"/>
      <c r="Z162" s="28"/>
      <c r="AA162" s="28"/>
      <c r="AB162" s="28"/>
    </row>
    <row r="163">
      <c r="A163" s="21" t="s">
        <v>301</v>
      </c>
      <c r="B163" s="22" t="s">
        <v>302</v>
      </c>
      <c r="C163" s="23" t="s">
        <v>303</v>
      </c>
      <c r="D163" s="23" t="str">
        <f>IFERROR(__xludf.DUMMYFUNCTION("GOOGLETRANSLATE(B163, ""en"", ""es"")"),"Arena de entrenamiento de caballero")</f>
        <v>Arena de entrenamiento de caballero</v>
      </c>
      <c r="E163" s="23" t="str">
        <f>IFERROR(__xludf.DUMMYFUNCTION("GOOGLETRANSLATE(B163, ""en"", ""ru"")"),"Учебная арена рыцаря")</f>
        <v>Учебная арена рыцаря</v>
      </c>
      <c r="F163" s="23" t="str">
        <f>IFERROR(__xludf.DUMMYFUNCTION("GOOGLETRANSLATE(B163, ""en"", ""tr"")"),"Knight Eğitim Arenası")</f>
        <v>Knight Eğitim Arenası</v>
      </c>
      <c r="G163" s="23" t="str">
        <f>IFERROR(__xludf.DUMMYFUNCTION("GOOGLETRANSLATE(B163, ""en"", ""pt"")"),"Arena de treinamento Knight.")</f>
        <v>Arena de treinamento Knight.</v>
      </c>
      <c r="H163" s="24" t="str">
        <f>IFERROR(__xludf.DUMMYFUNCTION("GOOGLETRANSLATE(B163, ""en"", ""de"")"),"Rittertraining Arena.")</f>
        <v>Rittertraining Arena.</v>
      </c>
      <c r="I163" s="23" t="str">
        <f>IFERROR(__xludf.DUMMYFUNCTION("GOOGLETRANSLATE(B163, ""en"", ""pl"")"),"Arena Knight Training.")</f>
        <v>Arena Knight Training.</v>
      </c>
      <c r="J163" s="25" t="str">
        <f>IFERROR(__xludf.DUMMYFUNCTION("GOOGLETRANSLATE(B163, ""en"", ""zh"")"),"骑士训练竞技场")</f>
        <v>骑士训练竞技场</v>
      </c>
      <c r="K163" s="25" t="str">
        <f>IFERROR(__xludf.DUMMYFUNCTION("GOOGLETRANSLATE(B163, ""en"", ""vi"")"),"Đào tạo Hiệp sĩ")</f>
        <v>Đào tạo Hiệp sĩ</v>
      </c>
      <c r="L163" s="26" t="str">
        <f>IFERROR(__xludf.DUMMYFUNCTION("GOOGLETRANSLATE(B163, ""en"", ""hr"")"),"Vitez trening arena")</f>
        <v>Vitez trening arena</v>
      </c>
      <c r="M163" s="28"/>
      <c r="N163" s="28"/>
      <c r="O163" s="28"/>
      <c r="P163" s="28"/>
      <c r="Q163" s="28"/>
      <c r="R163" s="28"/>
      <c r="S163" s="28"/>
      <c r="T163" s="28"/>
      <c r="U163" s="28"/>
      <c r="V163" s="28"/>
      <c r="W163" s="28"/>
      <c r="X163" s="28"/>
      <c r="Y163" s="28"/>
      <c r="Z163" s="28"/>
      <c r="AA163" s="28"/>
      <c r="AB163" s="28"/>
    </row>
    <row r="164">
      <c r="A164" s="21" t="s">
        <v>304</v>
      </c>
      <c r="B164" s="22" t="s">
        <v>305</v>
      </c>
      <c r="C164" s="23" t="str">
        <f>IFERROR(__xludf.DUMMYFUNCTION("GOOGLETRANSLATE(B164, ""en"", ""fr"")"),"Cachette de bandit")</f>
        <v>Cachette de bandit</v>
      </c>
      <c r="D164" s="23" t="str">
        <f>IFERROR(__xludf.DUMMYFUNCTION("GOOGLETRANSLATE(B164, ""en"", ""es"")"),"Escondite del bandido")</f>
        <v>Escondite del bandido</v>
      </c>
      <c r="E164" s="23" t="str">
        <f>IFERROR(__xludf.DUMMYFUNCTION("GOOGLETRANSLATE(B164, ""en"", ""ru"")"),"Бандитное укрытие")</f>
        <v>Бандитное укрытие</v>
      </c>
      <c r="F164" s="23" t="str">
        <f>IFERROR(__xludf.DUMMYFUNCTION("GOOGLETRANSLATE(B164, ""en"", ""tr"")"),"Haydut hideout")</f>
        <v>Haydut hideout</v>
      </c>
      <c r="G164" s="23" t="str">
        <f>IFERROR(__xludf.DUMMYFUNCTION("GOOGLETRANSLATE(B164, ""en"", ""pt"")"),"Esconderijo Bandit")</f>
        <v>Esconderijo Bandit</v>
      </c>
      <c r="H164" s="24" t="str">
        <f>IFERROR(__xludf.DUMMYFUNCTION("GOOGLETRANSLATE(B164, ""en"", ""de"")"),"Bandit-Versteck")</f>
        <v>Bandit-Versteck</v>
      </c>
      <c r="I164" s="23" t="str">
        <f>IFERROR(__xludf.DUMMYFUNCTION("GOOGLETRANSLATE(B164, ""en"", ""pl"")"),"Bandit HideoOut.")</f>
        <v>Bandit HideoOut.</v>
      </c>
      <c r="J164" s="25" t="str">
        <f>IFERROR(__xludf.DUMMYFUNCTION("GOOGLETRANSLATE(B164, ""en"", ""zh"")"),"强盗藏着")</f>
        <v>强盗藏着</v>
      </c>
      <c r="K164" s="25" t="str">
        <f>IFERROR(__xludf.DUMMYFUNCTION("GOOGLETRANSLATE(B164, ""en"", ""vi"")"),"Nơi ẩn náu của tên cướp")</f>
        <v>Nơi ẩn náu của tên cướp</v>
      </c>
      <c r="L164" s="26" t="str">
        <f>IFERROR(__xludf.DUMMYFUNCTION("GOOGLETRANSLATE(B164, ""en"", ""hr"")"),"Bandit skrovište")</f>
        <v>Bandit skrovište</v>
      </c>
      <c r="M164" s="28"/>
      <c r="N164" s="28"/>
      <c r="O164" s="28"/>
      <c r="P164" s="28"/>
      <c r="Q164" s="28"/>
      <c r="R164" s="28"/>
      <c r="S164" s="28"/>
      <c r="T164" s="28"/>
      <c r="U164" s="28"/>
      <c r="V164" s="28"/>
      <c r="W164" s="28"/>
      <c r="X164" s="28"/>
      <c r="Y164" s="28"/>
      <c r="Z164" s="28"/>
      <c r="AA164" s="28"/>
      <c r="AB164" s="28"/>
    </row>
    <row r="165">
      <c r="A165" s="21" t="s">
        <v>306</v>
      </c>
      <c r="B165" s="22" t="s">
        <v>307</v>
      </c>
      <c r="C165" s="23" t="str">
        <f>IFERROR(__xludf.DUMMYFUNCTION("GOOGLETRANSLATE(B165, ""en"", ""fr"")"),"Pyramide occidentale")</f>
        <v>Pyramide occidentale</v>
      </c>
      <c r="D165" s="23" t="str">
        <f>IFERROR(__xludf.DUMMYFUNCTION("GOOGLETRANSLATE(B165, ""en"", ""es"")"),"Pirámide del oeste")</f>
        <v>Pirámide del oeste</v>
      </c>
      <c r="E165" s="23" t="str">
        <f>IFERROR(__xludf.DUMMYFUNCTION("GOOGLETRANSLATE(B165, ""en"", ""ru"")"),"Западная пирамида")</f>
        <v>Западная пирамида</v>
      </c>
      <c r="F165" s="23" t="str">
        <f>IFERROR(__xludf.DUMMYFUNCTION("GOOGLETRANSLATE(B165, ""en"", ""tr"")"),"Batı piramidi")</f>
        <v>Batı piramidi</v>
      </c>
      <c r="G165" s="23" t="str">
        <f>IFERROR(__xludf.DUMMYFUNCTION("GOOGLETRANSLATE(B165, ""en"", ""pt"")"),"Pirâmide Ocidental.")</f>
        <v>Pirâmide Ocidental.</v>
      </c>
      <c r="H165" s="24" t="str">
        <f>IFERROR(__xludf.DUMMYFUNCTION("GOOGLETRANSLATE(B165, ""en"", ""de"")"),"Westpyramide")</f>
        <v>Westpyramide</v>
      </c>
      <c r="I165" s="23" t="str">
        <f>IFERROR(__xludf.DUMMYFUNCTION("GOOGLETRANSLATE(B165, ""en"", ""pl"")"),"Piramida Zachodnia.")</f>
        <v>Piramida Zachodnia.</v>
      </c>
      <c r="J165" s="25" t="str">
        <f>IFERROR(__xludf.DUMMYFUNCTION("GOOGLETRANSLATE(B165, ""en"", ""zh"")"),"西金字塔")</f>
        <v>西金字塔</v>
      </c>
      <c r="K165" s="25" t="str">
        <f>IFERROR(__xludf.DUMMYFUNCTION("GOOGLETRANSLATE(B165, ""en"", ""vi"")"),"Kim tự tháp phía tây")</f>
        <v>Kim tự tháp phía tây</v>
      </c>
      <c r="L165" s="26" t="str">
        <f>IFERROR(__xludf.DUMMYFUNCTION("GOOGLETRANSLATE(B165, ""en"", ""hr"")"),"Zapadna piramida")</f>
        <v>Zapadna piramida</v>
      </c>
      <c r="M165" s="28"/>
      <c r="N165" s="28"/>
      <c r="O165" s="28"/>
      <c r="P165" s="28"/>
      <c r="Q165" s="28"/>
      <c r="R165" s="28"/>
      <c r="S165" s="28"/>
      <c r="T165" s="28"/>
      <c r="U165" s="28"/>
      <c r="V165" s="28"/>
      <c r="W165" s="28"/>
      <c r="X165" s="28"/>
      <c r="Y165" s="28"/>
      <c r="Z165" s="28"/>
      <c r="AA165" s="28"/>
      <c r="AB165" s="28"/>
    </row>
    <row r="166">
      <c r="A166" s="21" t="s">
        <v>308</v>
      </c>
      <c r="B166" s="22" t="s">
        <v>309</v>
      </c>
      <c r="C166" s="23" t="str">
        <f>IFERROR(__xludf.DUMMYFUNCTION("GOOGLETRANSLATE(B166, ""en"", ""fr"")"),"Pyramide orientale")</f>
        <v>Pyramide orientale</v>
      </c>
      <c r="D166" s="23" t="str">
        <f>IFERROR(__xludf.DUMMYFUNCTION("GOOGLETRANSLATE(B166, ""en"", ""es"")"),"Pirámide oriental")</f>
        <v>Pirámide oriental</v>
      </c>
      <c r="E166" s="23" t="str">
        <f>IFERROR(__xludf.DUMMYFUNCTION("GOOGLETRANSLATE(B166, ""en"", ""ru"")"),"Восточная пирамида")</f>
        <v>Восточная пирамида</v>
      </c>
      <c r="F166" s="23" t="str">
        <f>IFERROR(__xludf.DUMMYFUNCTION("GOOGLETRANSLATE(B166, ""en"", ""tr"")"),"Doğu piramidi")</f>
        <v>Doğu piramidi</v>
      </c>
      <c r="G166" s="23" t="str">
        <f>IFERROR(__xludf.DUMMYFUNCTION("GOOGLETRANSLATE(B166, ""en"", ""pt"")"),"Pirâmide leste")</f>
        <v>Pirâmide leste</v>
      </c>
      <c r="H166" s="24" t="str">
        <f>IFERROR(__xludf.DUMMYFUNCTION("GOOGLETRANSLATE(B166, ""en"", ""de"")"),"East Pyramide")</f>
        <v>East Pyramide</v>
      </c>
      <c r="I166" s="23" t="str">
        <f>IFERROR(__xludf.DUMMYFUNCTION("GOOGLETRANSLATE(B166, ""en"", ""pl"")"),"East Pyramid.")</f>
        <v>East Pyramid.</v>
      </c>
      <c r="J166" s="25" t="str">
        <f>IFERROR(__xludf.DUMMYFUNCTION("GOOGLETRANSLATE(B166, ""en"", ""zh"")"),"东金字塔")</f>
        <v>东金字塔</v>
      </c>
      <c r="K166" s="25" t="str">
        <f>IFERROR(__xludf.DUMMYFUNCTION("GOOGLETRANSLATE(B166, ""en"", ""vi"")"),"Kim tự tháp Đông")</f>
        <v>Kim tự tháp Đông</v>
      </c>
      <c r="L166" s="26" t="str">
        <f>IFERROR(__xludf.DUMMYFUNCTION("GOOGLETRANSLATE(B166, ""en"", ""hr"")"),"Istočna piramida")</f>
        <v>Istočna piramida</v>
      </c>
      <c r="M166" s="28"/>
      <c r="N166" s="28"/>
      <c r="O166" s="28"/>
      <c r="P166" s="28"/>
      <c r="Q166" s="28"/>
      <c r="R166" s="28"/>
      <c r="S166" s="28"/>
      <c r="T166" s="28"/>
      <c r="U166" s="28"/>
      <c r="V166" s="28"/>
      <c r="W166" s="28"/>
      <c r="X166" s="28"/>
      <c r="Y166" s="28"/>
      <c r="Z166" s="28"/>
      <c r="AA166" s="28"/>
      <c r="AB166" s="28"/>
    </row>
    <row r="167">
      <c r="A167" s="21" t="s">
        <v>310</v>
      </c>
      <c r="B167" s="22" t="s">
        <v>311</v>
      </c>
      <c r="C167" s="23" t="str">
        <f>IFERROR(__xludf.DUMMYFUNCTION("GOOGLETRANSLATE(B167, ""en"", ""fr"")"),"Halls de sang")</f>
        <v>Halls de sang</v>
      </c>
      <c r="D167" s="23" t="str">
        <f>IFERROR(__xludf.DUMMYFUNCTION("GOOGLETRANSLATE(B167, ""en"", ""es"")"),"Pabellones de sangre")</f>
        <v>Pabellones de sangre</v>
      </c>
      <c r="E167" s="23" t="str">
        <f>IFERROR(__xludf.DUMMYFUNCTION("GOOGLETRANSLATE(B167, ""en"", ""ru"")"),"Кровные залы")</f>
        <v>Кровные залы</v>
      </c>
      <c r="F167" s="23" t="str">
        <f>IFERROR(__xludf.DUMMYFUNCTION("GOOGLETRANSLATE(B167, ""en"", ""tr"")"),"Kan salonları")</f>
        <v>Kan salonları</v>
      </c>
      <c r="G167" s="23" t="str">
        <f>IFERROR(__xludf.DUMMYFUNCTION("GOOGLETRANSLATE(B167, ""en"", ""pt"")"),"Salões de sangue")</f>
        <v>Salões de sangue</v>
      </c>
      <c r="H167" s="24" t="str">
        <f>IFERROR(__xludf.DUMMYFUNCTION("GOOGLETRANSLATE(B167, ""en"", ""de"")"),"Blutsälen")</f>
        <v>Blutsälen</v>
      </c>
      <c r="I167" s="23" t="str">
        <f>IFERROR(__xludf.DUMMYFUNCTION("GOOGLETRANSLATE(B167, ""en"", ""pl"")"),"Hale krwi")</f>
        <v>Hale krwi</v>
      </c>
      <c r="J167" s="25" t="str">
        <f>IFERROR(__xludf.DUMMYFUNCTION("GOOGLETRANSLATE(B167, ""en"", ""zh"")"),"血厅")</f>
        <v>血厅</v>
      </c>
      <c r="K167" s="25" t="str">
        <f>IFERROR(__xludf.DUMMYFUNCTION("GOOGLETRANSLATE(B167, ""en"", ""vi"")"),"Hội trường máu")</f>
        <v>Hội trường máu</v>
      </c>
      <c r="L167" s="26" t="str">
        <f>IFERROR(__xludf.DUMMYFUNCTION("GOOGLETRANSLATE(B167, ""en"", ""hr"")"),"Krvne hale")</f>
        <v>Krvne hale</v>
      </c>
      <c r="M167" s="28"/>
      <c r="N167" s="28"/>
      <c r="O167" s="28"/>
      <c r="P167" s="28"/>
      <c r="Q167" s="28"/>
      <c r="R167" s="28"/>
      <c r="S167" s="28"/>
      <c r="T167" s="28"/>
      <c r="U167" s="28"/>
      <c r="V167" s="28"/>
      <c r="W167" s="28"/>
      <c r="X167" s="28"/>
      <c r="Y167" s="28"/>
      <c r="Z167" s="28"/>
      <c r="AA167" s="28"/>
      <c r="AB167" s="28"/>
    </row>
    <row r="168">
      <c r="A168" s="21" t="s">
        <v>312</v>
      </c>
      <c r="B168" s="22" t="s">
        <v>313</v>
      </c>
      <c r="C168" s="23" t="s">
        <v>314</v>
      </c>
      <c r="D168" s="23" t="str">
        <f>IFERROR(__xludf.DUMMYFUNCTION("GOOGLETRANSLATE(B168, ""en"", ""es"")"),"Sombra dōjō")</f>
        <v>Sombra dōjō</v>
      </c>
      <c r="E168" s="23" t="str">
        <f>IFERROR(__xludf.DUMMYFUNCTION("GOOGLETRANSLATE(B168, ""en"", ""ru"")"),"Тень dōjō")</f>
        <v>Тень dōjō</v>
      </c>
      <c r="F168" s="23" t="str">
        <f>IFERROR(__xludf.DUMMYFUNCTION("GOOGLETRANSLATE(B168, ""en"", ""tr"")"),"Gölge dōjō")</f>
        <v>Gölge dōjō</v>
      </c>
      <c r="G168" s="23" t="str">
        <f>IFERROR(__xludf.DUMMYFUNCTION("GOOGLETRANSLATE(B168, ""en"", ""pt"")"),"Sombra dōjō.")</f>
        <v>Sombra dōjō.</v>
      </c>
      <c r="H168" s="24" t="str">
        <f>IFERROR(__xludf.DUMMYFUNCTION("GOOGLETRANSLATE(B168, ""en"", ""de"")"),"Schatten dōjō.")</f>
        <v>Schatten dōjō.</v>
      </c>
      <c r="I168" s="23" t="str">
        <f>IFERROR(__xludf.DUMMYFUNCTION("GOOGLETRANSLATE(B168, ""en"", ""pl"")"),"Cień Dōjō.")</f>
        <v>Cień Dōjō.</v>
      </c>
      <c r="J168" s="25" t="str">
        <f>IFERROR(__xludf.DUMMYFUNCTION("GOOGLETRANSLATE(B168, ""en"", ""zh"")"),"shadowdōjō.")</f>
        <v>shadowdōjō.</v>
      </c>
      <c r="K168" s="25" t="str">
        <f>IFERROR(__xludf.DUMMYFUNCTION("GOOGLETRANSLATE(B168, ""en"", ""vi"")"),"Shadow dōjō.")</f>
        <v>Shadow dōjō.</v>
      </c>
      <c r="L168" s="26" t="str">
        <f>IFERROR(__xludf.DUMMYFUNCTION("GOOGLETRANSLATE(B168, ""en"", ""hr"")"),"Sjena dōjō")</f>
        <v>Sjena dōjō</v>
      </c>
      <c r="M168" s="28"/>
      <c r="N168" s="28"/>
      <c r="O168" s="28"/>
      <c r="P168" s="28"/>
      <c r="Q168" s="28"/>
      <c r="R168" s="28"/>
      <c r="S168" s="28"/>
      <c r="T168" s="28"/>
      <c r="U168" s="28"/>
      <c r="V168" s="28"/>
      <c r="W168" s="28"/>
      <c r="X168" s="28"/>
      <c r="Y168" s="28"/>
      <c r="Z168" s="28"/>
      <c r="AA168" s="28"/>
      <c r="AB168" s="28"/>
    </row>
    <row r="169">
      <c r="A169" s="21" t="s">
        <v>315</v>
      </c>
      <c r="B169" s="22" t="s">
        <v>316</v>
      </c>
      <c r="C169" s="23" t="str">
        <f>IFERROR(__xludf.DUMMYFUNCTION("GOOGLETRANSLATE(B169, ""en"", ""fr"")"),"Labyrinthe de la forêt")</f>
        <v>Labyrinthe de la forêt</v>
      </c>
      <c r="D169" s="23" t="str">
        <f>IFERROR(__xludf.DUMMYFUNCTION("GOOGLETRANSLATE(B169, ""en"", ""es"")"),"Laberinto del bosque")</f>
        <v>Laberinto del bosque</v>
      </c>
      <c r="E169" s="23" t="str">
        <f>IFERROR(__xludf.DUMMYFUNCTION("GOOGLETRANSLATE(B169, ""en"", ""ru"")"),"Лесной лабиринт")</f>
        <v>Лесной лабиринт</v>
      </c>
      <c r="F169" s="23" t="str">
        <f>IFERROR(__xludf.DUMMYFUNCTION("GOOGLETRANSLATE(B169, ""en"", ""tr"")"),"Orman labirent")</f>
        <v>Orman labirent</v>
      </c>
      <c r="G169" s="23" t="str">
        <f>IFERROR(__xludf.DUMMYFUNCTION("GOOGLETRANSLATE(B169, ""en"", ""pt"")"),"Labirinto da floresta")</f>
        <v>Labirinto da floresta</v>
      </c>
      <c r="H169" s="24" t="str">
        <f>IFERROR(__xludf.DUMMYFUNCTION("GOOGLETRANSLATE(B169, ""en"", ""de"")"),"Waldlabyrinth.")</f>
        <v>Waldlabyrinth.</v>
      </c>
      <c r="I169" s="23" t="str">
        <f>IFERROR(__xludf.DUMMYFUNCTION("GOOGLETRANSLATE(B169, ""en"", ""pl"")"),"Labirynt lasu")</f>
        <v>Labirynt lasu</v>
      </c>
      <c r="J169" s="25" t="str">
        <f>IFERROR(__xludf.DUMMYFUNCTION("GOOGLETRANSLATE(B169, ""en"", ""zh"")"),"森林迷宫")</f>
        <v>森林迷宫</v>
      </c>
      <c r="K169" s="25" t="str">
        <f>IFERROR(__xludf.DUMMYFUNCTION("GOOGLETRANSLATE(B169, ""en"", ""vi"")"),"Mê cung rừng")</f>
        <v>Mê cung rừng</v>
      </c>
      <c r="L169" s="26" t="str">
        <f>IFERROR(__xludf.DUMMYFUNCTION("GOOGLETRANSLATE(B169, ""en"", ""hr"")"),"Šumski labirint")</f>
        <v>Šumski labirint</v>
      </c>
      <c r="M169" s="28"/>
      <c r="N169" s="28"/>
      <c r="O169" s="28"/>
      <c r="P169" s="28"/>
      <c r="Q169" s="28"/>
      <c r="R169" s="28"/>
      <c r="S169" s="28"/>
      <c r="T169" s="28"/>
      <c r="U169" s="28"/>
      <c r="V169" s="28"/>
      <c r="W169" s="28"/>
      <c r="X169" s="28"/>
      <c r="Y169" s="28"/>
      <c r="Z169" s="28"/>
      <c r="AA169" s="28"/>
      <c r="AB169" s="28"/>
    </row>
    <row r="170">
      <c r="A170" s="21" t="s">
        <v>317</v>
      </c>
      <c r="B170" s="22" t="s">
        <v>318</v>
      </c>
      <c r="C170" s="23" t="s">
        <v>319</v>
      </c>
      <c r="D170" s="23" t="str">
        <f>IFERROR(__xludf.DUMMYFUNCTION("GOOGLETRANSLATE(B170, ""en"", ""es"")"),"Arena de entrenamiento mago")</f>
        <v>Arena de entrenamiento mago</v>
      </c>
      <c r="E170" s="23" t="str">
        <f>IFERROR(__xludf.DUMMYFUNCTION("GOOGLETRANSLATE(B170, ""en"", ""ru"")"),"Маг тренировка арена")</f>
        <v>Маг тренировка арена</v>
      </c>
      <c r="F170" s="23" t="str">
        <f>IFERROR(__xludf.DUMMYFUNCTION("GOOGLETRANSLATE(B170, ""en"", ""tr"")"),"Mage eğitimi arenası")</f>
        <v>Mage eğitimi arenası</v>
      </c>
      <c r="G170" s="23" t="str">
        <f>IFERROR(__xludf.DUMMYFUNCTION("GOOGLETRANSLATE(B170, ""en"", ""pt"")"),"Arena de treinamento de mago.")</f>
        <v>Arena de treinamento de mago.</v>
      </c>
      <c r="H170" s="24" t="str">
        <f>IFERROR(__xludf.DUMMYFUNCTION("GOOGLETRANSLATE(B170, ""en"", ""de"")"),"Mage Training Arena.")</f>
        <v>Mage Training Arena.</v>
      </c>
      <c r="I170" s="23" t="str">
        <f>IFERROR(__xludf.DUMMYFUNCTION("GOOGLETRANSLATE(B170, ""en"", ""pl"")"),"Arena treningowa maga")</f>
        <v>Arena treningowa maga</v>
      </c>
      <c r="J170" s="25" t="str">
        <f>IFERROR(__xludf.DUMMYFUNCTION("GOOGLETRANSLATE(B170, ""en"", ""zh"")"),"法师训练竞技场")</f>
        <v>法师训练竞技场</v>
      </c>
      <c r="K170" s="25" t="str">
        <f>IFERROR(__xludf.DUMMYFUNCTION("GOOGLETRANSLATE(B170, ""en"", ""vi"")"),"Đấu trường đào tạo Mage.")</f>
        <v>Đấu trường đào tạo Mage.</v>
      </c>
      <c r="L170" s="26" t="str">
        <f>IFERROR(__xludf.DUMMYFUNCTION("GOOGLETRANSLATE(B170, ""en"", ""hr"")"),"Arena treninga mage")</f>
        <v>Arena treninga mage</v>
      </c>
      <c r="M170" s="28"/>
      <c r="N170" s="28"/>
      <c r="O170" s="28"/>
      <c r="P170" s="28"/>
      <c r="Q170" s="28"/>
      <c r="R170" s="28"/>
      <c r="S170" s="28"/>
      <c r="T170" s="28"/>
      <c r="U170" s="28"/>
      <c r="V170" s="28"/>
      <c r="W170" s="28"/>
      <c r="X170" s="28"/>
      <c r="Y170" s="28"/>
      <c r="Z170" s="28"/>
      <c r="AA170" s="28"/>
      <c r="AB170" s="28"/>
    </row>
    <row r="171">
      <c r="A171" s="21" t="s">
        <v>320</v>
      </c>
      <c r="B171" s="22" t="s">
        <v>321</v>
      </c>
      <c r="C171" s="23" t="s">
        <v>322</v>
      </c>
      <c r="D171" s="23" t="str">
        <f>IFERROR(__xludf.DUMMYFUNCTION("GOOGLETRANSLATE(B171, ""en"", ""es"")"),"Patear")</f>
        <v>Patear</v>
      </c>
      <c r="E171" s="23" t="str">
        <f>IFERROR(__xludf.DUMMYFUNCTION("GOOGLETRANSLATE(B171, ""en"", ""ru"")"),"Пинать")</f>
        <v>Пинать</v>
      </c>
      <c r="F171" s="23" t="str">
        <f>IFERROR(__xludf.DUMMYFUNCTION("GOOGLETRANSLATE(B171, ""en"", ""tr"")"),"Atmak")</f>
        <v>Atmak</v>
      </c>
      <c r="G171" s="23" t="str">
        <f>IFERROR(__xludf.DUMMYFUNCTION("GOOGLETRANSLATE(B171, ""en"", ""pt"")"),"Chute")</f>
        <v>Chute</v>
      </c>
      <c r="H171" s="24" t="str">
        <f>IFERROR(__xludf.DUMMYFUNCTION("GOOGLETRANSLATE(B171, ""en"", ""de"")"),"Trete")</f>
        <v>Trete</v>
      </c>
      <c r="I171" s="23" t="str">
        <f>IFERROR(__xludf.DUMMYFUNCTION("GOOGLETRANSLATE(B171, ""en"", ""pl"")"),"kopnięcie")</f>
        <v>kopnięcie</v>
      </c>
      <c r="J171" s="25" t="str">
        <f>IFERROR(__xludf.DUMMYFUNCTION("GOOGLETRANSLATE(B171, ""en"", ""zh"")"),"踢")</f>
        <v>踢</v>
      </c>
      <c r="K171" s="25" t="str">
        <f>IFERROR(__xludf.DUMMYFUNCTION("GOOGLETRANSLATE(B171, ""en"", ""vi"")"),"Đá")</f>
        <v>Đá</v>
      </c>
      <c r="L171" s="26" t="str">
        <f>IFERROR(__xludf.DUMMYFUNCTION("GOOGLETRANSLATE(B171, ""en"", ""hr"")"),"Udarac")</f>
        <v>Udarac</v>
      </c>
      <c r="M171" s="28"/>
      <c r="N171" s="28"/>
      <c r="O171" s="28"/>
      <c r="P171" s="28"/>
      <c r="Q171" s="28"/>
      <c r="R171" s="28"/>
      <c r="S171" s="28"/>
      <c r="T171" s="28"/>
      <c r="U171" s="28"/>
      <c r="V171" s="28"/>
      <c r="W171" s="28"/>
      <c r="X171" s="28"/>
      <c r="Y171" s="28"/>
      <c r="Z171" s="28"/>
      <c r="AA171" s="28"/>
      <c r="AB171" s="28"/>
    </row>
    <row r="172">
      <c r="A172" s="21" t="s">
        <v>323</v>
      </c>
      <c r="B172" s="22" t="s">
        <v>324</v>
      </c>
      <c r="C172" s="23" t="str">
        <f>IFERROR(__xludf.DUMMYFUNCTION("GOOGLETRANSLATE(B172, ""en"", ""fr"")"),"Promouvoir")</f>
        <v>Promouvoir</v>
      </c>
      <c r="D172" s="23" t="str">
        <f>IFERROR(__xludf.DUMMYFUNCTION("GOOGLETRANSLATE(B172, ""en"", ""es"")"),"Promover")</f>
        <v>Promover</v>
      </c>
      <c r="E172" s="23" t="str">
        <f>IFERROR(__xludf.DUMMYFUNCTION("GOOGLETRANSLATE(B172, ""en"", ""ru"")"),"Продвигать")</f>
        <v>Продвигать</v>
      </c>
      <c r="F172" s="23" t="str">
        <f>IFERROR(__xludf.DUMMYFUNCTION("GOOGLETRANSLATE(B172, ""en"", ""tr"")"),"Terfi")</f>
        <v>Terfi</v>
      </c>
      <c r="G172" s="23" t="str">
        <f>IFERROR(__xludf.DUMMYFUNCTION("GOOGLETRANSLATE(B172, ""en"", ""pt"")"),"Promover")</f>
        <v>Promover</v>
      </c>
      <c r="H172" s="24" t="str">
        <f>IFERROR(__xludf.DUMMYFUNCTION("GOOGLETRANSLATE(B172, ""en"", ""de"")"),"Fördern")</f>
        <v>Fördern</v>
      </c>
      <c r="I172" s="23" t="str">
        <f>IFERROR(__xludf.DUMMYFUNCTION("GOOGLETRANSLATE(B172, ""en"", ""pl"")"),"Promować")</f>
        <v>Promować</v>
      </c>
      <c r="J172" s="25" t="str">
        <f>IFERROR(__xludf.DUMMYFUNCTION("GOOGLETRANSLATE(B172, ""en"", ""zh"")"),"推动")</f>
        <v>推动</v>
      </c>
      <c r="K172" s="25" t="str">
        <f>IFERROR(__xludf.DUMMYFUNCTION("GOOGLETRANSLATE(B172, ""en"", ""vi"")"),"Khuyến khích")</f>
        <v>Khuyến khích</v>
      </c>
      <c r="L172" s="26" t="str">
        <f>IFERROR(__xludf.DUMMYFUNCTION("GOOGLETRANSLATE(B172, ""en"", ""hr"")"),"Promicati")</f>
        <v>Promicati</v>
      </c>
      <c r="M172" s="28"/>
      <c r="N172" s="28"/>
      <c r="O172" s="28"/>
      <c r="P172" s="28"/>
      <c r="Q172" s="28"/>
      <c r="R172" s="28"/>
      <c r="S172" s="28"/>
      <c r="T172" s="28"/>
      <c r="U172" s="28"/>
      <c r="V172" s="28"/>
      <c r="W172" s="28"/>
      <c r="X172" s="28"/>
      <c r="Y172" s="28"/>
      <c r="Z172" s="28"/>
      <c r="AA172" s="28"/>
      <c r="AB172" s="28"/>
    </row>
    <row r="173">
      <c r="A173" s="21" t="s">
        <v>325</v>
      </c>
      <c r="B173" s="22" t="s">
        <v>291</v>
      </c>
      <c r="C173" s="23" t="str">
        <f>IFERROR(__xludf.DUMMYFUNCTION("GOOGLETRANSLATE(B173, ""en"", ""fr"")"),"Laisser")</f>
        <v>Laisser</v>
      </c>
      <c r="D173" s="23" t="str">
        <f>IFERROR(__xludf.DUMMYFUNCTION("GOOGLETRANSLATE(B173, ""en"", ""es"")"),"Dejar")</f>
        <v>Dejar</v>
      </c>
      <c r="E173" s="23" t="str">
        <f>IFERROR(__xludf.DUMMYFUNCTION("GOOGLETRANSLATE(B173, ""en"", ""ru"")"),"Оставлять")</f>
        <v>Оставлять</v>
      </c>
      <c r="F173" s="23" t="str">
        <f>IFERROR(__xludf.DUMMYFUNCTION("GOOGLETRANSLATE(B173, ""en"", ""tr"")"),"Terk etmek")</f>
        <v>Terk etmek</v>
      </c>
      <c r="G173" s="23" t="str">
        <f>IFERROR(__xludf.DUMMYFUNCTION("GOOGLETRANSLATE(B173, ""en"", ""pt"")"),"Sair")</f>
        <v>Sair</v>
      </c>
      <c r="H173" s="24" t="str">
        <f>IFERROR(__xludf.DUMMYFUNCTION("GOOGLETRANSLATE(B173, ""en"", ""de"")"),"Verlassen")</f>
        <v>Verlassen</v>
      </c>
      <c r="I173" s="23" t="str">
        <f>IFERROR(__xludf.DUMMYFUNCTION("GOOGLETRANSLATE(B173, ""en"", ""pl"")"),"Opuszczać")</f>
        <v>Opuszczać</v>
      </c>
      <c r="J173" s="25" t="str">
        <f>IFERROR(__xludf.DUMMYFUNCTION("GOOGLETRANSLATE(B173, ""en"", ""zh"")"),"离开")</f>
        <v>离开</v>
      </c>
      <c r="K173" s="25" t="str">
        <f>IFERROR(__xludf.DUMMYFUNCTION("GOOGLETRANSLATE(B173, ""en"", ""vi"")"),"Rời bỏ")</f>
        <v>Rời bỏ</v>
      </c>
      <c r="L173" s="26" t="str">
        <f>IFERROR(__xludf.DUMMYFUNCTION("GOOGLETRANSLATE(B173, ""en"", ""hr"")"),"Napustiti")</f>
        <v>Napustiti</v>
      </c>
      <c r="M173" s="28"/>
      <c r="N173" s="28"/>
      <c r="O173" s="28"/>
      <c r="P173" s="28"/>
      <c r="Q173" s="28"/>
      <c r="R173" s="28"/>
      <c r="S173" s="28"/>
      <c r="T173" s="28"/>
      <c r="U173" s="28"/>
      <c r="V173" s="28"/>
      <c r="W173" s="28"/>
      <c r="X173" s="28"/>
      <c r="Y173" s="28"/>
      <c r="Z173" s="28"/>
      <c r="AA173" s="28"/>
      <c r="AB173" s="28"/>
    </row>
    <row r="174">
      <c r="A174" s="21" t="s">
        <v>123</v>
      </c>
      <c r="B174" s="22" t="s">
        <v>123</v>
      </c>
      <c r="C174" s="23" t="str">
        <f>IFERROR(__xludf.DUMMYFUNCTION("GOOGLETRANSLATE(B174, ""en"", ""fr"")"),"Clan")</f>
        <v>Clan</v>
      </c>
      <c r="D174" s="23" t="str">
        <f>IFERROR(__xludf.DUMMYFUNCTION("GOOGLETRANSLATE(B174, ""en"", ""es"")"),"Clan")</f>
        <v>Clan</v>
      </c>
      <c r="E174" s="23" t="str">
        <f>IFERROR(__xludf.DUMMYFUNCTION("GOOGLETRANSLATE(B174, ""en"", ""ru"")"),"Клан")</f>
        <v>Клан</v>
      </c>
      <c r="F174" s="23" t="str">
        <f>IFERROR(__xludf.DUMMYFUNCTION("GOOGLETRANSLATE(B174, ""en"", ""tr"")"),"Klan")</f>
        <v>Klan</v>
      </c>
      <c r="G174" s="23" t="str">
        <f>IFERROR(__xludf.DUMMYFUNCTION("GOOGLETRANSLATE(B174, ""en"", ""pt"")"),"Clã")</f>
        <v>Clã</v>
      </c>
      <c r="H174" s="24" t="str">
        <f>IFERROR(__xludf.DUMMYFUNCTION("GOOGLETRANSLATE(B174, ""en"", ""de"")"),"Clan")</f>
        <v>Clan</v>
      </c>
      <c r="I174" s="23" t="str">
        <f>IFERROR(__xludf.DUMMYFUNCTION("GOOGLETRANSLATE(B174, ""en"", ""pl"")"),"Klan")</f>
        <v>Klan</v>
      </c>
      <c r="J174" s="25" t="str">
        <f>IFERROR(__xludf.DUMMYFUNCTION("GOOGLETRANSLATE(B174, ""en"", ""zh"")"),"氏族")</f>
        <v>氏族</v>
      </c>
      <c r="K174" s="25" t="str">
        <f>IFERROR(__xludf.DUMMYFUNCTION("GOOGLETRANSLATE(B174, ""en"", ""vi"")"),"Gia tộc")</f>
        <v>Gia tộc</v>
      </c>
      <c r="L174" s="26" t="str">
        <f>IFERROR(__xludf.DUMMYFUNCTION("GOOGLETRANSLATE(B174, ""en"", ""hr"")"),"Klan")</f>
        <v>Klan</v>
      </c>
      <c r="M174" s="28"/>
      <c r="N174" s="28"/>
      <c r="O174" s="28"/>
      <c r="P174" s="28"/>
      <c r="Q174" s="28"/>
      <c r="R174" s="28"/>
      <c r="S174" s="28"/>
      <c r="T174" s="28"/>
      <c r="U174" s="28"/>
      <c r="V174" s="28"/>
      <c r="W174" s="28"/>
      <c r="X174" s="28"/>
      <c r="Y174" s="28"/>
      <c r="Z174" s="28"/>
      <c r="AA174" s="28"/>
      <c r="AB174" s="28"/>
    </row>
    <row r="175">
      <c r="A175" s="21" t="s">
        <v>326</v>
      </c>
      <c r="B175" s="22" t="s">
        <v>327</v>
      </c>
      <c r="C175" s="23" t="str">
        <f>IFERROR(__xludf.DUMMYFUNCTION("GOOGLETRANSLATE(B175, ""en"", ""fr"")"),"Vous êtes déjà dans un clan.")</f>
        <v>Vous êtes déjà dans un clan.</v>
      </c>
      <c r="D175" s="23" t="str">
        <f>IFERROR(__xludf.DUMMYFUNCTION("GOOGLETRANSLATE(B175, ""en"", ""es"")"),"Ya estás en un clan.")</f>
        <v>Ya estás en un clan.</v>
      </c>
      <c r="E175" s="23" t="str">
        <f>IFERROR(__xludf.DUMMYFUNCTION("GOOGLETRANSLATE(B175, ""en"", ""ru"")"),"Вы уже в клане.")</f>
        <v>Вы уже в клане.</v>
      </c>
      <c r="F175" s="23" t="str">
        <f>IFERROR(__xludf.DUMMYFUNCTION("GOOGLETRANSLATE(B175, ""en"", ""tr"")"),"Sen zaten bir klanındasın.")</f>
        <v>Sen zaten bir klanındasın.</v>
      </c>
      <c r="G175" s="23" t="str">
        <f>IFERROR(__xludf.DUMMYFUNCTION("GOOGLETRANSLATE(B175, ""en"", ""pt"")"),"Você já está em um clã.")</f>
        <v>Você já está em um clã.</v>
      </c>
      <c r="H175" s="24" t="str">
        <f>IFERROR(__xludf.DUMMYFUNCTION("GOOGLETRANSLATE(B175, ""en"", ""de"")"),"Du bist schon in einem Clan.")</f>
        <v>Du bist schon in einem Clan.</v>
      </c>
      <c r="I175" s="23" t="str">
        <f>IFERROR(__xludf.DUMMYFUNCTION("GOOGLETRANSLATE(B175, ""en"", ""pl"")"),"Jesteś już w klanie.")</f>
        <v>Jesteś już w klanie.</v>
      </c>
      <c r="J175" s="25" t="str">
        <f>IFERROR(__xludf.DUMMYFUNCTION("GOOGLETRANSLATE(B175, ""en"", ""zh"")"),"你已经在一个氏族。")</f>
        <v>你已经在一个氏族。</v>
      </c>
      <c r="K175" s="25" t="str">
        <f>IFERROR(__xludf.DUMMYFUNCTION("GOOGLETRANSLATE(B175, ""en"", ""vi"")"),"Bạn đã ở trong một bang hội.")</f>
        <v>Bạn đã ở trong một bang hội.</v>
      </c>
      <c r="L175" s="26" t="str">
        <f>IFERROR(__xludf.DUMMYFUNCTION("GOOGLETRANSLATE(B175, ""en"", ""hr"")"),"Već ste u klan.")</f>
        <v>Već ste u klan.</v>
      </c>
      <c r="M175" s="28"/>
      <c r="N175" s="28"/>
      <c r="O175" s="28"/>
      <c r="P175" s="28"/>
      <c r="Q175" s="28"/>
      <c r="R175" s="28"/>
      <c r="S175" s="28"/>
      <c r="T175" s="28"/>
      <c r="U175" s="28"/>
      <c r="V175" s="28"/>
      <c r="W175" s="28"/>
      <c r="X175" s="28"/>
      <c r="Y175" s="28"/>
      <c r="Z175" s="28"/>
      <c r="AA175" s="28"/>
      <c r="AB175" s="28"/>
    </row>
    <row r="176">
      <c r="A176" s="21" t="s">
        <v>328</v>
      </c>
      <c r="B176" s="22" t="s">
        <v>329</v>
      </c>
      <c r="C176" s="23" t="s">
        <v>330</v>
      </c>
      <c r="D176" s="23" t="str">
        <f>IFERROR(__xludf.DUMMYFUNCTION("GOOGLETRANSLATE(B176, ""en"", ""es"")"),"¡El clan se unió!")</f>
        <v>¡El clan se unió!</v>
      </c>
      <c r="E176" s="23" t="str">
        <f>IFERROR(__xludf.DUMMYFUNCTION("GOOGLETRANSLATE(B176, ""en"", ""ru"")"),"Клан присоединился!")</f>
        <v>Клан присоединился!</v>
      </c>
      <c r="F176" s="23" t="str">
        <f>IFERROR(__xludf.DUMMYFUNCTION("GOOGLETRANSLATE(B176, ""en"", ""tr"")"),"Klan katıldı!")</f>
        <v>Klan katıldı!</v>
      </c>
      <c r="G176" s="23" t="str">
        <f>IFERROR(__xludf.DUMMYFUNCTION("GOOGLETRANSLATE(B176, ""en"", ""pt"")"),"Clã juntou-se!")</f>
        <v>Clã juntou-se!</v>
      </c>
      <c r="H176" s="24" t="str">
        <f>IFERROR(__xludf.DUMMYFUNCTION("GOOGLETRANSLATE(B176, ""en"", ""de"")"),"Clan ist beigetreten!")</f>
        <v>Clan ist beigetreten!</v>
      </c>
      <c r="I176" s="23" t="str">
        <f>IFERROR(__xludf.DUMMYFUNCTION("GOOGLETRANSLATE(B176, ""en"", ""pl"")"),"Klan dołączył!")</f>
        <v>Klan dołączył!</v>
      </c>
      <c r="J176" s="25" t="str">
        <f>IFERROR(__xludf.DUMMYFUNCTION("GOOGLETRANSLATE(B176, ""en"", ""zh"")"),"氏族加入了！")</f>
        <v>氏族加入了！</v>
      </c>
      <c r="K176" s="25" t="str">
        <f>IFERROR(__xludf.DUMMYFUNCTION("GOOGLETRANSLATE(B176, ""en"", ""vi"")"),"Clan tham gia!")</f>
        <v>Clan tham gia!</v>
      </c>
      <c r="L176" s="26" t="str">
        <f>IFERROR(__xludf.DUMMYFUNCTION("GOOGLETRANSLATE(B176, ""en"", ""hr"")"),"Klan je pridružio!")</f>
        <v>Klan je pridružio!</v>
      </c>
      <c r="M176" s="28"/>
      <c r="N176" s="28"/>
      <c r="O176" s="28"/>
      <c r="P176" s="28"/>
      <c r="Q176" s="28"/>
      <c r="R176" s="28"/>
      <c r="S176" s="28"/>
      <c r="T176" s="28"/>
      <c r="U176" s="28"/>
      <c r="V176" s="28"/>
      <c r="W176" s="28"/>
      <c r="X176" s="28"/>
      <c r="Y176" s="28"/>
      <c r="Z176" s="28"/>
      <c r="AA176" s="28"/>
      <c r="AB176" s="28"/>
    </row>
    <row r="177">
      <c r="A177" s="21" t="s">
        <v>331</v>
      </c>
      <c r="B177" s="22" t="s">
        <v>332</v>
      </c>
      <c r="C177" s="23" t="str">
        <f>IFERROR(__xludf.DUMMYFUNCTION("GOOGLETRANSLATE(B177, ""en"", ""fr"")"),"Limite de structure du clan atteinte.")</f>
        <v>Limite de structure du clan atteinte.</v>
      </c>
      <c r="D177" s="23" t="str">
        <f>IFERROR(__xludf.DUMMYFUNCTION("GOOGLETRANSLATE(B177, ""en"", ""es"")"),"Límite de estructura del clan alcanzado.")</f>
        <v>Límite de estructura del clan alcanzado.</v>
      </c>
      <c r="E177" s="23" t="str">
        <f>IFERROR(__xludf.DUMMYFUNCTION("GOOGLETRANSLATE(B177, ""en"", ""ru"")"),"Доступен предел структуры клана.")</f>
        <v>Доступен предел структуры клана.</v>
      </c>
      <c r="F177" s="23" t="str">
        <f>IFERROR(__xludf.DUMMYFUNCTION("GOOGLETRANSLATE(B177, ""en"", ""tr"")"),"Klan yapısı sınırı ulaştı.")</f>
        <v>Klan yapısı sınırı ulaştı.</v>
      </c>
      <c r="G177" s="23" t="str">
        <f>IFERROR(__xludf.DUMMYFUNCTION("GOOGLETRANSLATE(B177, ""en"", ""pt"")"),"Limite de estrutura de clã atingido.")</f>
        <v>Limite de estrutura de clã atingido.</v>
      </c>
      <c r="H177" s="24" t="str">
        <f>IFERROR(__xludf.DUMMYFUNCTION("GOOGLETRANSLATE(B177, ""en"", ""de"")"),"Clanstrukturlimit erreicht.")</f>
        <v>Clanstrukturlimit erreicht.</v>
      </c>
      <c r="I177" s="23" t="str">
        <f>IFERROR(__xludf.DUMMYFUNCTION("GOOGLETRANSLATE(B177, ""en"", ""pl"")"),"Osiągnął limit konstrukcji klanu.")</f>
        <v>Osiągnął limit konstrukcji klanu.</v>
      </c>
      <c r="J177" s="25" t="str">
        <f>IFERROR(__xludf.DUMMYFUNCTION("GOOGLETRANSLATE(B177, ""en"", ""zh"")"),"氏族结构限制达到。")</f>
        <v>氏族结构限制达到。</v>
      </c>
      <c r="K177" s="25" t="str">
        <f>IFERROR(__xludf.DUMMYFUNCTION("GOOGLETRANSLATE(B177, ""en"", ""vi"")"),"Đạt đến giới hạn cấu trúc gia tộc.")</f>
        <v>Đạt đến giới hạn cấu trúc gia tộc.</v>
      </c>
      <c r="L177" s="26" t="str">
        <f>IFERROR(__xludf.DUMMYFUNCTION("GOOGLETRANSLATE(B177, ""en"", ""hr"")"),"Ograničenje konstrukcije klana.")</f>
        <v>Ograničenje konstrukcije klana.</v>
      </c>
      <c r="M177" s="28"/>
      <c r="N177" s="28"/>
      <c r="O177" s="28"/>
      <c r="P177" s="28"/>
      <c r="Q177" s="28"/>
      <c r="R177" s="28"/>
      <c r="S177" s="28"/>
      <c r="T177" s="28"/>
      <c r="U177" s="28"/>
      <c r="V177" s="28"/>
      <c r="W177" s="28"/>
      <c r="X177" s="28"/>
      <c r="Y177" s="28"/>
      <c r="Z177" s="28"/>
      <c r="AA177" s="28"/>
      <c r="AB177" s="28"/>
    </row>
    <row r="178">
      <c r="A178" s="21" t="s">
        <v>333</v>
      </c>
      <c r="B178" s="22" t="s">
        <v>334</v>
      </c>
      <c r="C178" s="23" t="s">
        <v>335</v>
      </c>
      <c r="D178" s="23" t="str">
        <f>IFERROR(__xludf.DUMMYFUNCTION("GOOGLETRANSLATE(B178, ""en"", ""es"")"),"¡Tu clan ha sido destruido!")</f>
        <v>¡Tu clan ha sido destruido!</v>
      </c>
      <c r="E178" s="23" t="str">
        <f>IFERROR(__xludf.DUMMYFUNCTION("GOOGLETRANSLATE(B178, ""en"", ""ru"")"),"Ваш клан был разрушен!")</f>
        <v>Ваш клан был разрушен!</v>
      </c>
      <c r="F178" s="23" t="str">
        <f>IFERROR(__xludf.DUMMYFUNCTION("GOOGLETRANSLATE(B178, ""en"", ""tr"")"),"Klanın yok edildi!")</f>
        <v>Klanın yok edildi!</v>
      </c>
      <c r="G178" s="23" t="str">
        <f>IFERROR(__xludf.DUMMYFUNCTION("GOOGLETRANSLATE(B178, ""en"", ""pt"")"),"Seu clã foi destruído!")</f>
        <v>Seu clã foi destruído!</v>
      </c>
      <c r="H178" s="24" t="str">
        <f>IFERROR(__xludf.DUMMYFUNCTION("GOOGLETRANSLATE(B178, ""en"", ""de"")"),"Ihr Clan wurde zerstört!")</f>
        <v>Ihr Clan wurde zerstört!</v>
      </c>
      <c r="I178" s="23" t="str">
        <f>IFERROR(__xludf.DUMMYFUNCTION("GOOGLETRANSLATE(B178, ""en"", ""pl"")"),"Twój klan został zniszczony!")</f>
        <v>Twój klan został zniszczony!</v>
      </c>
      <c r="J178" s="25" t="str">
        <f>IFERROR(__xludf.DUMMYFUNCTION("GOOGLETRANSLATE(B178, ""en"", ""zh"")"),"你的族人被摧毁了！")</f>
        <v>你的族人被摧毁了！</v>
      </c>
      <c r="K178" s="25" t="str">
        <f>IFERROR(__xludf.DUMMYFUNCTION("GOOGLETRANSLATE(B178, ""en"", ""vi"")"),"Gia tộc của bạn đã bị phá hủy!")</f>
        <v>Gia tộc của bạn đã bị phá hủy!</v>
      </c>
      <c r="L178" s="26" t="str">
        <f>IFERROR(__xludf.DUMMYFUNCTION("GOOGLETRANSLATE(B178, ""en"", ""hr"")"),"Vaš klan je uništen!")</f>
        <v>Vaš klan je uništen!</v>
      </c>
      <c r="M178" s="28"/>
      <c r="N178" s="28"/>
      <c r="O178" s="28"/>
      <c r="P178" s="28"/>
      <c r="Q178" s="28"/>
      <c r="R178" s="28"/>
      <c r="S178" s="28"/>
      <c r="T178" s="28"/>
      <c r="U178" s="28"/>
      <c r="V178" s="28"/>
      <c r="W178" s="28"/>
      <c r="X178" s="28"/>
      <c r="Y178" s="28"/>
      <c r="Z178" s="28"/>
      <c r="AA178" s="28"/>
      <c r="AB178" s="28"/>
    </row>
    <row r="179">
      <c r="A179" s="21" t="s">
        <v>336</v>
      </c>
      <c r="B179" s="22" t="s">
        <v>337</v>
      </c>
      <c r="C179" s="23" t="s">
        <v>338</v>
      </c>
      <c r="D179" s="23" t="str">
        <f>IFERROR(__xludf.DUMMYFUNCTION("GOOGLETRANSLATE(B179, ""en"", ""es"")"),"Miembro del clan pateado:")</f>
        <v>Miembro del clan pateado:</v>
      </c>
      <c r="E179" s="23" t="str">
        <f>IFERROR(__xludf.DUMMYFUNCTION("GOOGLETRANSLATE(B179, ""en"", ""ru"")"),"Член клана ударил:")</f>
        <v>Член клана ударил:</v>
      </c>
      <c r="F179" s="23" t="str">
        <f>IFERROR(__xludf.DUMMYFUNCTION("GOOGLETRANSLATE(B179, ""en"", ""tr"")"),"Klan üyesi tekmeledi:")</f>
        <v>Klan üyesi tekmeledi:</v>
      </c>
      <c r="G179" s="23" t="str">
        <f>IFERROR(__xludf.DUMMYFUNCTION("GOOGLETRANSLATE(B179, ""en"", ""pt"")"),"Membro do clã chutado:")</f>
        <v>Membro do clã chutado:</v>
      </c>
      <c r="H179" s="24" t="str">
        <f>IFERROR(__xludf.DUMMYFUNCTION("GOOGLETRANSLATE(B179, ""en"", ""de"")"),"Clan Member Tritt:")</f>
        <v>Clan Member Tritt:</v>
      </c>
      <c r="I179" s="23" t="str">
        <f>IFERROR(__xludf.DUMMYFUNCTION("GOOGLETRANSLATE(B179, ""en"", ""pl"")"),"Kopany członek klanu:")</f>
        <v>Kopany członek klanu:</v>
      </c>
      <c r="J179" s="25" t="str">
        <f>IFERROR(__xludf.DUMMYFUNCTION("GOOGLETRANSLATE(B179, ""en"", ""zh"")"),"氏族成员踢了：")</f>
        <v>氏族成员踢了：</v>
      </c>
      <c r="K179" s="25" t="str">
        <f>IFERROR(__xludf.DUMMYFUNCTION("GOOGLETRANSLATE(B179, ""en"", ""vi"")"),"Thành viên Clan bị đá:")</f>
        <v>Thành viên Clan bị đá:</v>
      </c>
      <c r="L179" s="26" t="str">
        <f>IFERROR(__xludf.DUMMYFUNCTION("GOOGLETRANSLATE(B179, ""en"", ""hr"")"),"Član klana je udario:")</f>
        <v>Član klana je udario:</v>
      </c>
      <c r="M179" s="28"/>
      <c r="N179" s="28"/>
      <c r="O179" s="28"/>
      <c r="P179" s="28"/>
      <c r="Q179" s="28"/>
      <c r="R179" s="28"/>
      <c r="S179" s="28"/>
      <c r="T179" s="28"/>
      <c r="U179" s="28"/>
      <c r="V179" s="28"/>
      <c r="W179" s="28"/>
      <c r="X179" s="28"/>
      <c r="Y179" s="28"/>
      <c r="Z179" s="28"/>
      <c r="AA179" s="28"/>
      <c r="AB179" s="28"/>
    </row>
    <row r="180">
      <c r="A180" s="21" t="s">
        <v>339</v>
      </c>
      <c r="B180" s="22" t="s">
        <v>340</v>
      </c>
      <c r="C180" s="23" t="str">
        <f>IFERROR(__xludf.DUMMYFUNCTION("GOOGLETRANSLATE(B180, ""en"", ""fr"")"),"Vous avez été promu dans votre clan.")</f>
        <v>Vous avez été promu dans votre clan.</v>
      </c>
      <c r="D180" s="23" t="str">
        <f>IFERROR(__xludf.DUMMYFUNCTION("GOOGLETRANSLATE(B180, ""en"", ""es"")"),"Has sido promovido en tu clan.")</f>
        <v>Has sido promovido en tu clan.</v>
      </c>
      <c r="E180" s="23" t="str">
        <f>IFERROR(__xludf.DUMMYFUNCTION("GOOGLETRANSLATE(B180, ""en"", ""ru"")"),"Вы были продвинуты в вашем клане.")</f>
        <v>Вы были продвинуты в вашем клане.</v>
      </c>
      <c r="F180" s="23" t="str">
        <f>IFERROR(__xludf.DUMMYFUNCTION("GOOGLETRANSLATE(B180, ""en"", ""tr"")"),"Klanınıza terfi ettiniz.")</f>
        <v>Klanınıza terfi ettiniz.</v>
      </c>
      <c r="G180" s="23" t="str">
        <f>IFERROR(__xludf.DUMMYFUNCTION("GOOGLETRANSLATE(B180, ""en"", ""pt"")"),"Você foi promovido no seu clã.")</f>
        <v>Você foi promovido no seu clã.</v>
      </c>
      <c r="H180" s="24" t="str">
        <f>IFERROR(__xludf.DUMMYFUNCTION("GOOGLETRANSLATE(B180, ""en"", ""de"")"),"Sie wurden in Ihrem Clan befördert.")</f>
        <v>Sie wurden in Ihrem Clan befördert.</v>
      </c>
      <c r="I180" s="23" t="str">
        <f>IFERROR(__xludf.DUMMYFUNCTION("GOOGLETRANSLATE(B180, ""en"", ""pl"")"),"Zostałeś awansowany w swoim klanie.")</f>
        <v>Zostałeś awansowany w swoim klanie.</v>
      </c>
      <c r="J180" s="25" t="str">
        <f>IFERROR(__xludf.DUMMYFUNCTION("GOOGLETRANSLATE(B180, ""en"", ""zh"")"),"您已在您的氏族晋升。")</f>
        <v>您已在您的氏族晋升。</v>
      </c>
      <c r="K180" s="25" t="str">
        <f>IFERROR(__xludf.DUMMYFUNCTION("GOOGLETRANSLATE(B180, ""en"", ""vi"")"),"Bạn đã được thăng chức trong bang hội của bạn.")</f>
        <v>Bạn đã được thăng chức trong bang hội của bạn.</v>
      </c>
      <c r="L180" s="26" t="str">
        <f>IFERROR(__xludf.DUMMYFUNCTION("GOOGLETRANSLATE(B180, ""en"", ""hr"")"),"Promovirali ste u vašem klanu.")</f>
        <v>Promovirali ste u vašem klanu.</v>
      </c>
      <c r="M180" s="28"/>
      <c r="N180" s="28"/>
      <c r="O180" s="28"/>
      <c r="P180" s="28"/>
      <c r="Q180" s="28"/>
      <c r="R180" s="28"/>
      <c r="S180" s="28"/>
      <c r="T180" s="28"/>
      <c r="U180" s="28"/>
      <c r="V180" s="28"/>
      <c r="W180" s="28"/>
      <c r="X180" s="28"/>
      <c r="Y180" s="28"/>
      <c r="Z180" s="28"/>
      <c r="AA180" s="28"/>
      <c r="AB180" s="28"/>
    </row>
    <row r="181">
      <c r="A181" s="21" t="s">
        <v>341</v>
      </c>
      <c r="B181" s="22" t="s">
        <v>342</v>
      </c>
      <c r="C181" s="23" t="s">
        <v>343</v>
      </c>
      <c r="D181" s="23" t="str">
        <f>IFERROR(__xludf.DUMMYFUNCTION("GOOGLETRANSLATE(B181, ""en"", ""es"")"),"Pillaxe necesaria para mi mineral.")</f>
        <v>Pillaxe necesaria para mi mineral.</v>
      </c>
      <c r="E181" s="23" t="str">
        <f>IFERROR(__xludf.DUMMYFUNCTION("GOOGLETRANSLATE(B181, ""en"", ""ru"")"),"Кирбек должен был до руды.")</f>
        <v>Кирбек должен был до руды.</v>
      </c>
      <c r="F181" s="23" t="str">
        <f>IFERROR(__xludf.DUMMYFUNCTION("GOOGLETRANSLATE(B181, ""en"", ""tr"")"),"Pickaxe, cevher için gerekli.")</f>
        <v>Pickaxe, cevher için gerekli.</v>
      </c>
      <c r="G181" s="23" t="str">
        <f>IFERROR(__xludf.DUMMYFUNCTION("GOOGLETRANSLATE(B181, ""en"", ""pt"")"),"Picareta precisava de minério.")</f>
        <v>Picareta precisava de minério.</v>
      </c>
      <c r="H181" s="24" t="str">
        <f>IFERROR(__xludf.DUMMYFUNCTION("GOOGLETRANSLATE(B181, ""en"", ""de"")"),"Picker musste zu meinem Erz benötigt.")</f>
        <v>Picker musste zu meinem Erz benötigt.</v>
      </c>
      <c r="I181" s="23" t="str">
        <f>IFERROR(__xludf.DUMMYFUNCTION("GOOGLETRANSLATE(B181, ""en"", ""pl"")"),"Picisle potrzebna do mojego rudy.")</f>
        <v>Picisle potrzebna do mojego rudy.</v>
      </c>
      <c r="J181" s="25" t="str">
        <f>IFERROR(__xludf.DUMMYFUNCTION("GOOGLETRANSLATE(B181, ""en"", ""zh"")"),"挖掘矿石需要镐。")</f>
        <v>挖掘矿石需要镐。</v>
      </c>
      <c r="K181" s="25" t="str">
        <f>IFERROR(__xludf.DUMMYFUNCTION("GOOGLETRANSLATE(B181, ""en"", ""vi"")"),"Pickaxe cần thiết để khai thác quặng.")</f>
        <v>Pickaxe cần thiết để khai thác quặng.</v>
      </c>
      <c r="L181" s="26" t="str">
        <f>IFERROR(__xludf.DUMMYFUNCTION("GOOGLETRANSLATE(B181, ""en"", ""hr"")"),"Pikaksi je potreban za moje rude.")</f>
        <v>Pikaksi je potreban za moje rude.</v>
      </c>
      <c r="M181" s="28"/>
      <c r="N181" s="28"/>
      <c r="O181" s="28"/>
      <c r="P181" s="28"/>
      <c r="Q181" s="28"/>
      <c r="R181" s="28"/>
      <c r="S181" s="28"/>
      <c r="T181" s="28"/>
      <c r="U181" s="28"/>
      <c r="V181" s="28"/>
      <c r="W181" s="28"/>
      <c r="X181" s="28"/>
      <c r="Y181" s="28"/>
      <c r="Z181" s="28"/>
      <c r="AA181" s="28"/>
      <c r="AB181" s="28"/>
    </row>
    <row r="182">
      <c r="A182" s="21" t="s">
        <v>344</v>
      </c>
      <c r="B182" s="22" t="s">
        <v>344</v>
      </c>
      <c r="C182" s="23" t="s">
        <v>345</v>
      </c>
      <c r="D182" s="23" t="str">
        <f>IFERROR(__xludf.DUMMYFUNCTION("GOOGLETRANSLATE(B182, ""en"", ""es"")"),"Recoger el artículo")</f>
        <v>Recoger el artículo</v>
      </c>
      <c r="E182" s="23" t="str">
        <f>IFERROR(__xludf.DUMMYFUNCTION("GOOGLETRANSLATE(B182, ""en"", ""ru"")"),"Забрать предмет")</f>
        <v>Забрать предмет</v>
      </c>
      <c r="F182" s="23" t="str">
        <f>IFERROR(__xludf.DUMMYFUNCTION("GOOGLETRANSLATE(B182, ""en"", ""tr"")"),"Öğeyi almak")</f>
        <v>Öğeyi almak</v>
      </c>
      <c r="G182" s="23" t="str">
        <f>IFERROR(__xludf.DUMMYFUNCTION("GOOGLETRANSLATE(B182, ""en"", ""pt"")"),"Pegar item")</f>
        <v>Pegar item</v>
      </c>
      <c r="H182" s="24" t="str">
        <f>IFERROR(__xludf.DUMMYFUNCTION("GOOGLETRANSLATE(B182, ""en"", ""de"")"),"Artikel abholen.")</f>
        <v>Artikel abholen.</v>
      </c>
      <c r="I182" s="23" t="str">
        <f>IFERROR(__xludf.DUMMYFUNCTION("GOOGLETRANSLATE(B182, ""en"", ""pl"")"),"Podnieś przedmiot")</f>
        <v>Podnieś przedmiot</v>
      </c>
      <c r="J182" s="25" t="str">
        <f>IFERROR(__xludf.DUMMYFUNCTION("GOOGLETRANSLATE(B182, ""en"", ""zh"")"),"拿起物品")</f>
        <v>拿起物品</v>
      </c>
      <c r="K182" s="25" t="str">
        <f>IFERROR(__xludf.DUMMYFUNCTION("GOOGLETRANSLATE(B182, ""en"", ""vi"")"),"Đón mục")</f>
        <v>Đón mục</v>
      </c>
      <c r="L182" s="26" t="str">
        <f>IFERROR(__xludf.DUMMYFUNCTION("GOOGLETRANSLATE(B182, ""en"", ""hr"")"),"Pokupiti stavku")</f>
        <v>Pokupiti stavku</v>
      </c>
      <c r="M182" s="28"/>
      <c r="N182" s="28"/>
      <c r="O182" s="28"/>
      <c r="P182" s="28"/>
      <c r="Q182" s="28"/>
      <c r="R182" s="28"/>
      <c r="S182" s="28"/>
      <c r="T182" s="28"/>
      <c r="U182" s="28"/>
      <c r="V182" s="28"/>
      <c r="W182" s="28"/>
      <c r="X182" s="28"/>
      <c r="Y182" s="28"/>
      <c r="Z182" s="28"/>
      <c r="AA182" s="28"/>
      <c r="AB182" s="28"/>
    </row>
    <row r="183">
      <c r="A183" s="21" t="s">
        <v>346</v>
      </c>
      <c r="B183" s="22" t="s">
        <v>346</v>
      </c>
      <c r="C183" s="23" t="str">
        <f>IFERROR(__xludf.DUMMYFUNCTION("GOOGLETRANSLATE(B183, ""en"", ""fr"")"),"Base")</f>
        <v>Base</v>
      </c>
      <c r="D183" s="23" t="str">
        <f>IFERROR(__xludf.DUMMYFUNCTION("GOOGLETRANSLATE(B183, ""en"", ""es"")"),"Base")</f>
        <v>Base</v>
      </c>
      <c r="E183" s="23" t="str">
        <f>IFERROR(__xludf.DUMMYFUNCTION("GOOGLETRANSLATE(B183, ""en"", ""ru"")"),"База")</f>
        <v>База</v>
      </c>
      <c r="F183" s="23" t="str">
        <f>IFERROR(__xludf.DUMMYFUNCTION("GOOGLETRANSLATE(B183, ""en"", ""tr"")"),"Temel")</f>
        <v>Temel</v>
      </c>
      <c r="G183" s="23" t="str">
        <f>IFERROR(__xludf.DUMMYFUNCTION("GOOGLETRANSLATE(B183, ""en"", ""pt"")"),"Base")</f>
        <v>Base</v>
      </c>
      <c r="H183" s="24" t="str">
        <f>IFERROR(__xludf.DUMMYFUNCTION("GOOGLETRANSLATE(B183, ""en"", ""de"")"),"Base")</f>
        <v>Base</v>
      </c>
      <c r="I183" s="23" t="str">
        <f>IFERROR(__xludf.DUMMYFUNCTION("GOOGLETRANSLATE(B183, ""en"", ""pl"")"),"Baza")</f>
        <v>Baza</v>
      </c>
      <c r="J183" s="25" t="str">
        <f>IFERROR(__xludf.DUMMYFUNCTION("GOOGLETRANSLATE(B183, ""en"", ""zh"")"),"根据")</f>
        <v>根据</v>
      </c>
      <c r="K183" s="25" t="str">
        <f>IFERROR(__xludf.DUMMYFUNCTION("GOOGLETRANSLATE(B183, ""en"", ""vi"")"),"Cơ sở")</f>
        <v>Cơ sở</v>
      </c>
      <c r="L183" s="26" t="str">
        <f>IFERROR(__xludf.DUMMYFUNCTION("GOOGLETRANSLATE(B183, ""en"", ""hr"")"),"Baza")</f>
        <v>Baza</v>
      </c>
      <c r="M183" s="28"/>
      <c r="N183" s="28"/>
      <c r="O183" s="28"/>
      <c r="P183" s="28"/>
      <c r="Q183" s="28"/>
      <c r="R183" s="28"/>
      <c r="S183" s="28"/>
      <c r="T183" s="28"/>
      <c r="U183" s="28"/>
      <c r="V183" s="28"/>
      <c r="W183" s="28"/>
      <c r="X183" s="28"/>
      <c r="Y183" s="28"/>
      <c r="Z183" s="28"/>
      <c r="AA183" s="28"/>
      <c r="AB183" s="28"/>
    </row>
    <row r="184">
      <c r="A184" s="21" t="s">
        <v>347</v>
      </c>
      <c r="B184" s="22" t="s">
        <v>347</v>
      </c>
      <c r="C184" s="23" t="str">
        <f>IFERROR(__xludf.DUMMYFUNCTION("GOOGLETRANSLATE(B184, ""en"", ""fr"")"),"Enclume")</f>
        <v>Enclume</v>
      </c>
      <c r="D184" s="23" t="str">
        <f>IFERROR(__xludf.DUMMYFUNCTION("GOOGLETRANSLATE(B184, ""en"", ""es"")"),"Yunque")</f>
        <v>Yunque</v>
      </c>
      <c r="E184" s="23" t="str">
        <f>IFERROR(__xludf.DUMMYFUNCTION("GOOGLETRANSLATE(B184, ""en"", ""ru"")"),"Наковальня")</f>
        <v>Наковальня</v>
      </c>
      <c r="F184" s="23" t="str">
        <f>IFERROR(__xludf.DUMMYFUNCTION("GOOGLETRANSLATE(B184, ""en"", ""tr"")"),"Örs")</f>
        <v>Örs</v>
      </c>
      <c r="G184" s="23" t="str">
        <f>IFERROR(__xludf.DUMMYFUNCTION("GOOGLETRANSLATE(B184, ""en"", ""pt"")"),"Bigorna")</f>
        <v>Bigorna</v>
      </c>
      <c r="H184" s="24" t="str">
        <f>IFERROR(__xludf.DUMMYFUNCTION("GOOGLETRANSLATE(B184, ""en"", ""de"")"),"Amboss")</f>
        <v>Amboss</v>
      </c>
      <c r="I184" s="23" t="str">
        <f>IFERROR(__xludf.DUMMYFUNCTION("GOOGLETRANSLATE(B184, ""en"", ""pl"")"),"Kowadło")</f>
        <v>Kowadło</v>
      </c>
      <c r="J184" s="25" t="str">
        <f>IFERROR(__xludf.DUMMYFUNCTION("GOOGLETRANSLATE(B184, ""en"", ""zh"")"),"砧")</f>
        <v>砧</v>
      </c>
      <c r="K184" s="25" t="str">
        <f>IFERROR(__xludf.DUMMYFUNCTION("GOOGLETRANSLATE(B184, ""en"", ""vi"")"),"Anvil.")</f>
        <v>Anvil.</v>
      </c>
      <c r="L184" s="26" t="str">
        <f>IFERROR(__xludf.DUMMYFUNCTION("GOOGLETRANSLATE(B184, ""en"", ""hr"")"),"Nakovanj")</f>
        <v>Nakovanj</v>
      </c>
      <c r="M184" s="28"/>
      <c r="N184" s="28"/>
      <c r="O184" s="28"/>
      <c r="P184" s="28"/>
      <c r="Q184" s="28"/>
      <c r="R184" s="28"/>
      <c r="S184" s="28"/>
      <c r="T184" s="28"/>
      <c r="U184" s="28"/>
      <c r="V184" s="28"/>
      <c r="W184" s="28"/>
      <c r="X184" s="28"/>
      <c r="Y184" s="28"/>
      <c r="Z184" s="28"/>
      <c r="AA184" s="28"/>
      <c r="AB184" s="28"/>
    </row>
    <row r="185">
      <c r="A185" s="21" t="s">
        <v>348</v>
      </c>
      <c r="B185" s="22" t="s">
        <v>348</v>
      </c>
      <c r="C185" s="23" t="str">
        <f>IFERROR(__xludf.DUMMYFUNCTION("GOOGLETRANSLATE(B185, ""en"", ""fr"")"),"fourneau")</f>
        <v>fourneau</v>
      </c>
      <c r="D185" s="23" t="str">
        <f>IFERROR(__xludf.DUMMYFUNCTION("GOOGLETRANSLATE(B185, ""en"", ""es"")"),"Horno")</f>
        <v>Horno</v>
      </c>
      <c r="E185" s="23" t="str">
        <f>IFERROR(__xludf.DUMMYFUNCTION("GOOGLETRANSLATE(B185, ""en"", ""ru"")"),"Печь")</f>
        <v>Печь</v>
      </c>
      <c r="F185" s="23" t="str">
        <f>IFERROR(__xludf.DUMMYFUNCTION("GOOGLETRANSLATE(B185, ""en"", ""tr"")"),"Fırın")</f>
        <v>Fırın</v>
      </c>
      <c r="G185" s="23" t="str">
        <f>IFERROR(__xludf.DUMMYFUNCTION("GOOGLETRANSLATE(B185, ""en"", ""pt"")"),"Forno")</f>
        <v>Forno</v>
      </c>
      <c r="H185" s="24" t="str">
        <f>IFERROR(__xludf.DUMMYFUNCTION("GOOGLETRANSLATE(B185, ""en"", ""de"")"),"Ofen")</f>
        <v>Ofen</v>
      </c>
      <c r="I185" s="23" t="str">
        <f>IFERROR(__xludf.DUMMYFUNCTION("GOOGLETRANSLATE(B185, ""en"", ""pl"")"),"Piec")</f>
        <v>Piec</v>
      </c>
      <c r="J185" s="25" t="str">
        <f>IFERROR(__xludf.DUMMYFUNCTION("GOOGLETRANSLATE(B185, ""en"", ""zh"")"),"炉")</f>
        <v>炉</v>
      </c>
      <c r="K185" s="25" t="str">
        <f>IFERROR(__xludf.DUMMYFUNCTION("GOOGLETRANSLATE(B185, ""en"", ""vi"")"),"Lò lửa")</f>
        <v>Lò lửa</v>
      </c>
      <c r="L185" s="26" t="str">
        <f>IFERROR(__xludf.DUMMYFUNCTION("GOOGLETRANSLATE(B185, ""en"", ""hr"")"),"Peć")</f>
        <v>Peć</v>
      </c>
      <c r="M185" s="28"/>
      <c r="N185" s="28"/>
      <c r="O185" s="28"/>
      <c r="P185" s="28"/>
      <c r="Q185" s="28"/>
      <c r="R185" s="28"/>
      <c r="S185" s="28"/>
      <c r="T185" s="28"/>
      <c r="U185" s="28"/>
      <c r="V185" s="28"/>
      <c r="W185" s="28"/>
      <c r="X185" s="28"/>
      <c r="Y185" s="28"/>
      <c r="Z185" s="28"/>
      <c r="AA185" s="28"/>
      <c r="AB185" s="28"/>
    </row>
    <row r="186">
      <c r="A186" s="21" t="s">
        <v>349</v>
      </c>
      <c r="B186" s="22" t="s">
        <v>349</v>
      </c>
      <c r="C186" s="23" t="str">
        <f>IFERROR(__xludf.DUMMYFUNCTION("GOOGLETRANSLATE(B186, ""en"", ""fr"")"),"Laboratoire")</f>
        <v>Laboratoire</v>
      </c>
      <c r="D186" s="23" t="str">
        <f>IFERROR(__xludf.DUMMYFUNCTION("GOOGLETRANSLATE(B186, ""en"", ""es"")"),"Laboratorio")</f>
        <v>Laboratorio</v>
      </c>
      <c r="E186" s="23" t="str">
        <f>IFERROR(__xludf.DUMMYFUNCTION("GOOGLETRANSLATE(B186, ""en"", ""ru"")"),"Лаборатория")</f>
        <v>Лаборатория</v>
      </c>
      <c r="F186" s="23" t="str">
        <f>IFERROR(__xludf.DUMMYFUNCTION("GOOGLETRANSLATE(B186, ""en"", ""tr"")"),"Laboratuvar")</f>
        <v>Laboratuvar</v>
      </c>
      <c r="G186" s="23" t="str">
        <f>IFERROR(__xludf.DUMMYFUNCTION("GOOGLETRANSLATE(B186, ""en"", ""pt"")"),"Laboratório")</f>
        <v>Laboratório</v>
      </c>
      <c r="H186" s="24" t="str">
        <f>IFERROR(__xludf.DUMMYFUNCTION("GOOGLETRANSLATE(B186, ""en"", ""de"")"),"Labor")</f>
        <v>Labor</v>
      </c>
      <c r="I186" s="23" t="str">
        <f>IFERROR(__xludf.DUMMYFUNCTION("GOOGLETRANSLATE(B186, ""en"", ""pl"")"),"Laboratorium")</f>
        <v>Laboratorium</v>
      </c>
      <c r="J186" s="25" t="str">
        <f>IFERROR(__xludf.DUMMYFUNCTION("GOOGLETRANSLATE(B186, ""en"", ""zh"")"),"实验室")</f>
        <v>实验室</v>
      </c>
      <c r="K186" s="25" t="str">
        <f>IFERROR(__xludf.DUMMYFUNCTION("GOOGLETRANSLATE(B186, ""en"", ""vi"")"),"Phòng thí nghiệm")</f>
        <v>Phòng thí nghiệm</v>
      </c>
      <c r="L186" s="26" t="str">
        <f>IFERROR(__xludf.DUMMYFUNCTION("GOOGLETRANSLATE(B186, ""en"", ""hr"")"),"Laboratorija")</f>
        <v>Laboratorija</v>
      </c>
      <c r="M186" s="28"/>
      <c r="N186" s="28"/>
      <c r="O186" s="28"/>
      <c r="P186" s="28"/>
      <c r="Q186" s="28"/>
      <c r="R186" s="28"/>
      <c r="S186" s="28"/>
      <c r="T186" s="28"/>
      <c r="U186" s="28"/>
      <c r="V186" s="28"/>
      <c r="W186" s="28"/>
      <c r="X186" s="28"/>
      <c r="Y186" s="28"/>
      <c r="Z186" s="28"/>
      <c r="AA186" s="28"/>
      <c r="AB186" s="28"/>
    </row>
    <row r="187">
      <c r="A187" s="21" t="s">
        <v>350</v>
      </c>
      <c r="B187" s="22" t="s">
        <v>350</v>
      </c>
      <c r="C187" s="23" t="str">
        <f>IFERROR(__xludf.DUMMYFUNCTION("GOOGLETRANSLATE(B187, ""en"", ""fr"")"),"Table de travail")</f>
        <v>Table de travail</v>
      </c>
      <c r="D187" s="23" t="str">
        <f>IFERROR(__xludf.DUMMYFUNCTION("GOOGLETRANSLATE(B187, ""en"", ""es"")"),"Banco de trabajo")</f>
        <v>Banco de trabajo</v>
      </c>
      <c r="E187" s="23" t="str">
        <f>IFERROR(__xludf.DUMMYFUNCTION("GOOGLETRANSLATE(B187, ""en"", ""ru"")"),"Workbench.")</f>
        <v>Workbench.</v>
      </c>
      <c r="F187" s="23" t="str">
        <f>IFERROR(__xludf.DUMMYFUNCTION("GOOGLETRANSLATE(B187, ""en"", ""tr"")"),"Tezgâh")</f>
        <v>Tezgâh</v>
      </c>
      <c r="G187" s="23" t="str">
        <f>IFERROR(__xludf.DUMMYFUNCTION("GOOGLETRANSLATE(B187, ""en"", ""pt"")"),"Workbench")</f>
        <v>Workbench</v>
      </c>
      <c r="H187" s="24" t="str">
        <f>IFERROR(__xludf.DUMMYFUNCTION("GOOGLETRANSLATE(B187, ""en"", ""de"")"),"Werkbank")</f>
        <v>Werkbank</v>
      </c>
      <c r="I187" s="23" t="str">
        <f>IFERROR(__xludf.DUMMYFUNCTION("GOOGLETRANSLATE(B187, ""en"", ""pl"")"),"stoł warsztatowy")</f>
        <v>stoł warsztatowy</v>
      </c>
      <c r="J187" s="25" t="str">
        <f>IFERROR(__xludf.DUMMYFUNCTION("GOOGLETRANSLATE(B187, ""en"", ""zh"")"),"工作台")</f>
        <v>工作台</v>
      </c>
      <c r="K187" s="25" t="str">
        <f>IFERROR(__xludf.DUMMYFUNCTION("GOOGLETRANSLATE(B187, ""en"", ""vi"")"),"Workbench.")</f>
        <v>Workbench.</v>
      </c>
      <c r="L187" s="26" t="str">
        <f>IFERROR(__xludf.DUMMYFUNCTION("GOOGLETRANSLATE(B187, ""en"", ""hr"")"),"Radni stol")</f>
        <v>Radni stol</v>
      </c>
      <c r="M187" s="28"/>
      <c r="N187" s="28"/>
      <c r="O187" s="28"/>
      <c r="P187" s="28"/>
      <c r="Q187" s="28"/>
      <c r="R187" s="28"/>
      <c r="S187" s="28"/>
      <c r="T187" s="28"/>
      <c r="U187" s="28"/>
      <c r="V187" s="28"/>
      <c r="W187" s="28"/>
      <c r="X187" s="28"/>
      <c r="Y187" s="28"/>
      <c r="Z187" s="28"/>
      <c r="AA187" s="28"/>
      <c r="AB187" s="28"/>
    </row>
    <row r="188">
      <c r="A188" s="21" t="s">
        <v>351</v>
      </c>
      <c r="B188" s="22" t="s">
        <v>352</v>
      </c>
      <c r="C188" s="23" t="str">
        <f>IFERROR(__xludf.DUMMYFUNCTION("GOOGLETRANSLATE(B188, ""en"", ""fr"")"),"Votre inventaire est plein.")</f>
        <v>Votre inventaire est plein.</v>
      </c>
      <c r="D188" s="23" t="str">
        <f>IFERROR(__xludf.DUMMYFUNCTION("GOOGLETRANSLATE(B188, ""en"", ""es"")"),"Tu inventario está lleno.")</f>
        <v>Tu inventario está lleno.</v>
      </c>
      <c r="E188" s="23" t="str">
        <f>IFERROR(__xludf.DUMMYFUNCTION("GOOGLETRANSLATE(B188, ""en"", ""ru"")"),"Ваш инвентарь заполнен.")</f>
        <v>Ваш инвентарь заполнен.</v>
      </c>
      <c r="F188" s="23" t="str">
        <f>IFERROR(__xludf.DUMMYFUNCTION("GOOGLETRANSLATE(B188, ""en"", ""tr"")"),"Envanterin dolu.")</f>
        <v>Envanterin dolu.</v>
      </c>
      <c r="G188" s="23" t="str">
        <f>IFERROR(__xludf.DUMMYFUNCTION("GOOGLETRANSLATE(B188, ""en"", ""pt"")"),"Seu inventário está cheio.")</f>
        <v>Seu inventário está cheio.</v>
      </c>
      <c r="H188" s="24" t="str">
        <f>IFERROR(__xludf.DUMMYFUNCTION("GOOGLETRANSLATE(B188, ""en"", ""de"")"),"Dein Inventar ist voll.")</f>
        <v>Dein Inventar ist voll.</v>
      </c>
      <c r="I188" s="23" t="str">
        <f>IFERROR(__xludf.DUMMYFUNCTION("GOOGLETRANSLATE(B188, ""en"", ""pl"")"),"Twój inwentaryzacja jest pełna.")</f>
        <v>Twój inwentaryzacja jest pełna.</v>
      </c>
      <c r="J188" s="25" t="str">
        <f>IFERROR(__xludf.DUMMYFUNCTION("GOOGLETRANSLATE(B188, ""en"", ""zh"")"),"您的库存已满。")</f>
        <v>您的库存已满。</v>
      </c>
      <c r="K188" s="25" t="str">
        <f>IFERROR(__xludf.DUMMYFUNCTION("GOOGLETRANSLATE(B188, ""en"", ""vi"")"),"Hàng tồn kho của bạn đã đầy.")</f>
        <v>Hàng tồn kho của bạn đã đầy.</v>
      </c>
      <c r="L188" s="26" t="str">
        <f>IFERROR(__xludf.DUMMYFUNCTION("GOOGLETRANSLATE(B188, ""en"", ""hr"")"),"Vaš inventar je pun.")</f>
        <v>Vaš inventar je pun.</v>
      </c>
      <c r="M188" s="28"/>
      <c r="N188" s="28"/>
      <c r="O188" s="28"/>
      <c r="P188" s="28"/>
      <c r="Q188" s="28"/>
      <c r="R188" s="28"/>
      <c r="S188" s="28"/>
      <c r="T188" s="28"/>
      <c r="U188" s="28"/>
      <c r="V188" s="28"/>
      <c r="W188" s="28"/>
      <c r="X188" s="28"/>
      <c r="Y188" s="28"/>
      <c r="Z188" s="28"/>
      <c r="AA188" s="28"/>
      <c r="AB188" s="28"/>
    </row>
    <row r="189">
      <c r="A189" s="21" t="s">
        <v>353</v>
      </c>
      <c r="B189" s="22" t="s">
        <v>354</v>
      </c>
      <c r="C189" s="23" t="str">
        <f>IFERROR(__xludf.DUMMYFUNCTION("GOOGLETRANSLATE(B189, ""en"", ""fr"")"),"Vous ne pouvez pas laisser tomber cet article ici.
Il y a quelque chose dans le chemin.")</f>
        <v>Vous ne pouvez pas laisser tomber cet article ici.
Il y a quelque chose dans le chemin.</v>
      </c>
      <c r="D189" s="23" t="str">
        <f>IFERROR(__xludf.DUMMYFUNCTION("GOOGLETRANSLATE(B189, ""en"", ""es"")"),"No puedes dejar caer ese artículo aquí.
Hay algo en el camino.")</f>
        <v>No puedes dejar caer ese artículo aquí.
Hay algo en el camino.</v>
      </c>
      <c r="E189" s="23" t="str">
        <f>IFERROR(__xludf.DUMMYFUNCTION("GOOGLETRANSLATE(B189, ""en"", ""ru"")"),"Вы не можете бросить этот предмет здесь.
Есть что-то в пути.")</f>
        <v>Вы не можете бросить этот предмет здесь.
Есть что-то в пути.</v>
      </c>
      <c r="F189" s="23" t="str">
        <f>IFERROR(__xludf.DUMMYFUNCTION("GOOGLETRANSLATE(B189, ""en"", ""tr"")"),"Bu öğeyi buraya bırakamazsın.
Yolda bir şey var.")</f>
        <v>Bu öğeyi buraya bırakamazsın.
Yolda bir şey var.</v>
      </c>
      <c r="G189" s="23" t="str">
        <f>IFERROR(__xludf.DUMMYFUNCTION("GOOGLETRANSLATE(B189, ""en"", ""pt"")"),"Você não pode deixar cair esse item aqui.
Há algo no caminho.")</f>
        <v>Você não pode deixar cair esse item aqui.
Há algo no caminho.</v>
      </c>
      <c r="H189" s="24" t="str">
        <f>IFERROR(__xludf.DUMMYFUNCTION("GOOGLETRANSLATE(B189, ""en"", ""de"")"),"Sie können diesen Artikel nicht hier fallen lassen.
Es gibt etwas im Weg.")</f>
        <v>Sie können diesen Artikel nicht hier fallen lassen.
Es gibt etwas im Weg.</v>
      </c>
      <c r="I189" s="23" t="str">
        <f>IFERROR(__xludf.DUMMYFUNCTION("GOOGLETRANSLATE(B189, ""en"", ""pl"")"),"Nie możesz tu upuścić tego przedmiotu.
Jest coś na drodze.")</f>
        <v>Nie możesz tu upuścić tego przedmiotu.
Jest coś na drodze.</v>
      </c>
      <c r="J189" s="25" t="str">
        <f>IFERROR(__xludf.DUMMYFUNCTION("GOOGLETRANSLATE(B189, ""en"", ""zh"")"),"你不能把那个物品放在这里。
途中有一些东西。")</f>
        <v>你不能把那个物品放在这里。
途中有一些东西。</v>
      </c>
      <c r="K189" s="25" t="str">
        <f>IFERROR(__xludf.DUMMYFUNCTION("GOOGLETRANSLATE(B189, ""en"", ""vi"")"),"Bạn không thể bỏ mục đó ở đây.
Có một cái gì đó trên đường.")</f>
        <v>Bạn không thể bỏ mục đó ở đây.
Có một cái gì đó trên đường.</v>
      </c>
      <c r="L189" s="26" t="str">
        <f>IFERROR(__xludf.DUMMYFUNCTION("GOOGLETRANSLATE(B189, ""en"", ""hr"")"),"Ne možete ispustiti tu stavku ovdje.
Postoji nešto na putu.")</f>
        <v>Ne možete ispustiti tu stavku ovdje.
Postoji nešto na putu.</v>
      </c>
      <c r="M189" s="28"/>
      <c r="N189" s="28"/>
      <c r="O189" s="28"/>
      <c r="P189" s="28"/>
      <c r="Q189" s="28"/>
      <c r="R189" s="28"/>
      <c r="S189" s="28"/>
      <c r="T189" s="28"/>
      <c r="U189" s="28"/>
      <c r="V189" s="28"/>
      <c r="W189" s="28"/>
      <c r="X189" s="28"/>
      <c r="Y189" s="28"/>
      <c r="Z189" s="28"/>
      <c r="AA189" s="28"/>
      <c r="AB189" s="28"/>
    </row>
    <row r="190">
      <c r="A190" s="21"/>
      <c r="B190" s="22"/>
      <c r="C190" s="23"/>
      <c r="D190" s="23"/>
      <c r="E190" s="30"/>
      <c r="F190" s="23"/>
      <c r="G190" s="30"/>
      <c r="H190" s="31"/>
      <c r="I190" s="30"/>
      <c r="J190" s="32"/>
      <c r="K190" s="32"/>
      <c r="L190" s="33"/>
      <c r="M190" s="28"/>
      <c r="N190" s="28"/>
      <c r="O190" s="28"/>
      <c r="P190" s="28"/>
      <c r="Q190" s="28"/>
      <c r="R190" s="28"/>
      <c r="S190" s="28"/>
      <c r="T190" s="28"/>
      <c r="U190" s="28"/>
      <c r="V190" s="28"/>
      <c r="W190" s="28"/>
      <c r="X190" s="28"/>
      <c r="Y190" s="28"/>
      <c r="Z190" s="28"/>
      <c r="AA190" s="28"/>
      <c r="AB190" s="28"/>
    </row>
    <row r="191">
      <c r="A191" s="34"/>
      <c r="B191" s="35"/>
      <c r="C191" s="30"/>
      <c r="D191" s="30"/>
      <c r="E191" s="30"/>
      <c r="F191" s="30"/>
      <c r="G191" s="30"/>
      <c r="H191" s="31"/>
      <c r="I191" s="30"/>
      <c r="J191" s="32"/>
      <c r="K191" s="32"/>
      <c r="L191" s="33"/>
      <c r="M191" s="28"/>
      <c r="N191" s="28"/>
      <c r="O191" s="28"/>
      <c r="P191" s="28"/>
      <c r="Q191" s="28"/>
      <c r="R191" s="28"/>
      <c r="S191" s="28"/>
      <c r="T191" s="28"/>
      <c r="U191" s="28"/>
      <c r="V191" s="28"/>
      <c r="W191" s="28"/>
      <c r="X191" s="28"/>
      <c r="Y191" s="28"/>
      <c r="Z191" s="28"/>
      <c r="AA191" s="28"/>
      <c r="AB191" s="28"/>
    </row>
    <row r="192">
      <c r="A192" s="34"/>
      <c r="B192" s="35"/>
      <c r="C192" s="30"/>
      <c r="D192" s="30"/>
      <c r="E192" s="30"/>
      <c r="F192" s="30"/>
      <c r="G192" s="30"/>
      <c r="H192" s="31"/>
      <c r="I192" s="30"/>
      <c r="J192" s="32"/>
      <c r="K192" s="32"/>
      <c r="L192" s="33"/>
      <c r="M192" s="28"/>
      <c r="N192" s="28"/>
      <c r="O192" s="28"/>
      <c r="P192" s="28"/>
      <c r="Q192" s="28"/>
      <c r="R192" s="28"/>
      <c r="S192" s="28"/>
      <c r="T192" s="28"/>
      <c r="U192" s="28"/>
      <c r="V192" s="28"/>
      <c r="W192" s="28"/>
      <c r="X192" s="28"/>
      <c r="Y192" s="28"/>
      <c r="Z192" s="28"/>
      <c r="AA192" s="28"/>
      <c r="AB192" s="28"/>
    </row>
    <row r="193">
      <c r="A193" s="34"/>
      <c r="B193" s="35"/>
      <c r="C193" s="30"/>
      <c r="D193" s="30"/>
      <c r="E193" s="30"/>
      <c r="F193" s="30"/>
      <c r="G193" s="30"/>
      <c r="H193" s="31"/>
      <c r="I193" s="30"/>
      <c r="J193" s="32"/>
      <c r="K193" s="32"/>
      <c r="L193" s="33"/>
      <c r="M193" s="28"/>
      <c r="N193" s="28"/>
      <c r="O193" s="28"/>
      <c r="P193" s="28"/>
      <c r="Q193" s="28"/>
      <c r="R193" s="28"/>
      <c r="S193" s="28"/>
      <c r="T193" s="28"/>
      <c r="U193" s="28"/>
      <c r="V193" s="28"/>
      <c r="W193" s="28"/>
      <c r="X193" s="28"/>
      <c r="Y193" s="28"/>
      <c r="Z193" s="28"/>
      <c r="AA193" s="28"/>
      <c r="AB193" s="28"/>
    </row>
    <row r="194">
      <c r="A194" s="34"/>
      <c r="B194" s="35"/>
      <c r="C194" s="30"/>
      <c r="D194" s="30"/>
      <c r="E194" s="30"/>
      <c r="F194" s="30"/>
      <c r="G194" s="30"/>
      <c r="H194" s="31"/>
      <c r="I194" s="30"/>
      <c r="J194" s="32"/>
      <c r="K194" s="32"/>
      <c r="L194" s="33"/>
      <c r="M194" s="28"/>
      <c r="N194" s="28"/>
      <c r="O194" s="28"/>
      <c r="P194" s="28"/>
      <c r="Q194" s="28"/>
      <c r="R194" s="28"/>
      <c r="S194" s="28"/>
      <c r="T194" s="28"/>
      <c r="U194" s="28"/>
      <c r="V194" s="28"/>
      <c r="W194" s="28"/>
      <c r="X194" s="28"/>
      <c r="Y194" s="28"/>
      <c r="Z194" s="28"/>
      <c r="AA194" s="28"/>
      <c r="AB194" s="28"/>
    </row>
    <row r="195">
      <c r="A195" s="34"/>
      <c r="B195" s="35"/>
      <c r="C195" s="30"/>
      <c r="D195" s="30"/>
      <c r="E195" s="30"/>
      <c r="F195" s="30"/>
      <c r="G195" s="30"/>
      <c r="H195" s="31"/>
      <c r="I195" s="30"/>
      <c r="J195" s="32"/>
      <c r="K195" s="32"/>
      <c r="L195" s="33"/>
      <c r="M195" s="28"/>
      <c r="N195" s="28"/>
      <c r="O195" s="28"/>
      <c r="P195" s="28"/>
      <c r="Q195" s="28"/>
      <c r="R195" s="28"/>
      <c r="S195" s="28"/>
      <c r="T195" s="28"/>
      <c r="U195" s="28"/>
      <c r="V195" s="28"/>
      <c r="W195" s="28"/>
      <c r="X195" s="28"/>
      <c r="Y195" s="28"/>
      <c r="Z195" s="28"/>
      <c r="AA195" s="28"/>
      <c r="AB195" s="28"/>
    </row>
    <row r="196">
      <c r="A196" s="34"/>
      <c r="B196" s="35"/>
      <c r="C196" s="30"/>
      <c r="D196" s="30"/>
      <c r="E196" s="30"/>
      <c r="F196" s="30"/>
      <c r="G196" s="30"/>
      <c r="H196" s="31"/>
      <c r="I196" s="30"/>
      <c r="J196" s="32"/>
      <c r="K196" s="32"/>
      <c r="L196" s="33"/>
      <c r="M196" s="28"/>
      <c r="N196" s="28"/>
      <c r="O196" s="28"/>
      <c r="P196" s="28"/>
      <c r="Q196" s="28"/>
      <c r="R196" s="28"/>
      <c r="S196" s="28"/>
      <c r="T196" s="28"/>
      <c r="U196" s="28"/>
      <c r="V196" s="28"/>
      <c r="W196" s="28"/>
      <c r="X196" s="28"/>
      <c r="Y196" s="28"/>
      <c r="Z196" s="28"/>
      <c r="AA196" s="28"/>
      <c r="AB196" s="28"/>
    </row>
    <row r="197">
      <c r="A197" s="34"/>
      <c r="B197" s="35"/>
      <c r="C197" s="30"/>
      <c r="D197" s="30"/>
      <c r="E197" s="30"/>
      <c r="F197" s="30"/>
      <c r="G197" s="30"/>
      <c r="H197" s="31"/>
      <c r="I197" s="30"/>
      <c r="J197" s="32"/>
      <c r="K197" s="32"/>
      <c r="L197" s="33"/>
      <c r="M197" s="28"/>
      <c r="N197" s="28"/>
      <c r="O197" s="28"/>
      <c r="P197" s="28"/>
      <c r="Q197" s="28"/>
      <c r="R197" s="28"/>
      <c r="S197" s="28"/>
      <c r="T197" s="28"/>
      <c r="U197" s="28"/>
      <c r="V197" s="28"/>
      <c r="W197" s="28"/>
      <c r="X197" s="28"/>
      <c r="Y197" s="28"/>
      <c r="Z197" s="28"/>
      <c r="AA197" s="28"/>
      <c r="AB197" s="28"/>
    </row>
    <row r="198">
      <c r="A198" s="34"/>
      <c r="B198" s="35"/>
      <c r="C198" s="30"/>
      <c r="D198" s="30"/>
      <c r="E198" s="30"/>
      <c r="F198" s="30"/>
      <c r="G198" s="30"/>
      <c r="H198" s="31"/>
      <c r="I198" s="30"/>
      <c r="J198" s="32"/>
      <c r="K198" s="32"/>
      <c r="L198" s="33"/>
      <c r="M198" s="28"/>
      <c r="N198" s="28"/>
      <c r="O198" s="28"/>
      <c r="P198" s="28"/>
      <c r="Q198" s="28"/>
      <c r="R198" s="28"/>
      <c r="S198" s="28"/>
      <c r="T198" s="28"/>
      <c r="U198" s="28"/>
      <c r="V198" s="28"/>
      <c r="W198" s="28"/>
      <c r="X198" s="28"/>
      <c r="Y198" s="28"/>
      <c r="Z198" s="28"/>
      <c r="AA198" s="28"/>
      <c r="AB198" s="28"/>
    </row>
    <row r="199">
      <c r="A199" s="34"/>
      <c r="B199" s="35"/>
      <c r="C199" s="30"/>
      <c r="D199" s="30"/>
      <c r="E199" s="30"/>
      <c r="F199" s="30"/>
      <c r="G199" s="30"/>
      <c r="H199" s="31"/>
      <c r="I199" s="30"/>
      <c r="J199" s="32"/>
      <c r="K199" s="32"/>
      <c r="L199" s="33"/>
      <c r="M199" s="28"/>
      <c r="N199" s="28"/>
      <c r="O199" s="28"/>
      <c r="P199" s="28"/>
      <c r="Q199" s="28"/>
      <c r="R199" s="28"/>
      <c r="S199" s="28"/>
      <c r="T199" s="28"/>
      <c r="U199" s="28"/>
      <c r="V199" s="28"/>
      <c r="W199" s="28"/>
      <c r="X199" s="28"/>
      <c r="Y199" s="28"/>
      <c r="Z199" s="28"/>
      <c r="AA199" s="28"/>
      <c r="AB199" s="28"/>
    </row>
    <row r="200">
      <c r="A200" s="34"/>
      <c r="B200" s="35"/>
      <c r="C200" s="30"/>
      <c r="D200" s="30"/>
      <c r="E200" s="30"/>
      <c r="F200" s="30"/>
      <c r="G200" s="30"/>
      <c r="H200" s="31"/>
      <c r="I200" s="30"/>
      <c r="J200" s="32"/>
      <c r="K200" s="32"/>
      <c r="L200" s="33"/>
      <c r="M200" s="28"/>
      <c r="N200" s="28"/>
      <c r="O200" s="28"/>
      <c r="P200" s="28"/>
      <c r="Q200" s="28"/>
      <c r="R200" s="28"/>
      <c r="S200" s="28"/>
      <c r="T200" s="28"/>
      <c r="U200" s="28"/>
      <c r="V200" s="28"/>
      <c r="W200" s="28"/>
      <c r="X200" s="28"/>
      <c r="Y200" s="28"/>
      <c r="Z200" s="28"/>
      <c r="AA200" s="28"/>
      <c r="AB200" s="28"/>
    </row>
    <row r="201">
      <c r="A201" s="34"/>
      <c r="B201" s="35"/>
      <c r="C201" s="30"/>
      <c r="D201" s="30"/>
      <c r="E201" s="30"/>
      <c r="F201" s="30"/>
      <c r="G201" s="30"/>
      <c r="H201" s="31"/>
      <c r="I201" s="30"/>
      <c r="J201" s="32"/>
      <c r="K201" s="32"/>
      <c r="L201" s="33"/>
      <c r="M201" s="28"/>
      <c r="N201" s="28"/>
      <c r="O201" s="28"/>
      <c r="P201" s="28"/>
      <c r="Q201" s="28"/>
      <c r="R201" s="28"/>
      <c r="S201" s="28"/>
      <c r="T201" s="28"/>
      <c r="U201" s="28"/>
      <c r="V201" s="28"/>
      <c r="W201" s="28"/>
      <c r="X201" s="28"/>
      <c r="Y201" s="28"/>
      <c r="Z201" s="28"/>
      <c r="AA201" s="28"/>
      <c r="AB201" s="28"/>
    </row>
    <row r="202">
      <c r="A202" s="34"/>
      <c r="B202" s="35"/>
      <c r="C202" s="30"/>
      <c r="D202" s="30"/>
      <c r="E202" s="30"/>
      <c r="F202" s="30"/>
      <c r="G202" s="30"/>
      <c r="H202" s="31"/>
      <c r="I202" s="30"/>
      <c r="J202" s="32"/>
      <c r="K202" s="32"/>
      <c r="L202" s="33"/>
      <c r="M202" s="28"/>
      <c r="N202" s="28"/>
      <c r="O202" s="28"/>
      <c r="P202" s="28"/>
      <c r="Q202" s="28"/>
      <c r="R202" s="28"/>
      <c r="S202" s="28"/>
      <c r="T202" s="28"/>
      <c r="U202" s="28"/>
      <c r="V202" s="28"/>
      <c r="W202" s="28"/>
      <c r="X202" s="28"/>
      <c r="Y202" s="28"/>
      <c r="Z202" s="28"/>
      <c r="AA202" s="28"/>
      <c r="AB202" s="28"/>
    </row>
    <row r="203">
      <c r="A203" s="34"/>
      <c r="B203" s="35"/>
      <c r="C203" s="30"/>
      <c r="D203" s="30"/>
      <c r="E203" s="30"/>
      <c r="F203" s="30"/>
      <c r="G203" s="30"/>
      <c r="H203" s="31"/>
      <c r="I203" s="30"/>
      <c r="J203" s="32"/>
      <c r="K203" s="32"/>
      <c r="L203" s="33"/>
      <c r="M203" s="28"/>
      <c r="N203" s="28"/>
      <c r="O203" s="28"/>
      <c r="P203" s="28"/>
      <c r="Q203" s="28"/>
      <c r="R203" s="28"/>
      <c r="S203" s="28"/>
      <c r="T203" s="28"/>
      <c r="U203" s="28"/>
      <c r="V203" s="28"/>
      <c r="W203" s="28"/>
      <c r="X203" s="28"/>
      <c r="Y203" s="28"/>
      <c r="Z203" s="28"/>
      <c r="AA203" s="28"/>
      <c r="AB203" s="28"/>
    </row>
    <row r="204">
      <c r="A204" s="34"/>
      <c r="B204" s="35"/>
      <c r="C204" s="30"/>
      <c r="D204" s="30"/>
      <c r="E204" s="30"/>
      <c r="F204" s="30"/>
      <c r="G204" s="30"/>
      <c r="H204" s="31"/>
      <c r="I204" s="30"/>
      <c r="J204" s="32"/>
      <c r="K204" s="32"/>
      <c r="L204" s="33"/>
      <c r="M204" s="28"/>
      <c r="N204" s="28"/>
      <c r="O204" s="28"/>
      <c r="P204" s="28"/>
      <c r="Q204" s="28"/>
      <c r="R204" s="28"/>
      <c r="S204" s="28"/>
      <c r="T204" s="28"/>
      <c r="U204" s="28"/>
      <c r="V204" s="28"/>
      <c r="W204" s="28"/>
      <c r="X204" s="28"/>
      <c r="Y204" s="28"/>
      <c r="Z204" s="28"/>
      <c r="AA204" s="28"/>
      <c r="AB204" s="28"/>
    </row>
    <row r="205">
      <c r="A205" s="34"/>
      <c r="B205" s="35"/>
      <c r="C205" s="30"/>
      <c r="D205" s="30"/>
      <c r="E205" s="30"/>
      <c r="F205" s="30"/>
      <c r="G205" s="30"/>
      <c r="H205" s="31"/>
      <c r="I205" s="30"/>
      <c r="J205" s="32"/>
      <c r="K205" s="32"/>
      <c r="L205" s="33"/>
      <c r="M205" s="28"/>
      <c r="N205" s="28"/>
      <c r="O205" s="28"/>
      <c r="P205" s="28"/>
      <c r="Q205" s="28"/>
      <c r="R205" s="28"/>
      <c r="S205" s="28"/>
      <c r="T205" s="28"/>
      <c r="U205" s="28"/>
      <c r="V205" s="28"/>
      <c r="W205" s="28"/>
      <c r="X205" s="28"/>
      <c r="Y205" s="28"/>
      <c r="Z205" s="28"/>
      <c r="AA205" s="28"/>
      <c r="AB205" s="28"/>
    </row>
    <row r="206">
      <c r="A206" s="34"/>
      <c r="B206" s="35"/>
      <c r="C206" s="30"/>
      <c r="D206" s="30"/>
      <c r="E206" s="30"/>
      <c r="F206" s="30"/>
      <c r="G206" s="30"/>
      <c r="H206" s="31"/>
      <c r="I206" s="30"/>
      <c r="J206" s="32"/>
      <c r="K206" s="32"/>
      <c r="L206" s="33"/>
      <c r="M206" s="28"/>
      <c r="N206" s="28"/>
      <c r="O206" s="28"/>
      <c r="P206" s="28"/>
      <c r="Q206" s="28"/>
      <c r="R206" s="28"/>
      <c r="S206" s="28"/>
      <c r="T206" s="28"/>
      <c r="U206" s="28"/>
      <c r="V206" s="28"/>
      <c r="W206" s="28"/>
      <c r="X206" s="28"/>
      <c r="Y206" s="28"/>
      <c r="Z206" s="28"/>
      <c r="AA206" s="28"/>
      <c r="AB206" s="28"/>
    </row>
    <row r="207">
      <c r="A207" s="34"/>
      <c r="B207" s="35"/>
      <c r="C207" s="30"/>
      <c r="D207" s="30"/>
      <c r="E207" s="30"/>
      <c r="F207" s="30"/>
      <c r="G207" s="30"/>
      <c r="H207" s="31"/>
      <c r="I207" s="30"/>
      <c r="J207" s="32"/>
      <c r="K207" s="32"/>
      <c r="L207" s="33"/>
      <c r="M207" s="28"/>
      <c r="N207" s="28"/>
      <c r="O207" s="28"/>
      <c r="P207" s="28"/>
      <c r="Q207" s="28"/>
      <c r="R207" s="28"/>
      <c r="S207" s="28"/>
      <c r="T207" s="28"/>
      <c r="U207" s="28"/>
      <c r="V207" s="28"/>
      <c r="W207" s="28"/>
      <c r="X207" s="28"/>
      <c r="Y207" s="28"/>
      <c r="Z207" s="28"/>
      <c r="AA207" s="28"/>
      <c r="AB207" s="28"/>
    </row>
    <row r="208">
      <c r="A208" s="34"/>
      <c r="B208" s="35"/>
      <c r="C208" s="30"/>
      <c r="D208" s="30"/>
      <c r="E208" s="30"/>
      <c r="F208" s="30"/>
      <c r="G208" s="30"/>
      <c r="H208" s="31"/>
      <c r="I208" s="30"/>
      <c r="J208" s="32"/>
      <c r="K208" s="32"/>
      <c r="L208" s="33"/>
      <c r="M208" s="28"/>
      <c r="N208" s="28"/>
      <c r="O208" s="28"/>
      <c r="P208" s="28"/>
      <c r="Q208" s="28"/>
      <c r="R208" s="28"/>
      <c r="S208" s="28"/>
      <c r="T208" s="28"/>
      <c r="U208" s="28"/>
      <c r="V208" s="28"/>
      <c r="W208" s="28"/>
      <c r="X208" s="28"/>
      <c r="Y208" s="28"/>
      <c r="Z208" s="28"/>
      <c r="AA208" s="28"/>
      <c r="AB208" s="28"/>
    </row>
    <row r="209">
      <c r="A209" s="34"/>
      <c r="B209" s="35"/>
      <c r="C209" s="30"/>
      <c r="D209" s="30"/>
      <c r="E209" s="30"/>
      <c r="F209" s="30"/>
      <c r="G209" s="30"/>
      <c r="H209" s="31"/>
      <c r="I209" s="30"/>
      <c r="J209" s="32"/>
      <c r="K209" s="32"/>
      <c r="L209" s="33"/>
      <c r="M209" s="28"/>
      <c r="N209" s="28"/>
      <c r="O209" s="28"/>
      <c r="P209" s="28"/>
      <c r="Q209" s="28"/>
      <c r="R209" s="28"/>
      <c r="S209" s="28"/>
      <c r="T209" s="28"/>
      <c r="U209" s="28"/>
      <c r="V209" s="28"/>
      <c r="W209" s="28"/>
      <c r="X209" s="28"/>
      <c r="Y209" s="28"/>
      <c r="Z209" s="28"/>
      <c r="AA209" s="28"/>
      <c r="AB209" s="28"/>
    </row>
    <row r="210">
      <c r="A210" s="34"/>
      <c r="B210" s="35"/>
      <c r="C210" s="30"/>
      <c r="D210" s="30"/>
      <c r="E210" s="30"/>
      <c r="F210" s="30"/>
      <c r="G210" s="30"/>
      <c r="H210" s="31"/>
      <c r="I210" s="30"/>
      <c r="J210" s="32"/>
      <c r="K210" s="32"/>
      <c r="L210" s="33"/>
      <c r="M210" s="28"/>
      <c r="N210" s="28"/>
      <c r="O210" s="28"/>
      <c r="P210" s="28"/>
      <c r="Q210" s="28"/>
      <c r="R210" s="28"/>
      <c r="S210" s="28"/>
      <c r="T210" s="28"/>
      <c r="U210" s="28"/>
      <c r="V210" s="28"/>
      <c r="W210" s="28"/>
      <c r="X210" s="28"/>
      <c r="Y210" s="28"/>
      <c r="Z210" s="28"/>
      <c r="AA210" s="28"/>
      <c r="AB210" s="28"/>
    </row>
    <row r="211">
      <c r="A211" s="34"/>
      <c r="B211" s="35"/>
      <c r="C211" s="30"/>
      <c r="D211" s="30"/>
      <c r="E211" s="30"/>
      <c r="F211" s="30"/>
      <c r="G211" s="30"/>
      <c r="H211" s="31"/>
      <c r="I211" s="30"/>
      <c r="J211" s="32"/>
      <c r="K211" s="32"/>
      <c r="L211" s="33"/>
      <c r="M211" s="28"/>
      <c r="N211" s="28"/>
      <c r="O211" s="28"/>
      <c r="P211" s="28"/>
      <c r="Q211" s="28"/>
      <c r="R211" s="28"/>
      <c r="S211" s="28"/>
      <c r="T211" s="28"/>
      <c r="U211" s="28"/>
      <c r="V211" s="28"/>
      <c r="W211" s="28"/>
      <c r="X211" s="28"/>
      <c r="Y211" s="28"/>
      <c r="Z211" s="28"/>
      <c r="AA211" s="28"/>
      <c r="AB211" s="28"/>
    </row>
    <row r="212">
      <c r="A212" s="34"/>
      <c r="B212" s="35"/>
      <c r="C212" s="30"/>
      <c r="D212" s="30"/>
      <c r="E212" s="30"/>
      <c r="F212" s="30"/>
      <c r="G212" s="30"/>
      <c r="H212" s="31"/>
      <c r="I212" s="30"/>
      <c r="J212" s="32"/>
      <c r="K212" s="32"/>
      <c r="L212" s="33"/>
      <c r="M212" s="28"/>
      <c r="N212" s="28"/>
      <c r="O212" s="28"/>
      <c r="P212" s="28"/>
      <c r="Q212" s="28"/>
      <c r="R212" s="28"/>
      <c r="S212" s="28"/>
      <c r="T212" s="28"/>
      <c r="U212" s="28"/>
      <c r="V212" s="28"/>
      <c r="W212" s="28"/>
      <c r="X212" s="28"/>
      <c r="Y212" s="28"/>
      <c r="Z212" s="28"/>
      <c r="AA212" s="28"/>
      <c r="AB212" s="28"/>
    </row>
    <row r="213">
      <c r="A213" s="34"/>
      <c r="B213" s="35"/>
      <c r="C213" s="30"/>
      <c r="D213" s="30"/>
      <c r="E213" s="30"/>
      <c r="F213" s="30"/>
      <c r="G213" s="30"/>
      <c r="H213" s="31"/>
      <c r="I213" s="30"/>
      <c r="J213" s="32"/>
      <c r="K213" s="32"/>
      <c r="L213" s="33"/>
      <c r="M213" s="28"/>
      <c r="N213" s="28"/>
      <c r="O213" s="28"/>
      <c r="P213" s="28"/>
      <c r="Q213" s="28"/>
      <c r="R213" s="28"/>
      <c r="S213" s="28"/>
      <c r="T213" s="28"/>
      <c r="U213" s="28"/>
      <c r="V213" s="28"/>
      <c r="W213" s="28"/>
      <c r="X213" s="28"/>
      <c r="Y213" s="28"/>
      <c r="Z213" s="28"/>
      <c r="AA213" s="28"/>
      <c r="AB213" s="28"/>
    </row>
    <row r="214">
      <c r="A214" s="34"/>
      <c r="B214" s="35"/>
      <c r="C214" s="30"/>
      <c r="D214" s="30"/>
      <c r="E214" s="30"/>
      <c r="F214" s="30"/>
      <c r="G214" s="30"/>
      <c r="H214" s="31"/>
      <c r="I214" s="30"/>
      <c r="J214" s="32"/>
      <c r="K214" s="32"/>
      <c r="L214" s="33"/>
      <c r="M214" s="28"/>
      <c r="N214" s="28"/>
      <c r="O214" s="28"/>
      <c r="P214" s="28"/>
      <c r="Q214" s="28"/>
      <c r="R214" s="28"/>
      <c r="S214" s="28"/>
      <c r="T214" s="28"/>
      <c r="U214" s="28"/>
      <c r="V214" s="28"/>
      <c r="W214" s="28"/>
      <c r="X214" s="28"/>
      <c r="Y214" s="28"/>
      <c r="Z214" s="28"/>
      <c r="AA214" s="28"/>
      <c r="AB214" s="28"/>
    </row>
    <row r="215">
      <c r="A215" s="34"/>
      <c r="B215" s="35"/>
      <c r="C215" s="30"/>
      <c r="D215" s="30"/>
      <c r="E215" s="30"/>
      <c r="F215" s="30"/>
      <c r="G215" s="30"/>
      <c r="H215" s="31"/>
      <c r="I215" s="30"/>
      <c r="J215" s="32"/>
      <c r="K215" s="32"/>
      <c r="L215" s="33"/>
      <c r="M215" s="28"/>
      <c r="N215" s="28"/>
      <c r="O215" s="28"/>
      <c r="P215" s="28"/>
      <c r="Q215" s="28"/>
      <c r="R215" s="28"/>
      <c r="S215" s="28"/>
      <c r="T215" s="28"/>
      <c r="U215" s="28"/>
      <c r="V215" s="28"/>
      <c r="W215" s="28"/>
      <c r="X215" s="28"/>
      <c r="Y215" s="28"/>
      <c r="Z215" s="28"/>
      <c r="AA215" s="28"/>
      <c r="AB215" s="28"/>
    </row>
    <row r="216">
      <c r="A216" s="34"/>
      <c r="B216" s="35"/>
      <c r="C216" s="30"/>
      <c r="D216" s="30"/>
      <c r="E216" s="30"/>
      <c r="F216" s="30"/>
      <c r="G216" s="30"/>
      <c r="H216" s="31"/>
      <c r="I216" s="30"/>
      <c r="J216" s="32"/>
      <c r="K216" s="32"/>
      <c r="L216" s="33"/>
      <c r="M216" s="28"/>
      <c r="N216" s="28"/>
      <c r="O216" s="28"/>
      <c r="P216" s="28"/>
      <c r="Q216" s="28"/>
      <c r="R216" s="28"/>
      <c r="S216" s="28"/>
      <c r="T216" s="28"/>
      <c r="U216" s="28"/>
      <c r="V216" s="28"/>
      <c r="W216" s="28"/>
      <c r="X216" s="28"/>
      <c r="Y216" s="28"/>
      <c r="Z216" s="28"/>
      <c r="AA216" s="28"/>
      <c r="AB216" s="28"/>
    </row>
    <row r="217">
      <c r="A217" s="34"/>
      <c r="B217" s="35"/>
      <c r="C217" s="30"/>
      <c r="D217" s="30"/>
      <c r="E217" s="30"/>
      <c r="F217" s="30"/>
      <c r="G217" s="30"/>
      <c r="H217" s="31"/>
      <c r="I217" s="30"/>
      <c r="J217" s="32"/>
      <c r="K217" s="32"/>
      <c r="L217" s="33"/>
      <c r="M217" s="28"/>
      <c r="N217" s="28"/>
      <c r="O217" s="28"/>
      <c r="P217" s="28"/>
      <c r="Q217" s="28"/>
      <c r="R217" s="28"/>
      <c r="S217" s="28"/>
      <c r="T217" s="28"/>
      <c r="U217" s="28"/>
      <c r="V217" s="28"/>
      <c r="W217" s="28"/>
      <c r="X217" s="28"/>
      <c r="Y217" s="28"/>
      <c r="Z217" s="28"/>
      <c r="AA217" s="28"/>
      <c r="AB217" s="28"/>
    </row>
    <row r="218">
      <c r="A218" s="34"/>
      <c r="B218" s="35"/>
      <c r="C218" s="30"/>
      <c r="D218" s="30"/>
      <c r="E218" s="30"/>
      <c r="F218" s="30"/>
      <c r="G218" s="30"/>
      <c r="H218" s="31"/>
      <c r="I218" s="30"/>
      <c r="J218" s="32"/>
      <c r="K218" s="32"/>
      <c r="L218" s="33"/>
      <c r="M218" s="28"/>
      <c r="N218" s="28"/>
      <c r="O218" s="28"/>
      <c r="P218" s="28"/>
      <c r="Q218" s="28"/>
      <c r="R218" s="28"/>
      <c r="S218" s="28"/>
      <c r="T218" s="28"/>
      <c r="U218" s="28"/>
      <c r="V218" s="28"/>
      <c r="W218" s="28"/>
      <c r="X218" s="28"/>
      <c r="Y218" s="28"/>
      <c r="Z218" s="28"/>
      <c r="AA218" s="28"/>
      <c r="AB218" s="28"/>
    </row>
    <row r="219">
      <c r="A219" s="34"/>
      <c r="B219" s="35"/>
      <c r="C219" s="30"/>
      <c r="D219" s="30"/>
      <c r="E219" s="30"/>
      <c r="F219" s="30"/>
      <c r="G219" s="30"/>
      <c r="H219" s="31"/>
      <c r="I219" s="30"/>
      <c r="J219" s="32"/>
      <c r="K219" s="32"/>
      <c r="L219" s="33"/>
      <c r="M219" s="28"/>
      <c r="N219" s="28"/>
      <c r="O219" s="28"/>
      <c r="P219" s="28"/>
      <c r="Q219" s="28"/>
      <c r="R219" s="28"/>
      <c r="S219" s="28"/>
      <c r="T219" s="28"/>
      <c r="U219" s="28"/>
      <c r="V219" s="28"/>
      <c r="W219" s="28"/>
      <c r="X219" s="28"/>
      <c r="Y219" s="28"/>
      <c r="Z219" s="28"/>
      <c r="AA219" s="28"/>
      <c r="AB219" s="28"/>
    </row>
    <row r="220">
      <c r="A220" s="34"/>
      <c r="B220" s="35"/>
      <c r="C220" s="30"/>
      <c r="D220" s="30"/>
      <c r="E220" s="30"/>
      <c r="F220" s="30"/>
      <c r="G220" s="30"/>
      <c r="H220" s="31"/>
      <c r="I220" s="30"/>
      <c r="J220" s="32"/>
      <c r="K220" s="32"/>
      <c r="L220" s="33"/>
      <c r="M220" s="28"/>
      <c r="N220" s="28"/>
      <c r="O220" s="28"/>
      <c r="P220" s="28"/>
      <c r="Q220" s="28"/>
      <c r="R220" s="28"/>
      <c r="S220" s="28"/>
      <c r="T220" s="28"/>
      <c r="U220" s="28"/>
      <c r="V220" s="28"/>
      <c r="W220" s="28"/>
      <c r="X220" s="28"/>
      <c r="Y220" s="28"/>
      <c r="Z220" s="28"/>
      <c r="AA220" s="28"/>
      <c r="AB220" s="28"/>
    </row>
    <row r="221">
      <c r="A221" s="34"/>
      <c r="B221" s="35"/>
      <c r="C221" s="30"/>
      <c r="D221" s="30"/>
      <c r="E221" s="30"/>
      <c r="F221" s="30"/>
      <c r="G221" s="30"/>
      <c r="H221" s="31"/>
      <c r="I221" s="30"/>
      <c r="J221" s="32"/>
      <c r="K221" s="32"/>
      <c r="L221" s="33"/>
      <c r="M221" s="28"/>
      <c r="N221" s="28"/>
      <c r="O221" s="28"/>
      <c r="P221" s="28"/>
      <c r="Q221" s="28"/>
      <c r="R221" s="28"/>
      <c r="S221" s="28"/>
      <c r="T221" s="28"/>
      <c r="U221" s="28"/>
      <c r="V221" s="28"/>
      <c r="W221" s="28"/>
      <c r="X221" s="28"/>
      <c r="Y221" s="28"/>
      <c r="Z221" s="28"/>
      <c r="AA221" s="28"/>
      <c r="AB221" s="28"/>
    </row>
    <row r="222">
      <c r="A222" s="34"/>
      <c r="B222" s="35"/>
      <c r="C222" s="30"/>
      <c r="D222" s="30"/>
      <c r="E222" s="30"/>
      <c r="F222" s="30"/>
      <c r="G222" s="30"/>
      <c r="H222" s="31"/>
      <c r="I222" s="30"/>
      <c r="J222" s="32"/>
      <c r="K222" s="32"/>
      <c r="L222" s="33"/>
      <c r="M222" s="28"/>
      <c r="N222" s="28"/>
      <c r="O222" s="28"/>
      <c r="P222" s="28"/>
      <c r="Q222" s="28"/>
      <c r="R222" s="28"/>
      <c r="S222" s="28"/>
      <c r="T222" s="28"/>
      <c r="U222" s="28"/>
      <c r="V222" s="28"/>
      <c r="W222" s="28"/>
      <c r="X222" s="28"/>
      <c r="Y222" s="28"/>
      <c r="Z222" s="28"/>
      <c r="AA222" s="28"/>
      <c r="AB222" s="28"/>
    </row>
    <row r="223">
      <c r="A223" s="34"/>
      <c r="B223" s="35"/>
      <c r="C223" s="30"/>
      <c r="D223" s="30"/>
      <c r="E223" s="30"/>
      <c r="F223" s="30"/>
      <c r="G223" s="30"/>
      <c r="H223" s="31"/>
      <c r="I223" s="30"/>
      <c r="J223" s="32"/>
      <c r="K223" s="32"/>
      <c r="L223" s="33"/>
      <c r="M223" s="28"/>
      <c r="N223" s="28"/>
      <c r="O223" s="28"/>
      <c r="P223" s="28"/>
      <c r="Q223" s="28"/>
      <c r="R223" s="28"/>
      <c r="S223" s="28"/>
      <c r="T223" s="28"/>
      <c r="U223" s="28"/>
      <c r="V223" s="28"/>
      <c r="W223" s="28"/>
      <c r="X223" s="28"/>
      <c r="Y223" s="28"/>
      <c r="Z223" s="28"/>
      <c r="AA223" s="28"/>
      <c r="AB223" s="28"/>
    </row>
    <row r="224">
      <c r="A224" s="34"/>
      <c r="B224" s="35"/>
      <c r="C224" s="30"/>
      <c r="D224" s="30"/>
      <c r="E224" s="30"/>
      <c r="F224" s="30"/>
      <c r="G224" s="30"/>
      <c r="H224" s="31"/>
      <c r="I224" s="30"/>
      <c r="J224" s="32"/>
      <c r="K224" s="32"/>
      <c r="L224" s="33"/>
      <c r="M224" s="28"/>
      <c r="N224" s="28"/>
      <c r="O224" s="28"/>
      <c r="P224" s="28"/>
      <c r="Q224" s="28"/>
      <c r="R224" s="28"/>
      <c r="S224" s="28"/>
      <c r="T224" s="28"/>
      <c r="U224" s="28"/>
      <c r="V224" s="28"/>
      <c r="W224" s="28"/>
      <c r="X224" s="28"/>
      <c r="Y224" s="28"/>
      <c r="Z224" s="28"/>
      <c r="AA224" s="28"/>
      <c r="AB224" s="28"/>
    </row>
    <row r="225">
      <c r="A225" s="34"/>
      <c r="B225" s="35"/>
      <c r="C225" s="30"/>
      <c r="D225" s="30"/>
      <c r="E225" s="30"/>
      <c r="F225" s="30"/>
      <c r="G225" s="30"/>
      <c r="H225" s="31"/>
      <c r="I225" s="30"/>
      <c r="J225" s="32"/>
      <c r="K225" s="32"/>
      <c r="L225" s="33"/>
      <c r="M225" s="28"/>
      <c r="N225" s="28"/>
      <c r="O225" s="28"/>
      <c r="P225" s="28"/>
      <c r="Q225" s="28"/>
      <c r="R225" s="28"/>
      <c r="S225" s="28"/>
      <c r="T225" s="28"/>
      <c r="U225" s="28"/>
      <c r="V225" s="28"/>
      <c r="W225" s="28"/>
      <c r="X225" s="28"/>
      <c r="Y225" s="28"/>
      <c r="Z225" s="28"/>
      <c r="AA225" s="28"/>
      <c r="AB225" s="28"/>
    </row>
    <row r="226">
      <c r="A226" s="34"/>
      <c r="B226" s="35"/>
      <c r="C226" s="30"/>
      <c r="D226" s="30"/>
      <c r="E226" s="30"/>
      <c r="F226" s="30"/>
      <c r="G226" s="30"/>
      <c r="H226" s="31"/>
      <c r="I226" s="30"/>
      <c r="J226" s="32"/>
      <c r="K226" s="32"/>
      <c r="L226" s="33"/>
      <c r="M226" s="28"/>
      <c r="N226" s="28"/>
      <c r="O226" s="28"/>
      <c r="P226" s="28"/>
      <c r="Q226" s="28"/>
      <c r="R226" s="28"/>
      <c r="S226" s="28"/>
      <c r="T226" s="28"/>
      <c r="U226" s="28"/>
      <c r="V226" s="28"/>
      <c r="W226" s="28"/>
      <c r="X226" s="28"/>
      <c r="Y226" s="28"/>
      <c r="Z226" s="28"/>
      <c r="AA226" s="28"/>
      <c r="AB226" s="28"/>
    </row>
    <row r="227">
      <c r="A227" s="34"/>
      <c r="B227" s="35"/>
      <c r="C227" s="30"/>
      <c r="D227" s="30"/>
      <c r="E227" s="30"/>
      <c r="F227" s="30"/>
      <c r="G227" s="30"/>
      <c r="H227" s="31"/>
      <c r="I227" s="30"/>
      <c r="J227" s="32"/>
      <c r="K227" s="32"/>
      <c r="L227" s="33"/>
      <c r="M227" s="28"/>
      <c r="N227" s="28"/>
      <c r="O227" s="28"/>
      <c r="P227" s="28"/>
      <c r="Q227" s="28"/>
      <c r="R227" s="28"/>
      <c r="S227" s="28"/>
      <c r="T227" s="28"/>
      <c r="U227" s="28"/>
      <c r="V227" s="28"/>
      <c r="W227" s="28"/>
      <c r="X227" s="28"/>
      <c r="Y227" s="28"/>
      <c r="Z227" s="28"/>
      <c r="AA227" s="28"/>
      <c r="AB227" s="28"/>
    </row>
    <row r="228">
      <c r="A228" s="34"/>
      <c r="B228" s="35"/>
      <c r="C228" s="30"/>
      <c r="D228" s="30"/>
      <c r="E228" s="30"/>
      <c r="F228" s="30"/>
      <c r="G228" s="30"/>
      <c r="H228" s="31"/>
      <c r="I228" s="30"/>
      <c r="J228" s="32"/>
      <c r="K228" s="32"/>
      <c r="L228" s="33"/>
      <c r="M228" s="28"/>
      <c r="N228" s="28"/>
      <c r="O228" s="28"/>
      <c r="P228" s="28"/>
      <c r="Q228" s="28"/>
      <c r="R228" s="28"/>
      <c r="S228" s="28"/>
      <c r="T228" s="28"/>
      <c r="U228" s="28"/>
      <c r="V228" s="28"/>
      <c r="W228" s="28"/>
      <c r="X228" s="28"/>
      <c r="Y228" s="28"/>
      <c r="Z228" s="28"/>
      <c r="AA228" s="28"/>
      <c r="AB228" s="28"/>
    </row>
    <row r="229">
      <c r="A229" s="34"/>
      <c r="B229" s="35"/>
      <c r="C229" s="30"/>
      <c r="D229" s="30"/>
      <c r="E229" s="30"/>
      <c r="F229" s="30"/>
      <c r="G229" s="30"/>
      <c r="H229" s="31"/>
      <c r="I229" s="30"/>
      <c r="J229" s="32"/>
      <c r="K229" s="32"/>
      <c r="L229" s="33"/>
      <c r="M229" s="28"/>
      <c r="N229" s="28"/>
      <c r="O229" s="28"/>
      <c r="P229" s="28"/>
      <c r="Q229" s="28"/>
      <c r="R229" s="28"/>
      <c r="S229" s="28"/>
      <c r="T229" s="28"/>
      <c r="U229" s="28"/>
      <c r="V229" s="28"/>
      <c r="W229" s="28"/>
      <c r="X229" s="28"/>
      <c r="Y229" s="28"/>
      <c r="Z229" s="28"/>
      <c r="AA229" s="28"/>
      <c r="AB229" s="28"/>
    </row>
    <row r="230">
      <c r="A230" s="34"/>
      <c r="B230" s="35"/>
      <c r="C230" s="30"/>
      <c r="D230" s="30"/>
      <c r="E230" s="30"/>
      <c r="F230" s="30"/>
      <c r="G230" s="30"/>
      <c r="H230" s="31"/>
      <c r="I230" s="30"/>
      <c r="J230" s="32"/>
      <c r="K230" s="32"/>
      <c r="L230" s="33"/>
      <c r="M230" s="28"/>
      <c r="N230" s="28"/>
      <c r="O230" s="28"/>
      <c r="P230" s="28"/>
      <c r="Q230" s="28"/>
      <c r="R230" s="28"/>
      <c r="S230" s="28"/>
      <c r="T230" s="28"/>
      <c r="U230" s="28"/>
      <c r="V230" s="28"/>
      <c r="W230" s="28"/>
      <c r="X230" s="28"/>
      <c r="Y230" s="28"/>
      <c r="Z230" s="28"/>
      <c r="AA230" s="28"/>
      <c r="AB230" s="28"/>
    </row>
    <row r="231">
      <c r="A231" s="34"/>
      <c r="B231" s="35"/>
      <c r="C231" s="30"/>
      <c r="D231" s="30"/>
      <c r="E231" s="30"/>
      <c r="F231" s="30"/>
      <c r="G231" s="30"/>
      <c r="H231" s="31"/>
      <c r="I231" s="30"/>
      <c r="J231" s="32"/>
      <c r="K231" s="32"/>
      <c r="L231" s="33"/>
      <c r="M231" s="28"/>
      <c r="N231" s="28"/>
      <c r="O231" s="28"/>
      <c r="P231" s="28"/>
      <c r="Q231" s="28"/>
      <c r="R231" s="28"/>
      <c r="S231" s="28"/>
      <c r="T231" s="28"/>
      <c r="U231" s="28"/>
      <c r="V231" s="28"/>
      <c r="W231" s="28"/>
      <c r="X231" s="28"/>
      <c r="Y231" s="28"/>
      <c r="Z231" s="28"/>
      <c r="AA231" s="28"/>
      <c r="AB231" s="28"/>
    </row>
    <row r="232">
      <c r="A232" s="34"/>
      <c r="B232" s="35"/>
      <c r="C232" s="30"/>
      <c r="D232" s="30"/>
      <c r="E232" s="30"/>
      <c r="F232" s="30"/>
      <c r="G232" s="30"/>
      <c r="H232" s="31"/>
      <c r="I232" s="30"/>
      <c r="J232" s="32"/>
      <c r="K232" s="32"/>
      <c r="L232" s="33"/>
      <c r="M232" s="28"/>
      <c r="N232" s="28"/>
      <c r="O232" s="28"/>
      <c r="P232" s="28"/>
      <c r="Q232" s="28"/>
      <c r="R232" s="28"/>
      <c r="S232" s="28"/>
      <c r="T232" s="28"/>
      <c r="U232" s="28"/>
      <c r="V232" s="28"/>
      <c r="W232" s="28"/>
      <c r="X232" s="28"/>
      <c r="Y232" s="28"/>
      <c r="Z232" s="28"/>
      <c r="AA232" s="28"/>
      <c r="AB232" s="28"/>
    </row>
    <row r="233">
      <c r="A233" s="34"/>
      <c r="B233" s="35"/>
      <c r="C233" s="30"/>
      <c r="D233" s="30"/>
      <c r="E233" s="30"/>
      <c r="F233" s="30"/>
      <c r="G233" s="30"/>
      <c r="H233" s="31"/>
      <c r="I233" s="30"/>
      <c r="J233" s="32"/>
      <c r="K233" s="32"/>
      <c r="L233" s="33"/>
      <c r="M233" s="28"/>
      <c r="N233" s="28"/>
      <c r="O233" s="28"/>
      <c r="P233" s="28"/>
      <c r="Q233" s="28"/>
      <c r="R233" s="28"/>
      <c r="S233" s="28"/>
      <c r="T233" s="28"/>
      <c r="U233" s="28"/>
      <c r="V233" s="28"/>
      <c r="W233" s="28"/>
      <c r="X233" s="28"/>
      <c r="Y233" s="28"/>
      <c r="Z233" s="28"/>
      <c r="AA233" s="28"/>
      <c r="AB233" s="28"/>
    </row>
    <row r="234">
      <c r="A234" s="34"/>
      <c r="B234" s="35"/>
      <c r="C234" s="30"/>
      <c r="D234" s="30"/>
      <c r="E234" s="30"/>
      <c r="F234" s="30"/>
      <c r="G234" s="30"/>
      <c r="H234" s="31"/>
      <c r="I234" s="30"/>
      <c r="J234" s="32"/>
      <c r="K234" s="32"/>
      <c r="L234" s="33"/>
      <c r="M234" s="28"/>
      <c r="N234" s="28"/>
      <c r="O234" s="28"/>
      <c r="P234" s="28"/>
      <c r="Q234" s="28"/>
      <c r="R234" s="28"/>
      <c r="S234" s="28"/>
      <c r="T234" s="28"/>
      <c r="U234" s="28"/>
      <c r="V234" s="28"/>
      <c r="W234" s="28"/>
      <c r="X234" s="28"/>
      <c r="Y234" s="28"/>
      <c r="Z234" s="28"/>
      <c r="AA234" s="28"/>
      <c r="AB234" s="28"/>
    </row>
    <row r="235">
      <c r="A235" s="34"/>
      <c r="B235" s="35"/>
      <c r="C235" s="30"/>
      <c r="D235" s="30"/>
      <c r="E235" s="30"/>
      <c r="F235" s="30"/>
      <c r="G235" s="30"/>
      <c r="H235" s="31"/>
      <c r="I235" s="30"/>
      <c r="J235" s="32"/>
      <c r="K235" s="32"/>
      <c r="L235" s="33"/>
      <c r="M235" s="28"/>
      <c r="N235" s="28"/>
      <c r="O235" s="28"/>
      <c r="P235" s="28"/>
      <c r="Q235" s="28"/>
      <c r="R235" s="28"/>
      <c r="S235" s="28"/>
      <c r="T235" s="28"/>
      <c r="U235" s="28"/>
      <c r="V235" s="28"/>
      <c r="W235" s="28"/>
      <c r="X235" s="28"/>
      <c r="Y235" s="28"/>
      <c r="Z235" s="28"/>
      <c r="AA235" s="28"/>
      <c r="AB235" s="28"/>
    </row>
    <row r="236">
      <c r="A236" s="34"/>
      <c r="B236" s="35"/>
      <c r="C236" s="30"/>
      <c r="D236" s="30"/>
      <c r="E236" s="30"/>
      <c r="F236" s="30"/>
      <c r="G236" s="30"/>
      <c r="H236" s="31"/>
      <c r="I236" s="30"/>
      <c r="J236" s="32"/>
      <c r="K236" s="32"/>
      <c r="L236" s="33"/>
      <c r="M236" s="28"/>
      <c r="N236" s="28"/>
      <c r="O236" s="28"/>
      <c r="P236" s="28"/>
      <c r="Q236" s="28"/>
      <c r="R236" s="28"/>
      <c r="S236" s="28"/>
      <c r="T236" s="28"/>
      <c r="U236" s="28"/>
      <c r="V236" s="28"/>
      <c r="W236" s="28"/>
      <c r="X236" s="28"/>
      <c r="Y236" s="28"/>
      <c r="Z236" s="28"/>
      <c r="AA236" s="28"/>
      <c r="AB236" s="28"/>
    </row>
    <row r="237">
      <c r="A237" s="34"/>
      <c r="B237" s="35"/>
      <c r="C237" s="30"/>
      <c r="D237" s="30"/>
      <c r="E237" s="30"/>
      <c r="F237" s="30"/>
      <c r="G237" s="30"/>
      <c r="H237" s="31"/>
      <c r="I237" s="30"/>
      <c r="J237" s="32"/>
      <c r="K237" s="32"/>
      <c r="L237" s="33"/>
      <c r="M237" s="28"/>
      <c r="N237" s="28"/>
      <c r="O237" s="28"/>
      <c r="P237" s="28"/>
      <c r="Q237" s="28"/>
      <c r="R237" s="28"/>
      <c r="S237" s="28"/>
      <c r="T237" s="28"/>
      <c r="U237" s="28"/>
      <c r="V237" s="28"/>
      <c r="W237" s="28"/>
      <c r="X237" s="28"/>
      <c r="Y237" s="28"/>
      <c r="Z237" s="28"/>
      <c r="AA237" s="28"/>
      <c r="AB237" s="28"/>
    </row>
    <row r="238">
      <c r="A238" s="34"/>
      <c r="B238" s="35"/>
      <c r="C238" s="30"/>
      <c r="D238" s="30"/>
      <c r="E238" s="30"/>
      <c r="F238" s="30"/>
      <c r="G238" s="30"/>
      <c r="H238" s="31"/>
      <c r="I238" s="30"/>
      <c r="J238" s="32"/>
      <c r="K238" s="32"/>
      <c r="L238" s="33"/>
      <c r="M238" s="28"/>
      <c r="N238" s="28"/>
      <c r="O238" s="28"/>
      <c r="P238" s="28"/>
      <c r="Q238" s="28"/>
      <c r="R238" s="28"/>
      <c r="S238" s="28"/>
      <c r="T238" s="28"/>
      <c r="U238" s="28"/>
      <c r="V238" s="28"/>
      <c r="W238" s="28"/>
      <c r="X238" s="28"/>
      <c r="Y238" s="28"/>
      <c r="Z238" s="28"/>
      <c r="AA238" s="28"/>
      <c r="AB238" s="28"/>
    </row>
    <row r="239">
      <c r="A239" s="34"/>
      <c r="B239" s="35"/>
      <c r="C239" s="30"/>
      <c r="D239" s="30"/>
      <c r="E239" s="30"/>
      <c r="F239" s="30"/>
      <c r="G239" s="30"/>
      <c r="H239" s="31"/>
      <c r="I239" s="30"/>
      <c r="J239" s="32"/>
      <c r="K239" s="32"/>
      <c r="L239" s="33"/>
      <c r="M239" s="28"/>
      <c r="N239" s="28"/>
      <c r="O239" s="28"/>
      <c r="P239" s="28"/>
      <c r="Q239" s="28"/>
      <c r="R239" s="28"/>
      <c r="S239" s="28"/>
      <c r="T239" s="28"/>
      <c r="U239" s="28"/>
      <c r="V239" s="28"/>
      <c r="W239" s="28"/>
      <c r="X239" s="28"/>
      <c r="Y239" s="28"/>
      <c r="Z239" s="28"/>
      <c r="AA239" s="28"/>
      <c r="AB239" s="28"/>
    </row>
    <row r="240">
      <c r="A240" s="34"/>
      <c r="B240" s="35"/>
      <c r="C240" s="30"/>
      <c r="D240" s="30"/>
      <c r="E240" s="30"/>
      <c r="F240" s="30"/>
      <c r="G240" s="30"/>
      <c r="H240" s="31"/>
      <c r="I240" s="30"/>
      <c r="J240" s="32"/>
      <c r="K240" s="32"/>
      <c r="L240" s="33"/>
      <c r="M240" s="28"/>
      <c r="N240" s="28"/>
      <c r="O240" s="28"/>
      <c r="P240" s="28"/>
      <c r="Q240" s="28"/>
      <c r="R240" s="28"/>
      <c r="S240" s="28"/>
      <c r="T240" s="28"/>
      <c r="U240" s="28"/>
      <c r="V240" s="28"/>
      <c r="W240" s="28"/>
      <c r="X240" s="28"/>
      <c r="Y240" s="28"/>
      <c r="Z240" s="28"/>
      <c r="AA240" s="28"/>
      <c r="AB240" s="28"/>
    </row>
    <row r="241">
      <c r="A241" s="34"/>
      <c r="B241" s="35"/>
      <c r="C241" s="30"/>
      <c r="D241" s="30"/>
      <c r="E241" s="30"/>
      <c r="F241" s="30"/>
      <c r="G241" s="30"/>
      <c r="H241" s="31"/>
      <c r="I241" s="30"/>
      <c r="J241" s="32"/>
      <c r="K241" s="32"/>
      <c r="L241" s="33"/>
      <c r="M241" s="28"/>
      <c r="N241" s="28"/>
      <c r="O241" s="28"/>
      <c r="P241" s="28"/>
      <c r="Q241" s="28"/>
      <c r="R241" s="28"/>
      <c r="S241" s="28"/>
      <c r="T241" s="28"/>
      <c r="U241" s="28"/>
      <c r="V241" s="28"/>
      <c r="W241" s="28"/>
      <c r="X241" s="28"/>
      <c r="Y241" s="28"/>
      <c r="Z241" s="28"/>
      <c r="AA241" s="28"/>
      <c r="AB241" s="28"/>
    </row>
    <row r="242">
      <c r="A242" s="34"/>
      <c r="B242" s="35"/>
      <c r="C242" s="30"/>
      <c r="D242" s="30"/>
      <c r="E242" s="30"/>
      <c r="F242" s="30"/>
      <c r="G242" s="30"/>
      <c r="H242" s="31"/>
      <c r="I242" s="30"/>
      <c r="J242" s="32"/>
      <c r="K242" s="32"/>
      <c r="L242" s="33"/>
      <c r="M242" s="28"/>
      <c r="N242" s="28"/>
      <c r="O242" s="28"/>
      <c r="P242" s="28"/>
      <c r="Q242" s="28"/>
      <c r="R242" s="28"/>
      <c r="S242" s="28"/>
      <c r="T242" s="28"/>
      <c r="U242" s="28"/>
      <c r="V242" s="28"/>
      <c r="W242" s="28"/>
      <c r="X242" s="28"/>
      <c r="Y242" s="28"/>
      <c r="Z242" s="28"/>
      <c r="AA242" s="28"/>
      <c r="AB242" s="28"/>
    </row>
    <row r="243">
      <c r="A243" s="34"/>
      <c r="B243" s="35"/>
      <c r="C243" s="30"/>
      <c r="D243" s="30"/>
      <c r="E243" s="30"/>
      <c r="F243" s="30"/>
      <c r="G243" s="30"/>
      <c r="H243" s="31"/>
      <c r="I243" s="30"/>
      <c r="J243" s="32"/>
      <c r="K243" s="32"/>
      <c r="L243" s="33"/>
      <c r="M243" s="28"/>
      <c r="N243" s="28"/>
      <c r="O243" s="28"/>
      <c r="P243" s="28"/>
      <c r="Q243" s="28"/>
      <c r="R243" s="28"/>
      <c r="S243" s="28"/>
      <c r="T243" s="28"/>
      <c r="U243" s="28"/>
      <c r="V243" s="28"/>
      <c r="W243" s="28"/>
      <c r="X243" s="28"/>
      <c r="Y243" s="28"/>
      <c r="Z243" s="28"/>
      <c r="AA243" s="28"/>
      <c r="AB243" s="28"/>
    </row>
    <row r="244">
      <c r="A244" s="34"/>
      <c r="B244" s="35"/>
      <c r="C244" s="30"/>
      <c r="D244" s="30"/>
      <c r="E244" s="30"/>
      <c r="F244" s="30"/>
      <c r="G244" s="30"/>
      <c r="H244" s="31"/>
      <c r="I244" s="30"/>
      <c r="J244" s="32"/>
      <c r="K244" s="32"/>
      <c r="L244" s="33"/>
      <c r="M244" s="28"/>
      <c r="N244" s="28"/>
      <c r="O244" s="28"/>
      <c r="P244" s="28"/>
      <c r="Q244" s="28"/>
      <c r="R244" s="28"/>
      <c r="S244" s="28"/>
      <c r="T244" s="28"/>
      <c r="U244" s="28"/>
      <c r="V244" s="28"/>
      <c r="W244" s="28"/>
      <c r="X244" s="28"/>
      <c r="Y244" s="28"/>
      <c r="Z244" s="28"/>
      <c r="AA244" s="28"/>
      <c r="AB244" s="28"/>
    </row>
    <row r="245">
      <c r="A245" s="34"/>
      <c r="B245" s="35"/>
      <c r="C245" s="30"/>
      <c r="D245" s="30"/>
      <c r="E245" s="30"/>
      <c r="F245" s="30"/>
      <c r="G245" s="30"/>
      <c r="H245" s="31"/>
      <c r="I245" s="30"/>
      <c r="J245" s="32"/>
      <c r="K245" s="32"/>
      <c r="L245" s="33"/>
      <c r="M245" s="28"/>
      <c r="N245" s="28"/>
      <c r="O245" s="28"/>
      <c r="P245" s="28"/>
      <c r="Q245" s="28"/>
      <c r="R245" s="28"/>
      <c r="S245" s="28"/>
      <c r="T245" s="28"/>
      <c r="U245" s="28"/>
      <c r="V245" s="28"/>
      <c r="W245" s="28"/>
      <c r="X245" s="28"/>
      <c r="Y245" s="28"/>
      <c r="Z245" s="28"/>
      <c r="AA245" s="28"/>
      <c r="AB245" s="28"/>
    </row>
    <row r="246">
      <c r="A246" s="34"/>
      <c r="B246" s="35"/>
      <c r="C246" s="30"/>
      <c r="D246" s="30"/>
      <c r="E246" s="30"/>
      <c r="F246" s="30"/>
      <c r="G246" s="30"/>
      <c r="H246" s="31"/>
      <c r="I246" s="30"/>
      <c r="J246" s="32"/>
      <c r="K246" s="32"/>
      <c r="L246" s="33"/>
      <c r="M246" s="28"/>
      <c r="N246" s="28"/>
      <c r="O246" s="28"/>
      <c r="P246" s="28"/>
      <c r="Q246" s="28"/>
      <c r="R246" s="28"/>
      <c r="S246" s="28"/>
      <c r="T246" s="28"/>
      <c r="U246" s="28"/>
      <c r="V246" s="28"/>
      <c r="W246" s="28"/>
      <c r="X246" s="28"/>
      <c r="Y246" s="28"/>
      <c r="Z246" s="28"/>
      <c r="AA246" s="28"/>
      <c r="AB246" s="28"/>
    </row>
    <row r="247">
      <c r="A247" s="34"/>
      <c r="B247" s="35"/>
      <c r="C247" s="30"/>
      <c r="D247" s="30"/>
      <c r="E247" s="30"/>
      <c r="F247" s="30"/>
      <c r="G247" s="30"/>
      <c r="H247" s="31"/>
      <c r="I247" s="30"/>
      <c r="J247" s="32"/>
      <c r="K247" s="32"/>
      <c r="L247" s="33"/>
      <c r="M247" s="28"/>
      <c r="N247" s="28"/>
      <c r="O247" s="28"/>
      <c r="P247" s="28"/>
      <c r="Q247" s="28"/>
      <c r="R247" s="28"/>
      <c r="S247" s="28"/>
      <c r="T247" s="28"/>
      <c r="U247" s="28"/>
      <c r="V247" s="28"/>
      <c r="W247" s="28"/>
      <c r="X247" s="28"/>
      <c r="Y247" s="28"/>
      <c r="Z247" s="28"/>
      <c r="AA247" s="28"/>
      <c r="AB247" s="28"/>
    </row>
    <row r="248">
      <c r="A248" s="34"/>
      <c r="B248" s="35"/>
      <c r="C248" s="30"/>
      <c r="D248" s="30"/>
      <c r="E248" s="30"/>
      <c r="F248" s="30"/>
      <c r="G248" s="30"/>
      <c r="H248" s="31"/>
      <c r="I248" s="30"/>
      <c r="J248" s="32"/>
      <c r="K248" s="32"/>
      <c r="L248" s="33"/>
      <c r="M248" s="28"/>
      <c r="N248" s="28"/>
      <c r="O248" s="28"/>
      <c r="P248" s="28"/>
      <c r="Q248" s="28"/>
      <c r="R248" s="28"/>
      <c r="S248" s="28"/>
      <c r="T248" s="28"/>
      <c r="U248" s="28"/>
      <c r="V248" s="28"/>
      <c r="W248" s="28"/>
      <c r="X248" s="28"/>
      <c r="Y248" s="28"/>
      <c r="Z248" s="28"/>
      <c r="AA248" s="28"/>
      <c r="AB248" s="28"/>
    </row>
    <row r="249">
      <c r="A249" s="34"/>
      <c r="B249" s="35"/>
      <c r="C249" s="30"/>
      <c r="D249" s="30"/>
      <c r="E249" s="30"/>
      <c r="F249" s="30"/>
      <c r="G249" s="30"/>
      <c r="H249" s="31"/>
      <c r="I249" s="30"/>
      <c r="J249" s="32"/>
      <c r="K249" s="32"/>
      <c r="L249" s="33"/>
      <c r="M249" s="28"/>
      <c r="N249" s="28"/>
      <c r="O249" s="28"/>
      <c r="P249" s="28"/>
      <c r="Q249" s="28"/>
      <c r="R249" s="28"/>
      <c r="S249" s="28"/>
      <c r="T249" s="28"/>
      <c r="U249" s="28"/>
      <c r="V249" s="28"/>
      <c r="W249" s="28"/>
      <c r="X249" s="28"/>
      <c r="Y249" s="28"/>
      <c r="Z249" s="28"/>
      <c r="AA249" s="28"/>
      <c r="AB249" s="28"/>
    </row>
    <row r="250">
      <c r="A250" s="1"/>
      <c r="B250" s="36"/>
      <c r="C250" s="36"/>
      <c r="D250" s="36"/>
      <c r="E250" s="36"/>
      <c r="F250" s="36"/>
      <c r="G250" s="36"/>
      <c r="H250" s="37"/>
      <c r="I250" s="36"/>
      <c r="J250" s="38"/>
      <c r="K250" s="38"/>
      <c r="L250" s="39"/>
      <c r="M250" s="39"/>
      <c r="N250" s="39"/>
      <c r="O250" s="39"/>
      <c r="P250" s="39"/>
      <c r="Q250" s="39"/>
      <c r="R250" s="39"/>
      <c r="S250" s="39"/>
      <c r="T250" s="39"/>
      <c r="U250" s="39"/>
      <c r="V250" s="39"/>
      <c r="W250" s="39"/>
      <c r="X250" s="39"/>
      <c r="Y250" s="39"/>
      <c r="Z250" s="39"/>
      <c r="AA250" s="39"/>
      <c r="AB250" s="39"/>
    </row>
    <row r="251">
      <c r="A251" s="1"/>
      <c r="B251" s="36"/>
      <c r="C251" s="36"/>
      <c r="D251" s="36"/>
      <c r="E251" s="36"/>
      <c r="F251" s="36"/>
      <c r="G251" s="36"/>
      <c r="H251" s="37"/>
      <c r="I251" s="36"/>
      <c r="J251" s="38"/>
      <c r="K251" s="38"/>
      <c r="L251" s="39"/>
      <c r="M251" s="39"/>
      <c r="N251" s="39"/>
      <c r="O251" s="39"/>
      <c r="P251" s="39"/>
      <c r="Q251" s="39"/>
      <c r="R251" s="39"/>
      <c r="S251" s="39"/>
      <c r="T251" s="39"/>
      <c r="U251" s="39"/>
      <c r="V251" s="39"/>
      <c r="W251" s="39"/>
      <c r="X251" s="39"/>
      <c r="Y251" s="39"/>
      <c r="Z251" s="39"/>
      <c r="AA251" s="39"/>
      <c r="AB251" s="39"/>
    </row>
    <row r="252">
      <c r="A252" s="1"/>
      <c r="B252" s="36"/>
      <c r="C252" s="36"/>
      <c r="D252" s="36"/>
      <c r="E252" s="36"/>
      <c r="F252" s="36"/>
      <c r="G252" s="36"/>
      <c r="H252" s="37"/>
      <c r="I252" s="36"/>
      <c r="J252" s="38"/>
      <c r="K252" s="38"/>
      <c r="L252" s="39"/>
      <c r="M252" s="39"/>
      <c r="N252" s="39"/>
      <c r="O252" s="39"/>
      <c r="P252" s="39"/>
      <c r="Q252" s="39"/>
      <c r="R252" s="39"/>
      <c r="S252" s="39"/>
      <c r="T252" s="39"/>
      <c r="U252" s="39"/>
      <c r="V252" s="39"/>
      <c r="W252" s="39"/>
      <c r="X252" s="39"/>
      <c r="Y252" s="39"/>
      <c r="Z252" s="39"/>
      <c r="AA252" s="39"/>
      <c r="AB252" s="39"/>
    </row>
    <row r="253">
      <c r="A253" s="1"/>
      <c r="B253" s="36"/>
      <c r="C253" s="36"/>
      <c r="D253" s="36"/>
      <c r="E253" s="36"/>
      <c r="F253" s="36"/>
      <c r="G253" s="36"/>
      <c r="H253" s="37"/>
      <c r="I253" s="36"/>
      <c r="J253" s="38"/>
      <c r="K253" s="38"/>
      <c r="L253" s="39"/>
      <c r="M253" s="39"/>
      <c r="N253" s="39"/>
      <c r="O253" s="39"/>
      <c r="P253" s="39"/>
      <c r="Q253" s="39"/>
      <c r="R253" s="39"/>
      <c r="S253" s="39"/>
      <c r="T253" s="39"/>
      <c r="U253" s="39"/>
      <c r="V253" s="39"/>
      <c r="W253" s="39"/>
      <c r="X253" s="39"/>
      <c r="Y253" s="39"/>
      <c r="Z253" s="39"/>
      <c r="AA253" s="39"/>
      <c r="AB253" s="39"/>
    </row>
    <row r="254">
      <c r="A254" s="1"/>
      <c r="B254" s="36"/>
      <c r="C254" s="36"/>
      <c r="D254" s="36"/>
      <c r="E254" s="36"/>
      <c r="F254" s="36"/>
      <c r="G254" s="36"/>
      <c r="H254" s="37"/>
      <c r="I254" s="36"/>
      <c r="J254" s="38"/>
      <c r="K254" s="38"/>
      <c r="L254" s="39"/>
      <c r="M254" s="39"/>
      <c r="N254" s="39"/>
      <c r="O254" s="39"/>
      <c r="P254" s="39"/>
      <c r="Q254" s="39"/>
      <c r="R254" s="39"/>
      <c r="S254" s="39"/>
      <c r="T254" s="39"/>
      <c r="U254" s="39"/>
      <c r="V254" s="39"/>
      <c r="W254" s="39"/>
      <c r="X254" s="39"/>
      <c r="Y254" s="39"/>
      <c r="Z254" s="39"/>
      <c r="AA254" s="39"/>
      <c r="AB254" s="39"/>
    </row>
    <row r="255">
      <c r="A255" s="1"/>
      <c r="B255" s="36"/>
      <c r="C255" s="36"/>
      <c r="D255" s="36"/>
      <c r="E255" s="36"/>
      <c r="F255" s="36"/>
      <c r="G255" s="36"/>
      <c r="H255" s="37"/>
      <c r="I255" s="36"/>
      <c r="J255" s="38"/>
      <c r="K255" s="38"/>
      <c r="L255" s="39"/>
      <c r="M255" s="39"/>
      <c r="N255" s="39"/>
      <c r="O255" s="39"/>
      <c r="P255" s="39"/>
      <c r="Q255" s="39"/>
      <c r="R255" s="39"/>
      <c r="S255" s="39"/>
      <c r="T255" s="39"/>
      <c r="U255" s="39"/>
      <c r="V255" s="39"/>
      <c r="W255" s="39"/>
      <c r="X255" s="39"/>
      <c r="Y255" s="39"/>
      <c r="Z255" s="39"/>
      <c r="AA255" s="39"/>
      <c r="AB255" s="39"/>
    </row>
    <row r="256">
      <c r="A256" s="1"/>
      <c r="B256" s="36"/>
      <c r="C256" s="36"/>
      <c r="D256" s="36"/>
      <c r="E256" s="36"/>
      <c r="F256" s="36"/>
      <c r="G256" s="36"/>
      <c r="H256" s="37"/>
      <c r="I256" s="36"/>
      <c r="J256" s="38"/>
      <c r="K256" s="38"/>
      <c r="L256" s="39"/>
      <c r="M256" s="39"/>
      <c r="N256" s="39"/>
      <c r="O256" s="39"/>
      <c r="P256" s="39"/>
      <c r="Q256" s="39"/>
      <c r="R256" s="39"/>
      <c r="S256" s="39"/>
      <c r="T256" s="39"/>
      <c r="U256" s="39"/>
      <c r="V256" s="39"/>
      <c r="W256" s="39"/>
      <c r="X256" s="39"/>
      <c r="Y256" s="39"/>
      <c r="Z256" s="39"/>
      <c r="AA256" s="39"/>
      <c r="AB256" s="39"/>
    </row>
    <row r="257">
      <c r="A257" s="1"/>
      <c r="B257" s="36"/>
      <c r="C257" s="36"/>
      <c r="D257" s="36"/>
      <c r="E257" s="36"/>
      <c r="F257" s="36"/>
      <c r="G257" s="36"/>
      <c r="H257" s="37"/>
      <c r="I257" s="36"/>
      <c r="J257" s="38"/>
      <c r="K257" s="38"/>
      <c r="L257" s="39"/>
      <c r="M257" s="39"/>
      <c r="N257" s="39"/>
      <c r="O257" s="39"/>
      <c r="P257" s="39"/>
      <c r="Q257" s="39"/>
      <c r="R257" s="39"/>
      <c r="S257" s="39"/>
      <c r="T257" s="39"/>
      <c r="U257" s="39"/>
      <c r="V257" s="39"/>
      <c r="W257" s="39"/>
      <c r="X257" s="39"/>
      <c r="Y257" s="39"/>
      <c r="Z257" s="39"/>
      <c r="AA257" s="39"/>
      <c r="AB257" s="39"/>
    </row>
    <row r="258">
      <c r="A258" s="1"/>
      <c r="B258" s="36"/>
      <c r="C258" s="36"/>
      <c r="D258" s="36"/>
      <c r="E258" s="36"/>
      <c r="F258" s="36"/>
      <c r="G258" s="36"/>
      <c r="H258" s="37"/>
      <c r="I258" s="36"/>
      <c r="J258" s="38"/>
      <c r="K258" s="38"/>
      <c r="L258" s="39"/>
      <c r="M258" s="39"/>
      <c r="N258" s="39"/>
      <c r="O258" s="39"/>
      <c r="P258" s="39"/>
      <c r="Q258" s="39"/>
      <c r="R258" s="39"/>
      <c r="S258" s="39"/>
      <c r="T258" s="39"/>
      <c r="U258" s="39"/>
      <c r="V258" s="39"/>
      <c r="W258" s="39"/>
      <c r="X258" s="39"/>
      <c r="Y258" s="39"/>
      <c r="Z258" s="39"/>
      <c r="AA258" s="39"/>
      <c r="AB258" s="39"/>
    </row>
    <row r="259">
      <c r="A259" s="1"/>
      <c r="B259" s="36"/>
      <c r="C259" s="36"/>
      <c r="D259" s="36"/>
      <c r="E259" s="36"/>
      <c r="F259" s="36"/>
      <c r="G259" s="36"/>
      <c r="H259" s="37"/>
      <c r="I259" s="36"/>
      <c r="J259" s="38"/>
      <c r="K259" s="38"/>
      <c r="L259" s="39"/>
      <c r="M259" s="39"/>
      <c r="N259" s="39"/>
      <c r="O259" s="39"/>
      <c r="P259" s="39"/>
      <c r="Q259" s="39"/>
      <c r="R259" s="39"/>
      <c r="S259" s="39"/>
      <c r="T259" s="39"/>
      <c r="U259" s="39"/>
      <c r="V259" s="39"/>
      <c r="W259" s="39"/>
      <c r="X259" s="39"/>
      <c r="Y259" s="39"/>
      <c r="Z259" s="39"/>
      <c r="AA259" s="39"/>
      <c r="AB259" s="39"/>
    </row>
    <row r="260">
      <c r="A260" s="1"/>
      <c r="B260" s="36"/>
      <c r="C260" s="36"/>
      <c r="D260" s="36"/>
      <c r="E260" s="36"/>
      <c r="F260" s="36"/>
      <c r="G260" s="36"/>
      <c r="H260" s="37"/>
      <c r="I260" s="36"/>
      <c r="J260" s="38"/>
      <c r="K260" s="38"/>
      <c r="L260" s="39"/>
      <c r="M260" s="39"/>
      <c r="N260" s="39"/>
      <c r="O260" s="39"/>
      <c r="P260" s="39"/>
      <c r="Q260" s="39"/>
      <c r="R260" s="39"/>
      <c r="S260" s="39"/>
      <c r="T260" s="39"/>
      <c r="U260" s="39"/>
      <c r="V260" s="39"/>
      <c r="W260" s="39"/>
      <c r="X260" s="39"/>
      <c r="Y260" s="39"/>
      <c r="Z260" s="39"/>
      <c r="AA260" s="39"/>
      <c r="AB260" s="39"/>
    </row>
    <row r="261">
      <c r="A261" s="1"/>
      <c r="B261" s="36"/>
      <c r="C261" s="36"/>
      <c r="D261" s="36"/>
      <c r="E261" s="36"/>
      <c r="F261" s="36"/>
      <c r="G261" s="36"/>
      <c r="H261" s="37"/>
      <c r="I261" s="36"/>
      <c r="J261" s="38"/>
      <c r="K261" s="38"/>
      <c r="L261" s="39"/>
      <c r="M261" s="39"/>
      <c r="N261" s="39"/>
      <c r="O261" s="39"/>
      <c r="P261" s="39"/>
      <c r="Q261" s="39"/>
      <c r="R261" s="39"/>
      <c r="S261" s="39"/>
      <c r="T261" s="39"/>
      <c r="U261" s="39"/>
      <c r="V261" s="39"/>
      <c r="W261" s="39"/>
      <c r="X261" s="39"/>
      <c r="Y261" s="39"/>
      <c r="Z261" s="39"/>
      <c r="AA261" s="39"/>
      <c r="AB261" s="39"/>
    </row>
    <row r="262">
      <c r="A262" s="1"/>
      <c r="B262" s="36"/>
      <c r="C262" s="36"/>
      <c r="D262" s="36"/>
      <c r="E262" s="36"/>
      <c r="F262" s="36"/>
      <c r="G262" s="36"/>
      <c r="H262" s="37"/>
      <c r="I262" s="36"/>
      <c r="J262" s="38"/>
      <c r="K262" s="38"/>
      <c r="L262" s="39"/>
      <c r="M262" s="39"/>
      <c r="N262" s="39"/>
      <c r="O262" s="39"/>
      <c r="P262" s="39"/>
      <c r="Q262" s="39"/>
      <c r="R262" s="39"/>
      <c r="S262" s="39"/>
      <c r="T262" s="39"/>
      <c r="U262" s="39"/>
      <c r="V262" s="39"/>
      <c r="W262" s="39"/>
      <c r="X262" s="39"/>
      <c r="Y262" s="39"/>
      <c r="Z262" s="39"/>
      <c r="AA262" s="39"/>
      <c r="AB262" s="39"/>
    </row>
    <row r="263">
      <c r="A263" s="1"/>
      <c r="B263" s="36"/>
      <c r="C263" s="36"/>
      <c r="D263" s="36"/>
      <c r="E263" s="36"/>
      <c r="F263" s="36"/>
      <c r="G263" s="36"/>
      <c r="H263" s="37"/>
      <c r="I263" s="36"/>
      <c r="J263" s="38"/>
      <c r="K263" s="38"/>
      <c r="L263" s="39"/>
      <c r="M263" s="39"/>
      <c r="N263" s="39"/>
      <c r="O263" s="39"/>
      <c r="P263" s="39"/>
      <c r="Q263" s="39"/>
      <c r="R263" s="39"/>
      <c r="S263" s="39"/>
      <c r="T263" s="39"/>
      <c r="U263" s="39"/>
      <c r="V263" s="39"/>
      <c r="W263" s="39"/>
      <c r="X263" s="39"/>
      <c r="Y263" s="39"/>
      <c r="Z263" s="39"/>
      <c r="AA263" s="39"/>
      <c r="AB263" s="39"/>
    </row>
    <row r="264">
      <c r="A264" s="1"/>
      <c r="B264" s="36"/>
      <c r="C264" s="36"/>
      <c r="D264" s="36"/>
      <c r="E264" s="36"/>
      <c r="F264" s="36"/>
      <c r="G264" s="36"/>
      <c r="H264" s="37"/>
      <c r="I264" s="36"/>
      <c r="J264" s="38"/>
      <c r="K264" s="38"/>
      <c r="L264" s="39"/>
      <c r="M264" s="39"/>
      <c r="N264" s="39"/>
      <c r="O264" s="39"/>
      <c r="P264" s="39"/>
      <c r="Q264" s="39"/>
      <c r="R264" s="39"/>
      <c r="S264" s="39"/>
      <c r="T264" s="39"/>
      <c r="U264" s="39"/>
      <c r="V264" s="39"/>
      <c r="W264" s="39"/>
      <c r="X264" s="39"/>
      <c r="Y264" s="39"/>
      <c r="Z264" s="39"/>
      <c r="AA264" s="39"/>
      <c r="AB264" s="39"/>
    </row>
    <row r="265">
      <c r="A265" s="1"/>
      <c r="B265" s="36"/>
      <c r="C265" s="36"/>
      <c r="D265" s="36"/>
      <c r="E265" s="36"/>
      <c r="F265" s="36"/>
      <c r="G265" s="36"/>
      <c r="H265" s="37"/>
      <c r="I265" s="36"/>
      <c r="J265" s="38"/>
      <c r="K265" s="38"/>
      <c r="L265" s="39"/>
      <c r="M265" s="39"/>
      <c r="N265" s="39"/>
      <c r="O265" s="39"/>
      <c r="P265" s="39"/>
      <c r="Q265" s="39"/>
      <c r="R265" s="39"/>
      <c r="S265" s="39"/>
      <c r="T265" s="39"/>
      <c r="U265" s="39"/>
      <c r="V265" s="39"/>
      <c r="W265" s="39"/>
      <c r="X265" s="39"/>
      <c r="Y265" s="39"/>
      <c r="Z265" s="39"/>
      <c r="AA265" s="39"/>
      <c r="AB265" s="39"/>
    </row>
    <row r="266">
      <c r="A266" s="1"/>
      <c r="B266" s="36"/>
      <c r="C266" s="36"/>
      <c r="D266" s="36"/>
      <c r="E266" s="36"/>
      <c r="F266" s="36"/>
      <c r="G266" s="36"/>
      <c r="H266" s="37"/>
      <c r="I266" s="36"/>
      <c r="J266" s="38"/>
      <c r="K266" s="38"/>
      <c r="L266" s="39"/>
      <c r="M266" s="39"/>
      <c r="N266" s="39"/>
      <c r="O266" s="39"/>
      <c r="P266" s="39"/>
      <c r="Q266" s="39"/>
      <c r="R266" s="39"/>
      <c r="S266" s="39"/>
      <c r="T266" s="39"/>
      <c r="U266" s="39"/>
      <c r="V266" s="39"/>
      <c r="W266" s="39"/>
      <c r="X266" s="39"/>
      <c r="Y266" s="39"/>
      <c r="Z266" s="39"/>
      <c r="AA266" s="39"/>
      <c r="AB266" s="39"/>
    </row>
    <row r="267">
      <c r="A267" s="1"/>
      <c r="B267" s="36"/>
      <c r="C267" s="36"/>
      <c r="D267" s="36"/>
      <c r="E267" s="36"/>
      <c r="F267" s="36"/>
      <c r="G267" s="36"/>
      <c r="H267" s="37"/>
      <c r="I267" s="36"/>
      <c r="J267" s="38"/>
      <c r="K267" s="38"/>
      <c r="L267" s="39"/>
      <c r="M267" s="39"/>
      <c r="N267" s="39"/>
      <c r="O267" s="39"/>
      <c r="P267" s="39"/>
      <c r="Q267" s="39"/>
      <c r="R267" s="39"/>
      <c r="S267" s="39"/>
      <c r="T267" s="39"/>
      <c r="U267" s="39"/>
      <c r="V267" s="39"/>
      <c r="W267" s="39"/>
      <c r="X267" s="39"/>
      <c r="Y267" s="39"/>
      <c r="Z267" s="39"/>
      <c r="AA267" s="39"/>
      <c r="AB267" s="39"/>
    </row>
    <row r="268">
      <c r="A268" s="1"/>
      <c r="B268" s="36"/>
      <c r="C268" s="36"/>
      <c r="D268" s="36"/>
      <c r="E268" s="36"/>
      <c r="F268" s="36"/>
      <c r="G268" s="36"/>
      <c r="H268" s="37"/>
      <c r="I268" s="36"/>
      <c r="J268" s="38"/>
      <c r="K268" s="38"/>
      <c r="L268" s="39"/>
      <c r="M268" s="39"/>
      <c r="N268" s="39"/>
      <c r="O268" s="39"/>
      <c r="P268" s="39"/>
      <c r="Q268" s="39"/>
      <c r="R268" s="39"/>
      <c r="S268" s="39"/>
      <c r="T268" s="39"/>
      <c r="U268" s="39"/>
      <c r="V268" s="39"/>
      <c r="W268" s="39"/>
      <c r="X268" s="39"/>
      <c r="Y268" s="39"/>
      <c r="Z268" s="39"/>
      <c r="AA268" s="39"/>
      <c r="AB268" s="39"/>
    </row>
    <row r="269">
      <c r="A269" s="1"/>
      <c r="B269" s="36"/>
      <c r="C269" s="36"/>
      <c r="D269" s="36"/>
      <c r="E269" s="36"/>
      <c r="F269" s="36"/>
      <c r="G269" s="36"/>
      <c r="H269" s="37"/>
      <c r="I269" s="36"/>
      <c r="J269" s="38"/>
      <c r="K269" s="38"/>
      <c r="L269" s="39"/>
      <c r="M269" s="39"/>
      <c r="N269" s="39"/>
      <c r="O269" s="39"/>
      <c r="P269" s="39"/>
      <c r="Q269" s="39"/>
      <c r="R269" s="39"/>
      <c r="S269" s="39"/>
      <c r="T269" s="39"/>
      <c r="U269" s="39"/>
      <c r="V269" s="39"/>
      <c r="W269" s="39"/>
      <c r="X269" s="39"/>
      <c r="Y269" s="39"/>
      <c r="Z269" s="39"/>
      <c r="AA269" s="39"/>
      <c r="AB269" s="39"/>
    </row>
    <row r="270">
      <c r="A270" s="1"/>
      <c r="B270" s="36"/>
      <c r="C270" s="36"/>
      <c r="D270" s="36"/>
      <c r="E270" s="36"/>
      <c r="F270" s="36"/>
      <c r="G270" s="36"/>
      <c r="H270" s="37"/>
      <c r="I270" s="36"/>
      <c r="J270" s="38"/>
      <c r="K270" s="38"/>
      <c r="L270" s="39"/>
      <c r="M270" s="39"/>
      <c r="N270" s="39"/>
      <c r="O270" s="39"/>
      <c r="P270" s="39"/>
      <c r="Q270" s="39"/>
      <c r="R270" s="39"/>
      <c r="S270" s="39"/>
      <c r="T270" s="39"/>
      <c r="U270" s="39"/>
      <c r="V270" s="39"/>
      <c r="W270" s="39"/>
      <c r="X270" s="39"/>
      <c r="Y270" s="39"/>
      <c r="Z270" s="39"/>
      <c r="AA270" s="39"/>
      <c r="AB270" s="39"/>
    </row>
    <row r="271">
      <c r="A271" s="1"/>
      <c r="B271" s="36"/>
      <c r="C271" s="36"/>
      <c r="D271" s="36"/>
      <c r="E271" s="36"/>
      <c r="F271" s="36"/>
      <c r="G271" s="36"/>
      <c r="H271" s="37"/>
      <c r="I271" s="36"/>
      <c r="J271" s="38"/>
      <c r="K271" s="38"/>
      <c r="L271" s="39"/>
      <c r="M271" s="39"/>
      <c r="N271" s="39"/>
      <c r="O271" s="39"/>
      <c r="P271" s="39"/>
      <c r="Q271" s="39"/>
      <c r="R271" s="39"/>
      <c r="S271" s="39"/>
      <c r="T271" s="39"/>
      <c r="U271" s="39"/>
      <c r="V271" s="39"/>
      <c r="W271" s="39"/>
      <c r="X271" s="39"/>
      <c r="Y271" s="39"/>
      <c r="Z271" s="39"/>
      <c r="AA271" s="39"/>
      <c r="AB271" s="39"/>
    </row>
    <row r="272">
      <c r="A272" s="1"/>
      <c r="B272" s="36"/>
      <c r="C272" s="36"/>
      <c r="D272" s="36"/>
      <c r="E272" s="36"/>
      <c r="F272" s="36"/>
      <c r="G272" s="36"/>
      <c r="H272" s="37"/>
      <c r="I272" s="36"/>
      <c r="J272" s="38"/>
      <c r="K272" s="38"/>
      <c r="L272" s="39"/>
      <c r="M272" s="39"/>
      <c r="N272" s="39"/>
      <c r="O272" s="39"/>
      <c r="P272" s="39"/>
      <c r="Q272" s="39"/>
      <c r="R272" s="39"/>
      <c r="S272" s="39"/>
      <c r="T272" s="39"/>
      <c r="U272" s="39"/>
      <c r="V272" s="39"/>
      <c r="W272" s="39"/>
      <c r="X272" s="39"/>
      <c r="Y272" s="39"/>
      <c r="Z272" s="39"/>
      <c r="AA272" s="39"/>
      <c r="AB272" s="39"/>
    </row>
    <row r="273">
      <c r="A273" s="1"/>
      <c r="B273" s="36"/>
      <c r="C273" s="36"/>
      <c r="D273" s="36"/>
      <c r="E273" s="36"/>
      <c r="F273" s="36"/>
      <c r="G273" s="36"/>
      <c r="H273" s="37"/>
      <c r="I273" s="36"/>
      <c r="J273" s="38"/>
      <c r="K273" s="38"/>
      <c r="L273" s="39"/>
      <c r="M273" s="39"/>
      <c r="N273" s="39"/>
      <c r="O273" s="39"/>
      <c r="P273" s="39"/>
      <c r="Q273" s="39"/>
      <c r="R273" s="39"/>
      <c r="S273" s="39"/>
      <c r="T273" s="39"/>
      <c r="U273" s="39"/>
      <c r="V273" s="39"/>
      <c r="W273" s="39"/>
      <c r="X273" s="39"/>
      <c r="Y273" s="39"/>
      <c r="Z273" s="39"/>
      <c r="AA273" s="39"/>
      <c r="AB273" s="39"/>
    </row>
    <row r="274">
      <c r="A274" s="1"/>
      <c r="B274" s="36"/>
      <c r="C274" s="36"/>
      <c r="D274" s="36"/>
      <c r="E274" s="36"/>
      <c r="F274" s="36"/>
      <c r="G274" s="36"/>
      <c r="H274" s="37"/>
      <c r="I274" s="36"/>
      <c r="J274" s="38"/>
      <c r="K274" s="38"/>
      <c r="L274" s="39"/>
      <c r="M274" s="39"/>
      <c r="N274" s="39"/>
      <c r="O274" s="39"/>
      <c r="P274" s="39"/>
      <c r="Q274" s="39"/>
      <c r="R274" s="39"/>
      <c r="S274" s="39"/>
      <c r="T274" s="39"/>
      <c r="U274" s="39"/>
      <c r="V274" s="39"/>
      <c r="W274" s="39"/>
      <c r="X274" s="39"/>
      <c r="Y274" s="39"/>
      <c r="Z274" s="39"/>
      <c r="AA274" s="39"/>
      <c r="AB274" s="39"/>
    </row>
    <row r="275">
      <c r="A275" s="1"/>
      <c r="B275" s="36"/>
      <c r="C275" s="36"/>
      <c r="D275" s="36"/>
      <c r="E275" s="36"/>
      <c r="F275" s="36"/>
      <c r="G275" s="36"/>
      <c r="H275" s="37"/>
      <c r="I275" s="36"/>
      <c r="J275" s="38"/>
      <c r="K275" s="38"/>
      <c r="L275" s="39"/>
      <c r="M275" s="39"/>
      <c r="N275" s="39"/>
      <c r="O275" s="39"/>
      <c r="P275" s="39"/>
      <c r="Q275" s="39"/>
      <c r="R275" s="39"/>
      <c r="S275" s="39"/>
      <c r="T275" s="39"/>
      <c r="U275" s="39"/>
      <c r="V275" s="39"/>
      <c r="W275" s="39"/>
      <c r="X275" s="39"/>
      <c r="Y275" s="39"/>
      <c r="Z275" s="39"/>
      <c r="AA275" s="39"/>
      <c r="AB275" s="39"/>
    </row>
    <row r="276">
      <c r="A276" s="1"/>
      <c r="B276" s="36"/>
      <c r="C276" s="36"/>
      <c r="D276" s="36"/>
      <c r="E276" s="36"/>
      <c r="F276" s="36"/>
      <c r="G276" s="36"/>
      <c r="H276" s="37"/>
      <c r="I276" s="36"/>
      <c r="J276" s="38"/>
      <c r="K276" s="38"/>
      <c r="L276" s="39"/>
      <c r="M276" s="39"/>
      <c r="N276" s="39"/>
      <c r="O276" s="39"/>
      <c r="P276" s="39"/>
      <c r="Q276" s="39"/>
      <c r="R276" s="39"/>
      <c r="S276" s="39"/>
      <c r="T276" s="39"/>
      <c r="U276" s="39"/>
      <c r="V276" s="39"/>
      <c r="W276" s="39"/>
      <c r="X276" s="39"/>
      <c r="Y276" s="39"/>
      <c r="Z276" s="39"/>
      <c r="AA276" s="39"/>
      <c r="AB276" s="39"/>
    </row>
    <row r="277">
      <c r="A277" s="1"/>
      <c r="B277" s="36"/>
      <c r="C277" s="36"/>
      <c r="D277" s="36"/>
      <c r="E277" s="36"/>
      <c r="F277" s="36"/>
      <c r="G277" s="36"/>
      <c r="H277" s="37"/>
      <c r="I277" s="36"/>
      <c r="J277" s="38"/>
      <c r="K277" s="38"/>
      <c r="L277" s="39"/>
      <c r="M277" s="39"/>
      <c r="N277" s="39"/>
      <c r="O277" s="39"/>
      <c r="P277" s="39"/>
      <c r="Q277" s="39"/>
      <c r="R277" s="39"/>
      <c r="S277" s="39"/>
      <c r="T277" s="39"/>
      <c r="U277" s="39"/>
      <c r="V277" s="39"/>
      <c r="W277" s="39"/>
      <c r="X277" s="39"/>
      <c r="Y277" s="39"/>
      <c r="Z277" s="39"/>
      <c r="AA277" s="39"/>
      <c r="AB277" s="39"/>
    </row>
    <row r="278">
      <c r="A278" s="1"/>
      <c r="B278" s="36"/>
      <c r="C278" s="36"/>
      <c r="D278" s="36"/>
      <c r="E278" s="36"/>
      <c r="F278" s="36"/>
      <c r="G278" s="36"/>
      <c r="H278" s="37"/>
      <c r="I278" s="36"/>
      <c r="J278" s="38"/>
      <c r="K278" s="38"/>
      <c r="L278" s="39"/>
      <c r="M278" s="39"/>
      <c r="N278" s="39"/>
      <c r="O278" s="39"/>
      <c r="P278" s="39"/>
      <c r="Q278" s="39"/>
      <c r="R278" s="39"/>
      <c r="S278" s="39"/>
      <c r="T278" s="39"/>
      <c r="U278" s="39"/>
      <c r="V278" s="39"/>
      <c r="W278" s="39"/>
      <c r="X278" s="39"/>
      <c r="Y278" s="39"/>
      <c r="Z278" s="39"/>
      <c r="AA278" s="39"/>
      <c r="AB278" s="39"/>
    </row>
    <row r="279">
      <c r="A279" s="1"/>
      <c r="B279" s="36"/>
      <c r="C279" s="36"/>
      <c r="D279" s="36"/>
      <c r="E279" s="36"/>
      <c r="F279" s="36"/>
      <c r="G279" s="36"/>
      <c r="H279" s="37"/>
      <c r="I279" s="36"/>
      <c r="J279" s="38"/>
      <c r="K279" s="38"/>
      <c r="L279" s="39"/>
      <c r="M279" s="39"/>
      <c r="N279" s="39"/>
      <c r="O279" s="39"/>
      <c r="P279" s="39"/>
      <c r="Q279" s="39"/>
      <c r="R279" s="39"/>
      <c r="S279" s="39"/>
      <c r="T279" s="39"/>
      <c r="U279" s="39"/>
      <c r="V279" s="39"/>
      <c r="W279" s="39"/>
      <c r="X279" s="39"/>
      <c r="Y279" s="39"/>
      <c r="Z279" s="39"/>
      <c r="AA279" s="39"/>
      <c r="AB279" s="39"/>
    </row>
    <row r="280">
      <c r="A280" s="1"/>
      <c r="B280" s="36"/>
      <c r="C280" s="36"/>
      <c r="D280" s="36"/>
      <c r="E280" s="36"/>
      <c r="F280" s="36"/>
      <c r="G280" s="36"/>
      <c r="H280" s="37"/>
      <c r="I280" s="36"/>
      <c r="J280" s="38"/>
      <c r="K280" s="38"/>
      <c r="L280" s="39"/>
      <c r="M280" s="39"/>
      <c r="N280" s="39"/>
      <c r="O280" s="39"/>
      <c r="P280" s="39"/>
      <c r="Q280" s="39"/>
      <c r="R280" s="39"/>
      <c r="S280" s="39"/>
      <c r="T280" s="39"/>
      <c r="U280" s="39"/>
      <c r="V280" s="39"/>
      <c r="W280" s="39"/>
      <c r="X280" s="39"/>
      <c r="Y280" s="39"/>
      <c r="Z280" s="39"/>
      <c r="AA280" s="39"/>
      <c r="AB280" s="39"/>
    </row>
    <row r="281">
      <c r="A281" s="1"/>
      <c r="B281" s="36"/>
      <c r="C281" s="36"/>
      <c r="D281" s="36"/>
      <c r="E281" s="36"/>
      <c r="F281" s="36"/>
      <c r="G281" s="36"/>
      <c r="H281" s="37"/>
      <c r="I281" s="36"/>
      <c r="J281" s="38"/>
      <c r="K281" s="38"/>
      <c r="L281" s="39"/>
      <c r="M281" s="39"/>
      <c r="N281" s="39"/>
      <c r="O281" s="39"/>
      <c r="P281" s="39"/>
      <c r="Q281" s="39"/>
      <c r="R281" s="39"/>
      <c r="S281" s="39"/>
      <c r="T281" s="39"/>
      <c r="U281" s="39"/>
      <c r="V281" s="39"/>
      <c r="W281" s="39"/>
      <c r="X281" s="39"/>
      <c r="Y281" s="39"/>
      <c r="Z281" s="39"/>
      <c r="AA281" s="39"/>
      <c r="AB281" s="39"/>
    </row>
    <row r="282">
      <c r="A282" s="1"/>
      <c r="B282" s="36"/>
      <c r="C282" s="36"/>
      <c r="D282" s="36"/>
      <c r="E282" s="36"/>
      <c r="F282" s="36"/>
      <c r="G282" s="36"/>
      <c r="H282" s="37"/>
      <c r="I282" s="36"/>
      <c r="J282" s="38"/>
      <c r="K282" s="38"/>
      <c r="L282" s="39"/>
      <c r="M282" s="39"/>
      <c r="N282" s="39"/>
      <c r="O282" s="39"/>
      <c r="P282" s="39"/>
      <c r="Q282" s="39"/>
      <c r="R282" s="39"/>
      <c r="S282" s="39"/>
      <c r="T282" s="39"/>
      <c r="U282" s="39"/>
      <c r="V282" s="39"/>
      <c r="W282" s="39"/>
      <c r="X282" s="39"/>
      <c r="Y282" s="39"/>
      <c r="Z282" s="39"/>
      <c r="AA282" s="39"/>
      <c r="AB282" s="39"/>
    </row>
    <row r="283">
      <c r="A283" s="1"/>
      <c r="B283" s="36"/>
      <c r="C283" s="36"/>
      <c r="D283" s="36"/>
      <c r="E283" s="36"/>
      <c r="F283" s="36"/>
      <c r="G283" s="36"/>
      <c r="H283" s="37"/>
      <c r="I283" s="36"/>
      <c r="J283" s="38"/>
      <c r="K283" s="38"/>
      <c r="L283" s="39"/>
      <c r="M283" s="39"/>
      <c r="N283" s="39"/>
      <c r="O283" s="39"/>
      <c r="P283" s="39"/>
      <c r="Q283" s="39"/>
      <c r="R283" s="39"/>
      <c r="S283" s="39"/>
      <c r="T283" s="39"/>
      <c r="U283" s="39"/>
      <c r="V283" s="39"/>
      <c r="W283" s="39"/>
      <c r="X283" s="39"/>
      <c r="Y283" s="39"/>
      <c r="Z283" s="39"/>
      <c r="AA283" s="39"/>
      <c r="AB283" s="39"/>
    </row>
    <row r="284">
      <c r="A284" s="1"/>
      <c r="B284" s="36"/>
      <c r="C284" s="36"/>
      <c r="D284" s="36"/>
      <c r="E284" s="36"/>
      <c r="F284" s="36"/>
      <c r="G284" s="36"/>
      <c r="H284" s="37"/>
      <c r="I284" s="36"/>
      <c r="J284" s="38"/>
      <c r="K284" s="38"/>
      <c r="L284" s="39"/>
      <c r="M284" s="39"/>
      <c r="N284" s="39"/>
      <c r="O284" s="39"/>
      <c r="P284" s="39"/>
      <c r="Q284" s="39"/>
      <c r="R284" s="39"/>
      <c r="S284" s="39"/>
      <c r="T284" s="39"/>
      <c r="U284" s="39"/>
      <c r="V284" s="39"/>
      <c r="W284" s="39"/>
      <c r="X284" s="39"/>
      <c r="Y284" s="39"/>
      <c r="Z284" s="39"/>
      <c r="AA284" s="39"/>
      <c r="AB284" s="39"/>
    </row>
    <row r="285">
      <c r="A285" s="1"/>
      <c r="B285" s="36"/>
      <c r="C285" s="36"/>
      <c r="D285" s="36"/>
      <c r="E285" s="36"/>
      <c r="F285" s="36"/>
      <c r="G285" s="36"/>
      <c r="H285" s="37"/>
      <c r="I285" s="36"/>
      <c r="J285" s="38"/>
      <c r="K285" s="38"/>
      <c r="L285" s="39"/>
      <c r="M285" s="39"/>
      <c r="N285" s="39"/>
      <c r="O285" s="39"/>
      <c r="P285" s="39"/>
      <c r="Q285" s="39"/>
      <c r="R285" s="39"/>
      <c r="S285" s="39"/>
      <c r="T285" s="39"/>
      <c r="U285" s="39"/>
      <c r="V285" s="39"/>
      <c r="W285" s="39"/>
      <c r="X285" s="39"/>
      <c r="Y285" s="39"/>
      <c r="Z285" s="39"/>
      <c r="AA285" s="39"/>
      <c r="AB285" s="39"/>
    </row>
    <row r="286">
      <c r="A286" s="1"/>
      <c r="B286" s="36"/>
      <c r="C286" s="36"/>
      <c r="D286" s="36"/>
      <c r="E286" s="36"/>
      <c r="F286" s="36"/>
      <c r="G286" s="36"/>
      <c r="H286" s="37"/>
      <c r="I286" s="36"/>
      <c r="J286" s="38"/>
      <c r="K286" s="38"/>
      <c r="L286" s="39"/>
      <c r="M286" s="39"/>
      <c r="N286" s="39"/>
      <c r="O286" s="39"/>
      <c r="P286" s="39"/>
      <c r="Q286" s="39"/>
      <c r="R286" s="39"/>
      <c r="S286" s="39"/>
      <c r="T286" s="39"/>
      <c r="U286" s="39"/>
      <c r="V286" s="39"/>
      <c r="W286" s="39"/>
      <c r="X286" s="39"/>
      <c r="Y286" s="39"/>
      <c r="Z286" s="39"/>
      <c r="AA286" s="39"/>
      <c r="AB286" s="39"/>
    </row>
    <row r="287">
      <c r="A287" s="1"/>
      <c r="B287" s="36"/>
      <c r="C287" s="36"/>
      <c r="D287" s="36"/>
      <c r="E287" s="36"/>
      <c r="F287" s="36"/>
      <c r="G287" s="36"/>
      <c r="H287" s="37"/>
      <c r="I287" s="36"/>
      <c r="J287" s="38"/>
      <c r="K287" s="38"/>
      <c r="L287" s="39"/>
      <c r="M287" s="39"/>
      <c r="N287" s="39"/>
      <c r="O287" s="39"/>
      <c r="P287" s="39"/>
      <c r="Q287" s="39"/>
      <c r="R287" s="39"/>
      <c r="S287" s="39"/>
      <c r="T287" s="39"/>
      <c r="U287" s="39"/>
      <c r="V287" s="39"/>
      <c r="W287" s="39"/>
      <c r="X287" s="39"/>
      <c r="Y287" s="39"/>
      <c r="Z287" s="39"/>
      <c r="AA287" s="39"/>
      <c r="AB287" s="39"/>
    </row>
    <row r="288">
      <c r="A288" s="1"/>
      <c r="B288" s="36"/>
      <c r="C288" s="36"/>
      <c r="D288" s="36"/>
      <c r="E288" s="36"/>
      <c r="F288" s="36"/>
      <c r="G288" s="36"/>
      <c r="H288" s="37"/>
      <c r="I288" s="36"/>
      <c r="J288" s="38"/>
      <c r="K288" s="38"/>
      <c r="L288" s="39"/>
      <c r="M288" s="39"/>
      <c r="N288" s="39"/>
      <c r="O288" s="39"/>
      <c r="P288" s="39"/>
      <c r="Q288" s="39"/>
      <c r="R288" s="39"/>
      <c r="S288" s="39"/>
      <c r="T288" s="39"/>
      <c r="U288" s="39"/>
      <c r="V288" s="39"/>
      <c r="W288" s="39"/>
      <c r="X288" s="39"/>
      <c r="Y288" s="39"/>
      <c r="Z288" s="39"/>
      <c r="AA288" s="39"/>
      <c r="AB288" s="39"/>
    </row>
    <row r="289">
      <c r="A289" s="1"/>
      <c r="B289" s="36"/>
      <c r="C289" s="36"/>
      <c r="D289" s="36"/>
      <c r="E289" s="36"/>
      <c r="F289" s="36"/>
      <c r="G289" s="36"/>
      <c r="H289" s="37"/>
      <c r="I289" s="36"/>
      <c r="J289" s="38"/>
      <c r="K289" s="38"/>
      <c r="L289" s="39"/>
      <c r="M289" s="39"/>
      <c r="N289" s="39"/>
      <c r="O289" s="39"/>
      <c r="P289" s="39"/>
      <c r="Q289" s="39"/>
      <c r="R289" s="39"/>
      <c r="S289" s="39"/>
      <c r="T289" s="39"/>
      <c r="U289" s="39"/>
      <c r="V289" s="39"/>
      <c r="W289" s="39"/>
      <c r="X289" s="39"/>
      <c r="Y289" s="39"/>
      <c r="Z289" s="39"/>
      <c r="AA289" s="39"/>
      <c r="AB289" s="39"/>
    </row>
    <row r="290">
      <c r="A290" s="1"/>
      <c r="B290" s="36"/>
      <c r="C290" s="36"/>
      <c r="D290" s="36"/>
      <c r="E290" s="36"/>
      <c r="F290" s="36"/>
      <c r="G290" s="36"/>
      <c r="H290" s="37"/>
      <c r="I290" s="36"/>
      <c r="J290" s="38"/>
      <c r="K290" s="38"/>
      <c r="L290" s="39"/>
      <c r="M290" s="39"/>
      <c r="N290" s="39"/>
      <c r="O290" s="39"/>
      <c r="P290" s="39"/>
      <c r="Q290" s="39"/>
      <c r="R290" s="39"/>
      <c r="S290" s="39"/>
      <c r="T290" s="39"/>
      <c r="U290" s="39"/>
      <c r="V290" s="39"/>
      <c r="W290" s="39"/>
      <c r="X290" s="39"/>
      <c r="Y290" s="39"/>
      <c r="Z290" s="39"/>
      <c r="AA290" s="39"/>
      <c r="AB290" s="39"/>
    </row>
    <row r="291">
      <c r="A291" s="1"/>
      <c r="B291" s="36"/>
      <c r="C291" s="36"/>
      <c r="D291" s="36"/>
      <c r="E291" s="36"/>
      <c r="F291" s="36"/>
      <c r="G291" s="36"/>
      <c r="H291" s="37"/>
      <c r="I291" s="36"/>
      <c r="J291" s="38"/>
      <c r="K291" s="38"/>
      <c r="L291" s="39"/>
      <c r="M291" s="39"/>
      <c r="N291" s="39"/>
      <c r="O291" s="39"/>
      <c r="P291" s="39"/>
      <c r="Q291" s="39"/>
      <c r="R291" s="39"/>
      <c r="S291" s="39"/>
      <c r="T291" s="39"/>
      <c r="U291" s="39"/>
      <c r="V291" s="39"/>
      <c r="W291" s="39"/>
      <c r="X291" s="39"/>
      <c r="Y291" s="39"/>
      <c r="Z291" s="39"/>
      <c r="AA291" s="39"/>
      <c r="AB291" s="39"/>
    </row>
    <row r="292">
      <c r="A292" s="1"/>
      <c r="B292" s="36"/>
      <c r="C292" s="36"/>
      <c r="D292" s="36"/>
      <c r="E292" s="36"/>
      <c r="F292" s="36"/>
      <c r="G292" s="36"/>
      <c r="H292" s="37"/>
      <c r="I292" s="36"/>
      <c r="J292" s="38"/>
      <c r="K292" s="38"/>
      <c r="L292" s="39"/>
      <c r="M292" s="39"/>
      <c r="N292" s="39"/>
      <c r="O292" s="39"/>
      <c r="P292" s="39"/>
      <c r="Q292" s="39"/>
      <c r="R292" s="39"/>
      <c r="S292" s="39"/>
      <c r="T292" s="39"/>
      <c r="U292" s="39"/>
      <c r="V292" s="39"/>
      <c r="W292" s="39"/>
      <c r="X292" s="39"/>
      <c r="Y292" s="39"/>
      <c r="Z292" s="39"/>
      <c r="AA292" s="39"/>
      <c r="AB292" s="39"/>
    </row>
    <row r="293">
      <c r="A293" s="1"/>
      <c r="B293" s="36"/>
      <c r="C293" s="36"/>
      <c r="D293" s="36"/>
      <c r="E293" s="36"/>
      <c r="F293" s="36"/>
      <c r="G293" s="36"/>
      <c r="H293" s="37"/>
      <c r="I293" s="36"/>
      <c r="J293" s="38"/>
      <c r="K293" s="38"/>
      <c r="L293" s="39"/>
      <c r="M293" s="39"/>
      <c r="N293" s="39"/>
      <c r="O293" s="39"/>
      <c r="P293" s="39"/>
      <c r="Q293" s="39"/>
      <c r="R293" s="39"/>
      <c r="S293" s="39"/>
      <c r="T293" s="39"/>
      <c r="U293" s="39"/>
      <c r="V293" s="39"/>
      <c r="W293" s="39"/>
      <c r="X293" s="39"/>
      <c r="Y293" s="39"/>
      <c r="Z293" s="39"/>
      <c r="AA293" s="39"/>
      <c r="AB293" s="39"/>
    </row>
    <row r="294">
      <c r="A294" s="1"/>
      <c r="B294" s="36"/>
      <c r="C294" s="36"/>
      <c r="D294" s="36"/>
      <c r="E294" s="36"/>
      <c r="F294" s="36"/>
      <c r="G294" s="36"/>
      <c r="H294" s="37"/>
      <c r="I294" s="36"/>
      <c r="J294" s="38"/>
      <c r="K294" s="38"/>
      <c r="L294" s="39"/>
      <c r="M294" s="39"/>
      <c r="N294" s="39"/>
      <c r="O294" s="39"/>
      <c r="P294" s="39"/>
      <c r="Q294" s="39"/>
      <c r="R294" s="39"/>
      <c r="S294" s="39"/>
      <c r="T294" s="39"/>
      <c r="U294" s="39"/>
      <c r="V294" s="39"/>
      <c r="W294" s="39"/>
      <c r="X294" s="39"/>
      <c r="Y294" s="39"/>
      <c r="Z294" s="39"/>
      <c r="AA294" s="39"/>
      <c r="AB294" s="39"/>
    </row>
    <row r="295">
      <c r="A295" s="1"/>
      <c r="B295" s="36"/>
      <c r="C295" s="36"/>
      <c r="D295" s="36"/>
      <c r="E295" s="36"/>
      <c r="F295" s="36"/>
      <c r="G295" s="36"/>
      <c r="H295" s="37"/>
      <c r="I295" s="36"/>
      <c r="J295" s="38"/>
      <c r="K295" s="38"/>
      <c r="L295" s="39"/>
      <c r="M295" s="39"/>
      <c r="N295" s="39"/>
      <c r="O295" s="39"/>
      <c r="P295" s="39"/>
      <c r="Q295" s="39"/>
      <c r="R295" s="39"/>
      <c r="S295" s="39"/>
      <c r="T295" s="39"/>
      <c r="U295" s="39"/>
      <c r="V295" s="39"/>
      <c r="W295" s="39"/>
      <c r="X295" s="39"/>
      <c r="Y295" s="39"/>
      <c r="Z295" s="39"/>
      <c r="AA295" s="39"/>
      <c r="AB295" s="39"/>
    </row>
    <row r="296">
      <c r="A296" s="1"/>
      <c r="B296" s="36"/>
      <c r="C296" s="36"/>
      <c r="D296" s="36"/>
      <c r="E296" s="36"/>
      <c r="F296" s="36"/>
      <c r="G296" s="36"/>
      <c r="H296" s="37"/>
      <c r="I296" s="36"/>
      <c r="J296" s="38"/>
      <c r="K296" s="38"/>
      <c r="L296" s="39"/>
      <c r="M296" s="39"/>
      <c r="N296" s="39"/>
      <c r="O296" s="39"/>
      <c r="P296" s="39"/>
      <c r="Q296" s="39"/>
      <c r="R296" s="39"/>
      <c r="S296" s="39"/>
      <c r="T296" s="39"/>
      <c r="U296" s="39"/>
      <c r="V296" s="39"/>
      <c r="W296" s="39"/>
      <c r="X296" s="39"/>
      <c r="Y296" s="39"/>
      <c r="Z296" s="39"/>
      <c r="AA296" s="39"/>
      <c r="AB296" s="39"/>
    </row>
    <row r="297">
      <c r="A297" s="1"/>
      <c r="B297" s="36"/>
      <c r="C297" s="36"/>
      <c r="D297" s="36"/>
      <c r="E297" s="36"/>
      <c r="F297" s="36"/>
      <c r="G297" s="36"/>
      <c r="H297" s="37"/>
      <c r="I297" s="36"/>
      <c r="J297" s="38"/>
      <c r="K297" s="38"/>
      <c r="L297" s="39"/>
      <c r="M297" s="39"/>
      <c r="N297" s="39"/>
      <c r="O297" s="39"/>
      <c r="P297" s="39"/>
      <c r="Q297" s="39"/>
      <c r="R297" s="39"/>
      <c r="S297" s="39"/>
      <c r="T297" s="39"/>
      <c r="U297" s="39"/>
      <c r="V297" s="39"/>
      <c r="W297" s="39"/>
      <c r="X297" s="39"/>
      <c r="Y297" s="39"/>
      <c r="Z297" s="39"/>
      <c r="AA297" s="39"/>
      <c r="AB297" s="39"/>
    </row>
    <row r="298">
      <c r="A298" s="1"/>
      <c r="B298" s="36"/>
      <c r="C298" s="36"/>
      <c r="D298" s="36"/>
      <c r="E298" s="36"/>
      <c r="F298" s="36"/>
      <c r="G298" s="36"/>
      <c r="H298" s="37"/>
      <c r="I298" s="36"/>
      <c r="J298" s="38"/>
      <c r="K298" s="38"/>
      <c r="L298" s="39"/>
      <c r="M298" s="39"/>
      <c r="N298" s="39"/>
      <c r="O298" s="39"/>
      <c r="P298" s="39"/>
      <c r="Q298" s="39"/>
      <c r="R298" s="39"/>
      <c r="S298" s="39"/>
      <c r="T298" s="39"/>
      <c r="U298" s="39"/>
      <c r="V298" s="39"/>
      <c r="W298" s="39"/>
      <c r="X298" s="39"/>
      <c r="Y298" s="39"/>
      <c r="Z298" s="39"/>
      <c r="AA298" s="39"/>
      <c r="AB298" s="39"/>
    </row>
    <row r="299">
      <c r="A299" s="1"/>
      <c r="B299" s="36"/>
      <c r="C299" s="36"/>
      <c r="D299" s="36"/>
      <c r="E299" s="36"/>
      <c r="F299" s="36"/>
      <c r="G299" s="36"/>
      <c r="H299" s="37"/>
      <c r="I299" s="36"/>
      <c r="J299" s="38"/>
      <c r="K299" s="38"/>
      <c r="L299" s="39"/>
      <c r="M299" s="39"/>
      <c r="N299" s="39"/>
      <c r="O299" s="39"/>
      <c r="P299" s="39"/>
      <c r="Q299" s="39"/>
      <c r="R299" s="39"/>
      <c r="S299" s="39"/>
      <c r="T299" s="39"/>
      <c r="U299" s="39"/>
      <c r="V299" s="39"/>
      <c r="W299" s="39"/>
      <c r="X299" s="39"/>
      <c r="Y299" s="39"/>
      <c r="Z299" s="39"/>
      <c r="AA299" s="39"/>
      <c r="AB299" s="39"/>
    </row>
    <row r="300">
      <c r="A300" s="1"/>
      <c r="B300" s="36"/>
      <c r="C300" s="36"/>
      <c r="D300" s="36"/>
      <c r="E300" s="36"/>
      <c r="F300" s="36"/>
      <c r="G300" s="36"/>
      <c r="H300" s="37"/>
      <c r="I300" s="36"/>
      <c r="J300" s="38"/>
      <c r="K300" s="38"/>
      <c r="L300" s="39"/>
      <c r="M300" s="39"/>
      <c r="N300" s="39"/>
      <c r="O300" s="39"/>
      <c r="P300" s="39"/>
      <c r="Q300" s="39"/>
      <c r="R300" s="39"/>
      <c r="S300" s="39"/>
      <c r="T300" s="39"/>
      <c r="U300" s="39"/>
      <c r="V300" s="39"/>
      <c r="W300" s="39"/>
      <c r="X300" s="39"/>
      <c r="Y300" s="39"/>
      <c r="Z300" s="39"/>
      <c r="AA300" s="39"/>
      <c r="AB300" s="39"/>
    </row>
    <row r="301">
      <c r="A301" s="1"/>
      <c r="B301" s="36"/>
      <c r="C301" s="36"/>
      <c r="D301" s="36"/>
      <c r="E301" s="36"/>
      <c r="F301" s="36"/>
      <c r="G301" s="36"/>
      <c r="H301" s="37"/>
      <c r="I301" s="36"/>
      <c r="J301" s="38"/>
      <c r="K301" s="38"/>
      <c r="L301" s="39"/>
      <c r="M301" s="39"/>
      <c r="N301" s="39"/>
      <c r="O301" s="39"/>
      <c r="P301" s="39"/>
      <c r="Q301" s="39"/>
      <c r="R301" s="39"/>
      <c r="S301" s="39"/>
      <c r="T301" s="39"/>
      <c r="U301" s="39"/>
      <c r="V301" s="39"/>
      <c r="W301" s="39"/>
      <c r="X301" s="39"/>
      <c r="Y301" s="39"/>
      <c r="Z301" s="39"/>
      <c r="AA301" s="39"/>
      <c r="AB301" s="39"/>
    </row>
    <row r="302">
      <c r="A302" s="1"/>
      <c r="B302" s="36"/>
      <c r="C302" s="36"/>
      <c r="D302" s="36"/>
      <c r="E302" s="36"/>
      <c r="F302" s="36"/>
      <c r="G302" s="36"/>
      <c r="H302" s="37"/>
      <c r="I302" s="36"/>
      <c r="J302" s="38"/>
      <c r="K302" s="38"/>
      <c r="L302" s="39"/>
      <c r="M302" s="39"/>
      <c r="N302" s="39"/>
      <c r="O302" s="39"/>
      <c r="P302" s="39"/>
      <c r="Q302" s="39"/>
      <c r="R302" s="39"/>
      <c r="S302" s="39"/>
      <c r="T302" s="39"/>
      <c r="U302" s="39"/>
      <c r="V302" s="39"/>
      <c r="W302" s="39"/>
      <c r="X302" s="39"/>
      <c r="Y302" s="39"/>
      <c r="Z302" s="39"/>
      <c r="AA302" s="39"/>
      <c r="AB302" s="39"/>
    </row>
    <row r="303">
      <c r="A303" s="1"/>
      <c r="B303" s="36"/>
      <c r="C303" s="36"/>
      <c r="D303" s="36"/>
      <c r="E303" s="36"/>
      <c r="F303" s="36"/>
      <c r="G303" s="36"/>
      <c r="H303" s="37"/>
      <c r="I303" s="36"/>
      <c r="J303" s="38"/>
      <c r="K303" s="38"/>
      <c r="L303" s="39"/>
      <c r="M303" s="39"/>
      <c r="N303" s="39"/>
      <c r="O303" s="39"/>
      <c r="P303" s="39"/>
      <c r="Q303" s="39"/>
      <c r="R303" s="39"/>
      <c r="S303" s="39"/>
      <c r="T303" s="39"/>
      <c r="U303" s="39"/>
      <c r="V303" s="39"/>
      <c r="W303" s="39"/>
      <c r="X303" s="39"/>
      <c r="Y303" s="39"/>
      <c r="Z303" s="39"/>
      <c r="AA303" s="39"/>
      <c r="AB303" s="39"/>
    </row>
    <row r="304">
      <c r="A304" s="1"/>
      <c r="B304" s="36"/>
      <c r="C304" s="36"/>
      <c r="D304" s="36"/>
      <c r="E304" s="36"/>
      <c r="F304" s="36"/>
      <c r="G304" s="36"/>
      <c r="H304" s="37"/>
      <c r="I304" s="36"/>
      <c r="J304" s="38"/>
      <c r="K304" s="38"/>
      <c r="L304" s="39"/>
      <c r="M304" s="39"/>
      <c r="N304" s="39"/>
      <c r="O304" s="39"/>
      <c r="P304" s="39"/>
      <c r="Q304" s="39"/>
      <c r="R304" s="39"/>
      <c r="S304" s="39"/>
      <c r="T304" s="39"/>
      <c r="U304" s="39"/>
      <c r="V304" s="39"/>
      <c r="W304" s="39"/>
      <c r="X304" s="39"/>
      <c r="Y304" s="39"/>
      <c r="Z304" s="39"/>
      <c r="AA304" s="39"/>
      <c r="AB304" s="39"/>
    </row>
    <row r="305">
      <c r="A305" s="1"/>
      <c r="B305" s="36"/>
      <c r="C305" s="36"/>
      <c r="D305" s="36"/>
      <c r="E305" s="36"/>
      <c r="F305" s="36"/>
      <c r="G305" s="36"/>
      <c r="H305" s="37"/>
      <c r="I305" s="36"/>
      <c r="J305" s="38"/>
      <c r="K305" s="38"/>
      <c r="L305" s="39"/>
      <c r="M305" s="39"/>
      <c r="N305" s="39"/>
      <c r="O305" s="39"/>
      <c r="P305" s="39"/>
      <c r="Q305" s="39"/>
      <c r="R305" s="39"/>
      <c r="S305" s="39"/>
      <c r="T305" s="39"/>
      <c r="U305" s="39"/>
      <c r="V305" s="39"/>
      <c r="W305" s="39"/>
      <c r="X305" s="39"/>
      <c r="Y305" s="39"/>
      <c r="Z305" s="39"/>
      <c r="AA305" s="39"/>
      <c r="AB305" s="39"/>
    </row>
    <row r="306">
      <c r="A306" s="1"/>
      <c r="B306" s="36"/>
      <c r="C306" s="36"/>
      <c r="D306" s="36"/>
      <c r="E306" s="36"/>
      <c r="F306" s="36"/>
      <c r="G306" s="36"/>
      <c r="H306" s="37"/>
      <c r="I306" s="36"/>
      <c r="J306" s="38"/>
      <c r="K306" s="38"/>
      <c r="L306" s="39"/>
      <c r="M306" s="39"/>
      <c r="N306" s="39"/>
      <c r="O306" s="39"/>
      <c r="P306" s="39"/>
      <c r="Q306" s="39"/>
      <c r="R306" s="39"/>
      <c r="S306" s="39"/>
      <c r="T306" s="39"/>
      <c r="U306" s="39"/>
      <c r="V306" s="39"/>
      <c r="W306" s="39"/>
      <c r="X306" s="39"/>
      <c r="Y306" s="39"/>
      <c r="Z306" s="39"/>
      <c r="AA306" s="39"/>
      <c r="AB306" s="39"/>
    </row>
    <row r="307">
      <c r="A307" s="1"/>
      <c r="B307" s="36"/>
      <c r="C307" s="36"/>
      <c r="D307" s="36"/>
      <c r="E307" s="36"/>
      <c r="F307" s="36"/>
      <c r="G307" s="36"/>
      <c r="H307" s="37"/>
      <c r="I307" s="36"/>
      <c r="J307" s="38"/>
      <c r="K307" s="38"/>
      <c r="L307" s="39"/>
      <c r="M307" s="39"/>
      <c r="N307" s="39"/>
      <c r="O307" s="39"/>
      <c r="P307" s="39"/>
      <c r="Q307" s="39"/>
      <c r="R307" s="39"/>
      <c r="S307" s="39"/>
      <c r="T307" s="39"/>
      <c r="U307" s="39"/>
      <c r="V307" s="39"/>
      <c r="W307" s="39"/>
      <c r="X307" s="39"/>
      <c r="Y307" s="39"/>
      <c r="Z307" s="39"/>
      <c r="AA307" s="39"/>
      <c r="AB307" s="39"/>
    </row>
    <row r="308">
      <c r="A308" s="1"/>
      <c r="B308" s="36"/>
      <c r="C308" s="36"/>
      <c r="D308" s="36"/>
      <c r="E308" s="36"/>
      <c r="F308" s="36"/>
      <c r="G308" s="36"/>
      <c r="H308" s="37"/>
      <c r="I308" s="36"/>
      <c r="J308" s="38"/>
      <c r="K308" s="38"/>
      <c r="L308" s="39"/>
      <c r="M308" s="39"/>
      <c r="N308" s="39"/>
      <c r="O308" s="39"/>
      <c r="P308" s="39"/>
      <c r="Q308" s="39"/>
      <c r="R308" s="39"/>
      <c r="S308" s="39"/>
      <c r="T308" s="39"/>
      <c r="U308" s="39"/>
      <c r="V308" s="39"/>
      <c r="W308" s="39"/>
      <c r="X308" s="39"/>
      <c r="Y308" s="39"/>
      <c r="Z308" s="39"/>
      <c r="AA308" s="39"/>
      <c r="AB308" s="39"/>
    </row>
    <row r="309">
      <c r="A309" s="1"/>
      <c r="B309" s="36"/>
      <c r="C309" s="36"/>
      <c r="D309" s="36"/>
      <c r="E309" s="36"/>
      <c r="F309" s="36"/>
      <c r="G309" s="36"/>
      <c r="H309" s="37"/>
      <c r="I309" s="36"/>
      <c r="J309" s="38"/>
      <c r="K309" s="38"/>
      <c r="L309" s="39"/>
      <c r="M309" s="39"/>
      <c r="N309" s="39"/>
      <c r="O309" s="39"/>
      <c r="P309" s="39"/>
      <c r="Q309" s="39"/>
      <c r="R309" s="39"/>
      <c r="S309" s="39"/>
      <c r="T309" s="39"/>
      <c r="U309" s="39"/>
      <c r="V309" s="39"/>
      <c r="W309" s="39"/>
      <c r="X309" s="39"/>
      <c r="Y309" s="39"/>
      <c r="Z309" s="39"/>
      <c r="AA309" s="39"/>
      <c r="AB309" s="39"/>
    </row>
    <row r="310">
      <c r="A310" s="1"/>
      <c r="B310" s="36"/>
      <c r="C310" s="36"/>
      <c r="D310" s="36"/>
      <c r="E310" s="36"/>
      <c r="F310" s="36"/>
      <c r="G310" s="36"/>
      <c r="H310" s="37"/>
      <c r="I310" s="36"/>
      <c r="J310" s="38"/>
      <c r="K310" s="38"/>
      <c r="L310" s="39"/>
      <c r="M310" s="39"/>
      <c r="N310" s="39"/>
      <c r="O310" s="39"/>
      <c r="P310" s="39"/>
      <c r="Q310" s="39"/>
      <c r="R310" s="39"/>
      <c r="S310" s="39"/>
      <c r="T310" s="39"/>
      <c r="U310" s="39"/>
      <c r="V310" s="39"/>
      <c r="W310" s="39"/>
      <c r="X310" s="39"/>
      <c r="Y310" s="39"/>
      <c r="Z310" s="39"/>
      <c r="AA310" s="39"/>
      <c r="AB310" s="39"/>
    </row>
    <row r="311">
      <c r="A311" s="1"/>
      <c r="B311" s="36"/>
      <c r="C311" s="36"/>
      <c r="D311" s="36"/>
      <c r="E311" s="36"/>
      <c r="F311" s="36"/>
      <c r="G311" s="36"/>
      <c r="H311" s="37"/>
      <c r="I311" s="36"/>
      <c r="J311" s="38"/>
      <c r="K311" s="38"/>
      <c r="L311" s="39"/>
      <c r="M311" s="39"/>
      <c r="N311" s="39"/>
      <c r="O311" s="39"/>
      <c r="P311" s="39"/>
      <c r="Q311" s="39"/>
      <c r="R311" s="39"/>
      <c r="S311" s="39"/>
      <c r="T311" s="39"/>
      <c r="U311" s="39"/>
      <c r="V311" s="39"/>
      <c r="W311" s="39"/>
      <c r="X311" s="39"/>
      <c r="Y311" s="39"/>
      <c r="Z311" s="39"/>
      <c r="AA311" s="39"/>
      <c r="AB311" s="39"/>
    </row>
    <row r="312">
      <c r="A312" s="1"/>
      <c r="B312" s="36"/>
      <c r="C312" s="36"/>
      <c r="D312" s="36"/>
      <c r="E312" s="36"/>
      <c r="F312" s="36"/>
      <c r="G312" s="36"/>
      <c r="H312" s="37"/>
      <c r="I312" s="36"/>
      <c r="J312" s="38"/>
      <c r="K312" s="38"/>
      <c r="L312" s="39"/>
      <c r="M312" s="39"/>
      <c r="N312" s="39"/>
      <c r="O312" s="39"/>
      <c r="P312" s="39"/>
      <c r="Q312" s="39"/>
      <c r="R312" s="39"/>
      <c r="S312" s="39"/>
      <c r="T312" s="39"/>
      <c r="U312" s="39"/>
      <c r="V312" s="39"/>
      <c r="W312" s="39"/>
      <c r="X312" s="39"/>
      <c r="Y312" s="39"/>
      <c r="Z312" s="39"/>
      <c r="AA312" s="39"/>
      <c r="AB312" s="39"/>
    </row>
    <row r="313">
      <c r="A313" s="1"/>
      <c r="B313" s="36"/>
      <c r="C313" s="36"/>
      <c r="D313" s="36"/>
      <c r="E313" s="36"/>
      <c r="F313" s="36"/>
      <c r="G313" s="36"/>
      <c r="H313" s="37"/>
      <c r="I313" s="36"/>
      <c r="J313" s="38"/>
      <c r="K313" s="38"/>
      <c r="L313" s="39"/>
      <c r="M313" s="39"/>
      <c r="N313" s="39"/>
      <c r="O313" s="39"/>
      <c r="P313" s="39"/>
      <c r="Q313" s="39"/>
      <c r="R313" s="39"/>
      <c r="S313" s="39"/>
      <c r="T313" s="39"/>
      <c r="U313" s="39"/>
      <c r="V313" s="39"/>
      <c r="W313" s="39"/>
      <c r="X313" s="39"/>
      <c r="Y313" s="39"/>
      <c r="Z313" s="39"/>
      <c r="AA313" s="39"/>
      <c r="AB313" s="39"/>
    </row>
    <row r="314">
      <c r="A314" s="1"/>
      <c r="B314" s="36"/>
      <c r="C314" s="36"/>
      <c r="D314" s="36"/>
      <c r="E314" s="36"/>
      <c r="F314" s="36"/>
      <c r="G314" s="36"/>
      <c r="H314" s="37"/>
      <c r="I314" s="36"/>
      <c r="J314" s="38"/>
      <c r="K314" s="38"/>
      <c r="L314" s="39"/>
      <c r="M314" s="39"/>
      <c r="N314" s="39"/>
      <c r="O314" s="39"/>
      <c r="P314" s="39"/>
      <c r="Q314" s="39"/>
      <c r="R314" s="39"/>
      <c r="S314" s="39"/>
      <c r="T314" s="39"/>
      <c r="U314" s="39"/>
      <c r="V314" s="39"/>
      <c r="W314" s="39"/>
      <c r="X314" s="39"/>
      <c r="Y314" s="39"/>
      <c r="Z314" s="39"/>
      <c r="AA314" s="39"/>
      <c r="AB314" s="39"/>
    </row>
    <row r="315">
      <c r="A315" s="1"/>
      <c r="B315" s="36"/>
      <c r="C315" s="36"/>
      <c r="D315" s="36"/>
      <c r="E315" s="36"/>
      <c r="F315" s="36"/>
      <c r="G315" s="36"/>
      <c r="H315" s="37"/>
      <c r="I315" s="36"/>
      <c r="J315" s="38"/>
      <c r="K315" s="38"/>
      <c r="L315" s="39"/>
      <c r="M315" s="39"/>
      <c r="N315" s="39"/>
      <c r="O315" s="39"/>
      <c r="P315" s="39"/>
      <c r="Q315" s="39"/>
      <c r="R315" s="39"/>
      <c r="S315" s="39"/>
      <c r="T315" s="39"/>
      <c r="U315" s="39"/>
      <c r="V315" s="39"/>
      <c r="W315" s="39"/>
      <c r="X315" s="39"/>
      <c r="Y315" s="39"/>
      <c r="Z315" s="39"/>
      <c r="AA315" s="39"/>
      <c r="AB315" s="39"/>
    </row>
    <row r="316">
      <c r="A316" s="1"/>
      <c r="B316" s="36"/>
      <c r="C316" s="36"/>
      <c r="D316" s="36"/>
      <c r="E316" s="36"/>
      <c r="F316" s="36"/>
      <c r="G316" s="36"/>
      <c r="H316" s="37"/>
      <c r="I316" s="36"/>
      <c r="J316" s="38"/>
      <c r="K316" s="38"/>
      <c r="L316" s="39"/>
      <c r="M316" s="39"/>
      <c r="N316" s="39"/>
      <c r="O316" s="39"/>
      <c r="P316" s="39"/>
      <c r="Q316" s="39"/>
      <c r="R316" s="39"/>
      <c r="S316" s="39"/>
      <c r="T316" s="39"/>
      <c r="U316" s="39"/>
      <c r="V316" s="39"/>
      <c r="W316" s="39"/>
      <c r="X316" s="39"/>
      <c r="Y316" s="39"/>
      <c r="Z316" s="39"/>
      <c r="AA316" s="39"/>
      <c r="AB316" s="39"/>
    </row>
    <row r="317">
      <c r="A317" s="1"/>
      <c r="B317" s="36"/>
      <c r="C317" s="36"/>
      <c r="D317" s="36"/>
      <c r="E317" s="36"/>
      <c r="F317" s="36"/>
      <c r="G317" s="36"/>
      <c r="H317" s="37"/>
      <c r="I317" s="36"/>
      <c r="J317" s="38"/>
      <c r="K317" s="38"/>
      <c r="L317" s="39"/>
      <c r="M317" s="39"/>
      <c r="N317" s="39"/>
      <c r="O317" s="39"/>
      <c r="P317" s="39"/>
      <c r="Q317" s="39"/>
      <c r="R317" s="39"/>
      <c r="S317" s="39"/>
      <c r="T317" s="39"/>
      <c r="U317" s="39"/>
      <c r="V317" s="39"/>
      <c r="W317" s="39"/>
      <c r="X317" s="39"/>
      <c r="Y317" s="39"/>
      <c r="Z317" s="39"/>
      <c r="AA317" s="39"/>
      <c r="AB317" s="39"/>
    </row>
    <row r="318">
      <c r="A318" s="1"/>
      <c r="B318" s="36"/>
      <c r="C318" s="36"/>
      <c r="D318" s="36"/>
      <c r="E318" s="36"/>
      <c r="F318" s="36"/>
      <c r="G318" s="36"/>
      <c r="H318" s="37"/>
      <c r="I318" s="36"/>
      <c r="J318" s="38"/>
      <c r="K318" s="38"/>
      <c r="L318" s="39"/>
      <c r="M318" s="39"/>
      <c r="N318" s="39"/>
      <c r="O318" s="39"/>
      <c r="P318" s="39"/>
      <c r="Q318" s="39"/>
      <c r="R318" s="39"/>
      <c r="S318" s="39"/>
      <c r="T318" s="39"/>
      <c r="U318" s="39"/>
      <c r="V318" s="39"/>
      <c r="W318" s="39"/>
      <c r="X318" s="39"/>
      <c r="Y318" s="39"/>
      <c r="Z318" s="39"/>
      <c r="AA318" s="39"/>
      <c r="AB318" s="39"/>
    </row>
    <row r="319">
      <c r="A319" s="1"/>
      <c r="B319" s="36"/>
      <c r="C319" s="36"/>
      <c r="D319" s="36"/>
      <c r="E319" s="36"/>
      <c r="F319" s="36"/>
      <c r="G319" s="36"/>
      <c r="H319" s="37"/>
      <c r="I319" s="36"/>
      <c r="J319" s="38"/>
      <c r="K319" s="38"/>
      <c r="L319" s="39"/>
      <c r="M319" s="39"/>
      <c r="N319" s="39"/>
      <c r="O319" s="39"/>
      <c r="P319" s="39"/>
      <c r="Q319" s="39"/>
      <c r="R319" s="39"/>
      <c r="S319" s="39"/>
      <c r="T319" s="39"/>
      <c r="U319" s="39"/>
      <c r="V319" s="39"/>
      <c r="W319" s="39"/>
      <c r="X319" s="39"/>
      <c r="Y319" s="39"/>
      <c r="Z319" s="39"/>
      <c r="AA319" s="39"/>
      <c r="AB319" s="39"/>
    </row>
    <row r="320">
      <c r="A320" s="1"/>
      <c r="B320" s="36"/>
      <c r="C320" s="36"/>
      <c r="D320" s="36"/>
      <c r="E320" s="36"/>
      <c r="F320" s="36"/>
      <c r="G320" s="36"/>
      <c r="H320" s="37"/>
      <c r="I320" s="36"/>
      <c r="J320" s="38"/>
      <c r="K320" s="38"/>
      <c r="L320" s="39"/>
      <c r="M320" s="39"/>
      <c r="N320" s="39"/>
      <c r="O320" s="39"/>
      <c r="P320" s="39"/>
      <c r="Q320" s="39"/>
      <c r="R320" s="39"/>
      <c r="S320" s="39"/>
      <c r="T320" s="39"/>
      <c r="U320" s="39"/>
      <c r="V320" s="39"/>
      <c r="W320" s="39"/>
      <c r="X320" s="39"/>
      <c r="Y320" s="39"/>
      <c r="Z320" s="39"/>
      <c r="AA320" s="39"/>
      <c r="AB320" s="39"/>
    </row>
    <row r="321">
      <c r="A321" s="1"/>
      <c r="B321" s="36"/>
      <c r="C321" s="36"/>
      <c r="D321" s="36"/>
      <c r="E321" s="36"/>
      <c r="F321" s="36"/>
      <c r="G321" s="36"/>
      <c r="H321" s="37"/>
      <c r="I321" s="36"/>
      <c r="J321" s="38"/>
      <c r="K321" s="38"/>
      <c r="L321" s="39"/>
      <c r="M321" s="39"/>
      <c r="N321" s="39"/>
      <c r="O321" s="39"/>
      <c r="P321" s="39"/>
      <c r="Q321" s="39"/>
      <c r="R321" s="39"/>
      <c r="S321" s="39"/>
      <c r="T321" s="39"/>
      <c r="U321" s="39"/>
      <c r="V321" s="39"/>
      <c r="W321" s="39"/>
      <c r="X321" s="39"/>
      <c r="Y321" s="39"/>
      <c r="Z321" s="39"/>
      <c r="AA321" s="39"/>
      <c r="AB321" s="39"/>
    </row>
    <row r="322">
      <c r="A322" s="1"/>
      <c r="B322" s="36"/>
      <c r="C322" s="36"/>
      <c r="D322" s="36"/>
      <c r="E322" s="36"/>
      <c r="F322" s="36"/>
      <c r="G322" s="36"/>
      <c r="H322" s="37"/>
      <c r="I322" s="36"/>
      <c r="J322" s="38"/>
      <c r="K322" s="38"/>
      <c r="L322" s="39"/>
      <c r="M322" s="39"/>
      <c r="N322" s="39"/>
      <c r="O322" s="39"/>
      <c r="P322" s="39"/>
      <c r="Q322" s="39"/>
      <c r="R322" s="39"/>
      <c r="S322" s="39"/>
      <c r="T322" s="39"/>
      <c r="U322" s="39"/>
      <c r="V322" s="39"/>
      <c r="W322" s="39"/>
      <c r="X322" s="39"/>
      <c r="Y322" s="39"/>
      <c r="Z322" s="39"/>
      <c r="AA322" s="39"/>
      <c r="AB322" s="39"/>
    </row>
    <row r="323">
      <c r="A323" s="1"/>
      <c r="B323" s="36"/>
      <c r="C323" s="36"/>
      <c r="D323" s="36"/>
      <c r="E323" s="36"/>
      <c r="F323" s="36"/>
      <c r="G323" s="36"/>
      <c r="H323" s="37"/>
      <c r="I323" s="36"/>
      <c r="J323" s="38"/>
      <c r="K323" s="38"/>
      <c r="L323" s="39"/>
      <c r="M323" s="39"/>
      <c r="N323" s="39"/>
      <c r="O323" s="39"/>
      <c r="P323" s="39"/>
      <c r="Q323" s="39"/>
      <c r="R323" s="39"/>
      <c r="S323" s="39"/>
      <c r="T323" s="39"/>
      <c r="U323" s="39"/>
      <c r="V323" s="39"/>
      <c r="W323" s="39"/>
      <c r="X323" s="39"/>
      <c r="Y323" s="39"/>
      <c r="Z323" s="39"/>
      <c r="AA323" s="39"/>
      <c r="AB323" s="39"/>
    </row>
    <row r="324">
      <c r="A324" s="1"/>
      <c r="B324" s="36"/>
      <c r="C324" s="36"/>
      <c r="D324" s="36"/>
      <c r="E324" s="36"/>
      <c r="F324" s="36"/>
      <c r="G324" s="36"/>
      <c r="H324" s="37"/>
      <c r="I324" s="36"/>
      <c r="J324" s="38"/>
      <c r="K324" s="38"/>
      <c r="L324" s="39"/>
      <c r="M324" s="39"/>
      <c r="N324" s="39"/>
      <c r="O324" s="39"/>
      <c r="P324" s="39"/>
      <c r="Q324" s="39"/>
      <c r="R324" s="39"/>
      <c r="S324" s="39"/>
      <c r="T324" s="39"/>
      <c r="U324" s="39"/>
      <c r="V324" s="39"/>
      <c r="W324" s="39"/>
      <c r="X324" s="39"/>
      <c r="Y324" s="39"/>
      <c r="Z324" s="39"/>
      <c r="AA324" s="39"/>
      <c r="AB324" s="39"/>
    </row>
    <row r="325">
      <c r="A325" s="1"/>
      <c r="B325" s="36"/>
      <c r="C325" s="36"/>
      <c r="D325" s="36"/>
      <c r="E325" s="36"/>
      <c r="F325" s="36"/>
      <c r="G325" s="36"/>
      <c r="H325" s="37"/>
      <c r="I325" s="36"/>
      <c r="J325" s="38"/>
      <c r="K325" s="38"/>
      <c r="L325" s="39"/>
      <c r="M325" s="39"/>
      <c r="N325" s="39"/>
      <c r="O325" s="39"/>
      <c r="P325" s="39"/>
      <c r="Q325" s="39"/>
      <c r="R325" s="39"/>
      <c r="S325" s="39"/>
      <c r="T325" s="39"/>
      <c r="U325" s="39"/>
      <c r="V325" s="39"/>
      <c r="W325" s="39"/>
      <c r="X325" s="39"/>
      <c r="Y325" s="39"/>
      <c r="Z325" s="39"/>
      <c r="AA325" s="39"/>
      <c r="AB325" s="39"/>
    </row>
    <row r="326">
      <c r="A326" s="1"/>
      <c r="B326" s="36"/>
      <c r="C326" s="36"/>
      <c r="D326" s="36"/>
      <c r="E326" s="36"/>
      <c r="F326" s="36"/>
      <c r="G326" s="36"/>
      <c r="H326" s="37"/>
      <c r="I326" s="36"/>
      <c r="J326" s="38"/>
      <c r="K326" s="38"/>
      <c r="L326" s="39"/>
      <c r="M326" s="39"/>
      <c r="N326" s="39"/>
      <c r="O326" s="39"/>
      <c r="P326" s="39"/>
      <c r="Q326" s="39"/>
      <c r="R326" s="39"/>
      <c r="S326" s="39"/>
      <c r="T326" s="39"/>
      <c r="U326" s="39"/>
      <c r="V326" s="39"/>
      <c r="W326" s="39"/>
      <c r="X326" s="39"/>
      <c r="Y326" s="39"/>
      <c r="Z326" s="39"/>
      <c r="AA326" s="39"/>
      <c r="AB326" s="39"/>
    </row>
    <row r="327">
      <c r="A327" s="1"/>
      <c r="B327" s="36"/>
      <c r="C327" s="36"/>
      <c r="D327" s="36"/>
      <c r="E327" s="36"/>
      <c r="F327" s="36"/>
      <c r="G327" s="36"/>
      <c r="H327" s="37"/>
      <c r="I327" s="36"/>
      <c r="J327" s="38"/>
      <c r="K327" s="38"/>
      <c r="L327" s="39"/>
      <c r="M327" s="39"/>
      <c r="N327" s="39"/>
      <c r="O327" s="39"/>
      <c r="P327" s="39"/>
      <c r="Q327" s="39"/>
      <c r="R327" s="39"/>
      <c r="S327" s="39"/>
      <c r="T327" s="39"/>
      <c r="U327" s="39"/>
      <c r="V327" s="39"/>
      <c r="W327" s="39"/>
      <c r="X327" s="39"/>
      <c r="Y327" s="39"/>
      <c r="Z327" s="39"/>
      <c r="AA327" s="39"/>
      <c r="AB327" s="39"/>
    </row>
    <row r="328">
      <c r="A328" s="1"/>
      <c r="B328" s="36"/>
      <c r="C328" s="36"/>
      <c r="D328" s="36"/>
      <c r="E328" s="36"/>
      <c r="F328" s="36"/>
      <c r="G328" s="36"/>
      <c r="H328" s="37"/>
      <c r="I328" s="36"/>
      <c r="J328" s="38"/>
      <c r="K328" s="38"/>
      <c r="L328" s="39"/>
      <c r="M328" s="39"/>
      <c r="N328" s="39"/>
      <c r="O328" s="39"/>
      <c r="P328" s="39"/>
      <c r="Q328" s="39"/>
      <c r="R328" s="39"/>
      <c r="S328" s="39"/>
      <c r="T328" s="39"/>
      <c r="U328" s="39"/>
      <c r="V328" s="39"/>
      <c r="W328" s="39"/>
      <c r="X328" s="39"/>
      <c r="Y328" s="39"/>
      <c r="Z328" s="39"/>
      <c r="AA328" s="39"/>
      <c r="AB328" s="39"/>
    </row>
    <row r="329">
      <c r="A329" s="1"/>
      <c r="B329" s="36"/>
      <c r="C329" s="36"/>
      <c r="D329" s="36"/>
      <c r="E329" s="36"/>
      <c r="F329" s="36"/>
      <c r="G329" s="36"/>
      <c r="H329" s="37"/>
      <c r="I329" s="36"/>
      <c r="J329" s="38"/>
      <c r="K329" s="38"/>
      <c r="L329" s="39"/>
      <c r="M329" s="39"/>
      <c r="N329" s="39"/>
      <c r="O329" s="39"/>
      <c r="P329" s="39"/>
      <c r="Q329" s="39"/>
      <c r="R329" s="39"/>
      <c r="S329" s="39"/>
      <c r="T329" s="39"/>
      <c r="U329" s="39"/>
      <c r="V329" s="39"/>
      <c r="W329" s="39"/>
      <c r="X329" s="39"/>
      <c r="Y329" s="39"/>
      <c r="Z329" s="39"/>
      <c r="AA329" s="39"/>
      <c r="AB329" s="39"/>
    </row>
    <row r="330">
      <c r="A330" s="1"/>
      <c r="B330" s="36"/>
      <c r="C330" s="36"/>
      <c r="D330" s="36"/>
      <c r="E330" s="36"/>
      <c r="F330" s="36"/>
      <c r="G330" s="36"/>
      <c r="H330" s="37"/>
      <c r="I330" s="36"/>
      <c r="J330" s="38"/>
      <c r="K330" s="38"/>
      <c r="L330" s="39"/>
      <c r="M330" s="39"/>
      <c r="N330" s="39"/>
      <c r="O330" s="39"/>
      <c r="P330" s="39"/>
      <c r="Q330" s="39"/>
      <c r="R330" s="39"/>
      <c r="S330" s="39"/>
      <c r="T330" s="39"/>
      <c r="U330" s="39"/>
      <c r="V330" s="39"/>
      <c r="W330" s="39"/>
      <c r="X330" s="39"/>
      <c r="Y330" s="39"/>
      <c r="Z330" s="39"/>
      <c r="AA330" s="39"/>
      <c r="AB330" s="39"/>
    </row>
    <row r="331">
      <c r="A331" s="1"/>
      <c r="B331" s="36"/>
      <c r="C331" s="36"/>
      <c r="D331" s="36"/>
      <c r="E331" s="36"/>
      <c r="F331" s="36"/>
      <c r="G331" s="36"/>
      <c r="H331" s="37"/>
      <c r="I331" s="36"/>
      <c r="J331" s="38"/>
      <c r="K331" s="38"/>
      <c r="L331" s="39"/>
      <c r="M331" s="39"/>
      <c r="N331" s="39"/>
      <c r="O331" s="39"/>
      <c r="P331" s="39"/>
      <c r="Q331" s="39"/>
      <c r="R331" s="39"/>
      <c r="S331" s="39"/>
      <c r="T331" s="39"/>
      <c r="U331" s="39"/>
      <c r="V331" s="39"/>
      <c r="W331" s="39"/>
      <c r="X331" s="39"/>
      <c r="Y331" s="39"/>
      <c r="Z331" s="39"/>
      <c r="AA331" s="39"/>
      <c r="AB331" s="39"/>
    </row>
    <row r="332">
      <c r="A332" s="1"/>
      <c r="B332" s="36"/>
      <c r="C332" s="36"/>
      <c r="D332" s="36"/>
      <c r="E332" s="36"/>
      <c r="F332" s="36"/>
      <c r="G332" s="36"/>
      <c r="H332" s="37"/>
      <c r="I332" s="36"/>
      <c r="J332" s="38"/>
      <c r="K332" s="38"/>
      <c r="L332" s="39"/>
      <c r="M332" s="39"/>
      <c r="N332" s="39"/>
      <c r="O332" s="39"/>
      <c r="P332" s="39"/>
      <c r="Q332" s="39"/>
      <c r="R332" s="39"/>
      <c r="S332" s="39"/>
      <c r="T332" s="39"/>
      <c r="U332" s="39"/>
      <c r="V332" s="39"/>
      <c r="W332" s="39"/>
      <c r="X332" s="39"/>
      <c r="Y332" s="39"/>
      <c r="Z332" s="39"/>
      <c r="AA332" s="39"/>
      <c r="AB332" s="39"/>
    </row>
    <row r="333">
      <c r="A333" s="1"/>
      <c r="B333" s="36"/>
      <c r="C333" s="36"/>
      <c r="D333" s="36"/>
      <c r="E333" s="36"/>
      <c r="F333" s="36"/>
      <c r="G333" s="36"/>
      <c r="H333" s="37"/>
      <c r="I333" s="36"/>
      <c r="J333" s="38"/>
      <c r="K333" s="38"/>
      <c r="L333" s="39"/>
      <c r="M333" s="39"/>
      <c r="N333" s="39"/>
      <c r="O333" s="39"/>
      <c r="P333" s="39"/>
      <c r="Q333" s="39"/>
      <c r="R333" s="39"/>
      <c r="S333" s="39"/>
      <c r="T333" s="39"/>
      <c r="U333" s="39"/>
      <c r="V333" s="39"/>
      <c r="W333" s="39"/>
      <c r="X333" s="39"/>
      <c r="Y333" s="39"/>
      <c r="Z333" s="39"/>
      <c r="AA333" s="39"/>
      <c r="AB333" s="39"/>
    </row>
    <row r="334">
      <c r="A334" s="1"/>
      <c r="B334" s="36"/>
      <c r="C334" s="36"/>
      <c r="D334" s="36"/>
      <c r="E334" s="36"/>
      <c r="F334" s="36"/>
      <c r="G334" s="36"/>
      <c r="H334" s="37"/>
      <c r="I334" s="36"/>
      <c r="J334" s="38"/>
      <c r="K334" s="38"/>
      <c r="L334" s="39"/>
      <c r="M334" s="39"/>
      <c r="N334" s="39"/>
      <c r="O334" s="39"/>
      <c r="P334" s="39"/>
      <c r="Q334" s="39"/>
      <c r="R334" s="39"/>
      <c r="S334" s="39"/>
      <c r="T334" s="39"/>
      <c r="U334" s="39"/>
      <c r="V334" s="39"/>
      <c r="W334" s="39"/>
      <c r="X334" s="39"/>
      <c r="Y334" s="39"/>
      <c r="Z334" s="39"/>
      <c r="AA334" s="39"/>
      <c r="AB334" s="39"/>
    </row>
    <row r="335">
      <c r="A335" s="1"/>
      <c r="B335" s="36"/>
      <c r="C335" s="36"/>
      <c r="D335" s="36"/>
      <c r="E335" s="36"/>
      <c r="F335" s="36"/>
      <c r="G335" s="36"/>
      <c r="H335" s="37"/>
      <c r="I335" s="36"/>
      <c r="J335" s="38"/>
      <c r="K335" s="38"/>
      <c r="L335" s="39"/>
      <c r="M335" s="39"/>
      <c r="N335" s="39"/>
      <c r="O335" s="39"/>
      <c r="P335" s="39"/>
      <c r="Q335" s="39"/>
      <c r="R335" s="39"/>
      <c r="S335" s="39"/>
      <c r="T335" s="39"/>
      <c r="U335" s="39"/>
      <c r="V335" s="39"/>
      <c r="W335" s="39"/>
      <c r="X335" s="39"/>
      <c r="Y335" s="39"/>
      <c r="Z335" s="39"/>
      <c r="AA335" s="39"/>
      <c r="AB335" s="39"/>
    </row>
    <row r="336">
      <c r="A336" s="1"/>
      <c r="B336" s="36"/>
      <c r="C336" s="36"/>
      <c r="D336" s="36"/>
      <c r="E336" s="36"/>
      <c r="F336" s="36"/>
      <c r="G336" s="36"/>
      <c r="H336" s="37"/>
      <c r="I336" s="36"/>
      <c r="J336" s="38"/>
      <c r="K336" s="38"/>
      <c r="L336" s="39"/>
      <c r="M336" s="39"/>
      <c r="N336" s="39"/>
      <c r="O336" s="39"/>
      <c r="P336" s="39"/>
      <c r="Q336" s="39"/>
      <c r="R336" s="39"/>
      <c r="S336" s="39"/>
      <c r="T336" s="39"/>
      <c r="U336" s="39"/>
      <c r="V336" s="39"/>
      <c r="W336" s="39"/>
      <c r="X336" s="39"/>
      <c r="Y336" s="39"/>
      <c r="Z336" s="39"/>
      <c r="AA336" s="39"/>
      <c r="AB336" s="39"/>
    </row>
    <row r="337">
      <c r="A337" s="1"/>
      <c r="B337" s="36"/>
      <c r="C337" s="36"/>
      <c r="D337" s="36"/>
      <c r="E337" s="36"/>
      <c r="F337" s="36"/>
      <c r="G337" s="36"/>
      <c r="H337" s="37"/>
      <c r="I337" s="36"/>
      <c r="J337" s="38"/>
      <c r="K337" s="38"/>
      <c r="L337" s="39"/>
      <c r="M337" s="39"/>
      <c r="N337" s="39"/>
      <c r="O337" s="39"/>
      <c r="P337" s="39"/>
      <c r="Q337" s="39"/>
      <c r="R337" s="39"/>
      <c r="S337" s="39"/>
      <c r="T337" s="39"/>
      <c r="U337" s="39"/>
      <c r="V337" s="39"/>
      <c r="W337" s="39"/>
      <c r="X337" s="39"/>
      <c r="Y337" s="39"/>
      <c r="Z337" s="39"/>
      <c r="AA337" s="39"/>
      <c r="AB337" s="39"/>
    </row>
    <row r="338">
      <c r="A338" s="1"/>
      <c r="B338" s="36"/>
      <c r="C338" s="36"/>
      <c r="D338" s="36"/>
      <c r="E338" s="36"/>
      <c r="F338" s="36"/>
      <c r="G338" s="36"/>
      <c r="H338" s="37"/>
      <c r="I338" s="36"/>
      <c r="J338" s="38"/>
      <c r="K338" s="38"/>
      <c r="L338" s="39"/>
      <c r="M338" s="39"/>
      <c r="N338" s="39"/>
      <c r="O338" s="39"/>
      <c r="P338" s="39"/>
      <c r="Q338" s="39"/>
      <c r="R338" s="39"/>
      <c r="S338" s="39"/>
      <c r="T338" s="39"/>
      <c r="U338" s="39"/>
      <c r="V338" s="39"/>
      <c r="W338" s="39"/>
      <c r="X338" s="39"/>
      <c r="Y338" s="39"/>
      <c r="Z338" s="39"/>
      <c r="AA338" s="39"/>
      <c r="AB338" s="39"/>
    </row>
    <row r="339">
      <c r="A339" s="1"/>
      <c r="B339" s="36"/>
      <c r="C339" s="36"/>
      <c r="D339" s="36"/>
      <c r="E339" s="36"/>
      <c r="F339" s="36"/>
      <c r="G339" s="36"/>
      <c r="H339" s="37"/>
      <c r="I339" s="36"/>
      <c r="J339" s="38"/>
      <c r="K339" s="38"/>
      <c r="L339" s="39"/>
      <c r="M339" s="39"/>
      <c r="N339" s="39"/>
      <c r="O339" s="39"/>
      <c r="P339" s="39"/>
      <c r="Q339" s="39"/>
      <c r="R339" s="39"/>
      <c r="S339" s="39"/>
      <c r="T339" s="39"/>
      <c r="U339" s="39"/>
      <c r="V339" s="39"/>
      <c r="W339" s="39"/>
      <c r="X339" s="39"/>
      <c r="Y339" s="39"/>
      <c r="Z339" s="39"/>
      <c r="AA339" s="39"/>
      <c r="AB339" s="39"/>
    </row>
    <row r="340">
      <c r="A340" s="1"/>
      <c r="B340" s="36"/>
      <c r="C340" s="36"/>
      <c r="D340" s="36"/>
      <c r="E340" s="36"/>
      <c r="F340" s="36"/>
      <c r="G340" s="36"/>
      <c r="H340" s="37"/>
      <c r="I340" s="36"/>
      <c r="J340" s="38"/>
      <c r="K340" s="38"/>
      <c r="L340" s="39"/>
      <c r="M340" s="39"/>
      <c r="N340" s="39"/>
      <c r="O340" s="39"/>
      <c r="P340" s="39"/>
      <c r="Q340" s="39"/>
      <c r="R340" s="39"/>
      <c r="S340" s="39"/>
      <c r="T340" s="39"/>
      <c r="U340" s="39"/>
      <c r="V340" s="39"/>
      <c r="W340" s="39"/>
      <c r="X340" s="39"/>
      <c r="Y340" s="39"/>
      <c r="Z340" s="39"/>
      <c r="AA340" s="39"/>
      <c r="AB340" s="39"/>
    </row>
    <row r="341">
      <c r="A341" s="1"/>
      <c r="B341" s="36"/>
      <c r="C341" s="36"/>
      <c r="D341" s="36"/>
      <c r="E341" s="36"/>
      <c r="F341" s="36"/>
      <c r="G341" s="36"/>
      <c r="H341" s="37"/>
      <c r="I341" s="36"/>
      <c r="J341" s="38"/>
      <c r="K341" s="38"/>
      <c r="L341" s="39"/>
      <c r="M341" s="39"/>
      <c r="N341" s="39"/>
      <c r="O341" s="39"/>
      <c r="P341" s="39"/>
      <c r="Q341" s="39"/>
      <c r="R341" s="39"/>
      <c r="S341" s="39"/>
      <c r="T341" s="39"/>
      <c r="U341" s="39"/>
      <c r="V341" s="39"/>
      <c r="W341" s="39"/>
      <c r="X341" s="39"/>
      <c r="Y341" s="39"/>
      <c r="Z341" s="39"/>
      <c r="AA341" s="39"/>
      <c r="AB341" s="39"/>
    </row>
    <row r="342">
      <c r="A342" s="1"/>
      <c r="B342" s="36"/>
      <c r="C342" s="36"/>
      <c r="D342" s="36"/>
      <c r="E342" s="36"/>
      <c r="F342" s="36"/>
      <c r="G342" s="36"/>
      <c r="H342" s="37"/>
      <c r="I342" s="36"/>
      <c r="J342" s="38"/>
      <c r="K342" s="38"/>
      <c r="L342" s="39"/>
      <c r="M342" s="39"/>
      <c r="N342" s="39"/>
      <c r="O342" s="39"/>
      <c r="P342" s="39"/>
      <c r="Q342" s="39"/>
      <c r="R342" s="39"/>
      <c r="S342" s="39"/>
      <c r="T342" s="39"/>
      <c r="U342" s="39"/>
      <c r="V342" s="39"/>
      <c r="W342" s="39"/>
      <c r="X342" s="39"/>
      <c r="Y342" s="39"/>
      <c r="Z342" s="39"/>
      <c r="AA342" s="39"/>
      <c r="AB342" s="39"/>
    </row>
    <row r="343">
      <c r="A343" s="1"/>
      <c r="B343" s="36"/>
      <c r="C343" s="36"/>
      <c r="D343" s="36"/>
      <c r="E343" s="36"/>
      <c r="F343" s="36"/>
      <c r="G343" s="36"/>
      <c r="H343" s="37"/>
      <c r="I343" s="36"/>
      <c r="J343" s="38"/>
      <c r="K343" s="38"/>
      <c r="L343" s="39"/>
      <c r="M343" s="39"/>
      <c r="N343" s="39"/>
      <c r="O343" s="39"/>
      <c r="P343" s="39"/>
      <c r="Q343" s="39"/>
      <c r="R343" s="39"/>
      <c r="S343" s="39"/>
      <c r="T343" s="39"/>
      <c r="U343" s="39"/>
      <c r="V343" s="39"/>
      <c r="W343" s="39"/>
      <c r="X343" s="39"/>
      <c r="Y343" s="39"/>
      <c r="Z343" s="39"/>
      <c r="AA343" s="39"/>
      <c r="AB343" s="39"/>
    </row>
    <row r="344">
      <c r="A344" s="1"/>
      <c r="B344" s="36"/>
      <c r="C344" s="36"/>
      <c r="D344" s="36"/>
      <c r="E344" s="36"/>
      <c r="F344" s="36"/>
      <c r="G344" s="36"/>
      <c r="H344" s="37"/>
      <c r="I344" s="36"/>
      <c r="J344" s="38"/>
      <c r="K344" s="38"/>
      <c r="L344" s="39"/>
      <c r="M344" s="39"/>
      <c r="N344" s="39"/>
      <c r="O344" s="39"/>
      <c r="P344" s="39"/>
      <c r="Q344" s="39"/>
      <c r="R344" s="39"/>
      <c r="S344" s="39"/>
      <c r="T344" s="39"/>
      <c r="U344" s="39"/>
      <c r="V344" s="39"/>
      <c r="W344" s="39"/>
      <c r="X344" s="39"/>
      <c r="Y344" s="39"/>
      <c r="Z344" s="39"/>
      <c r="AA344" s="39"/>
      <c r="AB344" s="39"/>
    </row>
    <row r="345">
      <c r="A345" s="1"/>
      <c r="B345" s="36"/>
      <c r="C345" s="36"/>
      <c r="D345" s="36"/>
      <c r="E345" s="36"/>
      <c r="F345" s="36"/>
      <c r="G345" s="36"/>
      <c r="H345" s="37"/>
      <c r="I345" s="36"/>
      <c r="J345" s="38"/>
      <c r="K345" s="38"/>
      <c r="L345" s="39"/>
      <c r="M345" s="39"/>
      <c r="N345" s="39"/>
      <c r="O345" s="39"/>
      <c r="P345" s="39"/>
      <c r="Q345" s="39"/>
      <c r="R345" s="39"/>
      <c r="S345" s="39"/>
      <c r="T345" s="39"/>
      <c r="U345" s="39"/>
      <c r="V345" s="39"/>
      <c r="W345" s="39"/>
      <c r="X345" s="39"/>
      <c r="Y345" s="39"/>
      <c r="Z345" s="39"/>
      <c r="AA345" s="39"/>
      <c r="AB345" s="39"/>
    </row>
    <row r="346">
      <c r="A346" s="1"/>
      <c r="B346" s="36"/>
      <c r="C346" s="36"/>
      <c r="D346" s="36"/>
      <c r="E346" s="36"/>
      <c r="F346" s="36"/>
      <c r="G346" s="36"/>
      <c r="H346" s="37"/>
      <c r="I346" s="36"/>
      <c r="J346" s="38"/>
      <c r="K346" s="38"/>
      <c r="L346" s="39"/>
      <c r="M346" s="39"/>
      <c r="N346" s="39"/>
      <c r="O346" s="39"/>
      <c r="P346" s="39"/>
      <c r="Q346" s="39"/>
      <c r="R346" s="39"/>
      <c r="S346" s="39"/>
      <c r="T346" s="39"/>
      <c r="U346" s="39"/>
      <c r="V346" s="39"/>
      <c r="W346" s="39"/>
      <c r="X346" s="39"/>
      <c r="Y346" s="39"/>
      <c r="Z346" s="39"/>
      <c r="AA346" s="39"/>
      <c r="AB346" s="39"/>
    </row>
    <row r="347">
      <c r="A347" s="1"/>
      <c r="B347" s="36"/>
      <c r="C347" s="36"/>
      <c r="D347" s="36"/>
      <c r="E347" s="36"/>
      <c r="F347" s="36"/>
      <c r="G347" s="36"/>
      <c r="H347" s="37"/>
      <c r="I347" s="36"/>
      <c r="J347" s="38"/>
      <c r="K347" s="38"/>
      <c r="L347" s="39"/>
      <c r="M347" s="39"/>
      <c r="N347" s="39"/>
      <c r="O347" s="39"/>
      <c r="P347" s="39"/>
      <c r="Q347" s="39"/>
      <c r="R347" s="39"/>
      <c r="S347" s="39"/>
      <c r="T347" s="39"/>
      <c r="U347" s="39"/>
      <c r="V347" s="39"/>
      <c r="W347" s="39"/>
      <c r="X347" s="39"/>
      <c r="Y347" s="39"/>
      <c r="Z347" s="39"/>
      <c r="AA347" s="39"/>
      <c r="AB347" s="39"/>
    </row>
    <row r="348">
      <c r="A348" s="1"/>
      <c r="B348" s="36"/>
      <c r="C348" s="36"/>
      <c r="D348" s="36"/>
      <c r="E348" s="36"/>
      <c r="F348" s="36"/>
      <c r="G348" s="36"/>
      <c r="H348" s="37"/>
      <c r="I348" s="36"/>
      <c r="J348" s="38"/>
      <c r="K348" s="38"/>
      <c r="L348" s="39"/>
      <c r="M348" s="39"/>
      <c r="N348" s="39"/>
      <c r="O348" s="39"/>
      <c r="P348" s="39"/>
      <c r="Q348" s="39"/>
      <c r="R348" s="39"/>
      <c r="S348" s="39"/>
      <c r="T348" s="39"/>
      <c r="U348" s="39"/>
      <c r="V348" s="39"/>
      <c r="W348" s="39"/>
      <c r="X348" s="39"/>
      <c r="Y348" s="39"/>
      <c r="Z348" s="39"/>
      <c r="AA348" s="39"/>
      <c r="AB348" s="39"/>
    </row>
    <row r="349">
      <c r="A349" s="1"/>
      <c r="B349" s="36"/>
      <c r="C349" s="36"/>
      <c r="D349" s="36"/>
      <c r="E349" s="36"/>
      <c r="F349" s="36"/>
      <c r="G349" s="36"/>
      <c r="H349" s="37"/>
      <c r="I349" s="36"/>
      <c r="J349" s="38"/>
      <c r="K349" s="38"/>
      <c r="L349" s="39"/>
      <c r="M349" s="39"/>
      <c r="N349" s="39"/>
      <c r="O349" s="39"/>
      <c r="P349" s="39"/>
      <c r="Q349" s="39"/>
      <c r="R349" s="39"/>
      <c r="S349" s="39"/>
      <c r="T349" s="39"/>
      <c r="U349" s="39"/>
      <c r="V349" s="39"/>
      <c r="W349" s="39"/>
      <c r="X349" s="39"/>
      <c r="Y349" s="39"/>
      <c r="Z349" s="39"/>
      <c r="AA349" s="39"/>
      <c r="AB349" s="39"/>
    </row>
    <row r="350">
      <c r="A350" s="1"/>
      <c r="B350" s="36"/>
      <c r="C350" s="36"/>
      <c r="D350" s="36"/>
      <c r="E350" s="36"/>
      <c r="F350" s="36"/>
      <c r="G350" s="36"/>
      <c r="H350" s="37"/>
      <c r="I350" s="36"/>
      <c r="J350" s="38"/>
      <c r="K350" s="38"/>
      <c r="L350" s="39"/>
      <c r="M350" s="39"/>
      <c r="N350" s="39"/>
      <c r="O350" s="39"/>
      <c r="P350" s="39"/>
      <c r="Q350" s="39"/>
      <c r="R350" s="39"/>
      <c r="S350" s="39"/>
      <c r="T350" s="39"/>
      <c r="U350" s="39"/>
      <c r="V350" s="39"/>
      <c r="W350" s="39"/>
      <c r="X350" s="39"/>
      <c r="Y350" s="39"/>
      <c r="Z350" s="39"/>
      <c r="AA350" s="39"/>
      <c r="AB350" s="39"/>
    </row>
    <row r="351">
      <c r="A351" s="1"/>
      <c r="B351" s="36"/>
      <c r="C351" s="36"/>
      <c r="D351" s="36"/>
      <c r="E351" s="36"/>
      <c r="F351" s="36"/>
      <c r="G351" s="36"/>
      <c r="H351" s="37"/>
      <c r="I351" s="36"/>
      <c r="J351" s="38"/>
      <c r="K351" s="38"/>
      <c r="L351" s="39"/>
      <c r="M351" s="39"/>
      <c r="N351" s="39"/>
      <c r="O351" s="39"/>
      <c r="P351" s="39"/>
      <c r="Q351" s="39"/>
      <c r="R351" s="39"/>
      <c r="S351" s="39"/>
      <c r="T351" s="39"/>
      <c r="U351" s="39"/>
      <c r="V351" s="39"/>
      <c r="W351" s="39"/>
      <c r="X351" s="39"/>
      <c r="Y351" s="39"/>
      <c r="Z351" s="39"/>
      <c r="AA351" s="39"/>
      <c r="AB351" s="39"/>
    </row>
    <row r="352">
      <c r="A352" s="1"/>
      <c r="B352" s="36"/>
      <c r="C352" s="36"/>
      <c r="D352" s="36"/>
      <c r="E352" s="36"/>
      <c r="F352" s="36"/>
      <c r="G352" s="36"/>
      <c r="H352" s="37"/>
      <c r="I352" s="36"/>
      <c r="J352" s="38"/>
      <c r="K352" s="38"/>
      <c r="L352" s="39"/>
      <c r="M352" s="39"/>
      <c r="N352" s="39"/>
      <c r="O352" s="39"/>
      <c r="P352" s="39"/>
      <c r="Q352" s="39"/>
      <c r="R352" s="39"/>
      <c r="S352" s="39"/>
      <c r="T352" s="39"/>
      <c r="U352" s="39"/>
      <c r="V352" s="39"/>
      <c r="W352" s="39"/>
      <c r="X352" s="39"/>
      <c r="Y352" s="39"/>
      <c r="Z352" s="39"/>
      <c r="AA352" s="39"/>
      <c r="AB352" s="39"/>
    </row>
    <row r="353">
      <c r="A353" s="1"/>
      <c r="B353" s="36"/>
      <c r="C353" s="36"/>
      <c r="D353" s="36"/>
      <c r="E353" s="36"/>
      <c r="F353" s="36"/>
      <c r="G353" s="36"/>
      <c r="H353" s="37"/>
      <c r="I353" s="36"/>
      <c r="J353" s="38"/>
      <c r="K353" s="38"/>
      <c r="L353" s="39"/>
      <c r="M353" s="39"/>
      <c r="N353" s="39"/>
      <c r="O353" s="39"/>
      <c r="P353" s="39"/>
      <c r="Q353" s="39"/>
      <c r="R353" s="39"/>
      <c r="S353" s="39"/>
      <c r="T353" s="39"/>
      <c r="U353" s="39"/>
      <c r="V353" s="39"/>
      <c r="W353" s="39"/>
      <c r="X353" s="39"/>
      <c r="Y353" s="39"/>
      <c r="Z353" s="39"/>
      <c r="AA353" s="39"/>
      <c r="AB353" s="39"/>
    </row>
    <row r="354">
      <c r="A354" s="1"/>
      <c r="B354" s="36"/>
      <c r="C354" s="36"/>
      <c r="D354" s="36"/>
      <c r="E354" s="36"/>
      <c r="F354" s="36"/>
      <c r="G354" s="36"/>
      <c r="H354" s="37"/>
      <c r="I354" s="36"/>
      <c r="J354" s="38"/>
      <c r="K354" s="38"/>
      <c r="L354" s="39"/>
      <c r="M354" s="39"/>
      <c r="N354" s="39"/>
      <c r="O354" s="39"/>
      <c r="P354" s="39"/>
      <c r="Q354" s="39"/>
      <c r="R354" s="39"/>
      <c r="S354" s="39"/>
      <c r="T354" s="39"/>
      <c r="U354" s="39"/>
      <c r="V354" s="39"/>
      <c r="W354" s="39"/>
      <c r="X354" s="39"/>
      <c r="Y354" s="39"/>
      <c r="Z354" s="39"/>
      <c r="AA354" s="39"/>
      <c r="AB354" s="39"/>
    </row>
    <row r="355">
      <c r="A355" s="1"/>
      <c r="B355" s="36"/>
      <c r="C355" s="36"/>
      <c r="D355" s="36"/>
      <c r="E355" s="36"/>
      <c r="F355" s="36"/>
      <c r="G355" s="36"/>
      <c r="H355" s="37"/>
      <c r="I355" s="36"/>
      <c r="J355" s="38"/>
      <c r="K355" s="38"/>
      <c r="L355" s="39"/>
      <c r="M355" s="39"/>
      <c r="N355" s="39"/>
      <c r="O355" s="39"/>
      <c r="P355" s="39"/>
      <c r="Q355" s="39"/>
      <c r="R355" s="39"/>
      <c r="S355" s="39"/>
      <c r="T355" s="39"/>
      <c r="U355" s="39"/>
      <c r="V355" s="39"/>
      <c r="W355" s="39"/>
      <c r="X355" s="39"/>
      <c r="Y355" s="39"/>
      <c r="Z355" s="39"/>
      <c r="AA355" s="39"/>
      <c r="AB355" s="39"/>
    </row>
    <row r="356">
      <c r="A356" s="1"/>
      <c r="B356" s="36"/>
      <c r="C356" s="36"/>
      <c r="D356" s="36"/>
      <c r="E356" s="36"/>
      <c r="F356" s="36"/>
      <c r="G356" s="36"/>
      <c r="H356" s="37"/>
      <c r="I356" s="36"/>
      <c r="J356" s="38"/>
      <c r="K356" s="38"/>
      <c r="L356" s="39"/>
      <c r="M356" s="39"/>
      <c r="N356" s="39"/>
      <c r="O356" s="39"/>
      <c r="P356" s="39"/>
      <c r="Q356" s="39"/>
      <c r="R356" s="39"/>
      <c r="S356" s="39"/>
      <c r="T356" s="39"/>
      <c r="U356" s="39"/>
      <c r="V356" s="39"/>
      <c r="W356" s="39"/>
      <c r="X356" s="39"/>
      <c r="Y356" s="39"/>
      <c r="Z356" s="39"/>
      <c r="AA356" s="39"/>
      <c r="AB356" s="39"/>
    </row>
    <row r="357">
      <c r="A357" s="1"/>
      <c r="B357" s="36"/>
      <c r="C357" s="36"/>
      <c r="D357" s="36"/>
      <c r="E357" s="36"/>
      <c r="F357" s="36"/>
      <c r="G357" s="36"/>
      <c r="H357" s="37"/>
      <c r="I357" s="36"/>
      <c r="J357" s="38"/>
      <c r="K357" s="38"/>
      <c r="L357" s="39"/>
      <c r="M357" s="39"/>
      <c r="N357" s="39"/>
      <c r="O357" s="39"/>
      <c r="P357" s="39"/>
      <c r="Q357" s="39"/>
      <c r="R357" s="39"/>
      <c r="S357" s="39"/>
      <c r="T357" s="39"/>
      <c r="U357" s="39"/>
      <c r="V357" s="39"/>
      <c r="W357" s="39"/>
      <c r="X357" s="39"/>
      <c r="Y357" s="39"/>
      <c r="Z357" s="39"/>
      <c r="AA357" s="39"/>
      <c r="AB357" s="39"/>
    </row>
    <row r="358">
      <c r="A358" s="1"/>
      <c r="B358" s="36"/>
      <c r="C358" s="36"/>
      <c r="D358" s="36"/>
      <c r="E358" s="36"/>
      <c r="F358" s="36"/>
      <c r="G358" s="36"/>
      <c r="H358" s="37"/>
      <c r="I358" s="36"/>
      <c r="J358" s="38"/>
      <c r="K358" s="38"/>
      <c r="L358" s="39"/>
      <c r="M358" s="39"/>
      <c r="N358" s="39"/>
      <c r="O358" s="39"/>
      <c r="P358" s="39"/>
      <c r="Q358" s="39"/>
      <c r="R358" s="39"/>
      <c r="S358" s="39"/>
      <c r="T358" s="39"/>
      <c r="U358" s="39"/>
      <c r="V358" s="39"/>
      <c r="W358" s="39"/>
      <c r="X358" s="39"/>
      <c r="Y358" s="39"/>
      <c r="Z358" s="39"/>
      <c r="AA358" s="39"/>
      <c r="AB358" s="39"/>
    </row>
    <row r="359">
      <c r="A359" s="1"/>
      <c r="B359" s="36"/>
      <c r="C359" s="36"/>
      <c r="D359" s="36"/>
      <c r="E359" s="36"/>
      <c r="F359" s="36"/>
      <c r="G359" s="36"/>
      <c r="H359" s="37"/>
      <c r="I359" s="36"/>
      <c r="J359" s="38"/>
      <c r="K359" s="38"/>
      <c r="L359" s="39"/>
      <c r="M359" s="39"/>
      <c r="N359" s="39"/>
      <c r="O359" s="39"/>
      <c r="P359" s="39"/>
      <c r="Q359" s="39"/>
      <c r="R359" s="39"/>
      <c r="S359" s="39"/>
      <c r="T359" s="39"/>
      <c r="U359" s="39"/>
      <c r="V359" s="39"/>
      <c r="W359" s="39"/>
      <c r="X359" s="39"/>
      <c r="Y359" s="39"/>
      <c r="Z359" s="39"/>
      <c r="AA359" s="39"/>
      <c r="AB359" s="39"/>
    </row>
    <row r="360">
      <c r="A360" s="1"/>
      <c r="B360" s="36"/>
      <c r="C360" s="36"/>
      <c r="D360" s="36"/>
      <c r="E360" s="36"/>
      <c r="F360" s="36"/>
      <c r="G360" s="36"/>
      <c r="H360" s="37"/>
      <c r="I360" s="36"/>
      <c r="J360" s="38"/>
      <c r="K360" s="38"/>
      <c r="L360" s="39"/>
      <c r="M360" s="39"/>
      <c r="N360" s="39"/>
      <c r="O360" s="39"/>
      <c r="P360" s="39"/>
      <c r="Q360" s="39"/>
      <c r="R360" s="39"/>
      <c r="S360" s="39"/>
      <c r="T360" s="39"/>
      <c r="U360" s="39"/>
      <c r="V360" s="39"/>
      <c r="W360" s="39"/>
      <c r="X360" s="39"/>
      <c r="Y360" s="39"/>
      <c r="Z360" s="39"/>
      <c r="AA360" s="39"/>
      <c r="AB360" s="39"/>
    </row>
    <row r="361">
      <c r="A361" s="1"/>
      <c r="B361" s="36"/>
      <c r="C361" s="36"/>
      <c r="D361" s="36"/>
      <c r="E361" s="36"/>
      <c r="F361" s="36"/>
      <c r="G361" s="36"/>
      <c r="H361" s="37"/>
      <c r="I361" s="36"/>
      <c r="J361" s="38"/>
      <c r="K361" s="38"/>
      <c r="L361" s="39"/>
      <c r="M361" s="39"/>
      <c r="N361" s="39"/>
      <c r="O361" s="39"/>
      <c r="P361" s="39"/>
      <c r="Q361" s="39"/>
      <c r="R361" s="39"/>
      <c r="S361" s="39"/>
      <c r="T361" s="39"/>
      <c r="U361" s="39"/>
      <c r="V361" s="39"/>
      <c r="W361" s="39"/>
      <c r="X361" s="39"/>
      <c r="Y361" s="39"/>
      <c r="Z361" s="39"/>
      <c r="AA361" s="39"/>
      <c r="AB361" s="39"/>
    </row>
    <row r="362">
      <c r="A362" s="1"/>
      <c r="B362" s="36"/>
      <c r="C362" s="36"/>
      <c r="D362" s="36"/>
      <c r="E362" s="36"/>
      <c r="F362" s="36"/>
      <c r="G362" s="36"/>
      <c r="H362" s="37"/>
      <c r="I362" s="36"/>
      <c r="J362" s="38"/>
      <c r="K362" s="38"/>
      <c r="L362" s="39"/>
      <c r="M362" s="39"/>
      <c r="N362" s="39"/>
      <c r="O362" s="39"/>
      <c r="P362" s="39"/>
      <c r="Q362" s="39"/>
      <c r="R362" s="39"/>
      <c r="S362" s="39"/>
      <c r="T362" s="39"/>
      <c r="U362" s="39"/>
      <c r="V362" s="39"/>
      <c r="W362" s="39"/>
      <c r="X362" s="39"/>
      <c r="Y362" s="39"/>
      <c r="Z362" s="39"/>
      <c r="AA362" s="39"/>
      <c r="AB362" s="39"/>
    </row>
    <row r="363">
      <c r="A363" s="1"/>
      <c r="B363" s="36"/>
      <c r="C363" s="36"/>
      <c r="D363" s="36"/>
      <c r="E363" s="36"/>
      <c r="F363" s="36"/>
      <c r="G363" s="36"/>
      <c r="H363" s="37"/>
      <c r="I363" s="36"/>
      <c r="J363" s="38"/>
      <c r="K363" s="38"/>
      <c r="L363" s="39"/>
      <c r="M363" s="39"/>
      <c r="N363" s="39"/>
      <c r="O363" s="39"/>
      <c r="P363" s="39"/>
      <c r="Q363" s="39"/>
      <c r="R363" s="39"/>
      <c r="S363" s="39"/>
      <c r="T363" s="39"/>
      <c r="U363" s="39"/>
      <c r="V363" s="39"/>
      <c r="W363" s="39"/>
      <c r="X363" s="39"/>
      <c r="Y363" s="39"/>
      <c r="Z363" s="39"/>
      <c r="AA363" s="39"/>
      <c r="AB363" s="39"/>
    </row>
    <row r="364">
      <c r="A364" s="1"/>
      <c r="B364" s="36"/>
      <c r="C364" s="36"/>
      <c r="D364" s="36"/>
      <c r="E364" s="36"/>
      <c r="F364" s="36"/>
      <c r="G364" s="36"/>
      <c r="H364" s="37"/>
      <c r="I364" s="36"/>
      <c r="J364" s="38"/>
      <c r="K364" s="38"/>
      <c r="L364" s="39"/>
      <c r="M364" s="39"/>
      <c r="N364" s="39"/>
      <c r="O364" s="39"/>
      <c r="P364" s="39"/>
      <c r="Q364" s="39"/>
      <c r="R364" s="39"/>
      <c r="S364" s="39"/>
      <c r="T364" s="39"/>
      <c r="U364" s="39"/>
      <c r="V364" s="39"/>
      <c r="W364" s="39"/>
      <c r="X364" s="39"/>
      <c r="Y364" s="39"/>
      <c r="Z364" s="39"/>
      <c r="AA364" s="39"/>
      <c r="AB364" s="39"/>
    </row>
    <row r="365">
      <c r="A365" s="1"/>
      <c r="B365" s="36"/>
      <c r="C365" s="36"/>
      <c r="D365" s="36"/>
      <c r="E365" s="36"/>
      <c r="F365" s="36"/>
      <c r="G365" s="36"/>
      <c r="H365" s="37"/>
      <c r="I365" s="36"/>
      <c r="J365" s="38"/>
      <c r="K365" s="38"/>
      <c r="L365" s="39"/>
      <c r="M365" s="39"/>
      <c r="N365" s="39"/>
      <c r="O365" s="39"/>
      <c r="P365" s="39"/>
      <c r="Q365" s="39"/>
      <c r="R365" s="39"/>
      <c r="S365" s="39"/>
      <c r="T365" s="39"/>
      <c r="U365" s="39"/>
      <c r="V365" s="39"/>
      <c r="W365" s="39"/>
      <c r="X365" s="39"/>
      <c r="Y365" s="39"/>
      <c r="Z365" s="39"/>
      <c r="AA365" s="39"/>
      <c r="AB365" s="39"/>
    </row>
    <row r="366">
      <c r="A366" s="1"/>
      <c r="B366" s="36"/>
      <c r="C366" s="36"/>
      <c r="D366" s="36"/>
      <c r="E366" s="36"/>
      <c r="F366" s="36"/>
      <c r="G366" s="36"/>
      <c r="H366" s="37"/>
      <c r="I366" s="36"/>
      <c r="J366" s="38"/>
      <c r="K366" s="38"/>
      <c r="L366" s="39"/>
      <c r="M366" s="39"/>
      <c r="N366" s="39"/>
      <c r="O366" s="39"/>
      <c r="P366" s="39"/>
      <c r="Q366" s="39"/>
      <c r="R366" s="39"/>
      <c r="S366" s="39"/>
      <c r="T366" s="39"/>
      <c r="U366" s="39"/>
      <c r="V366" s="39"/>
      <c r="W366" s="39"/>
      <c r="X366" s="39"/>
      <c r="Y366" s="39"/>
      <c r="Z366" s="39"/>
      <c r="AA366" s="39"/>
      <c r="AB366" s="39"/>
    </row>
    <row r="367">
      <c r="A367" s="1"/>
      <c r="B367" s="36"/>
      <c r="C367" s="36"/>
      <c r="D367" s="36"/>
      <c r="E367" s="36"/>
      <c r="F367" s="36"/>
      <c r="G367" s="36"/>
      <c r="H367" s="37"/>
      <c r="I367" s="36"/>
      <c r="J367" s="38"/>
      <c r="K367" s="38"/>
      <c r="L367" s="39"/>
      <c r="M367" s="39"/>
      <c r="N367" s="39"/>
      <c r="O367" s="39"/>
      <c r="P367" s="39"/>
      <c r="Q367" s="39"/>
      <c r="R367" s="39"/>
      <c r="S367" s="39"/>
      <c r="T367" s="39"/>
      <c r="U367" s="39"/>
      <c r="V367" s="39"/>
      <c r="W367" s="39"/>
      <c r="X367" s="39"/>
      <c r="Y367" s="39"/>
      <c r="Z367" s="39"/>
      <c r="AA367" s="39"/>
      <c r="AB367" s="39"/>
    </row>
    <row r="368">
      <c r="A368" s="1"/>
      <c r="B368" s="36"/>
      <c r="C368" s="36"/>
      <c r="D368" s="36"/>
      <c r="E368" s="36"/>
      <c r="F368" s="36"/>
      <c r="G368" s="36"/>
      <c r="H368" s="37"/>
      <c r="I368" s="36"/>
      <c r="J368" s="38"/>
      <c r="K368" s="38"/>
      <c r="L368" s="39"/>
      <c r="M368" s="39"/>
      <c r="N368" s="39"/>
      <c r="O368" s="39"/>
      <c r="P368" s="39"/>
      <c r="Q368" s="39"/>
      <c r="R368" s="39"/>
      <c r="S368" s="39"/>
      <c r="T368" s="39"/>
      <c r="U368" s="39"/>
      <c r="V368" s="39"/>
      <c r="W368" s="39"/>
      <c r="X368" s="39"/>
      <c r="Y368" s="39"/>
      <c r="Z368" s="39"/>
      <c r="AA368" s="39"/>
      <c r="AB368" s="39"/>
    </row>
    <row r="369">
      <c r="A369" s="1"/>
      <c r="B369" s="36"/>
      <c r="C369" s="36"/>
      <c r="D369" s="36"/>
      <c r="E369" s="36"/>
      <c r="F369" s="36"/>
      <c r="G369" s="36"/>
      <c r="H369" s="37"/>
      <c r="I369" s="36"/>
      <c r="J369" s="38"/>
      <c r="K369" s="38"/>
      <c r="L369" s="39"/>
      <c r="M369" s="39"/>
      <c r="N369" s="39"/>
      <c r="O369" s="39"/>
      <c r="P369" s="39"/>
      <c r="Q369" s="39"/>
      <c r="R369" s="39"/>
      <c r="S369" s="39"/>
      <c r="T369" s="39"/>
      <c r="U369" s="39"/>
      <c r="V369" s="39"/>
      <c r="W369" s="39"/>
      <c r="X369" s="39"/>
      <c r="Y369" s="39"/>
      <c r="Z369" s="39"/>
      <c r="AA369" s="39"/>
      <c r="AB369" s="39"/>
    </row>
    <row r="370">
      <c r="A370" s="1"/>
      <c r="B370" s="36"/>
      <c r="C370" s="36"/>
      <c r="D370" s="36"/>
      <c r="E370" s="36"/>
      <c r="F370" s="36"/>
      <c r="G370" s="36"/>
      <c r="H370" s="37"/>
      <c r="I370" s="36"/>
      <c r="J370" s="38"/>
      <c r="K370" s="38"/>
      <c r="L370" s="39"/>
      <c r="M370" s="39"/>
      <c r="N370" s="39"/>
      <c r="O370" s="39"/>
      <c r="P370" s="39"/>
      <c r="Q370" s="39"/>
      <c r="R370" s="39"/>
      <c r="S370" s="39"/>
      <c r="T370" s="39"/>
      <c r="U370" s="39"/>
      <c r="V370" s="39"/>
      <c r="W370" s="39"/>
      <c r="X370" s="39"/>
      <c r="Y370" s="39"/>
      <c r="Z370" s="39"/>
      <c r="AA370" s="39"/>
      <c r="AB370" s="39"/>
    </row>
    <row r="371">
      <c r="A371" s="1"/>
      <c r="B371" s="36"/>
      <c r="C371" s="36"/>
      <c r="D371" s="36"/>
      <c r="E371" s="36"/>
      <c r="F371" s="36"/>
      <c r="G371" s="36"/>
      <c r="H371" s="37"/>
      <c r="I371" s="36"/>
      <c r="J371" s="38"/>
      <c r="K371" s="38"/>
      <c r="L371" s="39"/>
      <c r="M371" s="39"/>
      <c r="N371" s="39"/>
      <c r="O371" s="39"/>
      <c r="P371" s="39"/>
      <c r="Q371" s="39"/>
      <c r="R371" s="39"/>
      <c r="S371" s="39"/>
      <c r="T371" s="39"/>
      <c r="U371" s="39"/>
      <c r="V371" s="39"/>
      <c r="W371" s="39"/>
      <c r="X371" s="39"/>
      <c r="Y371" s="39"/>
      <c r="Z371" s="39"/>
      <c r="AA371" s="39"/>
      <c r="AB371" s="39"/>
    </row>
    <row r="372">
      <c r="A372" s="1"/>
      <c r="B372" s="36"/>
      <c r="C372" s="36"/>
      <c r="D372" s="36"/>
      <c r="E372" s="36"/>
      <c r="F372" s="36"/>
      <c r="G372" s="36"/>
      <c r="H372" s="37"/>
      <c r="I372" s="36"/>
      <c r="J372" s="38"/>
      <c r="K372" s="38"/>
      <c r="L372" s="39"/>
      <c r="M372" s="39"/>
      <c r="N372" s="39"/>
      <c r="O372" s="39"/>
      <c r="P372" s="39"/>
      <c r="Q372" s="39"/>
      <c r="R372" s="39"/>
      <c r="S372" s="39"/>
      <c r="T372" s="39"/>
      <c r="U372" s="39"/>
      <c r="V372" s="39"/>
      <c r="W372" s="39"/>
      <c r="X372" s="39"/>
      <c r="Y372" s="39"/>
      <c r="Z372" s="39"/>
      <c r="AA372" s="39"/>
      <c r="AB372" s="39"/>
    </row>
    <row r="373">
      <c r="A373" s="1"/>
      <c r="B373" s="36"/>
      <c r="C373" s="36"/>
      <c r="D373" s="36"/>
      <c r="E373" s="36"/>
      <c r="F373" s="36"/>
      <c r="G373" s="36"/>
      <c r="H373" s="37"/>
      <c r="I373" s="36"/>
      <c r="J373" s="38"/>
      <c r="K373" s="38"/>
      <c r="L373" s="39"/>
      <c r="M373" s="39"/>
      <c r="N373" s="39"/>
      <c r="O373" s="39"/>
      <c r="P373" s="39"/>
      <c r="Q373" s="39"/>
      <c r="R373" s="39"/>
      <c r="S373" s="39"/>
      <c r="T373" s="39"/>
      <c r="U373" s="39"/>
      <c r="V373" s="39"/>
      <c r="W373" s="39"/>
      <c r="X373" s="39"/>
      <c r="Y373" s="39"/>
      <c r="Z373" s="39"/>
      <c r="AA373" s="39"/>
      <c r="AB373" s="39"/>
    </row>
    <row r="374">
      <c r="A374" s="1"/>
      <c r="B374" s="36"/>
      <c r="C374" s="36"/>
      <c r="D374" s="36"/>
      <c r="E374" s="36"/>
      <c r="F374" s="36"/>
      <c r="G374" s="36"/>
      <c r="H374" s="37"/>
      <c r="I374" s="36"/>
      <c r="J374" s="38"/>
      <c r="K374" s="38"/>
      <c r="L374" s="39"/>
      <c r="M374" s="39"/>
      <c r="N374" s="39"/>
      <c r="O374" s="39"/>
      <c r="P374" s="39"/>
      <c r="Q374" s="39"/>
      <c r="R374" s="39"/>
      <c r="S374" s="39"/>
      <c r="T374" s="39"/>
      <c r="U374" s="39"/>
      <c r="V374" s="39"/>
      <c r="W374" s="39"/>
      <c r="X374" s="39"/>
      <c r="Y374" s="39"/>
      <c r="Z374" s="39"/>
      <c r="AA374" s="39"/>
      <c r="AB374" s="39"/>
    </row>
    <row r="375">
      <c r="A375" s="1"/>
      <c r="B375" s="36"/>
      <c r="C375" s="36"/>
      <c r="D375" s="36"/>
      <c r="E375" s="36"/>
      <c r="F375" s="36"/>
      <c r="G375" s="36"/>
      <c r="H375" s="37"/>
      <c r="I375" s="36"/>
      <c r="J375" s="38"/>
      <c r="K375" s="38"/>
      <c r="L375" s="39"/>
      <c r="M375" s="39"/>
      <c r="N375" s="39"/>
      <c r="O375" s="39"/>
      <c r="P375" s="39"/>
      <c r="Q375" s="39"/>
      <c r="R375" s="39"/>
      <c r="S375" s="39"/>
      <c r="T375" s="39"/>
      <c r="U375" s="39"/>
      <c r="V375" s="39"/>
      <c r="W375" s="39"/>
      <c r="X375" s="39"/>
      <c r="Y375" s="39"/>
      <c r="Z375" s="39"/>
      <c r="AA375" s="39"/>
      <c r="AB375" s="39"/>
    </row>
    <row r="376">
      <c r="A376" s="1"/>
      <c r="B376" s="36"/>
      <c r="C376" s="36"/>
      <c r="D376" s="36"/>
      <c r="E376" s="36"/>
      <c r="F376" s="36"/>
      <c r="G376" s="36"/>
      <c r="H376" s="37"/>
      <c r="I376" s="36"/>
      <c r="J376" s="38"/>
      <c r="K376" s="38"/>
      <c r="L376" s="39"/>
      <c r="M376" s="39"/>
      <c r="N376" s="39"/>
      <c r="O376" s="39"/>
      <c r="P376" s="39"/>
      <c r="Q376" s="39"/>
      <c r="R376" s="39"/>
      <c r="S376" s="39"/>
      <c r="T376" s="39"/>
      <c r="U376" s="39"/>
      <c r="V376" s="39"/>
      <c r="W376" s="39"/>
      <c r="X376" s="39"/>
      <c r="Y376" s="39"/>
      <c r="Z376" s="39"/>
      <c r="AA376" s="39"/>
      <c r="AB376" s="39"/>
    </row>
    <row r="377">
      <c r="A377" s="1"/>
      <c r="B377" s="36"/>
      <c r="C377" s="36"/>
      <c r="D377" s="36"/>
      <c r="E377" s="36"/>
      <c r="F377" s="36"/>
      <c r="G377" s="36"/>
      <c r="H377" s="37"/>
      <c r="I377" s="36"/>
      <c r="J377" s="38"/>
      <c r="K377" s="38"/>
      <c r="L377" s="39"/>
      <c r="M377" s="39"/>
      <c r="N377" s="39"/>
      <c r="O377" s="39"/>
      <c r="P377" s="39"/>
      <c r="Q377" s="39"/>
      <c r="R377" s="39"/>
      <c r="S377" s="39"/>
      <c r="T377" s="39"/>
      <c r="U377" s="39"/>
      <c r="V377" s="39"/>
      <c r="W377" s="39"/>
      <c r="X377" s="39"/>
      <c r="Y377" s="39"/>
      <c r="Z377" s="39"/>
      <c r="AA377" s="39"/>
      <c r="AB377" s="39"/>
    </row>
    <row r="378">
      <c r="A378" s="1"/>
      <c r="B378" s="36"/>
      <c r="C378" s="36"/>
      <c r="D378" s="36"/>
      <c r="E378" s="36"/>
      <c r="F378" s="36"/>
      <c r="G378" s="36"/>
      <c r="H378" s="37"/>
      <c r="I378" s="36"/>
      <c r="J378" s="38"/>
      <c r="K378" s="38"/>
      <c r="L378" s="39"/>
      <c r="M378" s="39"/>
      <c r="N378" s="39"/>
      <c r="O378" s="39"/>
      <c r="P378" s="39"/>
      <c r="Q378" s="39"/>
      <c r="R378" s="39"/>
      <c r="S378" s="39"/>
      <c r="T378" s="39"/>
      <c r="U378" s="39"/>
      <c r="V378" s="39"/>
      <c r="W378" s="39"/>
      <c r="X378" s="39"/>
      <c r="Y378" s="39"/>
      <c r="Z378" s="39"/>
      <c r="AA378" s="39"/>
      <c r="AB378" s="39"/>
    </row>
    <row r="379">
      <c r="A379" s="1"/>
      <c r="B379" s="36"/>
      <c r="C379" s="36"/>
      <c r="D379" s="36"/>
      <c r="E379" s="36"/>
      <c r="F379" s="36"/>
      <c r="G379" s="36"/>
      <c r="H379" s="37"/>
      <c r="I379" s="36"/>
      <c r="J379" s="38"/>
      <c r="K379" s="38"/>
      <c r="L379" s="39"/>
      <c r="M379" s="39"/>
      <c r="N379" s="39"/>
      <c r="O379" s="39"/>
      <c r="P379" s="39"/>
      <c r="Q379" s="39"/>
      <c r="R379" s="39"/>
      <c r="S379" s="39"/>
      <c r="T379" s="39"/>
      <c r="U379" s="39"/>
      <c r="V379" s="39"/>
      <c r="W379" s="39"/>
      <c r="X379" s="39"/>
      <c r="Y379" s="39"/>
      <c r="Z379" s="39"/>
      <c r="AA379" s="39"/>
      <c r="AB379" s="39"/>
    </row>
    <row r="380">
      <c r="A380" s="1"/>
      <c r="B380" s="36"/>
      <c r="C380" s="36"/>
      <c r="D380" s="36"/>
      <c r="E380" s="36"/>
      <c r="F380" s="36"/>
      <c r="G380" s="36"/>
      <c r="H380" s="37"/>
      <c r="I380" s="36"/>
      <c r="J380" s="38"/>
      <c r="K380" s="38"/>
      <c r="L380" s="39"/>
      <c r="M380" s="39"/>
      <c r="N380" s="39"/>
      <c r="O380" s="39"/>
      <c r="P380" s="39"/>
      <c r="Q380" s="39"/>
      <c r="R380" s="39"/>
      <c r="S380" s="39"/>
      <c r="T380" s="39"/>
      <c r="U380" s="39"/>
      <c r="V380" s="39"/>
      <c r="W380" s="39"/>
      <c r="X380" s="39"/>
      <c r="Y380" s="39"/>
      <c r="Z380" s="39"/>
      <c r="AA380" s="39"/>
      <c r="AB380" s="39"/>
    </row>
    <row r="381">
      <c r="A381" s="1"/>
      <c r="B381" s="36"/>
      <c r="C381" s="36"/>
      <c r="D381" s="36"/>
      <c r="E381" s="36"/>
      <c r="F381" s="36"/>
      <c r="G381" s="36"/>
      <c r="H381" s="37"/>
      <c r="I381" s="36"/>
      <c r="J381" s="38"/>
      <c r="K381" s="38"/>
      <c r="L381" s="39"/>
      <c r="M381" s="39"/>
      <c r="N381" s="39"/>
      <c r="O381" s="39"/>
      <c r="P381" s="39"/>
      <c r="Q381" s="39"/>
      <c r="R381" s="39"/>
      <c r="S381" s="39"/>
      <c r="T381" s="39"/>
      <c r="U381" s="39"/>
      <c r="V381" s="39"/>
      <c r="W381" s="39"/>
      <c r="X381" s="39"/>
      <c r="Y381" s="39"/>
      <c r="Z381" s="39"/>
      <c r="AA381" s="39"/>
      <c r="AB381" s="39"/>
    </row>
    <row r="382">
      <c r="A382" s="1"/>
      <c r="B382" s="36"/>
      <c r="C382" s="36"/>
      <c r="D382" s="36"/>
      <c r="E382" s="36"/>
      <c r="F382" s="36"/>
      <c r="G382" s="36"/>
      <c r="H382" s="37"/>
      <c r="I382" s="36"/>
      <c r="J382" s="38"/>
      <c r="K382" s="38"/>
      <c r="L382" s="39"/>
      <c r="M382" s="39"/>
      <c r="N382" s="39"/>
      <c r="O382" s="39"/>
      <c r="P382" s="39"/>
      <c r="Q382" s="39"/>
      <c r="R382" s="39"/>
      <c r="S382" s="39"/>
      <c r="T382" s="39"/>
      <c r="U382" s="39"/>
      <c r="V382" s="39"/>
      <c r="W382" s="39"/>
      <c r="X382" s="39"/>
      <c r="Y382" s="39"/>
      <c r="Z382" s="39"/>
      <c r="AA382" s="39"/>
      <c r="AB382" s="39"/>
    </row>
    <row r="383">
      <c r="A383" s="1"/>
      <c r="B383" s="36"/>
      <c r="C383" s="36"/>
      <c r="D383" s="36"/>
      <c r="E383" s="36"/>
      <c r="F383" s="36"/>
      <c r="G383" s="36"/>
      <c r="H383" s="37"/>
      <c r="I383" s="36"/>
      <c r="J383" s="38"/>
      <c r="K383" s="38"/>
      <c r="L383" s="39"/>
      <c r="M383" s="39"/>
      <c r="N383" s="39"/>
      <c r="O383" s="39"/>
      <c r="P383" s="39"/>
      <c r="Q383" s="39"/>
      <c r="R383" s="39"/>
      <c r="S383" s="39"/>
      <c r="T383" s="39"/>
      <c r="U383" s="39"/>
      <c r="V383" s="39"/>
      <c r="W383" s="39"/>
      <c r="X383" s="39"/>
      <c r="Y383" s="39"/>
      <c r="Z383" s="39"/>
      <c r="AA383" s="39"/>
      <c r="AB383" s="39"/>
    </row>
    <row r="384">
      <c r="A384" s="1"/>
      <c r="B384" s="36"/>
      <c r="C384" s="36"/>
      <c r="D384" s="36"/>
      <c r="E384" s="36"/>
      <c r="F384" s="36"/>
      <c r="G384" s="36"/>
      <c r="H384" s="37"/>
      <c r="I384" s="36"/>
      <c r="J384" s="38"/>
      <c r="K384" s="38"/>
      <c r="L384" s="39"/>
      <c r="M384" s="39"/>
      <c r="N384" s="39"/>
      <c r="O384" s="39"/>
      <c r="P384" s="39"/>
      <c r="Q384" s="39"/>
      <c r="R384" s="39"/>
      <c r="S384" s="39"/>
      <c r="T384" s="39"/>
      <c r="U384" s="39"/>
      <c r="V384" s="39"/>
      <c r="W384" s="39"/>
      <c r="X384" s="39"/>
      <c r="Y384" s="39"/>
      <c r="Z384" s="39"/>
      <c r="AA384" s="39"/>
      <c r="AB384" s="39"/>
    </row>
    <row r="385">
      <c r="A385" s="1"/>
      <c r="B385" s="36"/>
      <c r="C385" s="36"/>
      <c r="D385" s="36"/>
      <c r="E385" s="36"/>
      <c r="F385" s="36"/>
      <c r="G385" s="36"/>
      <c r="H385" s="37"/>
      <c r="I385" s="36"/>
      <c r="J385" s="38"/>
      <c r="K385" s="38"/>
      <c r="L385" s="39"/>
      <c r="M385" s="39"/>
      <c r="N385" s="39"/>
      <c r="O385" s="39"/>
      <c r="P385" s="39"/>
      <c r="Q385" s="39"/>
      <c r="R385" s="39"/>
      <c r="S385" s="39"/>
      <c r="T385" s="39"/>
      <c r="U385" s="39"/>
      <c r="V385" s="39"/>
      <c r="W385" s="39"/>
      <c r="X385" s="39"/>
      <c r="Y385" s="39"/>
      <c r="Z385" s="39"/>
      <c r="AA385" s="39"/>
      <c r="AB385" s="39"/>
    </row>
    <row r="386">
      <c r="A386" s="1"/>
      <c r="B386" s="36"/>
      <c r="C386" s="36"/>
      <c r="D386" s="36"/>
      <c r="E386" s="36"/>
      <c r="F386" s="36"/>
      <c r="G386" s="36"/>
      <c r="H386" s="37"/>
      <c r="I386" s="36"/>
      <c r="J386" s="38"/>
      <c r="K386" s="38"/>
      <c r="L386" s="39"/>
      <c r="M386" s="39"/>
      <c r="N386" s="39"/>
      <c r="O386" s="39"/>
      <c r="P386" s="39"/>
      <c r="Q386" s="39"/>
      <c r="R386" s="39"/>
      <c r="S386" s="39"/>
      <c r="T386" s="39"/>
      <c r="U386" s="39"/>
      <c r="V386" s="39"/>
      <c r="W386" s="39"/>
      <c r="X386" s="39"/>
      <c r="Y386" s="39"/>
      <c r="Z386" s="39"/>
      <c r="AA386" s="39"/>
      <c r="AB386" s="39"/>
    </row>
    <row r="387">
      <c r="A387" s="1"/>
      <c r="B387" s="36"/>
      <c r="C387" s="36"/>
      <c r="D387" s="36"/>
      <c r="E387" s="36"/>
      <c r="F387" s="36"/>
      <c r="G387" s="36"/>
      <c r="H387" s="37"/>
      <c r="I387" s="36"/>
      <c r="J387" s="38"/>
      <c r="K387" s="38"/>
      <c r="L387" s="39"/>
      <c r="M387" s="39"/>
      <c r="N387" s="39"/>
      <c r="O387" s="39"/>
      <c r="P387" s="39"/>
      <c r="Q387" s="39"/>
      <c r="R387" s="39"/>
      <c r="S387" s="39"/>
      <c r="T387" s="39"/>
      <c r="U387" s="39"/>
      <c r="V387" s="39"/>
      <c r="W387" s="39"/>
      <c r="X387" s="39"/>
      <c r="Y387" s="39"/>
      <c r="Z387" s="39"/>
      <c r="AA387" s="39"/>
      <c r="AB387" s="39"/>
    </row>
    <row r="388">
      <c r="A388" s="1"/>
      <c r="B388" s="36"/>
      <c r="C388" s="36"/>
      <c r="D388" s="36"/>
      <c r="E388" s="36"/>
      <c r="F388" s="36"/>
      <c r="G388" s="36"/>
      <c r="H388" s="37"/>
      <c r="I388" s="36"/>
      <c r="J388" s="38"/>
      <c r="K388" s="38"/>
      <c r="L388" s="39"/>
      <c r="M388" s="39"/>
      <c r="N388" s="39"/>
      <c r="O388" s="39"/>
      <c r="P388" s="39"/>
      <c r="Q388" s="39"/>
      <c r="R388" s="39"/>
      <c r="S388" s="39"/>
      <c r="T388" s="39"/>
      <c r="U388" s="39"/>
      <c r="V388" s="39"/>
      <c r="W388" s="39"/>
      <c r="X388" s="39"/>
      <c r="Y388" s="39"/>
      <c r="Z388" s="39"/>
      <c r="AA388" s="39"/>
      <c r="AB388" s="39"/>
    </row>
    <row r="389">
      <c r="A389" s="1"/>
      <c r="B389" s="36"/>
      <c r="C389" s="36"/>
      <c r="D389" s="36"/>
      <c r="E389" s="36"/>
      <c r="F389" s="36"/>
      <c r="G389" s="36"/>
      <c r="H389" s="37"/>
      <c r="I389" s="36"/>
      <c r="J389" s="38"/>
      <c r="K389" s="38"/>
      <c r="L389" s="39"/>
      <c r="M389" s="39"/>
      <c r="N389" s="39"/>
      <c r="O389" s="39"/>
      <c r="P389" s="39"/>
      <c r="Q389" s="39"/>
      <c r="R389" s="39"/>
      <c r="S389" s="39"/>
      <c r="T389" s="39"/>
      <c r="U389" s="39"/>
      <c r="V389" s="39"/>
      <c r="W389" s="39"/>
      <c r="X389" s="39"/>
      <c r="Y389" s="39"/>
      <c r="Z389" s="39"/>
      <c r="AA389" s="39"/>
      <c r="AB389" s="39"/>
    </row>
    <row r="390">
      <c r="A390" s="1"/>
      <c r="B390" s="36"/>
      <c r="C390" s="36"/>
      <c r="D390" s="36"/>
      <c r="E390" s="36"/>
      <c r="F390" s="36"/>
      <c r="G390" s="36"/>
      <c r="H390" s="37"/>
      <c r="I390" s="36"/>
      <c r="J390" s="38"/>
      <c r="K390" s="38"/>
      <c r="L390" s="39"/>
      <c r="M390" s="39"/>
      <c r="N390" s="39"/>
      <c r="O390" s="39"/>
      <c r="P390" s="39"/>
      <c r="Q390" s="39"/>
      <c r="R390" s="39"/>
      <c r="S390" s="39"/>
      <c r="T390" s="39"/>
      <c r="U390" s="39"/>
      <c r="V390" s="39"/>
      <c r="W390" s="39"/>
      <c r="X390" s="39"/>
      <c r="Y390" s="39"/>
      <c r="Z390" s="39"/>
      <c r="AA390" s="39"/>
      <c r="AB390" s="39"/>
    </row>
    <row r="391">
      <c r="A391" s="1"/>
      <c r="B391" s="36"/>
      <c r="C391" s="36"/>
      <c r="D391" s="36"/>
      <c r="E391" s="36"/>
      <c r="F391" s="36"/>
      <c r="G391" s="36"/>
      <c r="H391" s="37"/>
      <c r="I391" s="36"/>
      <c r="J391" s="38"/>
      <c r="K391" s="38"/>
      <c r="L391" s="39"/>
      <c r="M391" s="39"/>
      <c r="N391" s="39"/>
      <c r="O391" s="39"/>
      <c r="P391" s="39"/>
      <c r="Q391" s="39"/>
      <c r="R391" s="39"/>
      <c r="S391" s="39"/>
      <c r="T391" s="39"/>
      <c r="U391" s="39"/>
      <c r="V391" s="39"/>
      <c r="W391" s="39"/>
      <c r="X391" s="39"/>
      <c r="Y391" s="39"/>
      <c r="Z391" s="39"/>
      <c r="AA391" s="39"/>
      <c r="AB391" s="39"/>
    </row>
    <row r="392">
      <c r="A392" s="1"/>
      <c r="B392" s="36"/>
      <c r="C392" s="36"/>
      <c r="D392" s="36"/>
      <c r="E392" s="36"/>
      <c r="F392" s="36"/>
      <c r="G392" s="36"/>
      <c r="H392" s="37"/>
      <c r="I392" s="36"/>
      <c r="J392" s="38"/>
      <c r="K392" s="38"/>
      <c r="L392" s="39"/>
      <c r="M392" s="39"/>
      <c r="N392" s="39"/>
      <c r="O392" s="39"/>
      <c r="P392" s="39"/>
      <c r="Q392" s="39"/>
      <c r="R392" s="39"/>
      <c r="S392" s="39"/>
      <c r="T392" s="39"/>
      <c r="U392" s="39"/>
      <c r="V392" s="39"/>
      <c r="W392" s="39"/>
      <c r="X392" s="39"/>
      <c r="Y392" s="39"/>
      <c r="Z392" s="39"/>
      <c r="AA392" s="39"/>
      <c r="AB392" s="39"/>
    </row>
    <row r="393">
      <c r="A393" s="1"/>
      <c r="B393" s="36"/>
      <c r="C393" s="36"/>
      <c r="D393" s="36"/>
      <c r="E393" s="36"/>
      <c r="F393" s="36"/>
      <c r="G393" s="36"/>
      <c r="H393" s="37"/>
      <c r="I393" s="36"/>
      <c r="J393" s="38"/>
      <c r="K393" s="38"/>
      <c r="L393" s="39"/>
      <c r="M393" s="39"/>
      <c r="N393" s="39"/>
      <c r="O393" s="39"/>
      <c r="P393" s="39"/>
      <c r="Q393" s="39"/>
      <c r="R393" s="39"/>
      <c r="S393" s="39"/>
      <c r="T393" s="39"/>
      <c r="U393" s="39"/>
      <c r="V393" s="39"/>
      <c r="W393" s="39"/>
      <c r="X393" s="39"/>
      <c r="Y393" s="39"/>
      <c r="Z393" s="39"/>
      <c r="AA393" s="39"/>
      <c r="AB393" s="39"/>
    </row>
    <row r="394">
      <c r="A394" s="1"/>
      <c r="B394" s="36"/>
      <c r="C394" s="36"/>
      <c r="D394" s="36"/>
      <c r="E394" s="36"/>
      <c r="F394" s="36"/>
      <c r="G394" s="36"/>
      <c r="H394" s="37"/>
      <c r="I394" s="36"/>
      <c r="J394" s="38"/>
      <c r="K394" s="38"/>
      <c r="L394" s="39"/>
      <c r="M394" s="39"/>
      <c r="N394" s="39"/>
      <c r="O394" s="39"/>
      <c r="P394" s="39"/>
      <c r="Q394" s="39"/>
      <c r="R394" s="39"/>
      <c r="S394" s="39"/>
      <c r="T394" s="39"/>
      <c r="U394" s="39"/>
      <c r="V394" s="39"/>
      <c r="W394" s="39"/>
      <c r="X394" s="39"/>
      <c r="Y394" s="39"/>
      <c r="Z394" s="39"/>
      <c r="AA394" s="39"/>
      <c r="AB394" s="39"/>
    </row>
    <row r="395">
      <c r="A395" s="1"/>
      <c r="B395" s="36"/>
      <c r="C395" s="36"/>
      <c r="D395" s="36"/>
      <c r="E395" s="36"/>
      <c r="F395" s="36"/>
      <c r="G395" s="36"/>
      <c r="H395" s="37"/>
      <c r="I395" s="36"/>
      <c r="J395" s="38"/>
      <c r="K395" s="38"/>
      <c r="L395" s="39"/>
      <c r="M395" s="39"/>
      <c r="N395" s="39"/>
      <c r="O395" s="39"/>
      <c r="P395" s="39"/>
      <c r="Q395" s="39"/>
      <c r="R395" s="39"/>
      <c r="S395" s="39"/>
      <c r="T395" s="39"/>
      <c r="U395" s="39"/>
      <c r="V395" s="39"/>
      <c r="W395" s="39"/>
      <c r="X395" s="39"/>
      <c r="Y395" s="39"/>
      <c r="Z395" s="39"/>
      <c r="AA395" s="39"/>
      <c r="AB395" s="39"/>
    </row>
    <row r="396">
      <c r="A396" s="1"/>
      <c r="B396" s="36"/>
      <c r="C396" s="36"/>
      <c r="D396" s="36"/>
      <c r="E396" s="36"/>
      <c r="F396" s="36"/>
      <c r="G396" s="36"/>
      <c r="H396" s="37"/>
      <c r="I396" s="36"/>
      <c r="J396" s="38"/>
      <c r="K396" s="38"/>
      <c r="L396" s="39"/>
      <c r="M396" s="39"/>
      <c r="N396" s="39"/>
      <c r="O396" s="39"/>
      <c r="P396" s="39"/>
      <c r="Q396" s="39"/>
      <c r="R396" s="39"/>
      <c r="S396" s="39"/>
      <c r="T396" s="39"/>
      <c r="U396" s="39"/>
      <c r="V396" s="39"/>
      <c r="W396" s="39"/>
      <c r="X396" s="39"/>
      <c r="Y396" s="39"/>
      <c r="Z396" s="39"/>
      <c r="AA396" s="39"/>
      <c r="AB396" s="39"/>
    </row>
    <row r="397">
      <c r="A397" s="1"/>
      <c r="B397" s="36"/>
      <c r="C397" s="36"/>
      <c r="D397" s="36"/>
      <c r="E397" s="36"/>
      <c r="F397" s="36"/>
      <c r="G397" s="36"/>
      <c r="H397" s="37"/>
      <c r="I397" s="36"/>
      <c r="J397" s="38"/>
      <c r="K397" s="38"/>
      <c r="L397" s="39"/>
      <c r="M397" s="39"/>
      <c r="N397" s="39"/>
      <c r="O397" s="39"/>
      <c r="P397" s="39"/>
      <c r="Q397" s="39"/>
      <c r="R397" s="39"/>
      <c r="S397" s="39"/>
      <c r="T397" s="39"/>
      <c r="U397" s="39"/>
      <c r="V397" s="39"/>
      <c r="W397" s="39"/>
      <c r="X397" s="39"/>
      <c r="Y397" s="39"/>
      <c r="Z397" s="39"/>
      <c r="AA397" s="39"/>
      <c r="AB397" s="39"/>
    </row>
    <row r="398">
      <c r="A398" s="1"/>
      <c r="B398" s="36"/>
      <c r="C398" s="36"/>
      <c r="D398" s="36"/>
      <c r="E398" s="36"/>
      <c r="F398" s="36"/>
      <c r="G398" s="36"/>
      <c r="H398" s="37"/>
      <c r="I398" s="36"/>
      <c r="J398" s="38"/>
      <c r="K398" s="38"/>
      <c r="L398" s="39"/>
      <c r="M398" s="39"/>
      <c r="N398" s="39"/>
      <c r="O398" s="39"/>
      <c r="P398" s="39"/>
      <c r="Q398" s="39"/>
      <c r="R398" s="39"/>
      <c r="S398" s="39"/>
      <c r="T398" s="39"/>
      <c r="U398" s="39"/>
      <c r="V398" s="39"/>
      <c r="W398" s="39"/>
      <c r="X398" s="39"/>
      <c r="Y398" s="39"/>
      <c r="Z398" s="39"/>
      <c r="AA398" s="39"/>
      <c r="AB398" s="39"/>
    </row>
    <row r="399">
      <c r="A399" s="1"/>
      <c r="B399" s="36"/>
      <c r="C399" s="36"/>
      <c r="D399" s="36"/>
      <c r="E399" s="36"/>
      <c r="F399" s="36"/>
      <c r="G399" s="36"/>
      <c r="H399" s="37"/>
      <c r="I399" s="36"/>
      <c r="J399" s="38"/>
      <c r="K399" s="38"/>
      <c r="L399" s="39"/>
      <c r="M399" s="39"/>
      <c r="N399" s="39"/>
      <c r="O399" s="39"/>
      <c r="P399" s="39"/>
      <c r="Q399" s="39"/>
      <c r="R399" s="39"/>
      <c r="S399" s="39"/>
      <c r="T399" s="39"/>
      <c r="U399" s="39"/>
      <c r="V399" s="39"/>
      <c r="W399" s="39"/>
      <c r="X399" s="39"/>
      <c r="Y399" s="39"/>
      <c r="Z399" s="39"/>
      <c r="AA399" s="39"/>
      <c r="AB399" s="39"/>
    </row>
    <row r="400">
      <c r="A400" s="1"/>
      <c r="B400" s="36"/>
      <c r="C400" s="36"/>
      <c r="D400" s="36"/>
      <c r="E400" s="36"/>
      <c r="F400" s="36"/>
      <c r="G400" s="36"/>
      <c r="H400" s="37"/>
      <c r="I400" s="36"/>
      <c r="J400" s="38"/>
      <c r="K400" s="38"/>
      <c r="L400" s="39"/>
      <c r="M400" s="39"/>
      <c r="N400" s="39"/>
      <c r="O400" s="39"/>
      <c r="P400" s="39"/>
      <c r="Q400" s="39"/>
      <c r="R400" s="39"/>
      <c r="S400" s="39"/>
      <c r="T400" s="39"/>
      <c r="U400" s="39"/>
      <c r="V400" s="39"/>
      <c r="W400" s="39"/>
      <c r="X400" s="39"/>
      <c r="Y400" s="39"/>
      <c r="Z400" s="39"/>
      <c r="AA400" s="39"/>
      <c r="AB400" s="39"/>
    </row>
    <row r="401">
      <c r="A401" s="1"/>
      <c r="B401" s="36"/>
      <c r="C401" s="36"/>
      <c r="D401" s="36"/>
      <c r="E401" s="36"/>
      <c r="F401" s="36"/>
      <c r="G401" s="36"/>
      <c r="H401" s="37"/>
      <c r="I401" s="36"/>
      <c r="J401" s="38"/>
      <c r="K401" s="38"/>
      <c r="L401" s="39"/>
      <c r="M401" s="39"/>
      <c r="N401" s="39"/>
      <c r="O401" s="39"/>
      <c r="P401" s="39"/>
      <c r="Q401" s="39"/>
      <c r="R401" s="39"/>
      <c r="S401" s="39"/>
      <c r="T401" s="39"/>
      <c r="U401" s="39"/>
      <c r="V401" s="39"/>
      <c r="W401" s="39"/>
      <c r="X401" s="39"/>
      <c r="Y401" s="39"/>
      <c r="Z401" s="39"/>
      <c r="AA401" s="39"/>
      <c r="AB401" s="39"/>
    </row>
    <row r="402">
      <c r="A402" s="1"/>
      <c r="B402" s="36"/>
      <c r="C402" s="36"/>
      <c r="D402" s="36"/>
      <c r="E402" s="36"/>
      <c r="F402" s="36"/>
      <c r="G402" s="36"/>
      <c r="H402" s="37"/>
      <c r="I402" s="36"/>
      <c r="J402" s="38"/>
      <c r="K402" s="38"/>
      <c r="L402" s="39"/>
      <c r="M402" s="39"/>
      <c r="N402" s="39"/>
      <c r="O402" s="39"/>
      <c r="P402" s="39"/>
      <c r="Q402" s="39"/>
      <c r="R402" s="39"/>
      <c r="S402" s="39"/>
      <c r="T402" s="39"/>
      <c r="U402" s="39"/>
      <c r="V402" s="39"/>
      <c r="W402" s="39"/>
      <c r="X402" s="39"/>
      <c r="Y402" s="39"/>
      <c r="Z402" s="39"/>
      <c r="AA402" s="39"/>
      <c r="AB402" s="39"/>
    </row>
    <row r="403">
      <c r="A403" s="1"/>
      <c r="B403" s="36"/>
      <c r="C403" s="36"/>
      <c r="D403" s="36"/>
      <c r="E403" s="36"/>
      <c r="F403" s="36"/>
      <c r="G403" s="36"/>
      <c r="H403" s="37"/>
      <c r="I403" s="36"/>
      <c r="J403" s="38"/>
      <c r="K403" s="38"/>
      <c r="L403" s="39"/>
      <c r="M403" s="39"/>
      <c r="N403" s="39"/>
      <c r="O403" s="39"/>
      <c r="P403" s="39"/>
      <c r="Q403" s="39"/>
      <c r="R403" s="39"/>
      <c r="S403" s="39"/>
      <c r="T403" s="39"/>
      <c r="U403" s="39"/>
      <c r="V403" s="39"/>
      <c r="W403" s="39"/>
      <c r="X403" s="39"/>
      <c r="Y403" s="39"/>
      <c r="Z403" s="39"/>
      <c r="AA403" s="39"/>
      <c r="AB403" s="39"/>
    </row>
    <row r="404">
      <c r="A404" s="1"/>
      <c r="B404" s="36"/>
      <c r="C404" s="36"/>
      <c r="D404" s="36"/>
      <c r="E404" s="36"/>
      <c r="F404" s="36"/>
      <c r="G404" s="36"/>
      <c r="H404" s="37"/>
      <c r="I404" s="36"/>
      <c r="J404" s="38"/>
      <c r="K404" s="38"/>
      <c r="L404" s="39"/>
      <c r="M404" s="39"/>
      <c r="N404" s="39"/>
      <c r="O404" s="39"/>
      <c r="P404" s="39"/>
      <c r="Q404" s="39"/>
      <c r="R404" s="39"/>
      <c r="S404" s="39"/>
      <c r="T404" s="39"/>
      <c r="U404" s="39"/>
      <c r="V404" s="39"/>
      <c r="W404" s="39"/>
      <c r="X404" s="39"/>
      <c r="Y404" s="39"/>
      <c r="Z404" s="39"/>
      <c r="AA404" s="39"/>
      <c r="AB404" s="39"/>
    </row>
    <row r="405">
      <c r="A405" s="1"/>
      <c r="B405" s="36"/>
      <c r="C405" s="36"/>
      <c r="D405" s="36"/>
      <c r="E405" s="36"/>
      <c r="F405" s="36"/>
      <c r="G405" s="36"/>
      <c r="H405" s="37"/>
      <c r="I405" s="36"/>
      <c r="J405" s="38"/>
      <c r="K405" s="38"/>
      <c r="L405" s="39"/>
      <c r="M405" s="39"/>
      <c r="N405" s="39"/>
      <c r="O405" s="39"/>
      <c r="P405" s="39"/>
      <c r="Q405" s="39"/>
      <c r="R405" s="39"/>
      <c r="S405" s="39"/>
      <c r="T405" s="39"/>
      <c r="U405" s="39"/>
      <c r="V405" s="39"/>
      <c r="W405" s="39"/>
      <c r="X405" s="39"/>
      <c r="Y405" s="39"/>
      <c r="Z405" s="39"/>
      <c r="AA405" s="39"/>
      <c r="AB405" s="39"/>
    </row>
    <row r="406">
      <c r="A406" s="1"/>
      <c r="B406" s="36"/>
      <c r="C406" s="36"/>
      <c r="D406" s="36"/>
      <c r="E406" s="36"/>
      <c r="F406" s="36"/>
      <c r="G406" s="36"/>
      <c r="H406" s="37"/>
      <c r="I406" s="36"/>
      <c r="J406" s="38"/>
      <c r="K406" s="38"/>
      <c r="L406" s="39"/>
      <c r="M406" s="39"/>
      <c r="N406" s="39"/>
      <c r="O406" s="39"/>
      <c r="P406" s="39"/>
      <c r="Q406" s="39"/>
      <c r="R406" s="39"/>
      <c r="S406" s="39"/>
      <c r="T406" s="39"/>
      <c r="U406" s="39"/>
      <c r="V406" s="39"/>
      <c r="W406" s="39"/>
      <c r="X406" s="39"/>
      <c r="Y406" s="39"/>
      <c r="Z406" s="39"/>
      <c r="AA406" s="39"/>
      <c r="AB406" s="39"/>
    </row>
    <row r="407">
      <c r="A407" s="1"/>
      <c r="B407" s="36"/>
      <c r="C407" s="36"/>
      <c r="D407" s="36"/>
      <c r="E407" s="36"/>
      <c r="F407" s="36"/>
      <c r="G407" s="36"/>
      <c r="H407" s="37"/>
      <c r="I407" s="36"/>
      <c r="J407" s="38"/>
      <c r="K407" s="38"/>
      <c r="L407" s="39"/>
      <c r="M407" s="39"/>
      <c r="N407" s="39"/>
      <c r="O407" s="39"/>
      <c r="P407" s="39"/>
      <c r="Q407" s="39"/>
      <c r="R407" s="39"/>
      <c r="S407" s="39"/>
      <c r="T407" s="39"/>
      <c r="U407" s="39"/>
      <c r="V407" s="39"/>
      <c r="W407" s="39"/>
      <c r="X407" s="39"/>
      <c r="Y407" s="39"/>
      <c r="Z407" s="39"/>
      <c r="AA407" s="39"/>
      <c r="AB407" s="39"/>
    </row>
    <row r="408">
      <c r="A408" s="1"/>
      <c r="B408" s="36"/>
      <c r="C408" s="36"/>
      <c r="D408" s="36"/>
      <c r="E408" s="36"/>
      <c r="F408" s="36"/>
      <c r="G408" s="36"/>
      <c r="H408" s="37"/>
      <c r="I408" s="36"/>
      <c r="J408" s="38"/>
      <c r="K408" s="38"/>
      <c r="L408" s="39"/>
      <c r="M408" s="39"/>
      <c r="N408" s="39"/>
      <c r="O408" s="39"/>
      <c r="P408" s="39"/>
      <c r="Q408" s="39"/>
      <c r="R408" s="39"/>
      <c r="S408" s="39"/>
      <c r="T408" s="39"/>
      <c r="U408" s="39"/>
      <c r="V408" s="39"/>
      <c r="W408" s="39"/>
      <c r="X408" s="39"/>
      <c r="Y408" s="39"/>
      <c r="Z408" s="39"/>
      <c r="AA408" s="39"/>
      <c r="AB408" s="39"/>
    </row>
    <row r="409">
      <c r="A409" s="1"/>
      <c r="B409" s="36"/>
      <c r="C409" s="36"/>
      <c r="D409" s="36"/>
      <c r="E409" s="36"/>
      <c r="F409" s="36"/>
      <c r="G409" s="36"/>
      <c r="H409" s="37"/>
      <c r="I409" s="36"/>
      <c r="J409" s="38"/>
      <c r="K409" s="38"/>
      <c r="L409" s="39"/>
      <c r="M409" s="39"/>
      <c r="N409" s="39"/>
      <c r="O409" s="39"/>
      <c r="P409" s="39"/>
      <c r="Q409" s="39"/>
      <c r="R409" s="39"/>
      <c r="S409" s="39"/>
      <c r="T409" s="39"/>
      <c r="U409" s="39"/>
      <c r="V409" s="39"/>
      <c r="W409" s="39"/>
      <c r="X409" s="39"/>
      <c r="Y409" s="39"/>
      <c r="Z409" s="39"/>
      <c r="AA409" s="39"/>
      <c r="AB409" s="39"/>
    </row>
    <row r="410">
      <c r="A410" s="1"/>
      <c r="B410" s="36"/>
      <c r="C410" s="36"/>
      <c r="D410" s="36"/>
      <c r="E410" s="36"/>
      <c r="F410" s="36"/>
      <c r="G410" s="36"/>
      <c r="H410" s="37"/>
      <c r="I410" s="36"/>
      <c r="J410" s="38"/>
      <c r="K410" s="38"/>
      <c r="L410" s="39"/>
      <c r="M410" s="39"/>
      <c r="N410" s="39"/>
      <c r="O410" s="39"/>
      <c r="P410" s="39"/>
      <c r="Q410" s="39"/>
      <c r="R410" s="39"/>
      <c r="S410" s="39"/>
      <c r="T410" s="39"/>
      <c r="U410" s="39"/>
      <c r="V410" s="39"/>
      <c r="W410" s="39"/>
      <c r="X410" s="39"/>
      <c r="Y410" s="39"/>
      <c r="Z410" s="39"/>
      <c r="AA410" s="39"/>
      <c r="AB410" s="39"/>
    </row>
    <row r="411">
      <c r="A411" s="1"/>
      <c r="B411" s="36"/>
      <c r="C411" s="36"/>
      <c r="D411" s="36"/>
      <c r="E411" s="36"/>
      <c r="F411" s="36"/>
      <c r="G411" s="36"/>
      <c r="H411" s="37"/>
      <c r="I411" s="36"/>
      <c r="J411" s="38"/>
      <c r="K411" s="38"/>
      <c r="L411" s="39"/>
      <c r="M411" s="39"/>
      <c r="N411" s="39"/>
      <c r="O411" s="39"/>
      <c r="P411" s="39"/>
      <c r="Q411" s="39"/>
      <c r="R411" s="39"/>
      <c r="S411" s="39"/>
      <c r="T411" s="39"/>
      <c r="U411" s="39"/>
      <c r="V411" s="39"/>
      <c r="W411" s="39"/>
      <c r="X411" s="39"/>
      <c r="Y411" s="39"/>
      <c r="Z411" s="39"/>
      <c r="AA411" s="39"/>
      <c r="AB411" s="39"/>
    </row>
    <row r="412">
      <c r="A412" s="1"/>
      <c r="B412" s="36"/>
      <c r="C412" s="36"/>
      <c r="D412" s="36"/>
      <c r="E412" s="36"/>
      <c r="F412" s="36"/>
      <c r="G412" s="36"/>
      <c r="H412" s="37"/>
      <c r="I412" s="36"/>
      <c r="J412" s="38"/>
      <c r="K412" s="38"/>
      <c r="L412" s="39"/>
      <c r="M412" s="39"/>
      <c r="N412" s="39"/>
      <c r="O412" s="39"/>
      <c r="P412" s="39"/>
      <c r="Q412" s="39"/>
      <c r="R412" s="39"/>
      <c r="S412" s="39"/>
      <c r="T412" s="39"/>
      <c r="U412" s="39"/>
      <c r="V412" s="39"/>
      <c r="W412" s="39"/>
      <c r="X412" s="39"/>
      <c r="Y412" s="39"/>
      <c r="Z412" s="39"/>
      <c r="AA412" s="39"/>
      <c r="AB412" s="39"/>
    </row>
    <row r="413">
      <c r="A413" s="1"/>
      <c r="B413" s="36"/>
      <c r="C413" s="36"/>
      <c r="D413" s="36"/>
      <c r="E413" s="36"/>
      <c r="F413" s="36"/>
      <c r="G413" s="36"/>
      <c r="H413" s="37"/>
      <c r="I413" s="36"/>
      <c r="J413" s="38"/>
      <c r="K413" s="38"/>
      <c r="L413" s="39"/>
      <c r="M413" s="39"/>
      <c r="N413" s="39"/>
      <c r="O413" s="39"/>
      <c r="P413" s="39"/>
      <c r="Q413" s="39"/>
      <c r="R413" s="39"/>
      <c r="S413" s="39"/>
      <c r="T413" s="39"/>
      <c r="U413" s="39"/>
      <c r="V413" s="39"/>
      <c r="W413" s="39"/>
      <c r="X413" s="39"/>
      <c r="Y413" s="39"/>
      <c r="Z413" s="39"/>
      <c r="AA413" s="39"/>
      <c r="AB413" s="39"/>
    </row>
    <row r="414">
      <c r="A414" s="1"/>
      <c r="B414" s="36"/>
      <c r="C414" s="36"/>
      <c r="D414" s="36"/>
      <c r="E414" s="36"/>
      <c r="F414" s="36"/>
      <c r="G414" s="36"/>
      <c r="H414" s="37"/>
      <c r="I414" s="36"/>
      <c r="J414" s="38"/>
      <c r="K414" s="38"/>
      <c r="L414" s="39"/>
      <c r="M414" s="39"/>
      <c r="N414" s="39"/>
      <c r="O414" s="39"/>
      <c r="P414" s="39"/>
      <c r="Q414" s="39"/>
      <c r="R414" s="39"/>
      <c r="S414" s="39"/>
      <c r="T414" s="39"/>
      <c r="U414" s="39"/>
      <c r="V414" s="39"/>
      <c r="W414" s="39"/>
      <c r="X414" s="39"/>
      <c r="Y414" s="39"/>
      <c r="Z414" s="39"/>
      <c r="AA414" s="39"/>
      <c r="AB414" s="39"/>
    </row>
    <row r="415">
      <c r="A415" s="1"/>
      <c r="B415" s="36"/>
      <c r="C415" s="36"/>
      <c r="D415" s="36"/>
      <c r="E415" s="36"/>
      <c r="F415" s="36"/>
      <c r="G415" s="36"/>
      <c r="H415" s="37"/>
      <c r="I415" s="36"/>
      <c r="J415" s="38"/>
      <c r="K415" s="38"/>
      <c r="L415" s="39"/>
      <c r="M415" s="39"/>
      <c r="N415" s="39"/>
      <c r="O415" s="39"/>
      <c r="P415" s="39"/>
      <c r="Q415" s="39"/>
      <c r="R415" s="39"/>
      <c r="S415" s="39"/>
      <c r="T415" s="39"/>
      <c r="U415" s="39"/>
      <c r="V415" s="39"/>
      <c r="W415" s="39"/>
      <c r="X415" s="39"/>
      <c r="Y415" s="39"/>
      <c r="Z415" s="39"/>
      <c r="AA415" s="39"/>
      <c r="AB415" s="39"/>
    </row>
    <row r="416">
      <c r="A416" s="1"/>
      <c r="B416" s="36"/>
      <c r="C416" s="36"/>
      <c r="D416" s="36"/>
      <c r="E416" s="36"/>
      <c r="F416" s="36"/>
      <c r="G416" s="36"/>
      <c r="H416" s="37"/>
      <c r="I416" s="36"/>
      <c r="J416" s="38"/>
      <c r="K416" s="38"/>
      <c r="L416" s="39"/>
      <c r="M416" s="39"/>
      <c r="N416" s="39"/>
      <c r="O416" s="39"/>
      <c r="P416" s="39"/>
      <c r="Q416" s="39"/>
      <c r="R416" s="39"/>
      <c r="S416" s="39"/>
      <c r="T416" s="39"/>
      <c r="U416" s="39"/>
      <c r="V416" s="39"/>
      <c r="W416" s="39"/>
      <c r="X416" s="39"/>
      <c r="Y416" s="39"/>
      <c r="Z416" s="39"/>
      <c r="AA416" s="39"/>
      <c r="AB416" s="39"/>
    </row>
    <row r="417">
      <c r="A417" s="1"/>
      <c r="B417" s="36"/>
      <c r="C417" s="36"/>
      <c r="D417" s="36"/>
      <c r="E417" s="36"/>
      <c r="F417" s="36"/>
      <c r="G417" s="36"/>
      <c r="H417" s="37"/>
      <c r="I417" s="36"/>
      <c r="J417" s="38"/>
      <c r="K417" s="38"/>
      <c r="L417" s="39"/>
      <c r="M417" s="39"/>
      <c r="N417" s="39"/>
      <c r="O417" s="39"/>
      <c r="P417" s="39"/>
      <c r="Q417" s="39"/>
      <c r="R417" s="39"/>
      <c r="S417" s="39"/>
      <c r="T417" s="39"/>
      <c r="U417" s="39"/>
      <c r="V417" s="39"/>
      <c r="W417" s="39"/>
      <c r="X417" s="39"/>
      <c r="Y417" s="39"/>
      <c r="Z417" s="39"/>
      <c r="AA417" s="39"/>
      <c r="AB417" s="39"/>
    </row>
    <row r="418">
      <c r="A418" s="1"/>
      <c r="B418" s="36"/>
      <c r="C418" s="36"/>
      <c r="D418" s="36"/>
      <c r="E418" s="36"/>
      <c r="F418" s="36"/>
      <c r="G418" s="36"/>
      <c r="H418" s="37"/>
      <c r="I418" s="36"/>
      <c r="J418" s="38"/>
      <c r="K418" s="38"/>
      <c r="L418" s="39"/>
      <c r="M418" s="39"/>
      <c r="N418" s="39"/>
      <c r="O418" s="39"/>
      <c r="P418" s="39"/>
      <c r="Q418" s="39"/>
      <c r="R418" s="39"/>
      <c r="S418" s="39"/>
      <c r="T418" s="39"/>
      <c r="U418" s="39"/>
      <c r="V418" s="39"/>
      <c r="W418" s="39"/>
      <c r="X418" s="39"/>
      <c r="Y418" s="39"/>
      <c r="Z418" s="39"/>
      <c r="AA418" s="39"/>
      <c r="AB418" s="39"/>
    </row>
    <row r="419">
      <c r="A419" s="1"/>
      <c r="B419" s="36"/>
      <c r="C419" s="36"/>
      <c r="D419" s="36"/>
      <c r="E419" s="36"/>
      <c r="F419" s="36"/>
      <c r="G419" s="36"/>
      <c r="H419" s="37"/>
      <c r="I419" s="36"/>
      <c r="J419" s="38"/>
      <c r="K419" s="38"/>
      <c r="L419" s="39"/>
      <c r="M419" s="39"/>
      <c r="N419" s="39"/>
      <c r="O419" s="39"/>
      <c r="P419" s="39"/>
      <c r="Q419" s="39"/>
      <c r="R419" s="39"/>
      <c r="S419" s="39"/>
      <c r="T419" s="39"/>
      <c r="U419" s="39"/>
      <c r="V419" s="39"/>
      <c r="W419" s="39"/>
      <c r="X419" s="39"/>
      <c r="Y419" s="39"/>
      <c r="Z419" s="39"/>
      <c r="AA419" s="39"/>
      <c r="AB419" s="39"/>
    </row>
    <row r="420">
      <c r="A420" s="1"/>
      <c r="B420" s="36"/>
      <c r="C420" s="36"/>
      <c r="D420" s="36"/>
      <c r="E420" s="36"/>
      <c r="F420" s="36"/>
      <c r="G420" s="36"/>
      <c r="H420" s="37"/>
      <c r="I420" s="36"/>
      <c r="J420" s="38"/>
      <c r="K420" s="38"/>
      <c r="L420" s="39"/>
      <c r="M420" s="39"/>
      <c r="N420" s="39"/>
      <c r="O420" s="39"/>
      <c r="P420" s="39"/>
      <c r="Q420" s="39"/>
      <c r="R420" s="39"/>
      <c r="S420" s="39"/>
      <c r="T420" s="39"/>
      <c r="U420" s="39"/>
      <c r="V420" s="39"/>
      <c r="W420" s="39"/>
      <c r="X420" s="39"/>
      <c r="Y420" s="39"/>
      <c r="Z420" s="39"/>
      <c r="AA420" s="39"/>
      <c r="AB420" s="39"/>
    </row>
    <row r="421">
      <c r="A421" s="1"/>
      <c r="B421" s="36"/>
      <c r="C421" s="36"/>
      <c r="D421" s="36"/>
      <c r="E421" s="36"/>
      <c r="F421" s="36"/>
      <c r="G421" s="36"/>
      <c r="H421" s="37"/>
      <c r="I421" s="36"/>
      <c r="J421" s="38"/>
      <c r="K421" s="38"/>
      <c r="L421" s="39"/>
      <c r="M421" s="39"/>
      <c r="N421" s="39"/>
      <c r="O421" s="39"/>
      <c r="P421" s="39"/>
      <c r="Q421" s="39"/>
      <c r="R421" s="39"/>
      <c r="S421" s="39"/>
      <c r="T421" s="39"/>
      <c r="U421" s="39"/>
      <c r="V421" s="39"/>
      <c r="W421" s="39"/>
      <c r="X421" s="39"/>
      <c r="Y421" s="39"/>
      <c r="Z421" s="39"/>
      <c r="AA421" s="39"/>
      <c r="AB421" s="39"/>
    </row>
    <row r="422">
      <c r="A422" s="1"/>
      <c r="B422" s="36"/>
      <c r="C422" s="36"/>
      <c r="D422" s="36"/>
      <c r="E422" s="36"/>
      <c r="F422" s="36"/>
      <c r="G422" s="36"/>
      <c r="H422" s="37"/>
      <c r="I422" s="36"/>
      <c r="J422" s="38"/>
      <c r="K422" s="38"/>
      <c r="L422" s="39"/>
      <c r="M422" s="39"/>
      <c r="N422" s="39"/>
      <c r="O422" s="39"/>
      <c r="P422" s="39"/>
      <c r="Q422" s="39"/>
      <c r="R422" s="39"/>
      <c r="S422" s="39"/>
      <c r="T422" s="39"/>
      <c r="U422" s="39"/>
      <c r="V422" s="39"/>
      <c r="W422" s="39"/>
      <c r="X422" s="39"/>
      <c r="Y422" s="39"/>
      <c r="Z422" s="39"/>
      <c r="AA422" s="39"/>
      <c r="AB422" s="39"/>
    </row>
    <row r="423">
      <c r="A423" s="1"/>
      <c r="B423" s="36"/>
      <c r="C423" s="36"/>
      <c r="D423" s="36"/>
      <c r="E423" s="36"/>
      <c r="F423" s="36"/>
      <c r="G423" s="36"/>
      <c r="H423" s="37"/>
      <c r="I423" s="36"/>
      <c r="J423" s="38"/>
      <c r="K423" s="38"/>
      <c r="L423" s="39"/>
      <c r="M423" s="39"/>
      <c r="N423" s="39"/>
      <c r="O423" s="39"/>
      <c r="P423" s="39"/>
      <c r="Q423" s="39"/>
      <c r="R423" s="39"/>
      <c r="S423" s="39"/>
      <c r="T423" s="39"/>
      <c r="U423" s="39"/>
      <c r="V423" s="39"/>
      <c r="W423" s="39"/>
      <c r="X423" s="39"/>
      <c r="Y423" s="39"/>
      <c r="Z423" s="39"/>
      <c r="AA423" s="39"/>
      <c r="AB423" s="39"/>
    </row>
    <row r="424">
      <c r="A424" s="1"/>
      <c r="B424" s="36"/>
      <c r="C424" s="36"/>
      <c r="D424" s="36"/>
      <c r="E424" s="36"/>
      <c r="F424" s="36"/>
      <c r="G424" s="36"/>
      <c r="H424" s="37"/>
      <c r="I424" s="36"/>
      <c r="J424" s="38"/>
      <c r="K424" s="38"/>
      <c r="L424" s="39"/>
      <c r="M424" s="39"/>
      <c r="N424" s="39"/>
      <c r="O424" s="39"/>
      <c r="P424" s="39"/>
      <c r="Q424" s="39"/>
      <c r="R424" s="39"/>
      <c r="S424" s="39"/>
      <c r="T424" s="39"/>
      <c r="U424" s="39"/>
      <c r="V424" s="39"/>
      <c r="W424" s="39"/>
      <c r="X424" s="39"/>
      <c r="Y424" s="39"/>
      <c r="Z424" s="39"/>
      <c r="AA424" s="39"/>
      <c r="AB424" s="39"/>
    </row>
    <row r="425">
      <c r="A425" s="1"/>
      <c r="B425" s="36"/>
      <c r="C425" s="36"/>
      <c r="D425" s="36"/>
      <c r="E425" s="36"/>
      <c r="F425" s="36"/>
      <c r="G425" s="36"/>
      <c r="H425" s="37"/>
      <c r="I425" s="36"/>
      <c r="J425" s="38"/>
      <c r="K425" s="38"/>
      <c r="L425" s="39"/>
      <c r="M425" s="39"/>
      <c r="N425" s="39"/>
      <c r="O425" s="39"/>
      <c r="P425" s="39"/>
      <c r="Q425" s="39"/>
      <c r="R425" s="39"/>
      <c r="S425" s="39"/>
      <c r="T425" s="39"/>
      <c r="U425" s="39"/>
      <c r="V425" s="39"/>
      <c r="W425" s="39"/>
      <c r="X425" s="39"/>
      <c r="Y425" s="39"/>
      <c r="Z425" s="39"/>
      <c r="AA425" s="39"/>
      <c r="AB425" s="39"/>
    </row>
    <row r="426">
      <c r="A426" s="1"/>
      <c r="B426" s="36"/>
      <c r="C426" s="36"/>
      <c r="D426" s="36"/>
      <c r="E426" s="36"/>
      <c r="F426" s="36"/>
      <c r="G426" s="36"/>
      <c r="H426" s="37"/>
      <c r="I426" s="36"/>
      <c r="J426" s="38"/>
      <c r="K426" s="38"/>
      <c r="L426" s="39"/>
      <c r="M426" s="39"/>
      <c r="N426" s="39"/>
      <c r="O426" s="39"/>
      <c r="P426" s="39"/>
      <c r="Q426" s="39"/>
      <c r="R426" s="39"/>
      <c r="S426" s="39"/>
      <c r="T426" s="39"/>
      <c r="U426" s="39"/>
      <c r="V426" s="39"/>
      <c r="W426" s="39"/>
      <c r="X426" s="39"/>
      <c r="Y426" s="39"/>
      <c r="Z426" s="39"/>
      <c r="AA426" s="39"/>
      <c r="AB426" s="39"/>
    </row>
    <row r="427">
      <c r="A427" s="1"/>
      <c r="B427" s="36"/>
      <c r="C427" s="36"/>
      <c r="D427" s="36"/>
      <c r="E427" s="36"/>
      <c r="F427" s="36"/>
      <c r="G427" s="36"/>
      <c r="H427" s="37"/>
      <c r="I427" s="36"/>
      <c r="J427" s="38"/>
      <c r="K427" s="38"/>
      <c r="L427" s="39"/>
      <c r="M427" s="39"/>
      <c r="N427" s="39"/>
      <c r="O427" s="39"/>
      <c r="P427" s="39"/>
      <c r="Q427" s="39"/>
      <c r="R427" s="39"/>
      <c r="S427" s="39"/>
      <c r="T427" s="39"/>
      <c r="U427" s="39"/>
      <c r="V427" s="39"/>
      <c r="W427" s="39"/>
      <c r="X427" s="39"/>
      <c r="Y427" s="39"/>
      <c r="Z427" s="39"/>
      <c r="AA427" s="39"/>
      <c r="AB427" s="39"/>
    </row>
    <row r="428">
      <c r="A428" s="1"/>
      <c r="B428" s="36"/>
      <c r="C428" s="36"/>
      <c r="D428" s="36"/>
      <c r="E428" s="36"/>
      <c r="F428" s="36"/>
      <c r="G428" s="36"/>
      <c r="H428" s="37"/>
      <c r="I428" s="36"/>
      <c r="J428" s="38"/>
      <c r="K428" s="38"/>
      <c r="L428" s="39"/>
      <c r="M428" s="39"/>
      <c r="N428" s="39"/>
      <c r="O428" s="39"/>
      <c r="P428" s="39"/>
      <c r="Q428" s="39"/>
      <c r="R428" s="39"/>
      <c r="S428" s="39"/>
      <c r="T428" s="39"/>
      <c r="U428" s="39"/>
      <c r="V428" s="39"/>
      <c r="W428" s="39"/>
      <c r="X428" s="39"/>
      <c r="Y428" s="39"/>
      <c r="Z428" s="39"/>
      <c r="AA428" s="39"/>
      <c r="AB428" s="39"/>
    </row>
    <row r="429">
      <c r="A429" s="1"/>
      <c r="B429" s="36"/>
      <c r="C429" s="36"/>
      <c r="D429" s="36"/>
      <c r="E429" s="36"/>
      <c r="F429" s="36"/>
      <c r="G429" s="36"/>
      <c r="H429" s="37"/>
      <c r="I429" s="36"/>
      <c r="J429" s="38"/>
      <c r="K429" s="38"/>
      <c r="L429" s="39"/>
      <c r="M429" s="39"/>
      <c r="N429" s="39"/>
      <c r="O429" s="39"/>
      <c r="P429" s="39"/>
      <c r="Q429" s="39"/>
      <c r="R429" s="39"/>
      <c r="S429" s="39"/>
      <c r="T429" s="39"/>
      <c r="U429" s="39"/>
      <c r="V429" s="39"/>
      <c r="W429" s="39"/>
      <c r="X429" s="39"/>
      <c r="Y429" s="39"/>
      <c r="Z429" s="39"/>
      <c r="AA429" s="39"/>
      <c r="AB429" s="39"/>
    </row>
    <row r="430">
      <c r="A430" s="1"/>
      <c r="B430" s="36"/>
      <c r="C430" s="36"/>
      <c r="D430" s="36"/>
      <c r="E430" s="36"/>
      <c r="F430" s="36"/>
      <c r="G430" s="36"/>
      <c r="H430" s="37"/>
      <c r="I430" s="36"/>
      <c r="J430" s="38"/>
      <c r="K430" s="38"/>
      <c r="L430" s="39"/>
      <c r="M430" s="39"/>
      <c r="N430" s="39"/>
      <c r="O430" s="39"/>
      <c r="P430" s="39"/>
      <c r="Q430" s="39"/>
      <c r="R430" s="39"/>
      <c r="S430" s="39"/>
      <c r="T430" s="39"/>
      <c r="U430" s="39"/>
      <c r="V430" s="39"/>
      <c r="W430" s="39"/>
      <c r="X430" s="39"/>
      <c r="Y430" s="39"/>
      <c r="Z430" s="39"/>
      <c r="AA430" s="39"/>
      <c r="AB430" s="39"/>
    </row>
    <row r="431">
      <c r="A431" s="1"/>
      <c r="B431" s="36"/>
      <c r="C431" s="36"/>
      <c r="D431" s="36"/>
      <c r="E431" s="36"/>
      <c r="F431" s="36"/>
      <c r="G431" s="36"/>
      <c r="H431" s="37"/>
      <c r="I431" s="36"/>
      <c r="J431" s="38"/>
      <c r="K431" s="38"/>
      <c r="L431" s="39"/>
      <c r="M431" s="39"/>
      <c r="N431" s="39"/>
      <c r="O431" s="39"/>
      <c r="P431" s="39"/>
      <c r="Q431" s="39"/>
      <c r="R431" s="39"/>
      <c r="S431" s="39"/>
      <c r="T431" s="39"/>
      <c r="U431" s="39"/>
      <c r="V431" s="39"/>
      <c r="W431" s="39"/>
      <c r="X431" s="39"/>
      <c r="Y431" s="39"/>
      <c r="Z431" s="39"/>
      <c r="AA431" s="39"/>
      <c r="AB431" s="39"/>
    </row>
    <row r="432">
      <c r="A432" s="1"/>
      <c r="B432" s="36"/>
      <c r="C432" s="36"/>
      <c r="D432" s="36"/>
      <c r="E432" s="36"/>
      <c r="F432" s="36"/>
      <c r="G432" s="36"/>
      <c r="H432" s="37"/>
      <c r="I432" s="36"/>
      <c r="J432" s="38"/>
      <c r="K432" s="38"/>
      <c r="L432" s="39"/>
      <c r="M432" s="39"/>
      <c r="N432" s="39"/>
      <c r="O432" s="39"/>
      <c r="P432" s="39"/>
      <c r="Q432" s="39"/>
      <c r="R432" s="39"/>
      <c r="S432" s="39"/>
      <c r="T432" s="39"/>
      <c r="U432" s="39"/>
      <c r="V432" s="39"/>
      <c r="W432" s="39"/>
      <c r="X432" s="39"/>
      <c r="Y432" s="39"/>
      <c r="Z432" s="39"/>
      <c r="AA432" s="39"/>
      <c r="AB432" s="39"/>
    </row>
    <row r="433">
      <c r="A433" s="1"/>
      <c r="B433" s="36"/>
      <c r="C433" s="36"/>
      <c r="D433" s="36"/>
      <c r="E433" s="36"/>
      <c r="F433" s="36"/>
      <c r="G433" s="36"/>
      <c r="H433" s="37"/>
      <c r="I433" s="36"/>
      <c r="J433" s="38"/>
      <c r="K433" s="38"/>
      <c r="L433" s="39"/>
      <c r="M433" s="39"/>
      <c r="N433" s="39"/>
      <c r="O433" s="39"/>
      <c r="P433" s="39"/>
      <c r="Q433" s="39"/>
      <c r="R433" s="39"/>
      <c r="S433" s="39"/>
      <c r="T433" s="39"/>
      <c r="U433" s="39"/>
      <c r="V433" s="39"/>
      <c r="W433" s="39"/>
      <c r="X433" s="39"/>
      <c r="Y433" s="39"/>
      <c r="Z433" s="39"/>
      <c r="AA433" s="39"/>
      <c r="AB433" s="39"/>
    </row>
    <row r="434">
      <c r="A434" s="1"/>
      <c r="B434" s="36"/>
      <c r="C434" s="36"/>
      <c r="D434" s="36"/>
      <c r="E434" s="36"/>
      <c r="F434" s="36"/>
      <c r="G434" s="36"/>
      <c r="H434" s="37"/>
      <c r="I434" s="36"/>
      <c r="J434" s="38"/>
      <c r="K434" s="38"/>
      <c r="L434" s="39"/>
      <c r="M434" s="39"/>
      <c r="N434" s="39"/>
      <c r="O434" s="39"/>
      <c r="P434" s="39"/>
      <c r="Q434" s="39"/>
      <c r="R434" s="39"/>
      <c r="S434" s="39"/>
      <c r="T434" s="39"/>
      <c r="U434" s="39"/>
      <c r="V434" s="39"/>
      <c r="W434" s="39"/>
      <c r="X434" s="39"/>
      <c r="Y434" s="39"/>
      <c r="Z434" s="39"/>
      <c r="AA434" s="39"/>
      <c r="AB434" s="39"/>
    </row>
    <row r="435">
      <c r="A435" s="1"/>
      <c r="B435" s="36"/>
      <c r="C435" s="36"/>
      <c r="D435" s="36"/>
      <c r="E435" s="36"/>
      <c r="F435" s="36"/>
      <c r="G435" s="36"/>
      <c r="H435" s="37"/>
      <c r="I435" s="36"/>
      <c r="J435" s="38"/>
      <c r="K435" s="38"/>
      <c r="L435" s="39"/>
      <c r="M435" s="39"/>
      <c r="N435" s="39"/>
      <c r="O435" s="39"/>
      <c r="P435" s="39"/>
      <c r="Q435" s="39"/>
      <c r="R435" s="39"/>
      <c r="S435" s="39"/>
      <c r="T435" s="39"/>
      <c r="U435" s="39"/>
      <c r="V435" s="39"/>
      <c r="W435" s="39"/>
      <c r="X435" s="39"/>
      <c r="Y435" s="39"/>
      <c r="Z435" s="39"/>
      <c r="AA435" s="39"/>
      <c r="AB435" s="39"/>
    </row>
    <row r="436">
      <c r="A436" s="1"/>
      <c r="B436" s="36"/>
      <c r="C436" s="36"/>
      <c r="D436" s="36"/>
      <c r="E436" s="36"/>
      <c r="F436" s="36"/>
      <c r="G436" s="36"/>
      <c r="H436" s="37"/>
      <c r="I436" s="36"/>
      <c r="J436" s="38"/>
      <c r="K436" s="38"/>
      <c r="L436" s="39"/>
      <c r="M436" s="39"/>
      <c r="N436" s="39"/>
      <c r="O436" s="39"/>
      <c r="P436" s="39"/>
      <c r="Q436" s="39"/>
      <c r="R436" s="39"/>
      <c r="S436" s="39"/>
      <c r="T436" s="39"/>
      <c r="U436" s="39"/>
      <c r="V436" s="39"/>
      <c r="W436" s="39"/>
      <c r="X436" s="39"/>
      <c r="Y436" s="39"/>
      <c r="Z436" s="39"/>
      <c r="AA436" s="39"/>
      <c r="AB436" s="39"/>
    </row>
    <row r="437">
      <c r="A437" s="1"/>
      <c r="B437" s="36"/>
      <c r="C437" s="36"/>
      <c r="D437" s="36"/>
      <c r="E437" s="36"/>
      <c r="F437" s="36"/>
      <c r="G437" s="36"/>
      <c r="H437" s="37"/>
      <c r="I437" s="36"/>
      <c r="J437" s="38"/>
      <c r="K437" s="38"/>
      <c r="L437" s="39"/>
      <c r="M437" s="39"/>
      <c r="N437" s="39"/>
      <c r="O437" s="39"/>
      <c r="P437" s="39"/>
      <c r="Q437" s="39"/>
      <c r="R437" s="39"/>
      <c r="S437" s="39"/>
      <c r="T437" s="39"/>
      <c r="U437" s="39"/>
      <c r="V437" s="39"/>
      <c r="W437" s="39"/>
      <c r="X437" s="39"/>
      <c r="Y437" s="39"/>
      <c r="Z437" s="39"/>
      <c r="AA437" s="39"/>
      <c r="AB437" s="39"/>
    </row>
    <row r="438">
      <c r="A438" s="1"/>
      <c r="B438" s="36"/>
      <c r="C438" s="36"/>
      <c r="D438" s="36"/>
      <c r="E438" s="36"/>
      <c r="F438" s="36"/>
      <c r="G438" s="36"/>
      <c r="H438" s="37"/>
      <c r="I438" s="36"/>
      <c r="J438" s="38"/>
      <c r="K438" s="38"/>
      <c r="L438" s="39"/>
      <c r="M438" s="39"/>
      <c r="N438" s="39"/>
      <c r="O438" s="39"/>
      <c r="P438" s="39"/>
      <c r="Q438" s="39"/>
      <c r="R438" s="39"/>
      <c r="S438" s="39"/>
      <c r="T438" s="39"/>
      <c r="U438" s="39"/>
      <c r="V438" s="39"/>
      <c r="W438" s="39"/>
      <c r="X438" s="39"/>
      <c r="Y438" s="39"/>
      <c r="Z438" s="39"/>
      <c r="AA438" s="39"/>
      <c r="AB438" s="39"/>
    </row>
    <row r="439">
      <c r="A439" s="1"/>
      <c r="B439" s="36"/>
      <c r="C439" s="36"/>
      <c r="D439" s="36"/>
      <c r="E439" s="36"/>
      <c r="F439" s="36"/>
      <c r="G439" s="36"/>
      <c r="H439" s="37"/>
      <c r="I439" s="36"/>
      <c r="J439" s="38"/>
      <c r="K439" s="38"/>
      <c r="L439" s="39"/>
      <c r="M439" s="39"/>
      <c r="N439" s="39"/>
      <c r="O439" s="39"/>
      <c r="P439" s="39"/>
      <c r="Q439" s="39"/>
      <c r="R439" s="39"/>
      <c r="S439" s="39"/>
      <c r="T439" s="39"/>
      <c r="U439" s="39"/>
      <c r="V439" s="39"/>
      <c r="W439" s="39"/>
      <c r="X439" s="39"/>
      <c r="Y439" s="39"/>
      <c r="Z439" s="39"/>
      <c r="AA439" s="39"/>
      <c r="AB439" s="39"/>
    </row>
    <row r="440">
      <c r="A440" s="1"/>
      <c r="B440" s="36"/>
      <c r="C440" s="36"/>
      <c r="D440" s="36"/>
      <c r="E440" s="36"/>
      <c r="F440" s="36"/>
      <c r="G440" s="36"/>
      <c r="H440" s="37"/>
      <c r="I440" s="36"/>
      <c r="J440" s="38"/>
      <c r="K440" s="38"/>
      <c r="L440" s="39"/>
      <c r="M440" s="39"/>
      <c r="N440" s="39"/>
      <c r="O440" s="39"/>
      <c r="P440" s="39"/>
      <c r="Q440" s="39"/>
      <c r="R440" s="39"/>
      <c r="S440" s="39"/>
      <c r="T440" s="39"/>
      <c r="U440" s="39"/>
      <c r="V440" s="39"/>
      <c r="W440" s="39"/>
      <c r="X440" s="39"/>
      <c r="Y440" s="39"/>
      <c r="Z440" s="39"/>
      <c r="AA440" s="39"/>
      <c r="AB440" s="39"/>
    </row>
    <row r="441">
      <c r="A441" s="1"/>
      <c r="B441" s="36"/>
      <c r="C441" s="36"/>
      <c r="D441" s="36"/>
      <c r="E441" s="36"/>
      <c r="F441" s="36"/>
      <c r="G441" s="36"/>
      <c r="H441" s="37"/>
      <c r="I441" s="36"/>
      <c r="J441" s="38"/>
      <c r="K441" s="38"/>
      <c r="L441" s="39"/>
      <c r="M441" s="39"/>
      <c r="N441" s="39"/>
      <c r="O441" s="39"/>
      <c r="P441" s="39"/>
      <c r="Q441" s="39"/>
      <c r="R441" s="39"/>
      <c r="S441" s="39"/>
      <c r="T441" s="39"/>
      <c r="U441" s="39"/>
      <c r="V441" s="39"/>
      <c r="W441" s="39"/>
      <c r="X441" s="39"/>
      <c r="Y441" s="39"/>
      <c r="Z441" s="39"/>
      <c r="AA441" s="39"/>
      <c r="AB441" s="39"/>
    </row>
    <row r="442">
      <c r="A442" s="1"/>
      <c r="B442" s="36"/>
      <c r="C442" s="36"/>
      <c r="D442" s="36"/>
      <c r="E442" s="36"/>
      <c r="F442" s="36"/>
      <c r="G442" s="36"/>
      <c r="H442" s="37"/>
      <c r="I442" s="36"/>
      <c r="J442" s="38"/>
      <c r="K442" s="38"/>
      <c r="L442" s="39"/>
      <c r="M442" s="39"/>
      <c r="N442" s="39"/>
      <c r="O442" s="39"/>
      <c r="P442" s="39"/>
      <c r="Q442" s="39"/>
      <c r="R442" s="39"/>
      <c r="S442" s="39"/>
      <c r="T442" s="39"/>
      <c r="U442" s="39"/>
      <c r="V442" s="39"/>
      <c r="W442" s="39"/>
      <c r="X442" s="39"/>
      <c r="Y442" s="39"/>
      <c r="Z442" s="39"/>
      <c r="AA442" s="39"/>
      <c r="AB442" s="39"/>
    </row>
    <row r="443">
      <c r="A443" s="1"/>
      <c r="B443" s="36"/>
      <c r="C443" s="36"/>
      <c r="D443" s="36"/>
      <c r="E443" s="36"/>
      <c r="F443" s="36"/>
      <c r="G443" s="36"/>
      <c r="H443" s="37"/>
      <c r="I443" s="36"/>
      <c r="J443" s="38"/>
      <c r="K443" s="38"/>
      <c r="L443" s="39"/>
      <c r="M443" s="39"/>
      <c r="N443" s="39"/>
      <c r="O443" s="39"/>
      <c r="P443" s="39"/>
      <c r="Q443" s="39"/>
      <c r="R443" s="39"/>
      <c r="S443" s="39"/>
      <c r="T443" s="39"/>
      <c r="U443" s="39"/>
      <c r="V443" s="39"/>
      <c r="W443" s="39"/>
      <c r="X443" s="39"/>
      <c r="Y443" s="39"/>
      <c r="Z443" s="39"/>
      <c r="AA443" s="39"/>
      <c r="AB443" s="39"/>
    </row>
    <row r="444">
      <c r="A444" s="1"/>
      <c r="B444" s="36"/>
      <c r="C444" s="36"/>
      <c r="D444" s="36"/>
      <c r="E444" s="36"/>
      <c r="F444" s="36"/>
      <c r="G444" s="36"/>
      <c r="H444" s="37"/>
      <c r="I444" s="36"/>
      <c r="J444" s="38"/>
      <c r="K444" s="38"/>
      <c r="L444" s="39"/>
      <c r="M444" s="39"/>
      <c r="N444" s="39"/>
      <c r="O444" s="39"/>
      <c r="P444" s="39"/>
      <c r="Q444" s="39"/>
      <c r="R444" s="39"/>
      <c r="S444" s="39"/>
      <c r="T444" s="39"/>
      <c r="U444" s="39"/>
      <c r="V444" s="39"/>
      <c r="W444" s="39"/>
      <c r="X444" s="39"/>
      <c r="Y444" s="39"/>
      <c r="Z444" s="39"/>
      <c r="AA444" s="39"/>
      <c r="AB444" s="39"/>
    </row>
    <row r="445">
      <c r="A445" s="1"/>
      <c r="B445" s="36"/>
      <c r="C445" s="36"/>
      <c r="D445" s="36"/>
      <c r="E445" s="36"/>
      <c r="F445" s="36"/>
      <c r="G445" s="36"/>
      <c r="H445" s="37"/>
      <c r="I445" s="36"/>
      <c r="J445" s="38"/>
      <c r="K445" s="38"/>
      <c r="L445" s="39"/>
      <c r="M445" s="39"/>
      <c r="N445" s="39"/>
      <c r="O445" s="39"/>
      <c r="P445" s="39"/>
      <c r="Q445" s="39"/>
      <c r="R445" s="39"/>
      <c r="S445" s="39"/>
      <c r="T445" s="39"/>
      <c r="U445" s="39"/>
      <c r="V445" s="39"/>
      <c r="W445" s="39"/>
      <c r="X445" s="39"/>
      <c r="Y445" s="39"/>
      <c r="Z445" s="39"/>
      <c r="AA445" s="39"/>
      <c r="AB445" s="39"/>
    </row>
    <row r="446">
      <c r="A446" s="1"/>
      <c r="B446" s="36"/>
      <c r="C446" s="36"/>
      <c r="D446" s="36"/>
      <c r="E446" s="36"/>
      <c r="F446" s="36"/>
      <c r="G446" s="36"/>
      <c r="H446" s="37"/>
      <c r="I446" s="36"/>
      <c r="J446" s="38"/>
      <c r="K446" s="38"/>
      <c r="L446" s="39"/>
      <c r="M446" s="39"/>
      <c r="N446" s="39"/>
      <c r="O446" s="39"/>
      <c r="P446" s="39"/>
      <c r="Q446" s="39"/>
      <c r="R446" s="39"/>
      <c r="S446" s="39"/>
      <c r="T446" s="39"/>
      <c r="U446" s="39"/>
      <c r="V446" s="39"/>
      <c r="W446" s="39"/>
      <c r="X446" s="39"/>
      <c r="Y446" s="39"/>
      <c r="Z446" s="39"/>
      <c r="AA446" s="39"/>
      <c r="AB446" s="39"/>
    </row>
    <row r="447">
      <c r="A447" s="1"/>
      <c r="B447" s="36"/>
      <c r="C447" s="36"/>
      <c r="D447" s="36"/>
      <c r="E447" s="36"/>
      <c r="F447" s="36"/>
      <c r="G447" s="36"/>
      <c r="H447" s="37"/>
      <c r="I447" s="36"/>
      <c r="J447" s="38"/>
      <c r="K447" s="38"/>
      <c r="L447" s="39"/>
      <c r="M447" s="39"/>
      <c r="N447" s="39"/>
      <c r="O447" s="39"/>
      <c r="P447" s="39"/>
      <c r="Q447" s="39"/>
      <c r="R447" s="39"/>
      <c r="S447" s="39"/>
      <c r="T447" s="39"/>
      <c r="U447" s="39"/>
      <c r="V447" s="39"/>
      <c r="W447" s="39"/>
      <c r="X447" s="39"/>
      <c r="Y447" s="39"/>
      <c r="Z447" s="39"/>
      <c r="AA447" s="39"/>
      <c r="AB447" s="39"/>
    </row>
    <row r="448">
      <c r="A448" s="1"/>
      <c r="B448" s="36"/>
      <c r="C448" s="36"/>
      <c r="D448" s="36"/>
      <c r="E448" s="36"/>
      <c r="F448" s="36"/>
      <c r="G448" s="36"/>
      <c r="H448" s="37"/>
      <c r="I448" s="36"/>
      <c r="J448" s="38"/>
      <c r="K448" s="38"/>
      <c r="L448" s="39"/>
      <c r="M448" s="39"/>
      <c r="N448" s="39"/>
      <c r="O448" s="39"/>
      <c r="P448" s="39"/>
      <c r="Q448" s="39"/>
      <c r="R448" s="39"/>
      <c r="S448" s="39"/>
      <c r="T448" s="39"/>
      <c r="U448" s="39"/>
      <c r="V448" s="39"/>
      <c r="W448" s="39"/>
      <c r="X448" s="39"/>
      <c r="Y448" s="39"/>
      <c r="Z448" s="39"/>
      <c r="AA448" s="39"/>
      <c r="AB448" s="39"/>
    </row>
    <row r="449">
      <c r="A449" s="1"/>
      <c r="B449" s="36"/>
      <c r="C449" s="36"/>
      <c r="D449" s="36"/>
      <c r="E449" s="36"/>
      <c r="F449" s="36"/>
      <c r="G449" s="36"/>
      <c r="H449" s="37"/>
      <c r="I449" s="36"/>
      <c r="J449" s="38"/>
      <c r="K449" s="38"/>
      <c r="L449" s="39"/>
      <c r="M449" s="39"/>
      <c r="N449" s="39"/>
      <c r="O449" s="39"/>
      <c r="P449" s="39"/>
      <c r="Q449" s="39"/>
      <c r="R449" s="39"/>
      <c r="S449" s="39"/>
      <c r="T449" s="39"/>
      <c r="U449" s="39"/>
      <c r="V449" s="39"/>
      <c r="W449" s="39"/>
      <c r="X449" s="39"/>
      <c r="Y449" s="39"/>
      <c r="Z449" s="39"/>
      <c r="AA449" s="39"/>
      <c r="AB449" s="39"/>
    </row>
    <row r="450">
      <c r="A450" s="1"/>
      <c r="B450" s="36"/>
      <c r="C450" s="36"/>
      <c r="D450" s="36"/>
      <c r="E450" s="36"/>
      <c r="F450" s="36"/>
      <c r="G450" s="36"/>
      <c r="H450" s="37"/>
      <c r="I450" s="36"/>
      <c r="J450" s="38"/>
      <c r="K450" s="38"/>
      <c r="L450" s="39"/>
      <c r="M450" s="39"/>
      <c r="N450" s="39"/>
      <c r="O450" s="39"/>
      <c r="P450" s="39"/>
      <c r="Q450" s="39"/>
      <c r="R450" s="39"/>
      <c r="S450" s="39"/>
      <c r="T450" s="39"/>
      <c r="U450" s="39"/>
      <c r="V450" s="39"/>
      <c r="W450" s="39"/>
      <c r="X450" s="39"/>
      <c r="Y450" s="39"/>
      <c r="Z450" s="39"/>
      <c r="AA450" s="39"/>
      <c r="AB450" s="39"/>
    </row>
    <row r="451">
      <c r="A451" s="1"/>
      <c r="B451" s="36"/>
      <c r="C451" s="36"/>
      <c r="D451" s="36"/>
      <c r="E451" s="36"/>
      <c r="F451" s="36"/>
      <c r="G451" s="36"/>
      <c r="H451" s="37"/>
      <c r="I451" s="36"/>
      <c r="J451" s="38"/>
      <c r="K451" s="38"/>
      <c r="L451" s="39"/>
      <c r="M451" s="39"/>
      <c r="N451" s="39"/>
      <c r="O451" s="39"/>
      <c r="P451" s="39"/>
      <c r="Q451" s="39"/>
      <c r="R451" s="39"/>
      <c r="S451" s="39"/>
      <c r="T451" s="39"/>
      <c r="U451" s="39"/>
      <c r="V451" s="39"/>
      <c r="W451" s="39"/>
      <c r="X451" s="39"/>
      <c r="Y451" s="39"/>
      <c r="Z451" s="39"/>
      <c r="AA451" s="39"/>
      <c r="AB451" s="39"/>
    </row>
    <row r="452">
      <c r="A452" s="1"/>
      <c r="B452" s="36"/>
      <c r="C452" s="36"/>
      <c r="D452" s="36"/>
      <c r="E452" s="36"/>
      <c r="F452" s="36"/>
      <c r="G452" s="36"/>
      <c r="H452" s="37"/>
      <c r="I452" s="36"/>
      <c r="J452" s="38"/>
      <c r="K452" s="38"/>
      <c r="L452" s="39"/>
      <c r="M452" s="39"/>
      <c r="N452" s="39"/>
      <c r="O452" s="39"/>
      <c r="P452" s="39"/>
      <c r="Q452" s="39"/>
      <c r="R452" s="39"/>
      <c r="S452" s="39"/>
      <c r="T452" s="39"/>
      <c r="U452" s="39"/>
      <c r="V452" s="39"/>
      <c r="W452" s="39"/>
      <c r="X452" s="39"/>
      <c r="Y452" s="39"/>
      <c r="Z452" s="39"/>
      <c r="AA452" s="39"/>
      <c r="AB452" s="39"/>
    </row>
    <row r="453">
      <c r="A453" s="1"/>
      <c r="B453" s="36"/>
      <c r="C453" s="36"/>
      <c r="D453" s="36"/>
      <c r="E453" s="36"/>
      <c r="F453" s="36"/>
      <c r="G453" s="36"/>
      <c r="H453" s="37"/>
      <c r="I453" s="36"/>
      <c r="J453" s="38"/>
      <c r="K453" s="38"/>
      <c r="L453" s="39"/>
      <c r="M453" s="39"/>
      <c r="N453" s="39"/>
      <c r="O453" s="39"/>
      <c r="P453" s="39"/>
      <c r="Q453" s="39"/>
      <c r="R453" s="39"/>
      <c r="S453" s="39"/>
      <c r="T453" s="39"/>
      <c r="U453" s="39"/>
      <c r="V453" s="39"/>
      <c r="W453" s="39"/>
      <c r="X453" s="39"/>
      <c r="Y453" s="39"/>
      <c r="Z453" s="39"/>
      <c r="AA453" s="39"/>
      <c r="AB453" s="39"/>
    </row>
    <row r="454">
      <c r="A454" s="1"/>
      <c r="B454" s="36"/>
      <c r="C454" s="36"/>
      <c r="D454" s="36"/>
      <c r="E454" s="36"/>
      <c r="F454" s="36"/>
      <c r="G454" s="36"/>
      <c r="H454" s="37"/>
      <c r="I454" s="36"/>
      <c r="J454" s="38"/>
      <c r="K454" s="38"/>
      <c r="L454" s="39"/>
      <c r="M454" s="39"/>
      <c r="N454" s="39"/>
      <c r="O454" s="39"/>
      <c r="P454" s="39"/>
      <c r="Q454" s="39"/>
      <c r="R454" s="39"/>
      <c r="S454" s="39"/>
      <c r="T454" s="39"/>
      <c r="U454" s="39"/>
      <c r="V454" s="39"/>
      <c r="W454" s="39"/>
      <c r="X454" s="39"/>
      <c r="Y454" s="39"/>
      <c r="Z454" s="39"/>
      <c r="AA454" s="39"/>
      <c r="AB454" s="39"/>
    </row>
    <row r="455">
      <c r="A455" s="1"/>
      <c r="B455" s="36"/>
      <c r="C455" s="36"/>
      <c r="D455" s="36"/>
      <c r="E455" s="36"/>
      <c r="F455" s="36"/>
      <c r="G455" s="36"/>
      <c r="H455" s="37"/>
      <c r="I455" s="36"/>
      <c r="J455" s="38"/>
      <c r="K455" s="38"/>
      <c r="L455" s="39"/>
      <c r="M455" s="39"/>
      <c r="N455" s="39"/>
      <c r="O455" s="39"/>
      <c r="P455" s="39"/>
      <c r="Q455" s="39"/>
      <c r="R455" s="39"/>
      <c r="S455" s="39"/>
      <c r="T455" s="39"/>
      <c r="U455" s="39"/>
      <c r="V455" s="39"/>
      <c r="W455" s="39"/>
      <c r="X455" s="39"/>
      <c r="Y455" s="39"/>
      <c r="Z455" s="39"/>
      <c r="AA455" s="39"/>
      <c r="AB455" s="39"/>
    </row>
    <row r="456">
      <c r="A456" s="1"/>
      <c r="B456" s="36"/>
      <c r="C456" s="36"/>
      <c r="D456" s="36"/>
      <c r="E456" s="36"/>
      <c r="F456" s="36"/>
      <c r="G456" s="36"/>
      <c r="H456" s="37"/>
      <c r="I456" s="36"/>
      <c r="J456" s="38"/>
      <c r="K456" s="38"/>
      <c r="L456" s="39"/>
      <c r="M456" s="39"/>
      <c r="N456" s="39"/>
      <c r="O456" s="39"/>
      <c r="P456" s="39"/>
      <c r="Q456" s="39"/>
      <c r="R456" s="39"/>
      <c r="S456" s="39"/>
      <c r="T456" s="39"/>
      <c r="U456" s="39"/>
      <c r="V456" s="39"/>
      <c r="W456" s="39"/>
      <c r="X456" s="39"/>
      <c r="Y456" s="39"/>
      <c r="Z456" s="39"/>
      <c r="AA456" s="39"/>
      <c r="AB456" s="39"/>
    </row>
    <row r="457">
      <c r="A457" s="1"/>
      <c r="B457" s="36"/>
      <c r="C457" s="36"/>
      <c r="D457" s="36"/>
      <c r="E457" s="36"/>
      <c r="F457" s="36"/>
      <c r="G457" s="36"/>
      <c r="H457" s="37"/>
      <c r="I457" s="36"/>
      <c r="J457" s="38"/>
      <c r="K457" s="38"/>
      <c r="L457" s="39"/>
      <c r="M457" s="39"/>
      <c r="N457" s="39"/>
      <c r="O457" s="39"/>
      <c r="P457" s="39"/>
      <c r="Q457" s="39"/>
      <c r="R457" s="39"/>
      <c r="S457" s="39"/>
      <c r="T457" s="39"/>
      <c r="U457" s="39"/>
      <c r="V457" s="39"/>
      <c r="W457" s="39"/>
      <c r="X457" s="39"/>
      <c r="Y457" s="39"/>
      <c r="Z457" s="39"/>
      <c r="AA457" s="39"/>
      <c r="AB457" s="39"/>
    </row>
    <row r="458">
      <c r="A458" s="1"/>
      <c r="B458" s="36"/>
      <c r="C458" s="36"/>
      <c r="D458" s="36"/>
      <c r="E458" s="36"/>
      <c r="F458" s="36"/>
      <c r="G458" s="36"/>
      <c r="H458" s="37"/>
      <c r="I458" s="36"/>
      <c r="J458" s="38"/>
      <c r="K458" s="38"/>
      <c r="L458" s="39"/>
      <c r="M458" s="39"/>
      <c r="N458" s="39"/>
      <c r="O458" s="39"/>
      <c r="P458" s="39"/>
      <c r="Q458" s="39"/>
      <c r="R458" s="39"/>
      <c r="S458" s="39"/>
      <c r="T458" s="39"/>
      <c r="U458" s="39"/>
      <c r="V458" s="39"/>
      <c r="W458" s="39"/>
      <c r="X458" s="39"/>
      <c r="Y458" s="39"/>
      <c r="Z458" s="39"/>
      <c r="AA458" s="39"/>
      <c r="AB458" s="39"/>
    </row>
    <row r="459">
      <c r="A459" s="1"/>
      <c r="B459" s="36"/>
      <c r="C459" s="36"/>
      <c r="D459" s="36"/>
      <c r="E459" s="36"/>
      <c r="F459" s="36"/>
      <c r="G459" s="36"/>
      <c r="H459" s="37"/>
      <c r="I459" s="36"/>
      <c r="J459" s="38"/>
      <c r="K459" s="38"/>
      <c r="L459" s="39"/>
      <c r="M459" s="39"/>
      <c r="N459" s="39"/>
      <c r="O459" s="39"/>
      <c r="P459" s="39"/>
      <c r="Q459" s="39"/>
      <c r="R459" s="39"/>
      <c r="S459" s="39"/>
      <c r="T459" s="39"/>
      <c r="U459" s="39"/>
      <c r="V459" s="39"/>
      <c r="W459" s="39"/>
      <c r="X459" s="39"/>
      <c r="Y459" s="39"/>
      <c r="Z459" s="39"/>
      <c r="AA459" s="39"/>
      <c r="AB459" s="39"/>
    </row>
    <row r="460">
      <c r="A460" s="1"/>
      <c r="B460" s="36"/>
      <c r="C460" s="36"/>
      <c r="D460" s="36"/>
      <c r="E460" s="36"/>
      <c r="F460" s="36"/>
      <c r="G460" s="36"/>
      <c r="H460" s="37"/>
      <c r="I460" s="36"/>
      <c r="J460" s="38"/>
      <c r="K460" s="38"/>
      <c r="L460" s="39"/>
      <c r="M460" s="39"/>
      <c r="N460" s="39"/>
      <c r="O460" s="39"/>
      <c r="P460" s="39"/>
      <c r="Q460" s="39"/>
      <c r="R460" s="39"/>
      <c r="S460" s="39"/>
      <c r="T460" s="39"/>
      <c r="U460" s="39"/>
      <c r="V460" s="39"/>
      <c r="W460" s="39"/>
      <c r="X460" s="39"/>
      <c r="Y460" s="39"/>
      <c r="Z460" s="39"/>
      <c r="AA460" s="39"/>
      <c r="AB460" s="39"/>
    </row>
    <row r="461">
      <c r="A461" s="1"/>
      <c r="B461" s="36"/>
      <c r="C461" s="36"/>
      <c r="D461" s="36"/>
      <c r="E461" s="36"/>
      <c r="F461" s="36"/>
      <c r="G461" s="36"/>
      <c r="H461" s="37"/>
      <c r="I461" s="36"/>
      <c r="J461" s="38"/>
      <c r="K461" s="38"/>
      <c r="L461" s="39"/>
      <c r="M461" s="39"/>
      <c r="N461" s="39"/>
      <c r="O461" s="39"/>
      <c r="P461" s="39"/>
      <c r="Q461" s="39"/>
      <c r="R461" s="39"/>
      <c r="S461" s="39"/>
      <c r="T461" s="39"/>
      <c r="U461" s="39"/>
      <c r="V461" s="39"/>
      <c r="W461" s="39"/>
      <c r="X461" s="39"/>
      <c r="Y461" s="39"/>
      <c r="Z461" s="39"/>
      <c r="AA461" s="39"/>
      <c r="AB461" s="39"/>
    </row>
    <row r="462">
      <c r="A462" s="1"/>
      <c r="B462" s="36"/>
      <c r="C462" s="36"/>
      <c r="D462" s="36"/>
      <c r="E462" s="36"/>
      <c r="F462" s="36"/>
      <c r="G462" s="36"/>
      <c r="H462" s="37"/>
      <c r="I462" s="36"/>
      <c r="J462" s="38"/>
      <c r="K462" s="38"/>
      <c r="L462" s="39"/>
      <c r="M462" s="39"/>
      <c r="N462" s="39"/>
      <c r="O462" s="39"/>
      <c r="P462" s="39"/>
      <c r="Q462" s="39"/>
      <c r="R462" s="39"/>
      <c r="S462" s="39"/>
      <c r="T462" s="39"/>
      <c r="U462" s="39"/>
      <c r="V462" s="39"/>
      <c r="W462" s="39"/>
      <c r="X462" s="39"/>
      <c r="Y462" s="39"/>
      <c r="Z462" s="39"/>
      <c r="AA462" s="39"/>
      <c r="AB462" s="39"/>
    </row>
    <row r="463">
      <c r="A463" s="1"/>
      <c r="B463" s="36"/>
      <c r="C463" s="36"/>
      <c r="D463" s="36"/>
      <c r="E463" s="36"/>
      <c r="F463" s="36"/>
      <c r="G463" s="36"/>
      <c r="H463" s="37"/>
      <c r="I463" s="36"/>
      <c r="J463" s="38"/>
      <c r="K463" s="38"/>
      <c r="L463" s="39"/>
      <c r="M463" s="39"/>
      <c r="N463" s="39"/>
      <c r="O463" s="39"/>
      <c r="P463" s="39"/>
      <c r="Q463" s="39"/>
      <c r="R463" s="39"/>
      <c r="S463" s="39"/>
      <c r="T463" s="39"/>
      <c r="U463" s="39"/>
      <c r="V463" s="39"/>
      <c r="W463" s="39"/>
      <c r="X463" s="39"/>
      <c r="Y463" s="39"/>
      <c r="Z463" s="39"/>
      <c r="AA463" s="39"/>
      <c r="AB463" s="39"/>
    </row>
    <row r="464">
      <c r="A464" s="1"/>
      <c r="B464" s="36"/>
      <c r="C464" s="36"/>
      <c r="D464" s="36"/>
      <c r="E464" s="36"/>
      <c r="F464" s="36"/>
      <c r="G464" s="36"/>
      <c r="H464" s="37"/>
      <c r="I464" s="36"/>
      <c r="J464" s="38"/>
      <c r="K464" s="38"/>
      <c r="L464" s="39"/>
      <c r="M464" s="39"/>
      <c r="N464" s="39"/>
      <c r="O464" s="39"/>
      <c r="P464" s="39"/>
      <c r="Q464" s="39"/>
      <c r="R464" s="39"/>
      <c r="S464" s="39"/>
      <c r="T464" s="39"/>
      <c r="U464" s="39"/>
      <c r="V464" s="39"/>
      <c r="W464" s="39"/>
      <c r="X464" s="39"/>
      <c r="Y464" s="39"/>
      <c r="Z464" s="39"/>
      <c r="AA464" s="39"/>
      <c r="AB464" s="39"/>
    </row>
    <row r="465">
      <c r="A465" s="1"/>
      <c r="B465" s="36"/>
      <c r="C465" s="36"/>
      <c r="D465" s="36"/>
      <c r="E465" s="36"/>
      <c r="F465" s="36"/>
      <c r="G465" s="36"/>
      <c r="H465" s="37"/>
      <c r="I465" s="36"/>
      <c r="J465" s="38"/>
      <c r="K465" s="38"/>
      <c r="L465" s="39"/>
      <c r="M465" s="39"/>
      <c r="N465" s="39"/>
      <c r="O465" s="39"/>
      <c r="P465" s="39"/>
      <c r="Q465" s="39"/>
      <c r="R465" s="39"/>
      <c r="S465" s="39"/>
      <c r="T465" s="39"/>
      <c r="U465" s="39"/>
      <c r="V465" s="39"/>
      <c r="W465" s="39"/>
      <c r="X465" s="39"/>
      <c r="Y465" s="39"/>
      <c r="Z465" s="39"/>
      <c r="AA465" s="39"/>
      <c r="AB465" s="39"/>
    </row>
    <row r="466">
      <c r="A466" s="1"/>
      <c r="B466" s="36"/>
      <c r="C466" s="36"/>
      <c r="D466" s="36"/>
      <c r="E466" s="36"/>
      <c r="F466" s="36"/>
      <c r="G466" s="36"/>
      <c r="H466" s="37"/>
      <c r="I466" s="36"/>
      <c r="J466" s="38"/>
      <c r="K466" s="38"/>
      <c r="L466" s="39"/>
      <c r="M466" s="39"/>
      <c r="N466" s="39"/>
      <c r="O466" s="39"/>
      <c r="P466" s="39"/>
      <c r="Q466" s="39"/>
      <c r="R466" s="39"/>
      <c r="S466" s="39"/>
      <c r="T466" s="39"/>
      <c r="U466" s="39"/>
      <c r="V466" s="39"/>
      <c r="W466" s="39"/>
      <c r="X466" s="39"/>
      <c r="Y466" s="39"/>
      <c r="Z466" s="39"/>
      <c r="AA466" s="39"/>
      <c r="AB466" s="39"/>
    </row>
    <row r="467">
      <c r="A467" s="1"/>
      <c r="B467" s="36"/>
      <c r="C467" s="36"/>
      <c r="D467" s="36"/>
      <c r="E467" s="36"/>
      <c r="F467" s="36"/>
      <c r="G467" s="36"/>
      <c r="H467" s="37"/>
      <c r="I467" s="36"/>
      <c r="J467" s="38"/>
      <c r="K467" s="38"/>
      <c r="L467" s="39"/>
      <c r="M467" s="39"/>
      <c r="N467" s="39"/>
      <c r="O467" s="39"/>
      <c r="P467" s="39"/>
      <c r="Q467" s="39"/>
      <c r="R467" s="39"/>
      <c r="S467" s="39"/>
      <c r="T467" s="39"/>
      <c r="U467" s="39"/>
      <c r="V467" s="39"/>
      <c r="W467" s="39"/>
      <c r="X467" s="39"/>
      <c r="Y467" s="39"/>
      <c r="Z467" s="39"/>
      <c r="AA467" s="39"/>
      <c r="AB467" s="39"/>
    </row>
    <row r="468">
      <c r="A468" s="1"/>
      <c r="B468" s="36"/>
      <c r="C468" s="36"/>
      <c r="D468" s="36"/>
      <c r="E468" s="36"/>
      <c r="F468" s="36"/>
      <c r="G468" s="36"/>
      <c r="H468" s="37"/>
      <c r="I468" s="36"/>
      <c r="J468" s="38"/>
      <c r="K468" s="38"/>
      <c r="L468" s="39"/>
      <c r="M468" s="39"/>
      <c r="N468" s="39"/>
      <c r="O468" s="39"/>
      <c r="P468" s="39"/>
      <c r="Q468" s="39"/>
      <c r="R468" s="39"/>
      <c r="S468" s="39"/>
      <c r="T468" s="39"/>
      <c r="U468" s="39"/>
      <c r="V468" s="39"/>
      <c r="W468" s="39"/>
      <c r="X468" s="39"/>
      <c r="Y468" s="39"/>
      <c r="Z468" s="39"/>
      <c r="AA468" s="39"/>
      <c r="AB468" s="39"/>
    </row>
    <row r="469">
      <c r="A469" s="1"/>
      <c r="B469" s="36"/>
      <c r="C469" s="36"/>
      <c r="D469" s="36"/>
      <c r="E469" s="36"/>
      <c r="F469" s="36"/>
      <c r="G469" s="36"/>
      <c r="H469" s="37"/>
      <c r="I469" s="36"/>
      <c r="J469" s="38"/>
      <c r="K469" s="38"/>
      <c r="L469" s="39"/>
      <c r="M469" s="39"/>
      <c r="N469" s="39"/>
      <c r="O469" s="39"/>
      <c r="P469" s="39"/>
      <c r="Q469" s="39"/>
      <c r="R469" s="39"/>
      <c r="S469" s="39"/>
      <c r="T469" s="39"/>
      <c r="U469" s="39"/>
      <c r="V469" s="39"/>
      <c r="W469" s="39"/>
      <c r="X469" s="39"/>
      <c r="Y469" s="39"/>
      <c r="Z469" s="39"/>
      <c r="AA469" s="39"/>
      <c r="AB469" s="39"/>
    </row>
    <row r="470">
      <c r="A470" s="1"/>
      <c r="B470" s="36"/>
      <c r="C470" s="36"/>
      <c r="D470" s="36"/>
      <c r="E470" s="36"/>
      <c r="F470" s="36"/>
      <c r="G470" s="36"/>
      <c r="H470" s="37"/>
      <c r="I470" s="36"/>
      <c r="J470" s="38"/>
      <c r="K470" s="38"/>
      <c r="L470" s="39"/>
      <c r="M470" s="39"/>
      <c r="N470" s="39"/>
      <c r="O470" s="39"/>
      <c r="P470" s="39"/>
      <c r="Q470" s="39"/>
      <c r="R470" s="39"/>
      <c r="S470" s="39"/>
      <c r="T470" s="39"/>
      <c r="U470" s="39"/>
      <c r="V470" s="39"/>
      <c r="W470" s="39"/>
      <c r="X470" s="39"/>
      <c r="Y470" s="39"/>
      <c r="Z470" s="39"/>
      <c r="AA470" s="39"/>
      <c r="AB470" s="39"/>
    </row>
    <row r="471">
      <c r="A471" s="1"/>
      <c r="B471" s="36"/>
      <c r="C471" s="36"/>
      <c r="D471" s="36"/>
      <c r="E471" s="36"/>
      <c r="F471" s="36"/>
      <c r="G471" s="36"/>
      <c r="H471" s="37"/>
      <c r="I471" s="36"/>
      <c r="J471" s="38"/>
      <c r="K471" s="38"/>
      <c r="L471" s="39"/>
      <c r="M471" s="39"/>
      <c r="N471" s="39"/>
      <c r="O471" s="39"/>
      <c r="P471" s="39"/>
      <c r="Q471" s="39"/>
      <c r="R471" s="39"/>
      <c r="S471" s="39"/>
      <c r="T471" s="39"/>
      <c r="U471" s="39"/>
      <c r="V471" s="39"/>
      <c r="W471" s="39"/>
      <c r="X471" s="39"/>
      <c r="Y471" s="39"/>
      <c r="Z471" s="39"/>
      <c r="AA471" s="39"/>
      <c r="AB471" s="39"/>
    </row>
    <row r="472">
      <c r="A472" s="1"/>
      <c r="B472" s="36"/>
      <c r="C472" s="36"/>
      <c r="D472" s="36"/>
      <c r="E472" s="36"/>
      <c r="F472" s="36"/>
      <c r="G472" s="36"/>
      <c r="H472" s="37"/>
      <c r="I472" s="36"/>
      <c r="J472" s="38"/>
      <c r="K472" s="38"/>
      <c r="L472" s="39"/>
      <c r="M472" s="39"/>
      <c r="N472" s="39"/>
      <c r="O472" s="39"/>
      <c r="P472" s="39"/>
      <c r="Q472" s="39"/>
      <c r="R472" s="39"/>
      <c r="S472" s="39"/>
      <c r="T472" s="39"/>
      <c r="U472" s="39"/>
      <c r="V472" s="39"/>
      <c r="W472" s="39"/>
      <c r="X472" s="39"/>
      <c r="Y472" s="39"/>
      <c r="Z472" s="39"/>
      <c r="AA472" s="39"/>
      <c r="AB472" s="39"/>
    </row>
    <row r="473">
      <c r="A473" s="1"/>
      <c r="B473" s="36"/>
      <c r="C473" s="36"/>
      <c r="D473" s="36"/>
      <c r="E473" s="36"/>
      <c r="F473" s="36"/>
      <c r="G473" s="36"/>
      <c r="H473" s="37"/>
      <c r="I473" s="36"/>
      <c r="J473" s="38"/>
      <c r="K473" s="38"/>
      <c r="L473" s="39"/>
      <c r="M473" s="39"/>
      <c r="N473" s="39"/>
      <c r="O473" s="39"/>
      <c r="P473" s="39"/>
      <c r="Q473" s="39"/>
      <c r="R473" s="39"/>
      <c r="S473" s="39"/>
      <c r="T473" s="39"/>
      <c r="U473" s="39"/>
      <c r="V473" s="39"/>
      <c r="W473" s="39"/>
      <c r="X473" s="39"/>
      <c r="Y473" s="39"/>
      <c r="Z473" s="39"/>
      <c r="AA473" s="39"/>
      <c r="AB473" s="39"/>
    </row>
    <row r="474">
      <c r="A474" s="1"/>
      <c r="B474" s="36"/>
      <c r="C474" s="36"/>
      <c r="D474" s="36"/>
      <c r="E474" s="36"/>
      <c r="F474" s="36"/>
      <c r="G474" s="36"/>
      <c r="H474" s="37"/>
      <c r="I474" s="36"/>
      <c r="J474" s="38"/>
      <c r="K474" s="38"/>
      <c r="L474" s="39"/>
      <c r="M474" s="39"/>
      <c r="N474" s="39"/>
      <c r="O474" s="39"/>
      <c r="P474" s="39"/>
      <c r="Q474" s="39"/>
      <c r="R474" s="39"/>
      <c r="S474" s="39"/>
      <c r="T474" s="39"/>
      <c r="U474" s="39"/>
      <c r="V474" s="39"/>
      <c r="W474" s="39"/>
      <c r="X474" s="39"/>
      <c r="Y474" s="39"/>
      <c r="Z474" s="39"/>
      <c r="AA474" s="39"/>
      <c r="AB474" s="39"/>
    </row>
    <row r="475">
      <c r="A475" s="1"/>
      <c r="B475" s="36"/>
      <c r="C475" s="36"/>
      <c r="D475" s="36"/>
      <c r="E475" s="36"/>
      <c r="F475" s="36"/>
      <c r="G475" s="36"/>
      <c r="H475" s="37"/>
      <c r="I475" s="36"/>
      <c r="J475" s="38"/>
      <c r="K475" s="38"/>
      <c r="L475" s="39"/>
      <c r="M475" s="39"/>
      <c r="N475" s="39"/>
      <c r="O475" s="39"/>
      <c r="P475" s="39"/>
      <c r="Q475" s="39"/>
      <c r="R475" s="39"/>
      <c r="S475" s="39"/>
      <c r="T475" s="39"/>
      <c r="U475" s="39"/>
      <c r="V475" s="39"/>
      <c r="W475" s="39"/>
      <c r="X475" s="39"/>
      <c r="Y475" s="39"/>
      <c r="Z475" s="39"/>
      <c r="AA475" s="39"/>
      <c r="AB475" s="39"/>
    </row>
    <row r="476">
      <c r="A476" s="1"/>
      <c r="B476" s="36"/>
      <c r="C476" s="36"/>
      <c r="D476" s="36"/>
      <c r="E476" s="36"/>
      <c r="F476" s="36"/>
      <c r="G476" s="36"/>
      <c r="H476" s="37"/>
      <c r="I476" s="36"/>
      <c r="J476" s="38"/>
      <c r="K476" s="38"/>
      <c r="L476" s="39"/>
      <c r="M476" s="39"/>
      <c r="N476" s="39"/>
      <c r="O476" s="39"/>
      <c r="P476" s="39"/>
      <c r="Q476" s="39"/>
      <c r="R476" s="39"/>
      <c r="S476" s="39"/>
      <c r="T476" s="39"/>
      <c r="U476" s="39"/>
      <c r="V476" s="39"/>
      <c r="W476" s="39"/>
      <c r="X476" s="39"/>
      <c r="Y476" s="39"/>
      <c r="Z476" s="39"/>
      <c r="AA476" s="39"/>
      <c r="AB476" s="39"/>
    </row>
    <row r="477">
      <c r="A477" s="1"/>
      <c r="B477" s="36"/>
      <c r="C477" s="36"/>
      <c r="D477" s="36"/>
      <c r="E477" s="36"/>
      <c r="F477" s="36"/>
      <c r="G477" s="36"/>
      <c r="H477" s="37"/>
      <c r="I477" s="36"/>
      <c r="J477" s="38"/>
      <c r="K477" s="38"/>
      <c r="L477" s="39"/>
      <c r="M477" s="39"/>
      <c r="N477" s="39"/>
      <c r="O477" s="39"/>
      <c r="P477" s="39"/>
      <c r="Q477" s="39"/>
      <c r="R477" s="39"/>
      <c r="S477" s="39"/>
      <c r="T477" s="39"/>
      <c r="U477" s="39"/>
      <c r="V477" s="39"/>
      <c r="W477" s="39"/>
      <c r="X477" s="39"/>
      <c r="Y477" s="39"/>
      <c r="Z477" s="39"/>
      <c r="AA477" s="39"/>
      <c r="AB477" s="39"/>
    </row>
    <row r="478">
      <c r="A478" s="1"/>
      <c r="B478" s="36"/>
      <c r="C478" s="36"/>
      <c r="D478" s="36"/>
      <c r="E478" s="36"/>
      <c r="F478" s="36"/>
      <c r="G478" s="36"/>
      <c r="H478" s="37"/>
      <c r="I478" s="36"/>
      <c r="J478" s="38"/>
      <c r="K478" s="38"/>
      <c r="L478" s="39"/>
      <c r="M478" s="39"/>
      <c r="N478" s="39"/>
      <c r="O478" s="39"/>
      <c r="P478" s="39"/>
      <c r="Q478" s="39"/>
      <c r="R478" s="39"/>
      <c r="S478" s="39"/>
      <c r="T478" s="39"/>
      <c r="U478" s="39"/>
      <c r="V478" s="39"/>
      <c r="W478" s="39"/>
      <c r="X478" s="39"/>
      <c r="Y478" s="39"/>
      <c r="Z478" s="39"/>
      <c r="AA478" s="39"/>
      <c r="AB478" s="39"/>
    </row>
    <row r="479">
      <c r="A479" s="1"/>
      <c r="B479" s="36"/>
      <c r="C479" s="36"/>
      <c r="D479" s="36"/>
      <c r="E479" s="36"/>
      <c r="F479" s="36"/>
      <c r="G479" s="36"/>
      <c r="H479" s="37"/>
      <c r="I479" s="36"/>
      <c r="J479" s="38"/>
      <c r="K479" s="38"/>
      <c r="L479" s="39"/>
      <c r="M479" s="39"/>
      <c r="N479" s="39"/>
      <c r="O479" s="39"/>
      <c r="P479" s="39"/>
      <c r="Q479" s="39"/>
      <c r="R479" s="39"/>
      <c r="S479" s="39"/>
      <c r="T479" s="39"/>
      <c r="U479" s="39"/>
      <c r="V479" s="39"/>
      <c r="W479" s="39"/>
      <c r="X479" s="39"/>
      <c r="Y479" s="39"/>
      <c r="Z479" s="39"/>
      <c r="AA479" s="39"/>
      <c r="AB479" s="39"/>
    </row>
    <row r="480">
      <c r="A480" s="1"/>
      <c r="B480" s="36"/>
      <c r="C480" s="36"/>
      <c r="D480" s="36"/>
      <c r="E480" s="36"/>
      <c r="F480" s="36"/>
      <c r="G480" s="36"/>
      <c r="H480" s="37"/>
      <c r="I480" s="36"/>
      <c r="J480" s="38"/>
      <c r="K480" s="38"/>
      <c r="L480" s="39"/>
      <c r="M480" s="39"/>
      <c r="N480" s="39"/>
      <c r="O480" s="39"/>
      <c r="P480" s="39"/>
      <c r="Q480" s="39"/>
      <c r="R480" s="39"/>
      <c r="S480" s="39"/>
      <c r="T480" s="39"/>
      <c r="U480" s="39"/>
      <c r="V480" s="39"/>
      <c r="W480" s="39"/>
      <c r="X480" s="39"/>
      <c r="Y480" s="39"/>
      <c r="Z480" s="39"/>
      <c r="AA480" s="39"/>
      <c r="AB480" s="39"/>
    </row>
    <row r="481">
      <c r="A481" s="1"/>
      <c r="B481" s="36"/>
      <c r="C481" s="36"/>
      <c r="D481" s="36"/>
      <c r="E481" s="36"/>
      <c r="F481" s="36"/>
      <c r="G481" s="36"/>
      <c r="H481" s="37"/>
      <c r="I481" s="36"/>
      <c r="J481" s="38"/>
      <c r="K481" s="38"/>
      <c r="L481" s="39"/>
      <c r="M481" s="39"/>
      <c r="N481" s="39"/>
      <c r="O481" s="39"/>
      <c r="P481" s="39"/>
      <c r="Q481" s="39"/>
      <c r="R481" s="39"/>
      <c r="S481" s="39"/>
      <c r="T481" s="39"/>
      <c r="U481" s="39"/>
      <c r="V481" s="39"/>
      <c r="W481" s="39"/>
      <c r="X481" s="39"/>
      <c r="Y481" s="39"/>
      <c r="Z481" s="39"/>
      <c r="AA481" s="39"/>
      <c r="AB481" s="39"/>
    </row>
    <row r="482">
      <c r="A482" s="1"/>
      <c r="B482" s="36"/>
      <c r="C482" s="36"/>
      <c r="D482" s="36"/>
      <c r="E482" s="36"/>
      <c r="F482" s="36"/>
      <c r="G482" s="36"/>
      <c r="H482" s="37"/>
      <c r="I482" s="36"/>
      <c r="J482" s="38"/>
      <c r="K482" s="38"/>
      <c r="L482" s="39"/>
      <c r="M482" s="39"/>
      <c r="N482" s="39"/>
      <c r="O482" s="39"/>
      <c r="P482" s="39"/>
      <c r="Q482" s="39"/>
      <c r="R482" s="39"/>
      <c r="S482" s="39"/>
      <c r="T482" s="39"/>
      <c r="U482" s="39"/>
      <c r="V482" s="39"/>
      <c r="W482" s="39"/>
      <c r="X482" s="39"/>
      <c r="Y482" s="39"/>
      <c r="Z482" s="39"/>
      <c r="AA482" s="39"/>
      <c r="AB482" s="39"/>
    </row>
    <row r="483">
      <c r="A483" s="1"/>
      <c r="B483" s="36"/>
      <c r="C483" s="36"/>
      <c r="D483" s="36"/>
      <c r="E483" s="36"/>
      <c r="F483" s="36"/>
      <c r="G483" s="36"/>
      <c r="H483" s="37"/>
      <c r="I483" s="36"/>
      <c r="J483" s="38"/>
      <c r="K483" s="38"/>
      <c r="L483" s="39"/>
      <c r="M483" s="39"/>
      <c r="N483" s="39"/>
      <c r="O483" s="39"/>
      <c r="P483" s="39"/>
      <c r="Q483" s="39"/>
      <c r="R483" s="39"/>
      <c r="S483" s="39"/>
      <c r="T483" s="39"/>
      <c r="U483" s="39"/>
      <c r="V483" s="39"/>
      <c r="W483" s="39"/>
      <c r="X483" s="39"/>
      <c r="Y483" s="39"/>
      <c r="Z483" s="39"/>
      <c r="AA483" s="39"/>
      <c r="AB483" s="39"/>
    </row>
    <row r="484">
      <c r="A484" s="1"/>
      <c r="B484" s="36"/>
      <c r="C484" s="36"/>
      <c r="D484" s="36"/>
      <c r="E484" s="36"/>
      <c r="F484" s="36"/>
      <c r="G484" s="36"/>
      <c r="H484" s="37"/>
      <c r="I484" s="36"/>
      <c r="J484" s="38"/>
      <c r="K484" s="38"/>
      <c r="L484" s="39"/>
      <c r="M484" s="39"/>
      <c r="N484" s="39"/>
      <c r="O484" s="39"/>
      <c r="P484" s="39"/>
      <c r="Q484" s="39"/>
      <c r="R484" s="39"/>
      <c r="S484" s="39"/>
      <c r="T484" s="39"/>
      <c r="U484" s="39"/>
      <c r="V484" s="39"/>
      <c r="W484" s="39"/>
      <c r="X484" s="39"/>
      <c r="Y484" s="39"/>
      <c r="Z484" s="39"/>
      <c r="AA484" s="39"/>
      <c r="AB484" s="39"/>
    </row>
    <row r="485">
      <c r="A485" s="1"/>
      <c r="B485" s="36"/>
      <c r="C485" s="36"/>
      <c r="D485" s="36"/>
      <c r="E485" s="36"/>
      <c r="F485" s="36"/>
      <c r="G485" s="36"/>
      <c r="H485" s="37"/>
      <c r="I485" s="36"/>
      <c r="J485" s="38"/>
      <c r="K485" s="38"/>
      <c r="L485" s="39"/>
      <c r="M485" s="39"/>
      <c r="N485" s="39"/>
      <c r="O485" s="39"/>
      <c r="P485" s="39"/>
      <c r="Q485" s="39"/>
      <c r="R485" s="39"/>
      <c r="S485" s="39"/>
      <c r="T485" s="39"/>
      <c r="U485" s="39"/>
      <c r="V485" s="39"/>
      <c r="W485" s="39"/>
      <c r="X485" s="39"/>
      <c r="Y485" s="39"/>
      <c r="Z485" s="39"/>
      <c r="AA485" s="39"/>
      <c r="AB485" s="39"/>
    </row>
    <row r="486">
      <c r="A486" s="1"/>
      <c r="B486" s="36"/>
      <c r="C486" s="36"/>
      <c r="D486" s="36"/>
      <c r="E486" s="36"/>
      <c r="F486" s="36"/>
      <c r="G486" s="36"/>
      <c r="H486" s="37"/>
      <c r="I486" s="36"/>
      <c r="J486" s="38"/>
      <c r="K486" s="38"/>
      <c r="L486" s="39"/>
      <c r="M486" s="39"/>
      <c r="N486" s="39"/>
      <c r="O486" s="39"/>
      <c r="P486" s="39"/>
      <c r="Q486" s="39"/>
      <c r="R486" s="39"/>
      <c r="S486" s="39"/>
      <c r="T486" s="39"/>
      <c r="U486" s="39"/>
      <c r="V486" s="39"/>
      <c r="W486" s="39"/>
      <c r="X486" s="39"/>
      <c r="Y486" s="39"/>
      <c r="Z486" s="39"/>
      <c r="AA486" s="39"/>
      <c r="AB486" s="39"/>
    </row>
    <row r="487">
      <c r="A487" s="1"/>
      <c r="B487" s="36"/>
      <c r="C487" s="36"/>
      <c r="D487" s="36"/>
      <c r="E487" s="36"/>
      <c r="F487" s="36"/>
      <c r="G487" s="36"/>
      <c r="H487" s="37"/>
      <c r="I487" s="36"/>
      <c r="J487" s="38"/>
      <c r="K487" s="38"/>
      <c r="L487" s="39"/>
      <c r="M487" s="39"/>
      <c r="N487" s="39"/>
      <c r="O487" s="39"/>
      <c r="P487" s="39"/>
      <c r="Q487" s="39"/>
      <c r="R487" s="39"/>
      <c r="S487" s="39"/>
      <c r="T487" s="39"/>
      <c r="U487" s="39"/>
      <c r="V487" s="39"/>
      <c r="W487" s="39"/>
      <c r="X487" s="39"/>
      <c r="Y487" s="39"/>
      <c r="Z487" s="39"/>
      <c r="AA487" s="39"/>
      <c r="AB487" s="39"/>
    </row>
    <row r="488">
      <c r="A488" s="1"/>
      <c r="B488" s="36"/>
      <c r="C488" s="36"/>
      <c r="D488" s="36"/>
      <c r="E488" s="36"/>
      <c r="F488" s="36"/>
      <c r="G488" s="36"/>
      <c r="H488" s="37"/>
      <c r="I488" s="36"/>
      <c r="J488" s="38"/>
      <c r="K488" s="38"/>
      <c r="L488" s="39"/>
      <c r="M488" s="39"/>
      <c r="N488" s="39"/>
      <c r="O488" s="39"/>
      <c r="P488" s="39"/>
      <c r="Q488" s="39"/>
      <c r="R488" s="39"/>
      <c r="S488" s="39"/>
      <c r="T488" s="39"/>
      <c r="U488" s="39"/>
      <c r="V488" s="39"/>
      <c r="W488" s="39"/>
      <c r="X488" s="39"/>
      <c r="Y488" s="39"/>
      <c r="Z488" s="39"/>
      <c r="AA488" s="39"/>
      <c r="AB488" s="39"/>
    </row>
    <row r="489">
      <c r="A489" s="1"/>
      <c r="B489" s="36"/>
      <c r="C489" s="36"/>
      <c r="D489" s="36"/>
      <c r="E489" s="36"/>
      <c r="F489" s="36"/>
      <c r="G489" s="36"/>
      <c r="H489" s="37"/>
      <c r="I489" s="36"/>
      <c r="J489" s="38"/>
      <c r="K489" s="38"/>
      <c r="L489" s="39"/>
      <c r="M489" s="39"/>
      <c r="N489" s="39"/>
      <c r="O489" s="39"/>
      <c r="P489" s="39"/>
      <c r="Q489" s="39"/>
      <c r="R489" s="39"/>
      <c r="S489" s="39"/>
      <c r="T489" s="39"/>
      <c r="U489" s="39"/>
      <c r="V489" s="39"/>
      <c r="W489" s="39"/>
      <c r="X489" s="39"/>
      <c r="Y489" s="39"/>
      <c r="Z489" s="39"/>
      <c r="AA489" s="39"/>
      <c r="AB489" s="39"/>
    </row>
    <row r="490">
      <c r="A490" s="1"/>
      <c r="B490" s="36"/>
      <c r="C490" s="36"/>
      <c r="D490" s="36"/>
      <c r="E490" s="36"/>
      <c r="F490" s="36"/>
      <c r="G490" s="36"/>
      <c r="H490" s="37"/>
      <c r="I490" s="36"/>
      <c r="J490" s="38"/>
      <c r="K490" s="38"/>
      <c r="L490" s="39"/>
      <c r="M490" s="39"/>
      <c r="N490" s="39"/>
      <c r="O490" s="39"/>
      <c r="P490" s="39"/>
      <c r="Q490" s="39"/>
      <c r="R490" s="39"/>
      <c r="S490" s="39"/>
      <c r="T490" s="39"/>
      <c r="U490" s="39"/>
      <c r="V490" s="39"/>
      <c r="W490" s="39"/>
      <c r="X490" s="39"/>
      <c r="Y490" s="39"/>
      <c r="Z490" s="39"/>
      <c r="AA490" s="39"/>
      <c r="AB490" s="39"/>
    </row>
    <row r="491">
      <c r="A491" s="1"/>
      <c r="B491" s="36"/>
      <c r="C491" s="36"/>
      <c r="D491" s="36"/>
      <c r="E491" s="36"/>
      <c r="F491" s="36"/>
      <c r="G491" s="36"/>
      <c r="H491" s="37"/>
      <c r="I491" s="36"/>
      <c r="J491" s="38"/>
      <c r="K491" s="38"/>
      <c r="L491" s="39"/>
      <c r="M491" s="39"/>
      <c r="N491" s="39"/>
      <c r="O491" s="39"/>
      <c r="P491" s="39"/>
      <c r="Q491" s="39"/>
      <c r="R491" s="39"/>
      <c r="S491" s="39"/>
      <c r="T491" s="39"/>
      <c r="U491" s="39"/>
      <c r="V491" s="39"/>
      <c r="W491" s="39"/>
      <c r="X491" s="39"/>
      <c r="Y491" s="39"/>
      <c r="Z491" s="39"/>
      <c r="AA491" s="39"/>
      <c r="AB491" s="39"/>
    </row>
    <row r="492">
      <c r="A492" s="1"/>
      <c r="B492" s="36"/>
      <c r="C492" s="36"/>
      <c r="D492" s="36"/>
      <c r="E492" s="36"/>
      <c r="F492" s="36"/>
      <c r="G492" s="36"/>
      <c r="H492" s="37"/>
      <c r="I492" s="36"/>
      <c r="J492" s="38"/>
      <c r="K492" s="38"/>
      <c r="L492" s="39"/>
      <c r="M492" s="39"/>
      <c r="N492" s="39"/>
      <c r="O492" s="39"/>
      <c r="P492" s="39"/>
      <c r="Q492" s="39"/>
      <c r="R492" s="39"/>
      <c r="S492" s="39"/>
      <c r="T492" s="39"/>
      <c r="U492" s="39"/>
      <c r="V492" s="39"/>
      <c r="W492" s="39"/>
      <c r="X492" s="39"/>
      <c r="Y492" s="39"/>
      <c r="Z492" s="39"/>
      <c r="AA492" s="39"/>
      <c r="AB492" s="39"/>
    </row>
    <row r="493">
      <c r="A493" s="1"/>
      <c r="B493" s="36"/>
      <c r="C493" s="36"/>
      <c r="D493" s="36"/>
      <c r="E493" s="36"/>
      <c r="F493" s="36"/>
      <c r="G493" s="36"/>
      <c r="H493" s="37"/>
      <c r="I493" s="36"/>
      <c r="J493" s="38"/>
      <c r="K493" s="38"/>
      <c r="L493" s="39"/>
      <c r="M493" s="39"/>
      <c r="N493" s="39"/>
      <c r="O493" s="39"/>
      <c r="P493" s="39"/>
      <c r="Q493" s="39"/>
      <c r="R493" s="39"/>
      <c r="S493" s="39"/>
      <c r="T493" s="39"/>
      <c r="U493" s="39"/>
      <c r="V493" s="39"/>
      <c r="W493" s="39"/>
      <c r="X493" s="39"/>
      <c r="Y493" s="39"/>
      <c r="Z493" s="39"/>
      <c r="AA493" s="39"/>
      <c r="AB493" s="39"/>
    </row>
    <row r="494">
      <c r="A494" s="1"/>
      <c r="B494" s="36"/>
      <c r="C494" s="36"/>
      <c r="D494" s="36"/>
      <c r="E494" s="36"/>
      <c r="F494" s="36"/>
      <c r="G494" s="36"/>
      <c r="H494" s="37"/>
      <c r="I494" s="36"/>
      <c r="J494" s="38"/>
      <c r="K494" s="38"/>
      <c r="L494" s="39"/>
      <c r="M494" s="39"/>
      <c r="N494" s="39"/>
      <c r="O494" s="39"/>
      <c r="P494" s="39"/>
      <c r="Q494" s="39"/>
      <c r="R494" s="39"/>
      <c r="S494" s="39"/>
      <c r="T494" s="39"/>
      <c r="U494" s="39"/>
      <c r="V494" s="39"/>
      <c r="W494" s="39"/>
      <c r="X494" s="39"/>
      <c r="Y494" s="39"/>
      <c r="Z494" s="39"/>
      <c r="AA494" s="39"/>
      <c r="AB494" s="39"/>
    </row>
    <row r="495">
      <c r="A495" s="1"/>
      <c r="B495" s="36"/>
      <c r="C495" s="36"/>
      <c r="D495" s="36"/>
      <c r="E495" s="36"/>
      <c r="F495" s="36"/>
      <c r="G495" s="36"/>
      <c r="H495" s="37"/>
      <c r="I495" s="36"/>
      <c r="J495" s="38"/>
      <c r="K495" s="38"/>
      <c r="L495" s="39"/>
      <c r="M495" s="39"/>
      <c r="N495" s="39"/>
      <c r="O495" s="39"/>
      <c r="P495" s="39"/>
      <c r="Q495" s="39"/>
      <c r="R495" s="39"/>
      <c r="S495" s="39"/>
      <c r="T495" s="39"/>
      <c r="U495" s="39"/>
      <c r="V495" s="39"/>
      <c r="W495" s="39"/>
      <c r="X495" s="39"/>
      <c r="Y495" s="39"/>
      <c r="Z495" s="39"/>
      <c r="AA495" s="39"/>
      <c r="AB495" s="39"/>
    </row>
    <row r="496">
      <c r="A496" s="1"/>
      <c r="B496" s="36"/>
      <c r="C496" s="36"/>
      <c r="D496" s="36"/>
      <c r="E496" s="36"/>
      <c r="F496" s="36"/>
      <c r="G496" s="36"/>
      <c r="H496" s="37"/>
      <c r="I496" s="36"/>
      <c r="J496" s="38"/>
      <c r="K496" s="38"/>
      <c r="L496" s="39"/>
      <c r="M496" s="39"/>
      <c r="N496" s="39"/>
      <c r="O496" s="39"/>
      <c r="P496" s="39"/>
      <c r="Q496" s="39"/>
      <c r="R496" s="39"/>
      <c r="S496" s="39"/>
      <c r="T496" s="39"/>
      <c r="U496" s="39"/>
      <c r="V496" s="39"/>
      <c r="W496" s="39"/>
      <c r="X496" s="39"/>
      <c r="Y496" s="39"/>
      <c r="Z496" s="39"/>
      <c r="AA496" s="39"/>
      <c r="AB496" s="39"/>
    </row>
    <row r="497">
      <c r="A497" s="1"/>
      <c r="B497" s="36"/>
      <c r="C497" s="36"/>
      <c r="D497" s="36"/>
      <c r="E497" s="36"/>
      <c r="F497" s="36"/>
      <c r="G497" s="36"/>
      <c r="H497" s="37"/>
      <c r="I497" s="36"/>
      <c r="J497" s="38"/>
      <c r="K497" s="38"/>
      <c r="L497" s="39"/>
      <c r="M497" s="39"/>
      <c r="N497" s="39"/>
      <c r="O497" s="39"/>
      <c r="P497" s="39"/>
      <c r="Q497" s="39"/>
      <c r="R497" s="39"/>
      <c r="S497" s="39"/>
      <c r="T497" s="39"/>
      <c r="U497" s="39"/>
      <c r="V497" s="39"/>
      <c r="W497" s="39"/>
      <c r="X497" s="39"/>
      <c r="Y497" s="39"/>
      <c r="Z497" s="39"/>
      <c r="AA497" s="39"/>
      <c r="AB497" s="39"/>
    </row>
    <row r="498">
      <c r="A498" s="1"/>
      <c r="B498" s="36"/>
      <c r="C498" s="36"/>
      <c r="D498" s="36"/>
      <c r="E498" s="36"/>
      <c r="F498" s="36"/>
      <c r="G498" s="36"/>
      <c r="H498" s="37"/>
      <c r="I498" s="36"/>
      <c r="J498" s="38"/>
      <c r="K498" s="38"/>
      <c r="L498" s="39"/>
      <c r="M498" s="39"/>
      <c r="N498" s="39"/>
      <c r="O498" s="39"/>
      <c r="P498" s="39"/>
      <c r="Q498" s="39"/>
      <c r="R498" s="39"/>
      <c r="S498" s="39"/>
      <c r="T498" s="39"/>
      <c r="U498" s="39"/>
      <c r="V498" s="39"/>
      <c r="W498" s="39"/>
      <c r="X498" s="39"/>
      <c r="Y498" s="39"/>
      <c r="Z498" s="39"/>
      <c r="AA498" s="39"/>
      <c r="AB498" s="39"/>
    </row>
    <row r="499">
      <c r="A499" s="1"/>
      <c r="B499" s="36"/>
      <c r="C499" s="36"/>
      <c r="D499" s="36"/>
      <c r="E499" s="36"/>
      <c r="F499" s="36"/>
      <c r="G499" s="36"/>
      <c r="H499" s="37"/>
      <c r="I499" s="36"/>
      <c r="J499" s="38"/>
      <c r="K499" s="38"/>
      <c r="L499" s="39"/>
      <c r="M499" s="39"/>
      <c r="N499" s="39"/>
      <c r="O499" s="39"/>
      <c r="P499" s="39"/>
      <c r="Q499" s="39"/>
      <c r="R499" s="39"/>
      <c r="S499" s="39"/>
      <c r="T499" s="39"/>
      <c r="U499" s="39"/>
      <c r="V499" s="39"/>
      <c r="W499" s="39"/>
      <c r="X499" s="39"/>
      <c r="Y499" s="39"/>
      <c r="Z499" s="39"/>
      <c r="AA499" s="39"/>
      <c r="AB499" s="39"/>
    </row>
    <row r="500">
      <c r="A500" s="1"/>
      <c r="B500" s="36"/>
      <c r="C500" s="36"/>
      <c r="D500" s="36"/>
      <c r="E500" s="36"/>
      <c r="F500" s="36"/>
      <c r="G500" s="36"/>
      <c r="H500" s="37"/>
      <c r="I500" s="36"/>
      <c r="J500" s="38"/>
      <c r="K500" s="38"/>
      <c r="L500" s="39"/>
      <c r="M500" s="39"/>
      <c r="N500" s="39"/>
      <c r="O500" s="39"/>
      <c r="P500" s="39"/>
      <c r="Q500" s="39"/>
      <c r="R500" s="39"/>
      <c r="S500" s="39"/>
      <c r="T500" s="39"/>
      <c r="U500" s="39"/>
      <c r="V500" s="39"/>
      <c r="W500" s="39"/>
      <c r="X500" s="39"/>
      <c r="Y500" s="39"/>
      <c r="Z500" s="39"/>
      <c r="AA500" s="39"/>
      <c r="AB500" s="39"/>
    </row>
    <row r="501">
      <c r="A501" s="1"/>
      <c r="B501" s="36"/>
      <c r="C501" s="36"/>
      <c r="D501" s="36"/>
      <c r="E501" s="36"/>
      <c r="F501" s="36"/>
      <c r="G501" s="36"/>
      <c r="H501" s="37"/>
      <c r="I501" s="36"/>
      <c r="J501" s="38"/>
      <c r="K501" s="38"/>
      <c r="L501" s="39"/>
      <c r="M501" s="39"/>
      <c r="N501" s="39"/>
      <c r="O501" s="39"/>
      <c r="P501" s="39"/>
      <c r="Q501" s="39"/>
      <c r="R501" s="39"/>
      <c r="S501" s="39"/>
      <c r="T501" s="39"/>
      <c r="U501" s="39"/>
      <c r="V501" s="39"/>
      <c r="W501" s="39"/>
      <c r="X501" s="39"/>
      <c r="Y501" s="39"/>
      <c r="Z501" s="39"/>
      <c r="AA501" s="39"/>
      <c r="AB501" s="39"/>
    </row>
    <row r="502">
      <c r="A502" s="1"/>
      <c r="B502" s="36"/>
      <c r="C502" s="36"/>
      <c r="D502" s="36"/>
      <c r="E502" s="36"/>
      <c r="F502" s="36"/>
      <c r="G502" s="36"/>
      <c r="H502" s="37"/>
      <c r="I502" s="36"/>
      <c r="J502" s="38"/>
      <c r="K502" s="38"/>
      <c r="L502" s="39"/>
      <c r="M502" s="39"/>
      <c r="N502" s="39"/>
      <c r="O502" s="39"/>
      <c r="P502" s="39"/>
      <c r="Q502" s="39"/>
      <c r="R502" s="39"/>
      <c r="S502" s="39"/>
      <c r="T502" s="39"/>
      <c r="U502" s="39"/>
      <c r="V502" s="39"/>
      <c r="W502" s="39"/>
      <c r="X502" s="39"/>
      <c r="Y502" s="39"/>
      <c r="Z502" s="39"/>
      <c r="AA502" s="39"/>
      <c r="AB502" s="39"/>
    </row>
    <row r="503">
      <c r="A503" s="1"/>
      <c r="B503" s="36"/>
      <c r="C503" s="36"/>
      <c r="D503" s="36"/>
      <c r="E503" s="36"/>
      <c r="F503" s="36"/>
      <c r="G503" s="36"/>
      <c r="H503" s="37"/>
      <c r="I503" s="36"/>
      <c r="J503" s="38"/>
      <c r="K503" s="38"/>
      <c r="L503" s="39"/>
      <c r="M503" s="39"/>
      <c r="N503" s="39"/>
      <c r="O503" s="39"/>
      <c r="P503" s="39"/>
      <c r="Q503" s="39"/>
      <c r="R503" s="39"/>
      <c r="S503" s="39"/>
      <c r="T503" s="39"/>
      <c r="U503" s="39"/>
      <c r="V503" s="39"/>
      <c r="W503" s="39"/>
      <c r="X503" s="39"/>
      <c r="Y503" s="39"/>
      <c r="Z503" s="39"/>
      <c r="AA503" s="39"/>
      <c r="AB503" s="39"/>
    </row>
    <row r="504">
      <c r="A504" s="1"/>
      <c r="B504" s="36"/>
      <c r="C504" s="36"/>
      <c r="D504" s="36"/>
      <c r="E504" s="36"/>
      <c r="F504" s="36"/>
      <c r="G504" s="36"/>
      <c r="H504" s="37"/>
      <c r="I504" s="36"/>
      <c r="J504" s="38"/>
      <c r="K504" s="38"/>
      <c r="L504" s="39"/>
      <c r="M504" s="39"/>
      <c r="N504" s="39"/>
      <c r="O504" s="39"/>
      <c r="P504" s="39"/>
      <c r="Q504" s="39"/>
      <c r="R504" s="39"/>
      <c r="S504" s="39"/>
      <c r="T504" s="39"/>
      <c r="U504" s="39"/>
      <c r="V504" s="39"/>
      <c r="W504" s="39"/>
      <c r="X504" s="39"/>
      <c r="Y504" s="39"/>
      <c r="Z504" s="39"/>
      <c r="AA504" s="39"/>
      <c r="AB504" s="39"/>
    </row>
    <row r="505">
      <c r="A505" s="1"/>
      <c r="B505" s="36"/>
      <c r="C505" s="36"/>
      <c r="D505" s="36"/>
      <c r="E505" s="36"/>
      <c r="F505" s="36"/>
      <c r="G505" s="36"/>
      <c r="H505" s="37"/>
      <c r="I505" s="36"/>
      <c r="J505" s="38"/>
      <c r="K505" s="38"/>
      <c r="L505" s="39"/>
      <c r="M505" s="39"/>
      <c r="N505" s="39"/>
      <c r="O505" s="39"/>
      <c r="P505" s="39"/>
      <c r="Q505" s="39"/>
      <c r="R505" s="39"/>
      <c r="S505" s="39"/>
      <c r="T505" s="39"/>
      <c r="U505" s="39"/>
      <c r="V505" s="39"/>
      <c r="W505" s="39"/>
      <c r="X505" s="39"/>
      <c r="Y505" s="39"/>
      <c r="Z505" s="39"/>
      <c r="AA505" s="39"/>
      <c r="AB505" s="39"/>
    </row>
    <row r="506">
      <c r="A506" s="1"/>
      <c r="B506" s="36"/>
      <c r="C506" s="36"/>
      <c r="D506" s="36"/>
      <c r="E506" s="36"/>
      <c r="F506" s="36"/>
      <c r="G506" s="36"/>
      <c r="H506" s="37"/>
      <c r="I506" s="36"/>
      <c r="J506" s="38"/>
      <c r="K506" s="38"/>
      <c r="L506" s="39"/>
      <c r="M506" s="39"/>
      <c r="N506" s="39"/>
      <c r="O506" s="39"/>
      <c r="P506" s="39"/>
      <c r="Q506" s="39"/>
      <c r="R506" s="39"/>
      <c r="S506" s="39"/>
      <c r="T506" s="39"/>
      <c r="U506" s="39"/>
      <c r="V506" s="39"/>
      <c r="W506" s="39"/>
      <c r="X506" s="39"/>
      <c r="Y506" s="39"/>
      <c r="Z506" s="39"/>
      <c r="AA506" s="39"/>
      <c r="AB506" s="39"/>
    </row>
    <row r="507">
      <c r="A507" s="1"/>
      <c r="B507" s="36"/>
      <c r="C507" s="36"/>
      <c r="D507" s="36"/>
      <c r="E507" s="36"/>
      <c r="F507" s="36"/>
      <c r="G507" s="36"/>
      <c r="H507" s="37"/>
      <c r="I507" s="36"/>
      <c r="J507" s="38"/>
      <c r="K507" s="38"/>
      <c r="L507" s="39"/>
      <c r="M507" s="39"/>
      <c r="N507" s="39"/>
      <c r="O507" s="39"/>
      <c r="P507" s="39"/>
      <c r="Q507" s="39"/>
      <c r="R507" s="39"/>
      <c r="S507" s="39"/>
      <c r="T507" s="39"/>
      <c r="U507" s="39"/>
      <c r="V507" s="39"/>
      <c r="W507" s="39"/>
      <c r="X507" s="39"/>
      <c r="Y507" s="39"/>
      <c r="Z507" s="39"/>
      <c r="AA507" s="39"/>
      <c r="AB507" s="39"/>
    </row>
    <row r="508">
      <c r="A508" s="1"/>
      <c r="B508" s="36"/>
      <c r="C508" s="36"/>
      <c r="D508" s="36"/>
      <c r="E508" s="36"/>
      <c r="F508" s="36"/>
      <c r="G508" s="36"/>
      <c r="H508" s="37"/>
      <c r="I508" s="36"/>
      <c r="J508" s="38"/>
      <c r="K508" s="38"/>
      <c r="L508" s="39"/>
      <c r="M508" s="39"/>
      <c r="N508" s="39"/>
      <c r="O508" s="39"/>
      <c r="P508" s="39"/>
      <c r="Q508" s="39"/>
      <c r="R508" s="39"/>
      <c r="S508" s="39"/>
      <c r="T508" s="39"/>
      <c r="U508" s="39"/>
      <c r="V508" s="39"/>
      <c r="W508" s="39"/>
      <c r="X508" s="39"/>
      <c r="Y508" s="39"/>
      <c r="Z508" s="39"/>
      <c r="AA508" s="39"/>
      <c r="AB508" s="39"/>
    </row>
    <row r="509">
      <c r="A509" s="1"/>
      <c r="B509" s="36"/>
      <c r="C509" s="36"/>
      <c r="D509" s="36"/>
      <c r="E509" s="36"/>
      <c r="F509" s="36"/>
      <c r="G509" s="36"/>
      <c r="H509" s="37"/>
      <c r="I509" s="36"/>
      <c r="J509" s="38"/>
      <c r="K509" s="38"/>
      <c r="L509" s="39"/>
      <c r="M509" s="39"/>
      <c r="N509" s="39"/>
      <c r="O509" s="39"/>
      <c r="P509" s="39"/>
      <c r="Q509" s="39"/>
      <c r="R509" s="39"/>
      <c r="S509" s="39"/>
      <c r="T509" s="39"/>
      <c r="U509" s="39"/>
      <c r="V509" s="39"/>
      <c r="W509" s="39"/>
      <c r="X509" s="39"/>
      <c r="Y509" s="39"/>
      <c r="Z509" s="39"/>
      <c r="AA509" s="39"/>
      <c r="AB509" s="39"/>
    </row>
    <row r="510">
      <c r="A510" s="1"/>
      <c r="B510" s="36"/>
      <c r="C510" s="36"/>
      <c r="D510" s="36"/>
      <c r="E510" s="36"/>
      <c r="F510" s="36"/>
      <c r="G510" s="36"/>
      <c r="H510" s="37"/>
      <c r="I510" s="36"/>
      <c r="J510" s="38"/>
      <c r="K510" s="38"/>
      <c r="L510" s="39"/>
      <c r="M510" s="39"/>
      <c r="N510" s="39"/>
      <c r="O510" s="39"/>
      <c r="P510" s="39"/>
      <c r="Q510" s="39"/>
      <c r="R510" s="39"/>
      <c r="S510" s="39"/>
      <c r="T510" s="39"/>
      <c r="U510" s="39"/>
      <c r="V510" s="39"/>
      <c r="W510" s="39"/>
      <c r="X510" s="39"/>
      <c r="Y510" s="39"/>
      <c r="Z510" s="39"/>
      <c r="AA510" s="39"/>
      <c r="AB510" s="39"/>
    </row>
    <row r="511">
      <c r="A511" s="1"/>
      <c r="B511" s="36"/>
      <c r="C511" s="36"/>
      <c r="D511" s="36"/>
      <c r="E511" s="36"/>
      <c r="F511" s="36"/>
      <c r="G511" s="36"/>
      <c r="H511" s="37"/>
      <c r="I511" s="36"/>
      <c r="J511" s="38"/>
      <c r="K511" s="38"/>
      <c r="L511" s="39"/>
      <c r="M511" s="39"/>
      <c r="N511" s="39"/>
      <c r="O511" s="39"/>
      <c r="P511" s="39"/>
      <c r="Q511" s="39"/>
      <c r="R511" s="39"/>
      <c r="S511" s="39"/>
      <c r="T511" s="39"/>
      <c r="U511" s="39"/>
      <c r="V511" s="39"/>
      <c r="W511" s="39"/>
      <c r="X511" s="39"/>
      <c r="Y511" s="39"/>
      <c r="Z511" s="39"/>
      <c r="AA511" s="39"/>
      <c r="AB511" s="39"/>
    </row>
    <row r="512">
      <c r="A512" s="1"/>
      <c r="B512" s="36"/>
      <c r="C512" s="36"/>
      <c r="D512" s="36"/>
      <c r="E512" s="36"/>
      <c r="F512" s="36"/>
      <c r="G512" s="36"/>
      <c r="H512" s="37"/>
      <c r="I512" s="36"/>
      <c r="J512" s="38"/>
      <c r="K512" s="38"/>
      <c r="L512" s="39"/>
      <c r="M512" s="39"/>
      <c r="N512" s="39"/>
      <c r="O512" s="39"/>
      <c r="P512" s="39"/>
      <c r="Q512" s="39"/>
      <c r="R512" s="39"/>
      <c r="S512" s="39"/>
      <c r="T512" s="39"/>
      <c r="U512" s="39"/>
      <c r="V512" s="39"/>
      <c r="W512" s="39"/>
      <c r="X512" s="39"/>
      <c r="Y512" s="39"/>
      <c r="Z512" s="39"/>
      <c r="AA512" s="39"/>
      <c r="AB512" s="39"/>
    </row>
    <row r="513">
      <c r="A513" s="1"/>
      <c r="B513" s="36"/>
      <c r="C513" s="36"/>
      <c r="D513" s="36"/>
      <c r="E513" s="36"/>
      <c r="F513" s="36"/>
      <c r="G513" s="36"/>
      <c r="H513" s="37"/>
      <c r="I513" s="36"/>
      <c r="J513" s="38"/>
      <c r="K513" s="38"/>
      <c r="L513" s="39"/>
      <c r="M513" s="39"/>
      <c r="N513" s="39"/>
      <c r="O513" s="39"/>
      <c r="P513" s="39"/>
      <c r="Q513" s="39"/>
      <c r="R513" s="39"/>
      <c r="S513" s="39"/>
      <c r="T513" s="39"/>
      <c r="U513" s="39"/>
      <c r="V513" s="39"/>
      <c r="W513" s="39"/>
      <c r="X513" s="39"/>
      <c r="Y513" s="39"/>
      <c r="Z513" s="39"/>
      <c r="AA513" s="39"/>
      <c r="AB513" s="39"/>
    </row>
    <row r="514">
      <c r="A514" s="1"/>
      <c r="B514" s="36"/>
      <c r="C514" s="36"/>
      <c r="D514" s="36"/>
      <c r="E514" s="36"/>
      <c r="F514" s="36"/>
      <c r="G514" s="36"/>
      <c r="H514" s="37"/>
      <c r="I514" s="36"/>
      <c r="J514" s="38"/>
      <c r="K514" s="38"/>
      <c r="L514" s="39"/>
      <c r="M514" s="39"/>
      <c r="N514" s="39"/>
      <c r="O514" s="39"/>
      <c r="P514" s="39"/>
      <c r="Q514" s="39"/>
      <c r="R514" s="39"/>
      <c r="S514" s="39"/>
      <c r="T514" s="39"/>
      <c r="U514" s="39"/>
      <c r="V514" s="39"/>
      <c r="W514" s="39"/>
      <c r="X514" s="39"/>
      <c r="Y514" s="39"/>
      <c r="Z514" s="39"/>
      <c r="AA514" s="39"/>
      <c r="AB514" s="39"/>
    </row>
    <row r="515">
      <c r="A515" s="1"/>
      <c r="B515" s="36"/>
      <c r="C515" s="36"/>
      <c r="D515" s="36"/>
      <c r="E515" s="36"/>
      <c r="F515" s="36"/>
      <c r="G515" s="36"/>
      <c r="H515" s="37"/>
      <c r="I515" s="36"/>
      <c r="J515" s="38"/>
      <c r="K515" s="38"/>
      <c r="L515" s="39"/>
      <c r="M515" s="39"/>
      <c r="N515" s="39"/>
      <c r="O515" s="39"/>
      <c r="P515" s="39"/>
      <c r="Q515" s="39"/>
      <c r="R515" s="39"/>
      <c r="S515" s="39"/>
      <c r="T515" s="39"/>
      <c r="U515" s="39"/>
      <c r="V515" s="39"/>
      <c r="W515" s="39"/>
      <c r="X515" s="39"/>
      <c r="Y515" s="39"/>
      <c r="Z515" s="39"/>
      <c r="AA515" s="39"/>
      <c r="AB515" s="39"/>
    </row>
    <row r="516">
      <c r="A516" s="1"/>
      <c r="B516" s="36"/>
      <c r="C516" s="36"/>
      <c r="D516" s="36"/>
      <c r="E516" s="36"/>
      <c r="F516" s="36"/>
      <c r="G516" s="36"/>
      <c r="H516" s="37"/>
      <c r="I516" s="36"/>
      <c r="J516" s="38"/>
      <c r="K516" s="38"/>
      <c r="L516" s="39"/>
      <c r="M516" s="39"/>
      <c r="N516" s="39"/>
      <c r="O516" s="39"/>
      <c r="P516" s="39"/>
      <c r="Q516" s="39"/>
      <c r="R516" s="39"/>
      <c r="S516" s="39"/>
      <c r="T516" s="39"/>
      <c r="U516" s="39"/>
      <c r="V516" s="39"/>
      <c r="W516" s="39"/>
      <c r="X516" s="39"/>
      <c r="Y516" s="39"/>
      <c r="Z516" s="39"/>
      <c r="AA516" s="39"/>
      <c r="AB516" s="39"/>
    </row>
    <row r="517">
      <c r="A517" s="1"/>
      <c r="B517" s="36"/>
      <c r="C517" s="36"/>
      <c r="D517" s="36"/>
      <c r="E517" s="36"/>
      <c r="F517" s="36"/>
      <c r="G517" s="36"/>
      <c r="H517" s="37"/>
      <c r="I517" s="36"/>
      <c r="J517" s="38"/>
      <c r="K517" s="38"/>
      <c r="L517" s="39"/>
      <c r="M517" s="39"/>
      <c r="N517" s="39"/>
      <c r="O517" s="39"/>
      <c r="P517" s="39"/>
      <c r="Q517" s="39"/>
      <c r="R517" s="39"/>
      <c r="S517" s="39"/>
      <c r="T517" s="39"/>
      <c r="U517" s="39"/>
      <c r="V517" s="39"/>
      <c r="W517" s="39"/>
      <c r="X517" s="39"/>
      <c r="Y517" s="39"/>
      <c r="Z517" s="39"/>
      <c r="AA517" s="39"/>
      <c r="AB517" s="39"/>
    </row>
    <row r="518">
      <c r="A518" s="1"/>
      <c r="B518" s="36"/>
      <c r="C518" s="36"/>
      <c r="D518" s="36"/>
      <c r="E518" s="36"/>
      <c r="F518" s="36"/>
      <c r="G518" s="36"/>
      <c r="H518" s="37"/>
      <c r="I518" s="36"/>
      <c r="J518" s="38"/>
      <c r="K518" s="38"/>
      <c r="L518" s="39"/>
      <c r="M518" s="39"/>
      <c r="N518" s="39"/>
      <c r="O518" s="39"/>
      <c r="P518" s="39"/>
      <c r="Q518" s="39"/>
      <c r="R518" s="39"/>
      <c r="S518" s="39"/>
      <c r="T518" s="39"/>
      <c r="U518" s="39"/>
      <c r="V518" s="39"/>
      <c r="W518" s="39"/>
      <c r="X518" s="39"/>
      <c r="Y518" s="39"/>
      <c r="Z518" s="39"/>
      <c r="AA518" s="39"/>
      <c r="AB518" s="39"/>
    </row>
    <row r="519">
      <c r="A519" s="1"/>
      <c r="B519" s="36"/>
      <c r="C519" s="36"/>
      <c r="D519" s="36"/>
      <c r="E519" s="36"/>
      <c r="F519" s="36"/>
      <c r="G519" s="36"/>
      <c r="H519" s="37"/>
      <c r="I519" s="36"/>
      <c r="J519" s="38"/>
      <c r="K519" s="38"/>
      <c r="L519" s="39"/>
      <c r="M519" s="39"/>
      <c r="N519" s="39"/>
      <c r="O519" s="39"/>
      <c r="P519" s="39"/>
      <c r="Q519" s="39"/>
      <c r="R519" s="39"/>
      <c r="S519" s="39"/>
      <c r="T519" s="39"/>
      <c r="U519" s="39"/>
      <c r="V519" s="39"/>
      <c r="W519" s="39"/>
      <c r="X519" s="39"/>
      <c r="Y519" s="39"/>
      <c r="Z519" s="39"/>
      <c r="AA519" s="39"/>
      <c r="AB519" s="39"/>
    </row>
    <row r="520">
      <c r="A520" s="1"/>
      <c r="B520" s="36"/>
      <c r="C520" s="36"/>
      <c r="D520" s="36"/>
      <c r="E520" s="36"/>
      <c r="F520" s="36"/>
      <c r="G520" s="36"/>
      <c r="H520" s="37"/>
      <c r="I520" s="36"/>
      <c r="J520" s="38"/>
      <c r="K520" s="38"/>
      <c r="L520" s="39"/>
      <c r="M520" s="39"/>
      <c r="N520" s="39"/>
      <c r="O520" s="39"/>
      <c r="P520" s="39"/>
      <c r="Q520" s="39"/>
      <c r="R520" s="39"/>
      <c r="S520" s="39"/>
      <c r="T520" s="39"/>
      <c r="U520" s="39"/>
      <c r="V520" s="39"/>
      <c r="W520" s="39"/>
      <c r="X520" s="39"/>
      <c r="Y520" s="39"/>
      <c r="Z520" s="39"/>
      <c r="AA520" s="39"/>
      <c r="AB520" s="39"/>
    </row>
    <row r="521">
      <c r="A521" s="1"/>
      <c r="B521" s="36"/>
      <c r="C521" s="36"/>
      <c r="D521" s="36"/>
      <c r="E521" s="36"/>
      <c r="F521" s="36"/>
      <c r="G521" s="36"/>
      <c r="H521" s="37"/>
      <c r="I521" s="36"/>
      <c r="J521" s="38"/>
      <c r="K521" s="38"/>
      <c r="L521" s="39"/>
      <c r="M521" s="39"/>
      <c r="N521" s="39"/>
      <c r="O521" s="39"/>
      <c r="P521" s="39"/>
      <c r="Q521" s="39"/>
      <c r="R521" s="39"/>
      <c r="S521" s="39"/>
      <c r="T521" s="39"/>
      <c r="U521" s="39"/>
      <c r="V521" s="39"/>
      <c r="W521" s="39"/>
      <c r="X521" s="39"/>
      <c r="Y521" s="39"/>
      <c r="Z521" s="39"/>
      <c r="AA521" s="39"/>
      <c r="AB521" s="39"/>
    </row>
    <row r="522">
      <c r="A522" s="1"/>
      <c r="B522" s="36"/>
      <c r="C522" s="36"/>
      <c r="D522" s="36"/>
      <c r="E522" s="36"/>
      <c r="F522" s="36"/>
      <c r="G522" s="36"/>
      <c r="H522" s="37"/>
      <c r="I522" s="36"/>
      <c r="J522" s="38"/>
      <c r="K522" s="38"/>
      <c r="L522" s="39"/>
      <c r="M522" s="39"/>
      <c r="N522" s="39"/>
      <c r="O522" s="39"/>
      <c r="P522" s="39"/>
      <c r="Q522" s="39"/>
      <c r="R522" s="39"/>
      <c r="S522" s="39"/>
      <c r="T522" s="39"/>
      <c r="U522" s="39"/>
      <c r="V522" s="39"/>
      <c r="W522" s="39"/>
      <c r="X522" s="39"/>
      <c r="Y522" s="39"/>
      <c r="Z522" s="39"/>
      <c r="AA522" s="39"/>
      <c r="AB522" s="39"/>
    </row>
    <row r="523">
      <c r="A523" s="1"/>
      <c r="B523" s="36"/>
      <c r="C523" s="36"/>
      <c r="D523" s="36"/>
      <c r="E523" s="36"/>
      <c r="F523" s="36"/>
      <c r="G523" s="36"/>
      <c r="H523" s="37"/>
      <c r="I523" s="36"/>
      <c r="J523" s="38"/>
      <c r="K523" s="38"/>
      <c r="L523" s="39"/>
      <c r="M523" s="39"/>
      <c r="N523" s="39"/>
      <c r="O523" s="39"/>
      <c r="P523" s="39"/>
      <c r="Q523" s="39"/>
      <c r="R523" s="39"/>
      <c r="S523" s="39"/>
      <c r="T523" s="39"/>
      <c r="U523" s="39"/>
      <c r="V523" s="39"/>
      <c r="W523" s="39"/>
      <c r="X523" s="39"/>
      <c r="Y523" s="39"/>
      <c r="Z523" s="39"/>
      <c r="AA523" s="39"/>
      <c r="AB523" s="39"/>
    </row>
    <row r="524">
      <c r="A524" s="1"/>
      <c r="B524" s="36"/>
      <c r="C524" s="36"/>
      <c r="D524" s="36"/>
      <c r="E524" s="36"/>
      <c r="F524" s="36"/>
      <c r="G524" s="36"/>
      <c r="H524" s="37"/>
      <c r="I524" s="36"/>
      <c r="J524" s="38"/>
      <c r="K524" s="38"/>
      <c r="L524" s="39"/>
      <c r="M524" s="39"/>
      <c r="N524" s="39"/>
      <c r="O524" s="39"/>
      <c r="P524" s="39"/>
      <c r="Q524" s="39"/>
      <c r="R524" s="39"/>
      <c r="S524" s="39"/>
      <c r="T524" s="39"/>
      <c r="U524" s="39"/>
      <c r="V524" s="39"/>
      <c r="W524" s="39"/>
      <c r="X524" s="39"/>
      <c r="Y524" s="39"/>
      <c r="Z524" s="39"/>
      <c r="AA524" s="39"/>
      <c r="AB524" s="39"/>
    </row>
    <row r="525">
      <c r="A525" s="1"/>
      <c r="B525" s="36"/>
      <c r="C525" s="36"/>
      <c r="D525" s="36"/>
      <c r="E525" s="36"/>
      <c r="F525" s="36"/>
      <c r="G525" s="36"/>
      <c r="H525" s="37"/>
      <c r="I525" s="36"/>
      <c r="J525" s="38"/>
      <c r="K525" s="38"/>
      <c r="L525" s="39"/>
      <c r="M525" s="39"/>
      <c r="N525" s="39"/>
      <c r="O525" s="39"/>
      <c r="P525" s="39"/>
      <c r="Q525" s="39"/>
      <c r="R525" s="39"/>
      <c r="S525" s="39"/>
      <c r="T525" s="39"/>
      <c r="U525" s="39"/>
      <c r="V525" s="39"/>
      <c r="W525" s="39"/>
      <c r="X525" s="39"/>
      <c r="Y525" s="39"/>
      <c r="Z525" s="39"/>
      <c r="AA525" s="39"/>
      <c r="AB525" s="39"/>
    </row>
    <row r="526">
      <c r="A526" s="1"/>
      <c r="B526" s="36"/>
      <c r="C526" s="36"/>
      <c r="D526" s="36"/>
      <c r="E526" s="36"/>
      <c r="F526" s="36"/>
      <c r="G526" s="36"/>
      <c r="H526" s="37"/>
      <c r="I526" s="36"/>
      <c r="J526" s="38"/>
      <c r="K526" s="38"/>
      <c r="L526" s="39"/>
      <c r="M526" s="39"/>
      <c r="N526" s="39"/>
      <c r="O526" s="39"/>
      <c r="P526" s="39"/>
      <c r="Q526" s="39"/>
      <c r="R526" s="39"/>
      <c r="S526" s="39"/>
      <c r="T526" s="39"/>
      <c r="U526" s="39"/>
      <c r="V526" s="39"/>
      <c r="W526" s="39"/>
      <c r="X526" s="39"/>
      <c r="Y526" s="39"/>
      <c r="Z526" s="39"/>
      <c r="AA526" s="39"/>
      <c r="AB526" s="39"/>
    </row>
    <row r="527">
      <c r="A527" s="1"/>
      <c r="B527" s="36"/>
      <c r="C527" s="36"/>
      <c r="D527" s="36"/>
      <c r="E527" s="36"/>
      <c r="F527" s="36"/>
      <c r="G527" s="36"/>
      <c r="H527" s="37"/>
      <c r="I527" s="36"/>
      <c r="J527" s="38"/>
      <c r="K527" s="38"/>
      <c r="L527" s="39"/>
      <c r="M527" s="39"/>
      <c r="N527" s="39"/>
      <c r="O527" s="39"/>
      <c r="P527" s="39"/>
      <c r="Q527" s="39"/>
      <c r="R527" s="39"/>
      <c r="S527" s="39"/>
      <c r="T527" s="39"/>
      <c r="U527" s="39"/>
      <c r="V527" s="39"/>
      <c r="W527" s="39"/>
      <c r="X527" s="39"/>
      <c r="Y527" s="39"/>
      <c r="Z527" s="39"/>
      <c r="AA527" s="39"/>
      <c r="AB527" s="39"/>
    </row>
    <row r="528">
      <c r="A528" s="1"/>
      <c r="B528" s="36"/>
      <c r="C528" s="36"/>
      <c r="D528" s="36"/>
      <c r="E528" s="36"/>
      <c r="F528" s="36"/>
      <c r="G528" s="36"/>
      <c r="H528" s="37"/>
      <c r="I528" s="36"/>
      <c r="J528" s="38"/>
      <c r="K528" s="38"/>
      <c r="L528" s="39"/>
      <c r="M528" s="39"/>
      <c r="N528" s="39"/>
      <c r="O528" s="39"/>
      <c r="P528" s="39"/>
      <c r="Q528" s="39"/>
      <c r="R528" s="39"/>
      <c r="S528" s="39"/>
      <c r="T528" s="39"/>
      <c r="U528" s="39"/>
      <c r="V528" s="39"/>
      <c r="W528" s="39"/>
      <c r="X528" s="39"/>
      <c r="Y528" s="39"/>
      <c r="Z528" s="39"/>
      <c r="AA528" s="39"/>
      <c r="AB528" s="39"/>
    </row>
    <row r="529">
      <c r="A529" s="1"/>
      <c r="B529" s="36"/>
      <c r="C529" s="36"/>
      <c r="D529" s="36"/>
      <c r="E529" s="36"/>
      <c r="F529" s="36"/>
      <c r="G529" s="36"/>
      <c r="H529" s="37"/>
      <c r="I529" s="36"/>
      <c r="J529" s="38"/>
      <c r="K529" s="38"/>
      <c r="L529" s="39"/>
      <c r="M529" s="39"/>
      <c r="N529" s="39"/>
      <c r="O529" s="39"/>
      <c r="P529" s="39"/>
      <c r="Q529" s="39"/>
      <c r="R529" s="39"/>
      <c r="S529" s="39"/>
      <c r="T529" s="39"/>
      <c r="U529" s="39"/>
      <c r="V529" s="39"/>
      <c r="W529" s="39"/>
      <c r="X529" s="39"/>
      <c r="Y529" s="39"/>
      <c r="Z529" s="39"/>
      <c r="AA529" s="39"/>
      <c r="AB529" s="39"/>
    </row>
    <row r="530">
      <c r="A530" s="1"/>
      <c r="B530" s="36"/>
      <c r="C530" s="36"/>
      <c r="D530" s="36"/>
      <c r="E530" s="36"/>
      <c r="F530" s="36"/>
      <c r="G530" s="36"/>
      <c r="H530" s="37"/>
      <c r="I530" s="36"/>
      <c r="J530" s="38"/>
      <c r="K530" s="38"/>
      <c r="L530" s="39"/>
      <c r="M530" s="39"/>
      <c r="N530" s="39"/>
      <c r="O530" s="39"/>
      <c r="P530" s="39"/>
      <c r="Q530" s="39"/>
      <c r="R530" s="39"/>
      <c r="S530" s="39"/>
      <c r="T530" s="39"/>
      <c r="U530" s="39"/>
      <c r="V530" s="39"/>
      <c r="W530" s="39"/>
      <c r="X530" s="39"/>
      <c r="Y530" s="39"/>
      <c r="Z530" s="39"/>
      <c r="AA530" s="39"/>
      <c r="AB530" s="39"/>
    </row>
    <row r="531">
      <c r="A531" s="1"/>
      <c r="B531" s="36"/>
      <c r="C531" s="36"/>
      <c r="D531" s="36"/>
      <c r="E531" s="36"/>
      <c r="F531" s="36"/>
      <c r="G531" s="36"/>
      <c r="H531" s="37"/>
      <c r="I531" s="36"/>
      <c r="J531" s="38"/>
      <c r="K531" s="38"/>
      <c r="L531" s="39"/>
      <c r="M531" s="39"/>
      <c r="N531" s="39"/>
      <c r="O531" s="39"/>
      <c r="P531" s="39"/>
      <c r="Q531" s="39"/>
      <c r="R531" s="39"/>
      <c r="S531" s="39"/>
      <c r="T531" s="39"/>
      <c r="U531" s="39"/>
      <c r="V531" s="39"/>
      <c r="W531" s="39"/>
      <c r="X531" s="39"/>
      <c r="Y531" s="39"/>
      <c r="Z531" s="39"/>
      <c r="AA531" s="39"/>
      <c r="AB531" s="39"/>
    </row>
    <row r="532">
      <c r="A532" s="1"/>
      <c r="B532" s="36"/>
      <c r="C532" s="36"/>
      <c r="D532" s="36"/>
      <c r="E532" s="36"/>
      <c r="F532" s="36"/>
      <c r="G532" s="36"/>
      <c r="H532" s="37"/>
      <c r="I532" s="36"/>
      <c r="J532" s="38"/>
      <c r="K532" s="38"/>
      <c r="L532" s="39"/>
      <c r="M532" s="39"/>
      <c r="N532" s="39"/>
      <c r="O532" s="39"/>
      <c r="P532" s="39"/>
      <c r="Q532" s="39"/>
      <c r="R532" s="39"/>
      <c r="S532" s="39"/>
      <c r="T532" s="39"/>
      <c r="U532" s="39"/>
      <c r="V532" s="39"/>
      <c r="W532" s="39"/>
      <c r="X532" s="39"/>
      <c r="Y532" s="39"/>
      <c r="Z532" s="39"/>
      <c r="AA532" s="39"/>
      <c r="AB532" s="39"/>
    </row>
    <row r="533">
      <c r="A533" s="1"/>
      <c r="B533" s="36"/>
      <c r="C533" s="36"/>
      <c r="D533" s="36"/>
      <c r="E533" s="36"/>
      <c r="F533" s="36"/>
      <c r="G533" s="36"/>
      <c r="H533" s="37"/>
      <c r="I533" s="36"/>
      <c r="J533" s="38"/>
      <c r="K533" s="38"/>
      <c r="L533" s="39"/>
      <c r="M533" s="39"/>
      <c r="N533" s="39"/>
      <c r="O533" s="39"/>
      <c r="P533" s="39"/>
      <c r="Q533" s="39"/>
      <c r="R533" s="39"/>
      <c r="S533" s="39"/>
      <c r="T533" s="39"/>
      <c r="U533" s="39"/>
      <c r="V533" s="39"/>
      <c r="W533" s="39"/>
      <c r="X533" s="39"/>
      <c r="Y533" s="39"/>
      <c r="Z533" s="39"/>
      <c r="AA533" s="39"/>
      <c r="AB533" s="39"/>
    </row>
    <row r="534">
      <c r="A534" s="1"/>
      <c r="B534" s="36"/>
      <c r="C534" s="36"/>
      <c r="D534" s="36"/>
      <c r="E534" s="36"/>
      <c r="F534" s="36"/>
      <c r="G534" s="36"/>
      <c r="H534" s="37"/>
      <c r="I534" s="36"/>
      <c r="J534" s="38"/>
      <c r="K534" s="38"/>
      <c r="L534" s="39"/>
      <c r="M534" s="39"/>
      <c r="N534" s="39"/>
      <c r="O534" s="39"/>
      <c r="P534" s="39"/>
      <c r="Q534" s="39"/>
      <c r="R534" s="39"/>
      <c r="S534" s="39"/>
      <c r="T534" s="39"/>
      <c r="U534" s="39"/>
      <c r="V534" s="39"/>
      <c r="W534" s="39"/>
      <c r="X534" s="39"/>
      <c r="Y534" s="39"/>
      <c r="Z534" s="39"/>
      <c r="AA534" s="39"/>
      <c r="AB534" s="39"/>
    </row>
    <row r="535">
      <c r="A535" s="1"/>
      <c r="B535" s="36"/>
      <c r="C535" s="36"/>
      <c r="D535" s="36"/>
      <c r="E535" s="36"/>
      <c r="F535" s="36"/>
      <c r="G535" s="36"/>
      <c r="H535" s="37"/>
      <c r="I535" s="36"/>
      <c r="J535" s="38"/>
      <c r="K535" s="38"/>
      <c r="L535" s="39"/>
      <c r="M535" s="39"/>
      <c r="N535" s="39"/>
      <c r="O535" s="39"/>
      <c r="P535" s="39"/>
      <c r="Q535" s="39"/>
      <c r="R535" s="39"/>
      <c r="S535" s="39"/>
      <c r="T535" s="39"/>
      <c r="U535" s="39"/>
      <c r="V535" s="39"/>
      <c r="W535" s="39"/>
      <c r="X535" s="39"/>
      <c r="Y535" s="39"/>
      <c r="Z535" s="39"/>
      <c r="AA535" s="39"/>
      <c r="AB535" s="39"/>
    </row>
    <row r="536">
      <c r="A536" s="1"/>
      <c r="B536" s="36"/>
      <c r="C536" s="36"/>
      <c r="D536" s="36"/>
      <c r="E536" s="36"/>
      <c r="F536" s="36"/>
      <c r="G536" s="36"/>
      <c r="H536" s="37"/>
      <c r="I536" s="36"/>
      <c r="J536" s="38"/>
      <c r="K536" s="38"/>
      <c r="L536" s="39"/>
      <c r="M536" s="39"/>
      <c r="N536" s="39"/>
      <c r="O536" s="39"/>
      <c r="P536" s="39"/>
      <c r="Q536" s="39"/>
      <c r="R536" s="39"/>
      <c r="S536" s="39"/>
      <c r="T536" s="39"/>
      <c r="U536" s="39"/>
      <c r="V536" s="39"/>
      <c r="W536" s="39"/>
      <c r="X536" s="39"/>
      <c r="Y536" s="39"/>
      <c r="Z536" s="39"/>
      <c r="AA536" s="39"/>
      <c r="AB536" s="39"/>
    </row>
    <row r="537">
      <c r="A537" s="1"/>
      <c r="B537" s="36"/>
      <c r="C537" s="36"/>
      <c r="D537" s="36"/>
      <c r="E537" s="36"/>
      <c r="F537" s="36"/>
      <c r="G537" s="36"/>
      <c r="H537" s="37"/>
      <c r="I537" s="36"/>
      <c r="J537" s="38"/>
      <c r="K537" s="38"/>
      <c r="L537" s="39"/>
      <c r="M537" s="39"/>
      <c r="N537" s="39"/>
      <c r="O537" s="39"/>
      <c r="P537" s="39"/>
      <c r="Q537" s="39"/>
      <c r="R537" s="39"/>
      <c r="S537" s="39"/>
      <c r="T537" s="39"/>
      <c r="U537" s="39"/>
      <c r="V537" s="39"/>
      <c r="W537" s="39"/>
      <c r="X537" s="39"/>
      <c r="Y537" s="39"/>
      <c r="Z537" s="39"/>
      <c r="AA537" s="39"/>
      <c r="AB537" s="39"/>
    </row>
    <row r="538">
      <c r="A538" s="1"/>
      <c r="B538" s="36"/>
      <c r="C538" s="36"/>
      <c r="D538" s="36"/>
      <c r="E538" s="36"/>
      <c r="F538" s="36"/>
      <c r="G538" s="36"/>
      <c r="H538" s="37"/>
      <c r="I538" s="36"/>
      <c r="J538" s="38"/>
      <c r="K538" s="38"/>
      <c r="L538" s="39"/>
      <c r="M538" s="39"/>
      <c r="N538" s="39"/>
      <c r="O538" s="39"/>
      <c r="P538" s="39"/>
      <c r="Q538" s="39"/>
      <c r="R538" s="39"/>
      <c r="S538" s="39"/>
      <c r="T538" s="39"/>
      <c r="U538" s="39"/>
      <c r="V538" s="39"/>
      <c r="W538" s="39"/>
      <c r="X538" s="39"/>
      <c r="Y538" s="39"/>
      <c r="Z538" s="39"/>
      <c r="AA538" s="39"/>
      <c r="AB538" s="39"/>
    </row>
    <row r="539">
      <c r="A539" s="1"/>
      <c r="B539" s="36"/>
      <c r="C539" s="36"/>
      <c r="D539" s="36"/>
      <c r="E539" s="36"/>
      <c r="F539" s="36"/>
      <c r="G539" s="36"/>
      <c r="H539" s="37"/>
      <c r="I539" s="36"/>
      <c r="J539" s="38"/>
      <c r="K539" s="38"/>
      <c r="L539" s="39"/>
      <c r="M539" s="39"/>
      <c r="N539" s="39"/>
      <c r="O539" s="39"/>
      <c r="P539" s="39"/>
      <c r="Q539" s="39"/>
      <c r="R539" s="39"/>
      <c r="S539" s="39"/>
      <c r="T539" s="39"/>
      <c r="U539" s="39"/>
      <c r="V539" s="39"/>
      <c r="W539" s="39"/>
      <c r="X539" s="39"/>
      <c r="Y539" s="39"/>
      <c r="Z539" s="39"/>
      <c r="AA539" s="39"/>
      <c r="AB539" s="39"/>
    </row>
    <row r="540">
      <c r="A540" s="1"/>
      <c r="B540" s="36"/>
      <c r="C540" s="36"/>
      <c r="D540" s="36"/>
      <c r="E540" s="36"/>
      <c r="F540" s="36"/>
      <c r="G540" s="36"/>
      <c r="H540" s="37"/>
      <c r="I540" s="36"/>
      <c r="J540" s="38"/>
      <c r="K540" s="38"/>
      <c r="L540" s="39"/>
      <c r="M540" s="39"/>
      <c r="N540" s="39"/>
      <c r="O540" s="39"/>
      <c r="P540" s="39"/>
      <c r="Q540" s="39"/>
      <c r="R540" s="39"/>
      <c r="S540" s="39"/>
      <c r="T540" s="39"/>
      <c r="U540" s="39"/>
      <c r="V540" s="39"/>
      <c r="W540" s="39"/>
      <c r="X540" s="39"/>
      <c r="Y540" s="39"/>
      <c r="Z540" s="39"/>
      <c r="AA540" s="39"/>
      <c r="AB540" s="39"/>
    </row>
    <row r="541">
      <c r="A541" s="1"/>
      <c r="B541" s="36"/>
      <c r="C541" s="36"/>
      <c r="D541" s="36"/>
      <c r="E541" s="36"/>
      <c r="F541" s="36"/>
      <c r="G541" s="36"/>
      <c r="H541" s="37"/>
      <c r="I541" s="36"/>
      <c r="J541" s="38"/>
      <c r="K541" s="38"/>
      <c r="L541" s="39"/>
      <c r="M541" s="39"/>
      <c r="N541" s="39"/>
      <c r="O541" s="39"/>
      <c r="P541" s="39"/>
      <c r="Q541" s="39"/>
      <c r="R541" s="39"/>
      <c r="S541" s="39"/>
      <c r="T541" s="39"/>
      <c r="U541" s="39"/>
      <c r="V541" s="39"/>
      <c r="W541" s="39"/>
      <c r="X541" s="39"/>
      <c r="Y541" s="39"/>
      <c r="Z541" s="39"/>
      <c r="AA541" s="39"/>
      <c r="AB541" s="39"/>
    </row>
    <row r="542">
      <c r="A542" s="1"/>
      <c r="B542" s="36"/>
      <c r="C542" s="36"/>
      <c r="D542" s="36"/>
      <c r="E542" s="36"/>
      <c r="F542" s="36"/>
      <c r="G542" s="36"/>
      <c r="H542" s="37"/>
      <c r="I542" s="36"/>
      <c r="J542" s="38"/>
      <c r="K542" s="38"/>
      <c r="L542" s="39"/>
      <c r="M542" s="39"/>
      <c r="N542" s="39"/>
      <c r="O542" s="39"/>
      <c r="P542" s="39"/>
      <c r="Q542" s="39"/>
      <c r="R542" s="39"/>
      <c r="S542" s="39"/>
      <c r="T542" s="39"/>
      <c r="U542" s="39"/>
      <c r="V542" s="39"/>
      <c r="W542" s="39"/>
      <c r="X542" s="39"/>
      <c r="Y542" s="39"/>
      <c r="Z542" s="39"/>
      <c r="AA542" s="39"/>
      <c r="AB542" s="39"/>
    </row>
    <row r="543">
      <c r="A543" s="1"/>
      <c r="B543" s="36"/>
      <c r="C543" s="36"/>
      <c r="D543" s="36"/>
      <c r="E543" s="36"/>
      <c r="F543" s="36"/>
      <c r="G543" s="36"/>
      <c r="H543" s="37"/>
      <c r="I543" s="36"/>
      <c r="J543" s="38"/>
      <c r="K543" s="38"/>
      <c r="L543" s="39"/>
      <c r="M543" s="39"/>
      <c r="N543" s="39"/>
      <c r="O543" s="39"/>
      <c r="P543" s="39"/>
      <c r="Q543" s="39"/>
      <c r="R543" s="39"/>
      <c r="S543" s="39"/>
      <c r="T543" s="39"/>
      <c r="U543" s="39"/>
      <c r="V543" s="39"/>
      <c r="W543" s="39"/>
      <c r="X543" s="39"/>
      <c r="Y543" s="39"/>
      <c r="Z543" s="39"/>
      <c r="AA543" s="39"/>
      <c r="AB543" s="39"/>
    </row>
    <row r="544">
      <c r="A544" s="1"/>
      <c r="B544" s="36"/>
      <c r="C544" s="36"/>
      <c r="D544" s="36"/>
      <c r="E544" s="36"/>
      <c r="F544" s="36"/>
      <c r="G544" s="36"/>
      <c r="H544" s="37"/>
      <c r="I544" s="36"/>
      <c r="J544" s="38"/>
      <c r="K544" s="38"/>
      <c r="L544" s="39"/>
      <c r="M544" s="39"/>
      <c r="N544" s="39"/>
      <c r="O544" s="39"/>
      <c r="P544" s="39"/>
      <c r="Q544" s="39"/>
      <c r="R544" s="39"/>
      <c r="S544" s="39"/>
      <c r="T544" s="39"/>
      <c r="U544" s="39"/>
      <c r="V544" s="39"/>
      <c r="W544" s="39"/>
      <c r="X544" s="39"/>
      <c r="Y544" s="39"/>
      <c r="Z544" s="39"/>
      <c r="AA544" s="39"/>
      <c r="AB544" s="39"/>
    </row>
    <row r="545">
      <c r="A545" s="1"/>
      <c r="B545" s="36"/>
      <c r="C545" s="36"/>
      <c r="D545" s="36"/>
      <c r="E545" s="36"/>
      <c r="F545" s="36"/>
      <c r="G545" s="36"/>
      <c r="H545" s="37"/>
      <c r="I545" s="36"/>
      <c r="J545" s="38"/>
      <c r="K545" s="38"/>
      <c r="L545" s="39"/>
      <c r="M545" s="39"/>
      <c r="N545" s="39"/>
      <c r="O545" s="39"/>
      <c r="P545" s="39"/>
      <c r="Q545" s="39"/>
      <c r="R545" s="39"/>
      <c r="S545" s="39"/>
      <c r="T545" s="39"/>
      <c r="U545" s="39"/>
      <c r="V545" s="39"/>
      <c r="W545" s="39"/>
      <c r="X545" s="39"/>
      <c r="Y545" s="39"/>
      <c r="Z545" s="39"/>
      <c r="AA545" s="39"/>
      <c r="AB545" s="39"/>
    </row>
    <row r="546">
      <c r="A546" s="1"/>
      <c r="B546" s="36"/>
      <c r="C546" s="36"/>
      <c r="D546" s="36"/>
      <c r="E546" s="36"/>
      <c r="F546" s="36"/>
      <c r="G546" s="36"/>
      <c r="H546" s="37"/>
      <c r="I546" s="36"/>
      <c r="J546" s="38"/>
      <c r="K546" s="38"/>
      <c r="L546" s="39"/>
      <c r="M546" s="39"/>
      <c r="N546" s="39"/>
      <c r="O546" s="39"/>
      <c r="P546" s="39"/>
      <c r="Q546" s="39"/>
      <c r="R546" s="39"/>
      <c r="S546" s="39"/>
      <c r="T546" s="39"/>
      <c r="U546" s="39"/>
      <c r="V546" s="39"/>
      <c r="W546" s="39"/>
      <c r="X546" s="39"/>
      <c r="Y546" s="39"/>
      <c r="Z546" s="39"/>
      <c r="AA546" s="39"/>
      <c r="AB546" s="39"/>
    </row>
    <row r="547">
      <c r="A547" s="1"/>
      <c r="B547" s="36"/>
      <c r="C547" s="36"/>
      <c r="D547" s="36"/>
      <c r="E547" s="36"/>
      <c r="F547" s="36"/>
      <c r="G547" s="36"/>
      <c r="H547" s="37"/>
      <c r="I547" s="36"/>
      <c r="J547" s="38"/>
      <c r="K547" s="38"/>
      <c r="L547" s="39"/>
      <c r="M547" s="39"/>
      <c r="N547" s="39"/>
      <c r="O547" s="39"/>
      <c r="P547" s="39"/>
      <c r="Q547" s="39"/>
      <c r="R547" s="39"/>
      <c r="S547" s="39"/>
      <c r="T547" s="39"/>
      <c r="U547" s="39"/>
      <c r="V547" s="39"/>
      <c r="W547" s="39"/>
      <c r="X547" s="39"/>
      <c r="Y547" s="39"/>
      <c r="Z547" s="39"/>
      <c r="AA547" s="39"/>
      <c r="AB547" s="39"/>
    </row>
    <row r="548">
      <c r="A548" s="1"/>
      <c r="B548" s="36"/>
      <c r="C548" s="36"/>
      <c r="D548" s="36"/>
      <c r="E548" s="36"/>
      <c r="F548" s="36"/>
      <c r="G548" s="36"/>
      <c r="H548" s="37"/>
      <c r="I548" s="36"/>
      <c r="J548" s="38"/>
      <c r="K548" s="38"/>
      <c r="L548" s="39"/>
      <c r="M548" s="39"/>
      <c r="N548" s="39"/>
      <c r="O548" s="39"/>
      <c r="P548" s="39"/>
      <c r="Q548" s="39"/>
      <c r="R548" s="39"/>
      <c r="S548" s="39"/>
      <c r="T548" s="39"/>
      <c r="U548" s="39"/>
      <c r="V548" s="39"/>
      <c r="W548" s="39"/>
      <c r="X548" s="39"/>
      <c r="Y548" s="39"/>
      <c r="Z548" s="39"/>
      <c r="AA548" s="39"/>
      <c r="AB548" s="39"/>
    </row>
    <row r="549">
      <c r="A549" s="1"/>
      <c r="B549" s="36"/>
      <c r="C549" s="36"/>
      <c r="D549" s="36"/>
      <c r="E549" s="36"/>
      <c r="F549" s="36"/>
      <c r="G549" s="36"/>
      <c r="H549" s="37"/>
      <c r="I549" s="36"/>
      <c r="J549" s="38"/>
      <c r="K549" s="38"/>
      <c r="L549" s="39"/>
      <c r="M549" s="39"/>
      <c r="N549" s="39"/>
      <c r="O549" s="39"/>
      <c r="P549" s="39"/>
      <c r="Q549" s="39"/>
      <c r="R549" s="39"/>
      <c r="S549" s="39"/>
      <c r="T549" s="39"/>
      <c r="U549" s="39"/>
      <c r="V549" s="39"/>
      <c r="W549" s="39"/>
      <c r="X549" s="39"/>
      <c r="Y549" s="39"/>
      <c r="Z549" s="39"/>
      <c r="AA549" s="39"/>
      <c r="AB549" s="39"/>
    </row>
    <row r="550">
      <c r="A550" s="1"/>
      <c r="B550" s="36"/>
      <c r="C550" s="36"/>
      <c r="D550" s="36"/>
      <c r="E550" s="36"/>
      <c r="F550" s="36"/>
      <c r="G550" s="36"/>
      <c r="H550" s="37"/>
      <c r="I550" s="36"/>
      <c r="J550" s="38"/>
      <c r="K550" s="38"/>
      <c r="L550" s="39"/>
      <c r="M550" s="39"/>
      <c r="N550" s="39"/>
      <c r="O550" s="39"/>
      <c r="P550" s="39"/>
      <c r="Q550" s="39"/>
      <c r="R550" s="39"/>
      <c r="S550" s="39"/>
      <c r="T550" s="39"/>
      <c r="U550" s="39"/>
      <c r="V550" s="39"/>
      <c r="W550" s="39"/>
      <c r="X550" s="39"/>
      <c r="Y550" s="39"/>
      <c r="Z550" s="39"/>
      <c r="AA550" s="39"/>
      <c r="AB550" s="39"/>
    </row>
    <row r="551">
      <c r="A551" s="1"/>
      <c r="B551" s="36"/>
      <c r="C551" s="36"/>
      <c r="D551" s="36"/>
      <c r="E551" s="36"/>
      <c r="F551" s="36"/>
      <c r="G551" s="36"/>
      <c r="H551" s="37"/>
      <c r="I551" s="36"/>
      <c r="J551" s="38"/>
      <c r="K551" s="38"/>
      <c r="L551" s="39"/>
      <c r="M551" s="39"/>
      <c r="N551" s="39"/>
      <c r="O551" s="39"/>
      <c r="P551" s="39"/>
      <c r="Q551" s="39"/>
      <c r="R551" s="39"/>
      <c r="S551" s="39"/>
      <c r="T551" s="39"/>
      <c r="U551" s="39"/>
      <c r="V551" s="39"/>
      <c r="W551" s="39"/>
      <c r="X551" s="39"/>
      <c r="Y551" s="39"/>
      <c r="Z551" s="39"/>
      <c r="AA551" s="39"/>
      <c r="AB551" s="39"/>
    </row>
    <row r="552">
      <c r="A552" s="1"/>
      <c r="B552" s="36"/>
      <c r="C552" s="36"/>
      <c r="D552" s="36"/>
      <c r="E552" s="36"/>
      <c r="F552" s="36"/>
      <c r="G552" s="36"/>
      <c r="H552" s="37"/>
      <c r="I552" s="36"/>
      <c r="J552" s="38"/>
      <c r="K552" s="38"/>
      <c r="L552" s="39"/>
      <c r="M552" s="39"/>
      <c r="N552" s="39"/>
      <c r="O552" s="39"/>
      <c r="P552" s="39"/>
      <c r="Q552" s="39"/>
      <c r="R552" s="39"/>
      <c r="S552" s="39"/>
      <c r="T552" s="39"/>
      <c r="U552" s="39"/>
      <c r="V552" s="39"/>
      <c r="W552" s="39"/>
      <c r="X552" s="39"/>
      <c r="Y552" s="39"/>
      <c r="Z552" s="39"/>
      <c r="AA552" s="39"/>
      <c r="AB552" s="39"/>
    </row>
    <row r="553">
      <c r="A553" s="1"/>
      <c r="B553" s="36"/>
      <c r="C553" s="36"/>
      <c r="D553" s="36"/>
      <c r="E553" s="36"/>
      <c r="F553" s="36"/>
      <c r="G553" s="36"/>
      <c r="H553" s="37"/>
      <c r="I553" s="36"/>
      <c r="J553" s="38"/>
      <c r="K553" s="38"/>
      <c r="L553" s="39"/>
      <c r="M553" s="39"/>
      <c r="N553" s="39"/>
      <c r="O553" s="39"/>
      <c r="P553" s="39"/>
      <c r="Q553" s="39"/>
      <c r="R553" s="39"/>
      <c r="S553" s="39"/>
      <c r="T553" s="39"/>
      <c r="U553" s="39"/>
      <c r="V553" s="39"/>
      <c r="W553" s="39"/>
      <c r="X553" s="39"/>
      <c r="Y553" s="39"/>
      <c r="Z553" s="39"/>
      <c r="AA553" s="39"/>
      <c r="AB553" s="39"/>
    </row>
    <row r="554">
      <c r="A554" s="1"/>
      <c r="B554" s="36"/>
      <c r="C554" s="36"/>
      <c r="D554" s="36"/>
      <c r="E554" s="36"/>
      <c r="F554" s="36"/>
      <c r="G554" s="36"/>
      <c r="H554" s="37"/>
      <c r="I554" s="36"/>
      <c r="J554" s="38"/>
      <c r="K554" s="38"/>
      <c r="L554" s="39"/>
      <c r="M554" s="39"/>
      <c r="N554" s="39"/>
      <c r="O554" s="39"/>
      <c r="P554" s="39"/>
      <c r="Q554" s="39"/>
      <c r="R554" s="39"/>
      <c r="S554" s="39"/>
      <c r="T554" s="39"/>
      <c r="U554" s="39"/>
      <c r="V554" s="39"/>
      <c r="W554" s="39"/>
      <c r="X554" s="39"/>
      <c r="Y554" s="39"/>
      <c r="Z554" s="39"/>
      <c r="AA554" s="39"/>
      <c r="AB554" s="39"/>
    </row>
    <row r="555">
      <c r="A555" s="1"/>
      <c r="B555" s="36"/>
      <c r="C555" s="36"/>
      <c r="D555" s="36"/>
      <c r="E555" s="36"/>
      <c r="F555" s="36"/>
      <c r="G555" s="36"/>
      <c r="H555" s="37"/>
      <c r="I555" s="36"/>
      <c r="J555" s="38"/>
      <c r="K555" s="38"/>
      <c r="L555" s="39"/>
      <c r="M555" s="39"/>
      <c r="N555" s="39"/>
      <c r="O555" s="39"/>
      <c r="P555" s="39"/>
      <c r="Q555" s="39"/>
      <c r="R555" s="39"/>
      <c r="S555" s="39"/>
      <c r="T555" s="39"/>
      <c r="U555" s="39"/>
      <c r="V555" s="39"/>
      <c r="W555" s="39"/>
      <c r="X555" s="39"/>
      <c r="Y555" s="39"/>
      <c r="Z555" s="39"/>
      <c r="AA555" s="39"/>
      <c r="AB555" s="39"/>
    </row>
    <row r="556">
      <c r="A556" s="1"/>
      <c r="B556" s="36"/>
      <c r="C556" s="36"/>
      <c r="D556" s="36"/>
      <c r="E556" s="36"/>
      <c r="F556" s="36"/>
      <c r="G556" s="36"/>
      <c r="H556" s="37"/>
      <c r="I556" s="36"/>
      <c r="J556" s="38"/>
      <c r="K556" s="38"/>
      <c r="L556" s="39"/>
      <c r="M556" s="39"/>
      <c r="N556" s="39"/>
      <c r="O556" s="39"/>
      <c r="P556" s="39"/>
      <c r="Q556" s="39"/>
      <c r="R556" s="39"/>
      <c r="S556" s="39"/>
      <c r="T556" s="39"/>
      <c r="U556" s="39"/>
      <c r="V556" s="39"/>
      <c r="W556" s="39"/>
      <c r="X556" s="39"/>
      <c r="Y556" s="39"/>
      <c r="Z556" s="39"/>
      <c r="AA556" s="39"/>
      <c r="AB556" s="39"/>
    </row>
    <row r="557">
      <c r="A557" s="1"/>
      <c r="B557" s="36"/>
      <c r="C557" s="36"/>
      <c r="D557" s="36"/>
      <c r="E557" s="36"/>
      <c r="F557" s="36"/>
      <c r="G557" s="36"/>
      <c r="H557" s="37"/>
      <c r="I557" s="36"/>
      <c r="J557" s="38"/>
      <c r="K557" s="38"/>
      <c r="L557" s="39"/>
      <c r="M557" s="39"/>
      <c r="N557" s="39"/>
      <c r="O557" s="39"/>
      <c r="P557" s="39"/>
      <c r="Q557" s="39"/>
      <c r="R557" s="39"/>
      <c r="S557" s="39"/>
      <c r="T557" s="39"/>
      <c r="U557" s="39"/>
      <c r="V557" s="39"/>
      <c r="W557" s="39"/>
      <c r="X557" s="39"/>
      <c r="Y557" s="39"/>
      <c r="Z557" s="39"/>
      <c r="AA557" s="39"/>
      <c r="AB557" s="39"/>
    </row>
    <row r="558">
      <c r="A558" s="1"/>
      <c r="B558" s="36"/>
      <c r="C558" s="36"/>
      <c r="D558" s="36"/>
      <c r="E558" s="36"/>
      <c r="F558" s="36"/>
      <c r="G558" s="36"/>
      <c r="H558" s="37"/>
      <c r="I558" s="36"/>
      <c r="J558" s="38"/>
      <c r="K558" s="38"/>
      <c r="L558" s="39"/>
      <c r="M558" s="39"/>
      <c r="N558" s="39"/>
      <c r="O558" s="39"/>
      <c r="P558" s="39"/>
      <c r="Q558" s="39"/>
      <c r="R558" s="39"/>
      <c r="S558" s="39"/>
      <c r="T558" s="39"/>
      <c r="U558" s="39"/>
      <c r="V558" s="39"/>
      <c r="W558" s="39"/>
      <c r="X558" s="39"/>
      <c r="Y558" s="39"/>
      <c r="Z558" s="39"/>
      <c r="AA558" s="39"/>
      <c r="AB558" s="39"/>
    </row>
    <row r="559">
      <c r="A559" s="1"/>
      <c r="B559" s="36"/>
      <c r="C559" s="36"/>
      <c r="D559" s="36"/>
      <c r="E559" s="36"/>
      <c r="F559" s="36"/>
      <c r="G559" s="36"/>
      <c r="H559" s="37"/>
      <c r="I559" s="36"/>
      <c r="J559" s="38"/>
      <c r="K559" s="38"/>
      <c r="L559" s="39"/>
      <c r="M559" s="39"/>
      <c r="N559" s="39"/>
      <c r="O559" s="39"/>
      <c r="P559" s="39"/>
      <c r="Q559" s="39"/>
      <c r="R559" s="39"/>
      <c r="S559" s="39"/>
      <c r="T559" s="39"/>
      <c r="U559" s="39"/>
      <c r="V559" s="39"/>
      <c r="W559" s="39"/>
      <c r="X559" s="39"/>
      <c r="Y559" s="39"/>
      <c r="Z559" s="39"/>
      <c r="AA559" s="39"/>
      <c r="AB559" s="39"/>
    </row>
    <row r="560">
      <c r="A560" s="1"/>
      <c r="B560" s="36"/>
      <c r="C560" s="36"/>
      <c r="D560" s="36"/>
      <c r="E560" s="36"/>
      <c r="F560" s="36"/>
      <c r="G560" s="36"/>
      <c r="H560" s="37"/>
      <c r="I560" s="36"/>
      <c r="J560" s="38"/>
      <c r="K560" s="38"/>
      <c r="L560" s="39"/>
      <c r="M560" s="39"/>
      <c r="N560" s="39"/>
      <c r="O560" s="39"/>
      <c r="P560" s="39"/>
      <c r="Q560" s="39"/>
      <c r="R560" s="39"/>
      <c r="S560" s="39"/>
      <c r="T560" s="39"/>
      <c r="U560" s="39"/>
      <c r="V560" s="39"/>
      <c r="W560" s="39"/>
      <c r="X560" s="39"/>
      <c r="Y560" s="39"/>
      <c r="Z560" s="39"/>
      <c r="AA560" s="39"/>
      <c r="AB560" s="39"/>
    </row>
    <row r="561">
      <c r="A561" s="1"/>
      <c r="B561" s="36"/>
      <c r="C561" s="36"/>
      <c r="D561" s="36"/>
      <c r="E561" s="36"/>
      <c r="F561" s="36"/>
      <c r="G561" s="36"/>
      <c r="H561" s="37"/>
      <c r="I561" s="36"/>
      <c r="J561" s="38"/>
      <c r="K561" s="38"/>
      <c r="L561" s="39"/>
      <c r="M561" s="39"/>
      <c r="N561" s="39"/>
      <c r="O561" s="39"/>
      <c r="P561" s="39"/>
      <c r="Q561" s="39"/>
      <c r="R561" s="39"/>
      <c r="S561" s="39"/>
      <c r="T561" s="39"/>
      <c r="U561" s="39"/>
      <c r="V561" s="39"/>
      <c r="W561" s="39"/>
      <c r="X561" s="39"/>
      <c r="Y561" s="39"/>
      <c r="Z561" s="39"/>
      <c r="AA561" s="39"/>
      <c r="AB561" s="39"/>
    </row>
    <row r="562">
      <c r="A562" s="1"/>
      <c r="B562" s="36"/>
      <c r="C562" s="36"/>
      <c r="D562" s="36"/>
      <c r="E562" s="36"/>
      <c r="F562" s="36"/>
      <c r="G562" s="36"/>
      <c r="H562" s="37"/>
      <c r="I562" s="36"/>
      <c r="J562" s="38"/>
      <c r="K562" s="38"/>
      <c r="L562" s="39"/>
      <c r="M562" s="39"/>
      <c r="N562" s="39"/>
      <c r="O562" s="39"/>
      <c r="P562" s="39"/>
      <c r="Q562" s="39"/>
      <c r="R562" s="39"/>
      <c r="S562" s="39"/>
      <c r="T562" s="39"/>
      <c r="U562" s="39"/>
      <c r="V562" s="39"/>
      <c r="W562" s="39"/>
      <c r="X562" s="39"/>
      <c r="Y562" s="39"/>
      <c r="Z562" s="39"/>
      <c r="AA562" s="39"/>
      <c r="AB562" s="39"/>
    </row>
    <row r="563">
      <c r="A563" s="1"/>
      <c r="B563" s="36"/>
      <c r="C563" s="36"/>
      <c r="D563" s="36"/>
      <c r="E563" s="36"/>
      <c r="F563" s="36"/>
      <c r="G563" s="36"/>
      <c r="H563" s="37"/>
      <c r="I563" s="36"/>
      <c r="J563" s="38"/>
      <c r="K563" s="38"/>
      <c r="L563" s="39"/>
      <c r="M563" s="39"/>
      <c r="N563" s="39"/>
      <c r="O563" s="39"/>
      <c r="P563" s="39"/>
      <c r="Q563" s="39"/>
      <c r="R563" s="39"/>
      <c r="S563" s="39"/>
      <c r="T563" s="39"/>
      <c r="U563" s="39"/>
      <c r="V563" s="39"/>
      <c r="W563" s="39"/>
      <c r="X563" s="39"/>
      <c r="Y563" s="39"/>
      <c r="Z563" s="39"/>
      <c r="AA563" s="39"/>
      <c r="AB563" s="39"/>
    </row>
    <row r="564">
      <c r="A564" s="1"/>
      <c r="B564" s="36"/>
      <c r="C564" s="36"/>
      <c r="D564" s="36"/>
      <c r="E564" s="36"/>
      <c r="F564" s="36"/>
      <c r="G564" s="36"/>
      <c r="H564" s="37"/>
      <c r="I564" s="36"/>
      <c r="J564" s="38"/>
      <c r="K564" s="38"/>
      <c r="L564" s="39"/>
      <c r="M564" s="39"/>
      <c r="N564" s="39"/>
      <c r="O564" s="39"/>
      <c r="P564" s="39"/>
      <c r="Q564" s="39"/>
      <c r="R564" s="39"/>
      <c r="S564" s="39"/>
      <c r="T564" s="39"/>
      <c r="U564" s="39"/>
      <c r="V564" s="39"/>
      <c r="W564" s="39"/>
      <c r="X564" s="39"/>
      <c r="Y564" s="39"/>
      <c r="Z564" s="39"/>
      <c r="AA564" s="39"/>
      <c r="AB564" s="39"/>
    </row>
    <row r="565">
      <c r="A565" s="1"/>
      <c r="B565" s="36"/>
      <c r="C565" s="36"/>
      <c r="D565" s="36"/>
      <c r="E565" s="36"/>
      <c r="F565" s="36"/>
      <c r="G565" s="36"/>
      <c r="H565" s="37"/>
      <c r="I565" s="36"/>
      <c r="J565" s="38"/>
      <c r="K565" s="38"/>
      <c r="L565" s="39"/>
      <c r="M565" s="39"/>
      <c r="N565" s="39"/>
      <c r="O565" s="39"/>
      <c r="P565" s="39"/>
      <c r="Q565" s="39"/>
      <c r="R565" s="39"/>
      <c r="S565" s="39"/>
      <c r="T565" s="39"/>
      <c r="U565" s="39"/>
      <c r="V565" s="39"/>
      <c r="W565" s="39"/>
      <c r="X565" s="39"/>
      <c r="Y565" s="39"/>
      <c r="Z565" s="39"/>
      <c r="AA565" s="39"/>
      <c r="AB565" s="39"/>
    </row>
    <row r="566">
      <c r="A566" s="1"/>
      <c r="B566" s="36"/>
      <c r="C566" s="36"/>
      <c r="D566" s="36"/>
      <c r="E566" s="36"/>
      <c r="F566" s="36"/>
      <c r="G566" s="36"/>
      <c r="H566" s="37"/>
      <c r="I566" s="36"/>
      <c r="J566" s="38"/>
      <c r="K566" s="38"/>
      <c r="L566" s="39"/>
      <c r="M566" s="39"/>
      <c r="N566" s="39"/>
      <c r="O566" s="39"/>
      <c r="P566" s="39"/>
      <c r="Q566" s="39"/>
      <c r="R566" s="39"/>
      <c r="S566" s="39"/>
      <c r="T566" s="39"/>
      <c r="U566" s="39"/>
      <c r="V566" s="39"/>
      <c r="W566" s="39"/>
      <c r="X566" s="39"/>
      <c r="Y566" s="39"/>
      <c r="Z566" s="39"/>
      <c r="AA566" s="39"/>
      <c r="AB566" s="39"/>
    </row>
    <row r="567">
      <c r="A567" s="1"/>
      <c r="B567" s="36"/>
      <c r="C567" s="36"/>
      <c r="D567" s="36"/>
      <c r="E567" s="36"/>
      <c r="F567" s="36"/>
      <c r="G567" s="36"/>
      <c r="H567" s="37"/>
      <c r="I567" s="36"/>
      <c r="J567" s="38"/>
      <c r="K567" s="38"/>
      <c r="L567" s="39"/>
      <c r="M567" s="39"/>
      <c r="N567" s="39"/>
      <c r="O567" s="39"/>
      <c r="P567" s="39"/>
      <c r="Q567" s="39"/>
      <c r="R567" s="39"/>
      <c r="S567" s="39"/>
      <c r="T567" s="39"/>
      <c r="U567" s="39"/>
      <c r="V567" s="39"/>
      <c r="W567" s="39"/>
      <c r="X567" s="39"/>
      <c r="Y567" s="39"/>
      <c r="Z567" s="39"/>
      <c r="AA567" s="39"/>
      <c r="AB567" s="39"/>
    </row>
    <row r="568">
      <c r="A568" s="1"/>
      <c r="B568" s="36"/>
      <c r="C568" s="36"/>
      <c r="D568" s="36"/>
      <c r="E568" s="36"/>
      <c r="F568" s="36"/>
      <c r="G568" s="36"/>
      <c r="H568" s="37"/>
      <c r="I568" s="36"/>
      <c r="J568" s="38"/>
      <c r="K568" s="38"/>
      <c r="L568" s="39"/>
      <c r="M568" s="39"/>
      <c r="N568" s="39"/>
      <c r="O568" s="39"/>
      <c r="P568" s="39"/>
      <c r="Q568" s="39"/>
      <c r="R568" s="39"/>
      <c r="S568" s="39"/>
      <c r="T568" s="39"/>
      <c r="U568" s="39"/>
      <c r="V568" s="39"/>
      <c r="W568" s="39"/>
      <c r="X568" s="39"/>
      <c r="Y568" s="39"/>
      <c r="Z568" s="39"/>
      <c r="AA568" s="39"/>
      <c r="AB568" s="39"/>
    </row>
    <row r="569">
      <c r="A569" s="1"/>
      <c r="B569" s="36"/>
      <c r="C569" s="36"/>
      <c r="D569" s="36"/>
      <c r="E569" s="36"/>
      <c r="F569" s="36"/>
      <c r="G569" s="36"/>
      <c r="H569" s="37"/>
      <c r="I569" s="36"/>
      <c r="J569" s="38"/>
      <c r="K569" s="38"/>
      <c r="L569" s="39"/>
      <c r="M569" s="39"/>
      <c r="N569" s="39"/>
      <c r="O569" s="39"/>
      <c r="P569" s="39"/>
      <c r="Q569" s="39"/>
      <c r="R569" s="39"/>
      <c r="S569" s="39"/>
      <c r="T569" s="39"/>
      <c r="U569" s="39"/>
      <c r="V569" s="39"/>
      <c r="W569" s="39"/>
      <c r="X569" s="39"/>
      <c r="Y569" s="39"/>
      <c r="Z569" s="39"/>
      <c r="AA569" s="39"/>
      <c r="AB569" s="39"/>
    </row>
    <row r="570">
      <c r="A570" s="1"/>
      <c r="B570" s="36"/>
      <c r="C570" s="36"/>
      <c r="D570" s="36"/>
      <c r="E570" s="36"/>
      <c r="F570" s="36"/>
      <c r="G570" s="36"/>
      <c r="H570" s="37"/>
      <c r="I570" s="36"/>
      <c r="J570" s="38"/>
      <c r="K570" s="38"/>
      <c r="L570" s="39"/>
      <c r="M570" s="39"/>
      <c r="N570" s="39"/>
      <c r="O570" s="39"/>
      <c r="P570" s="39"/>
      <c r="Q570" s="39"/>
      <c r="R570" s="39"/>
      <c r="S570" s="39"/>
      <c r="T570" s="39"/>
      <c r="U570" s="39"/>
      <c r="V570" s="39"/>
      <c r="W570" s="39"/>
      <c r="X570" s="39"/>
      <c r="Y570" s="39"/>
      <c r="Z570" s="39"/>
      <c r="AA570" s="39"/>
      <c r="AB570" s="39"/>
    </row>
    <row r="571">
      <c r="A571" s="1"/>
      <c r="B571" s="36"/>
      <c r="C571" s="36"/>
      <c r="D571" s="36"/>
      <c r="E571" s="36"/>
      <c r="F571" s="36"/>
      <c r="G571" s="36"/>
      <c r="H571" s="37"/>
      <c r="I571" s="36"/>
      <c r="J571" s="38"/>
      <c r="K571" s="38"/>
      <c r="L571" s="39"/>
      <c r="M571" s="39"/>
      <c r="N571" s="39"/>
      <c r="O571" s="39"/>
      <c r="P571" s="39"/>
      <c r="Q571" s="39"/>
      <c r="R571" s="39"/>
      <c r="S571" s="39"/>
      <c r="T571" s="39"/>
      <c r="U571" s="39"/>
      <c r="V571" s="39"/>
      <c r="W571" s="39"/>
      <c r="X571" s="39"/>
      <c r="Y571" s="39"/>
      <c r="Z571" s="39"/>
      <c r="AA571" s="39"/>
      <c r="AB571" s="39"/>
    </row>
    <row r="572">
      <c r="A572" s="1"/>
      <c r="B572" s="36"/>
      <c r="C572" s="36"/>
      <c r="D572" s="36"/>
      <c r="E572" s="36"/>
      <c r="F572" s="36"/>
      <c r="G572" s="36"/>
      <c r="H572" s="37"/>
      <c r="I572" s="36"/>
      <c r="J572" s="38"/>
      <c r="K572" s="38"/>
      <c r="L572" s="39"/>
      <c r="M572" s="39"/>
      <c r="N572" s="39"/>
      <c r="O572" s="39"/>
      <c r="P572" s="39"/>
      <c r="Q572" s="39"/>
      <c r="R572" s="39"/>
      <c r="S572" s="39"/>
      <c r="T572" s="39"/>
      <c r="U572" s="39"/>
      <c r="V572" s="39"/>
      <c r="W572" s="39"/>
      <c r="X572" s="39"/>
      <c r="Y572" s="39"/>
      <c r="Z572" s="39"/>
      <c r="AA572" s="39"/>
      <c r="AB572" s="39"/>
    </row>
    <row r="573">
      <c r="A573" s="1"/>
      <c r="B573" s="36"/>
      <c r="C573" s="36"/>
      <c r="D573" s="36"/>
      <c r="E573" s="36"/>
      <c r="F573" s="36"/>
      <c r="G573" s="36"/>
      <c r="H573" s="37"/>
      <c r="I573" s="36"/>
      <c r="J573" s="38"/>
      <c r="K573" s="38"/>
      <c r="L573" s="39"/>
      <c r="M573" s="39"/>
      <c r="N573" s="39"/>
      <c r="O573" s="39"/>
      <c r="P573" s="39"/>
      <c r="Q573" s="39"/>
      <c r="R573" s="39"/>
      <c r="S573" s="39"/>
      <c r="T573" s="39"/>
      <c r="U573" s="39"/>
      <c r="V573" s="39"/>
      <c r="W573" s="39"/>
      <c r="X573" s="39"/>
      <c r="Y573" s="39"/>
      <c r="Z573" s="39"/>
      <c r="AA573" s="39"/>
      <c r="AB573" s="39"/>
    </row>
    <row r="574">
      <c r="A574" s="1"/>
      <c r="B574" s="36"/>
      <c r="C574" s="36"/>
      <c r="D574" s="36"/>
      <c r="E574" s="36"/>
      <c r="F574" s="36"/>
      <c r="G574" s="36"/>
      <c r="H574" s="37"/>
      <c r="I574" s="36"/>
      <c r="J574" s="38"/>
      <c r="K574" s="38"/>
      <c r="L574" s="39"/>
      <c r="M574" s="39"/>
      <c r="N574" s="39"/>
      <c r="O574" s="39"/>
      <c r="P574" s="39"/>
      <c r="Q574" s="39"/>
      <c r="R574" s="39"/>
      <c r="S574" s="39"/>
      <c r="T574" s="39"/>
      <c r="U574" s="39"/>
      <c r="V574" s="39"/>
      <c r="W574" s="39"/>
      <c r="X574" s="39"/>
      <c r="Y574" s="39"/>
      <c r="Z574" s="39"/>
      <c r="AA574" s="39"/>
      <c r="AB574" s="39"/>
    </row>
    <row r="575">
      <c r="A575" s="1"/>
      <c r="B575" s="36"/>
      <c r="C575" s="36"/>
      <c r="D575" s="36"/>
      <c r="E575" s="36"/>
      <c r="F575" s="36"/>
      <c r="G575" s="36"/>
      <c r="H575" s="37"/>
      <c r="I575" s="36"/>
      <c r="J575" s="38"/>
      <c r="K575" s="38"/>
      <c r="L575" s="39"/>
      <c r="M575" s="39"/>
      <c r="N575" s="39"/>
      <c r="O575" s="39"/>
      <c r="P575" s="39"/>
      <c r="Q575" s="39"/>
      <c r="R575" s="39"/>
      <c r="S575" s="39"/>
      <c r="T575" s="39"/>
      <c r="U575" s="39"/>
      <c r="V575" s="39"/>
      <c r="W575" s="39"/>
      <c r="X575" s="39"/>
      <c r="Y575" s="39"/>
      <c r="Z575" s="39"/>
      <c r="AA575" s="39"/>
      <c r="AB575" s="39"/>
    </row>
    <row r="576">
      <c r="A576" s="1"/>
      <c r="B576" s="36"/>
      <c r="C576" s="36"/>
      <c r="D576" s="36"/>
      <c r="E576" s="36"/>
      <c r="F576" s="36"/>
      <c r="G576" s="36"/>
      <c r="H576" s="37"/>
      <c r="I576" s="36"/>
      <c r="J576" s="38"/>
      <c r="K576" s="38"/>
      <c r="L576" s="39"/>
      <c r="M576" s="39"/>
      <c r="N576" s="39"/>
      <c r="O576" s="39"/>
      <c r="P576" s="39"/>
      <c r="Q576" s="39"/>
      <c r="R576" s="39"/>
      <c r="S576" s="39"/>
      <c r="T576" s="39"/>
      <c r="U576" s="39"/>
      <c r="V576" s="39"/>
      <c r="W576" s="39"/>
      <c r="X576" s="39"/>
      <c r="Y576" s="39"/>
      <c r="Z576" s="39"/>
      <c r="AA576" s="39"/>
      <c r="AB576" s="39"/>
    </row>
    <row r="577">
      <c r="A577" s="1"/>
      <c r="B577" s="36"/>
      <c r="C577" s="36"/>
      <c r="D577" s="36"/>
      <c r="E577" s="36"/>
      <c r="F577" s="36"/>
      <c r="G577" s="36"/>
      <c r="H577" s="37"/>
      <c r="I577" s="36"/>
      <c r="J577" s="38"/>
      <c r="K577" s="38"/>
      <c r="L577" s="39"/>
      <c r="M577" s="39"/>
      <c r="N577" s="39"/>
      <c r="O577" s="39"/>
      <c r="P577" s="39"/>
      <c r="Q577" s="39"/>
      <c r="R577" s="39"/>
      <c r="S577" s="39"/>
      <c r="T577" s="39"/>
      <c r="U577" s="39"/>
      <c r="V577" s="39"/>
      <c r="W577" s="39"/>
      <c r="X577" s="39"/>
      <c r="Y577" s="39"/>
      <c r="Z577" s="39"/>
      <c r="AA577" s="39"/>
      <c r="AB577" s="39"/>
    </row>
    <row r="578">
      <c r="A578" s="1"/>
      <c r="B578" s="36"/>
      <c r="C578" s="36"/>
      <c r="D578" s="36"/>
      <c r="E578" s="36"/>
      <c r="F578" s="36"/>
      <c r="G578" s="36"/>
      <c r="H578" s="37"/>
      <c r="I578" s="36"/>
      <c r="J578" s="38"/>
      <c r="K578" s="38"/>
      <c r="L578" s="39"/>
      <c r="M578" s="39"/>
      <c r="N578" s="39"/>
      <c r="O578" s="39"/>
      <c r="P578" s="39"/>
      <c r="Q578" s="39"/>
      <c r="R578" s="39"/>
      <c r="S578" s="39"/>
      <c r="T578" s="39"/>
      <c r="U578" s="39"/>
      <c r="V578" s="39"/>
      <c r="W578" s="39"/>
      <c r="X578" s="39"/>
      <c r="Y578" s="39"/>
      <c r="Z578" s="39"/>
      <c r="AA578" s="39"/>
      <c r="AB578" s="39"/>
    </row>
    <row r="579">
      <c r="A579" s="1"/>
      <c r="B579" s="36"/>
      <c r="C579" s="36"/>
      <c r="D579" s="36"/>
      <c r="E579" s="36"/>
      <c r="F579" s="36"/>
      <c r="G579" s="36"/>
      <c r="H579" s="37"/>
      <c r="I579" s="36"/>
      <c r="J579" s="38"/>
      <c r="K579" s="38"/>
      <c r="L579" s="39"/>
      <c r="M579" s="39"/>
      <c r="N579" s="39"/>
      <c r="O579" s="39"/>
      <c r="P579" s="39"/>
      <c r="Q579" s="39"/>
      <c r="R579" s="39"/>
      <c r="S579" s="39"/>
      <c r="T579" s="39"/>
      <c r="U579" s="39"/>
      <c r="V579" s="39"/>
      <c r="W579" s="39"/>
      <c r="X579" s="39"/>
      <c r="Y579" s="39"/>
      <c r="Z579" s="39"/>
      <c r="AA579" s="39"/>
      <c r="AB579" s="39"/>
    </row>
    <row r="580">
      <c r="A580" s="1"/>
      <c r="B580" s="36"/>
      <c r="C580" s="36"/>
      <c r="D580" s="36"/>
      <c r="E580" s="36"/>
      <c r="F580" s="36"/>
      <c r="G580" s="36"/>
      <c r="H580" s="37"/>
      <c r="I580" s="36"/>
      <c r="J580" s="38"/>
      <c r="K580" s="38"/>
      <c r="L580" s="39"/>
      <c r="M580" s="39"/>
      <c r="N580" s="39"/>
      <c r="O580" s="39"/>
      <c r="P580" s="39"/>
      <c r="Q580" s="39"/>
      <c r="R580" s="39"/>
      <c r="S580" s="39"/>
      <c r="T580" s="39"/>
      <c r="U580" s="39"/>
      <c r="V580" s="39"/>
      <c r="W580" s="39"/>
      <c r="X580" s="39"/>
      <c r="Y580" s="39"/>
      <c r="Z580" s="39"/>
      <c r="AA580" s="39"/>
      <c r="AB580" s="39"/>
    </row>
    <row r="581">
      <c r="A581" s="1"/>
      <c r="B581" s="36"/>
      <c r="C581" s="36"/>
      <c r="D581" s="36"/>
      <c r="E581" s="36"/>
      <c r="F581" s="36"/>
      <c r="G581" s="36"/>
      <c r="H581" s="37"/>
      <c r="I581" s="36"/>
      <c r="J581" s="38"/>
      <c r="K581" s="38"/>
      <c r="L581" s="39"/>
      <c r="M581" s="39"/>
      <c r="N581" s="39"/>
      <c r="O581" s="39"/>
      <c r="P581" s="39"/>
      <c r="Q581" s="39"/>
      <c r="R581" s="39"/>
      <c r="S581" s="39"/>
      <c r="T581" s="39"/>
      <c r="U581" s="39"/>
      <c r="V581" s="39"/>
      <c r="W581" s="39"/>
      <c r="X581" s="39"/>
      <c r="Y581" s="39"/>
      <c r="Z581" s="39"/>
      <c r="AA581" s="39"/>
      <c r="AB581" s="39"/>
    </row>
    <row r="582">
      <c r="A582" s="1"/>
      <c r="B582" s="36"/>
      <c r="C582" s="36"/>
      <c r="D582" s="36"/>
      <c r="E582" s="36"/>
      <c r="F582" s="36"/>
      <c r="G582" s="36"/>
      <c r="H582" s="37"/>
      <c r="I582" s="36"/>
      <c r="J582" s="38"/>
      <c r="K582" s="38"/>
      <c r="L582" s="39"/>
      <c r="M582" s="39"/>
      <c r="N582" s="39"/>
      <c r="O582" s="39"/>
      <c r="P582" s="39"/>
      <c r="Q582" s="39"/>
      <c r="R582" s="39"/>
      <c r="S582" s="39"/>
      <c r="T582" s="39"/>
      <c r="U582" s="39"/>
      <c r="V582" s="39"/>
      <c r="W582" s="39"/>
      <c r="X582" s="39"/>
      <c r="Y582" s="39"/>
      <c r="Z582" s="39"/>
      <c r="AA582" s="39"/>
      <c r="AB582" s="39"/>
    </row>
    <row r="583">
      <c r="A583" s="1"/>
      <c r="B583" s="36"/>
      <c r="C583" s="36"/>
      <c r="D583" s="36"/>
      <c r="E583" s="36"/>
      <c r="F583" s="36"/>
      <c r="G583" s="36"/>
      <c r="H583" s="37"/>
      <c r="I583" s="36"/>
      <c r="J583" s="38"/>
      <c r="K583" s="38"/>
      <c r="L583" s="39"/>
      <c r="M583" s="39"/>
      <c r="N583" s="39"/>
      <c r="O583" s="39"/>
      <c r="P583" s="39"/>
      <c r="Q583" s="39"/>
      <c r="R583" s="39"/>
      <c r="S583" s="39"/>
      <c r="T583" s="39"/>
      <c r="U583" s="39"/>
      <c r="V583" s="39"/>
      <c r="W583" s="39"/>
      <c r="X583" s="39"/>
      <c r="Y583" s="39"/>
      <c r="Z583" s="39"/>
      <c r="AA583" s="39"/>
      <c r="AB583" s="39"/>
    </row>
    <row r="584">
      <c r="A584" s="1"/>
      <c r="B584" s="36"/>
      <c r="C584" s="36"/>
      <c r="D584" s="36"/>
      <c r="E584" s="36"/>
      <c r="F584" s="36"/>
      <c r="G584" s="36"/>
      <c r="H584" s="37"/>
      <c r="I584" s="36"/>
      <c r="J584" s="38"/>
      <c r="K584" s="38"/>
      <c r="L584" s="39"/>
      <c r="M584" s="39"/>
      <c r="N584" s="39"/>
      <c r="O584" s="39"/>
      <c r="P584" s="39"/>
      <c r="Q584" s="39"/>
      <c r="R584" s="39"/>
      <c r="S584" s="39"/>
      <c r="T584" s="39"/>
      <c r="U584" s="39"/>
      <c r="V584" s="39"/>
      <c r="W584" s="39"/>
      <c r="X584" s="39"/>
      <c r="Y584" s="39"/>
      <c r="Z584" s="39"/>
      <c r="AA584" s="39"/>
      <c r="AB584" s="39"/>
    </row>
    <row r="585">
      <c r="A585" s="1"/>
      <c r="B585" s="36"/>
      <c r="C585" s="36"/>
      <c r="D585" s="36"/>
      <c r="E585" s="36"/>
      <c r="F585" s="36"/>
      <c r="G585" s="36"/>
      <c r="H585" s="37"/>
      <c r="I585" s="36"/>
      <c r="J585" s="38"/>
      <c r="K585" s="38"/>
      <c r="L585" s="39"/>
      <c r="M585" s="39"/>
      <c r="N585" s="39"/>
      <c r="O585" s="39"/>
      <c r="P585" s="39"/>
      <c r="Q585" s="39"/>
      <c r="R585" s="39"/>
      <c r="S585" s="39"/>
      <c r="T585" s="39"/>
      <c r="U585" s="39"/>
      <c r="V585" s="39"/>
      <c r="W585" s="39"/>
      <c r="X585" s="39"/>
      <c r="Y585" s="39"/>
      <c r="Z585" s="39"/>
      <c r="AA585" s="39"/>
      <c r="AB585" s="39"/>
    </row>
    <row r="586">
      <c r="A586" s="1"/>
      <c r="B586" s="36"/>
      <c r="C586" s="36"/>
      <c r="D586" s="36"/>
      <c r="E586" s="36"/>
      <c r="F586" s="36"/>
      <c r="G586" s="36"/>
      <c r="H586" s="37"/>
      <c r="I586" s="36"/>
      <c r="J586" s="38"/>
      <c r="K586" s="38"/>
      <c r="L586" s="39"/>
      <c r="M586" s="39"/>
      <c r="N586" s="39"/>
      <c r="O586" s="39"/>
      <c r="P586" s="39"/>
      <c r="Q586" s="39"/>
      <c r="R586" s="39"/>
      <c r="S586" s="39"/>
      <c r="T586" s="39"/>
      <c r="U586" s="39"/>
      <c r="V586" s="39"/>
      <c r="W586" s="39"/>
      <c r="X586" s="39"/>
      <c r="Y586" s="39"/>
      <c r="Z586" s="39"/>
      <c r="AA586" s="39"/>
      <c r="AB586" s="39"/>
    </row>
    <row r="587">
      <c r="A587" s="1"/>
      <c r="B587" s="36"/>
      <c r="C587" s="36"/>
      <c r="D587" s="36"/>
      <c r="E587" s="36"/>
      <c r="F587" s="36"/>
      <c r="G587" s="36"/>
      <c r="H587" s="37"/>
      <c r="I587" s="36"/>
      <c r="J587" s="38"/>
      <c r="K587" s="38"/>
      <c r="L587" s="39"/>
      <c r="M587" s="39"/>
      <c r="N587" s="39"/>
      <c r="O587" s="39"/>
      <c r="P587" s="39"/>
      <c r="Q587" s="39"/>
      <c r="R587" s="39"/>
      <c r="S587" s="39"/>
      <c r="T587" s="39"/>
      <c r="U587" s="39"/>
      <c r="V587" s="39"/>
      <c r="W587" s="39"/>
      <c r="X587" s="39"/>
      <c r="Y587" s="39"/>
      <c r="Z587" s="39"/>
      <c r="AA587" s="39"/>
      <c r="AB587" s="39"/>
    </row>
    <row r="588">
      <c r="A588" s="1"/>
      <c r="B588" s="36"/>
      <c r="C588" s="36"/>
      <c r="D588" s="36"/>
      <c r="E588" s="36"/>
      <c r="F588" s="36"/>
      <c r="G588" s="36"/>
      <c r="H588" s="37"/>
      <c r="I588" s="36"/>
      <c r="J588" s="38"/>
      <c r="K588" s="38"/>
      <c r="L588" s="39"/>
      <c r="M588" s="39"/>
      <c r="N588" s="39"/>
      <c r="O588" s="39"/>
      <c r="P588" s="39"/>
      <c r="Q588" s="39"/>
      <c r="R588" s="39"/>
      <c r="S588" s="39"/>
      <c r="T588" s="39"/>
      <c r="U588" s="39"/>
      <c r="V588" s="39"/>
      <c r="W588" s="39"/>
      <c r="X588" s="39"/>
      <c r="Y588" s="39"/>
      <c r="Z588" s="39"/>
      <c r="AA588" s="39"/>
      <c r="AB588" s="39"/>
    </row>
    <row r="589">
      <c r="A589" s="1"/>
      <c r="B589" s="36"/>
      <c r="C589" s="36"/>
      <c r="D589" s="36"/>
      <c r="E589" s="36"/>
      <c r="F589" s="36"/>
      <c r="G589" s="36"/>
      <c r="H589" s="37"/>
      <c r="I589" s="36"/>
      <c r="J589" s="38"/>
      <c r="K589" s="38"/>
      <c r="L589" s="39"/>
      <c r="M589" s="39"/>
      <c r="N589" s="39"/>
      <c r="O589" s="39"/>
      <c r="P589" s="39"/>
      <c r="Q589" s="39"/>
      <c r="R589" s="39"/>
      <c r="S589" s="39"/>
      <c r="T589" s="39"/>
      <c r="U589" s="39"/>
      <c r="V589" s="39"/>
      <c r="W589" s="39"/>
      <c r="X589" s="39"/>
      <c r="Y589" s="39"/>
      <c r="Z589" s="39"/>
      <c r="AA589" s="39"/>
      <c r="AB589" s="39"/>
    </row>
    <row r="590">
      <c r="A590" s="1"/>
      <c r="B590" s="36"/>
      <c r="C590" s="36"/>
      <c r="D590" s="36"/>
      <c r="E590" s="36"/>
      <c r="F590" s="36"/>
      <c r="G590" s="36"/>
      <c r="H590" s="37"/>
      <c r="I590" s="36"/>
      <c r="J590" s="38"/>
      <c r="K590" s="38"/>
      <c r="L590" s="39"/>
      <c r="M590" s="39"/>
      <c r="N590" s="39"/>
      <c r="O590" s="39"/>
      <c r="P590" s="39"/>
      <c r="Q590" s="39"/>
      <c r="R590" s="39"/>
      <c r="S590" s="39"/>
      <c r="T590" s="39"/>
      <c r="U590" s="39"/>
      <c r="V590" s="39"/>
      <c r="W590" s="39"/>
      <c r="X590" s="39"/>
      <c r="Y590" s="39"/>
      <c r="Z590" s="39"/>
      <c r="AA590" s="39"/>
      <c r="AB590" s="39"/>
    </row>
    <row r="591">
      <c r="A591" s="1"/>
      <c r="B591" s="36"/>
      <c r="C591" s="36"/>
      <c r="D591" s="36"/>
      <c r="E591" s="36"/>
      <c r="F591" s="36"/>
      <c r="G591" s="36"/>
      <c r="H591" s="37"/>
      <c r="I591" s="36"/>
      <c r="J591" s="38"/>
      <c r="K591" s="38"/>
      <c r="L591" s="39"/>
      <c r="M591" s="39"/>
      <c r="N591" s="39"/>
      <c r="O591" s="39"/>
      <c r="P591" s="39"/>
      <c r="Q591" s="39"/>
      <c r="R591" s="39"/>
      <c r="S591" s="39"/>
      <c r="T591" s="39"/>
      <c r="U591" s="39"/>
      <c r="V591" s="39"/>
      <c r="W591" s="39"/>
      <c r="X591" s="39"/>
      <c r="Y591" s="39"/>
      <c r="Z591" s="39"/>
      <c r="AA591" s="39"/>
      <c r="AB591" s="39"/>
    </row>
    <row r="592">
      <c r="A592" s="1"/>
      <c r="B592" s="36"/>
      <c r="C592" s="36"/>
      <c r="D592" s="36"/>
      <c r="E592" s="36"/>
      <c r="F592" s="36"/>
      <c r="G592" s="36"/>
      <c r="H592" s="37"/>
      <c r="I592" s="36"/>
      <c r="J592" s="38"/>
      <c r="K592" s="38"/>
      <c r="L592" s="39"/>
      <c r="M592" s="39"/>
      <c r="N592" s="39"/>
      <c r="O592" s="39"/>
      <c r="P592" s="39"/>
      <c r="Q592" s="39"/>
      <c r="R592" s="39"/>
      <c r="S592" s="39"/>
      <c r="T592" s="39"/>
      <c r="U592" s="39"/>
      <c r="V592" s="39"/>
      <c r="W592" s="39"/>
      <c r="X592" s="39"/>
      <c r="Y592" s="39"/>
      <c r="Z592" s="39"/>
      <c r="AA592" s="39"/>
      <c r="AB592" s="39"/>
    </row>
    <row r="593">
      <c r="A593" s="1"/>
      <c r="B593" s="36"/>
      <c r="C593" s="36"/>
      <c r="D593" s="36"/>
      <c r="E593" s="36"/>
      <c r="F593" s="36"/>
      <c r="G593" s="36"/>
      <c r="H593" s="37"/>
      <c r="I593" s="36"/>
      <c r="J593" s="38"/>
      <c r="K593" s="38"/>
      <c r="L593" s="39"/>
      <c r="M593" s="39"/>
      <c r="N593" s="39"/>
      <c r="O593" s="39"/>
      <c r="P593" s="39"/>
      <c r="Q593" s="39"/>
      <c r="R593" s="39"/>
      <c r="S593" s="39"/>
      <c r="T593" s="39"/>
      <c r="U593" s="39"/>
      <c r="V593" s="39"/>
      <c r="W593" s="39"/>
      <c r="X593" s="39"/>
      <c r="Y593" s="39"/>
      <c r="Z593" s="39"/>
      <c r="AA593" s="39"/>
      <c r="AB593" s="39"/>
    </row>
    <row r="594">
      <c r="A594" s="1"/>
      <c r="B594" s="36"/>
      <c r="C594" s="36"/>
      <c r="D594" s="36"/>
      <c r="E594" s="36"/>
      <c r="F594" s="36"/>
      <c r="G594" s="36"/>
      <c r="H594" s="37"/>
      <c r="I594" s="36"/>
      <c r="J594" s="38"/>
      <c r="K594" s="38"/>
      <c r="L594" s="39"/>
      <c r="M594" s="39"/>
      <c r="N594" s="39"/>
      <c r="O594" s="39"/>
      <c r="P594" s="39"/>
      <c r="Q594" s="39"/>
      <c r="R594" s="39"/>
      <c r="S594" s="39"/>
      <c r="T594" s="39"/>
      <c r="U594" s="39"/>
      <c r="V594" s="39"/>
      <c r="W594" s="39"/>
      <c r="X594" s="39"/>
      <c r="Y594" s="39"/>
      <c r="Z594" s="39"/>
      <c r="AA594" s="39"/>
      <c r="AB594" s="39"/>
    </row>
    <row r="595">
      <c r="A595" s="1"/>
      <c r="B595" s="36"/>
      <c r="C595" s="36"/>
      <c r="D595" s="36"/>
      <c r="E595" s="36"/>
      <c r="F595" s="36"/>
      <c r="G595" s="36"/>
      <c r="H595" s="37"/>
      <c r="I595" s="36"/>
      <c r="J595" s="38"/>
      <c r="K595" s="38"/>
      <c r="L595" s="39"/>
      <c r="M595" s="39"/>
      <c r="N595" s="39"/>
      <c r="O595" s="39"/>
      <c r="P595" s="39"/>
      <c r="Q595" s="39"/>
      <c r="R595" s="39"/>
      <c r="S595" s="39"/>
      <c r="T595" s="39"/>
      <c r="U595" s="39"/>
      <c r="V595" s="39"/>
      <c r="W595" s="39"/>
      <c r="X595" s="39"/>
      <c r="Y595" s="39"/>
      <c r="Z595" s="39"/>
      <c r="AA595" s="39"/>
      <c r="AB595" s="39"/>
    </row>
    <row r="596">
      <c r="A596" s="1"/>
      <c r="B596" s="36"/>
      <c r="C596" s="36"/>
      <c r="D596" s="36"/>
      <c r="E596" s="36"/>
      <c r="F596" s="36"/>
      <c r="G596" s="36"/>
      <c r="H596" s="37"/>
      <c r="I596" s="36"/>
      <c r="J596" s="38"/>
      <c r="K596" s="38"/>
      <c r="L596" s="39"/>
      <c r="M596" s="39"/>
      <c r="N596" s="39"/>
      <c r="O596" s="39"/>
      <c r="P596" s="39"/>
      <c r="Q596" s="39"/>
      <c r="R596" s="39"/>
      <c r="S596" s="39"/>
      <c r="T596" s="39"/>
      <c r="U596" s="39"/>
      <c r="V596" s="39"/>
      <c r="W596" s="39"/>
      <c r="X596" s="39"/>
      <c r="Y596" s="39"/>
      <c r="Z596" s="39"/>
      <c r="AA596" s="39"/>
      <c r="AB596" s="39"/>
    </row>
    <row r="597">
      <c r="A597" s="1"/>
      <c r="B597" s="36"/>
      <c r="C597" s="36"/>
      <c r="D597" s="36"/>
      <c r="E597" s="36"/>
      <c r="F597" s="36"/>
      <c r="G597" s="36"/>
      <c r="H597" s="37"/>
      <c r="I597" s="36"/>
      <c r="J597" s="38"/>
      <c r="K597" s="38"/>
      <c r="L597" s="39"/>
      <c r="M597" s="39"/>
      <c r="N597" s="39"/>
      <c r="O597" s="39"/>
      <c r="P597" s="39"/>
      <c r="Q597" s="39"/>
      <c r="R597" s="39"/>
      <c r="S597" s="39"/>
      <c r="T597" s="39"/>
      <c r="U597" s="39"/>
      <c r="V597" s="39"/>
      <c r="W597" s="39"/>
      <c r="X597" s="39"/>
      <c r="Y597" s="39"/>
      <c r="Z597" s="39"/>
      <c r="AA597" s="39"/>
      <c r="AB597" s="39"/>
    </row>
    <row r="598">
      <c r="A598" s="1"/>
      <c r="B598" s="36"/>
      <c r="C598" s="36"/>
      <c r="D598" s="36"/>
      <c r="E598" s="36"/>
      <c r="F598" s="36"/>
      <c r="G598" s="36"/>
      <c r="H598" s="37"/>
      <c r="I598" s="36"/>
      <c r="J598" s="38"/>
      <c r="K598" s="38"/>
      <c r="L598" s="39"/>
      <c r="M598" s="39"/>
      <c r="N598" s="39"/>
      <c r="O598" s="39"/>
      <c r="P598" s="39"/>
      <c r="Q598" s="39"/>
      <c r="R598" s="39"/>
      <c r="S598" s="39"/>
      <c r="T598" s="39"/>
      <c r="U598" s="39"/>
      <c r="V598" s="39"/>
      <c r="W598" s="39"/>
      <c r="X598" s="39"/>
      <c r="Y598" s="39"/>
      <c r="Z598" s="39"/>
      <c r="AA598" s="39"/>
      <c r="AB598" s="39"/>
    </row>
    <row r="599">
      <c r="A599" s="1"/>
      <c r="B599" s="36"/>
      <c r="C599" s="36"/>
      <c r="D599" s="36"/>
      <c r="E599" s="36"/>
      <c r="F599" s="36"/>
      <c r="G599" s="36"/>
      <c r="H599" s="37"/>
      <c r="I599" s="36"/>
      <c r="J599" s="38"/>
      <c r="K599" s="38"/>
      <c r="L599" s="39"/>
      <c r="M599" s="39"/>
      <c r="N599" s="39"/>
      <c r="O599" s="39"/>
      <c r="P599" s="39"/>
      <c r="Q599" s="39"/>
      <c r="R599" s="39"/>
      <c r="S599" s="39"/>
      <c r="T599" s="39"/>
      <c r="U599" s="39"/>
      <c r="V599" s="39"/>
      <c r="W599" s="39"/>
      <c r="X599" s="39"/>
      <c r="Y599" s="39"/>
      <c r="Z599" s="39"/>
      <c r="AA599" s="39"/>
      <c r="AB599" s="39"/>
    </row>
    <row r="600">
      <c r="A600" s="1"/>
      <c r="B600" s="36"/>
      <c r="C600" s="36"/>
      <c r="D600" s="36"/>
      <c r="E600" s="36"/>
      <c r="F600" s="36"/>
      <c r="G600" s="36"/>
      <c r="H600" s="37"/>
      <c r="I600" s="36"/>
      <c r="J600" s="38"/>
      <c r="K600" s="38"/>
      <c r="L600" s="39"/>
      <c r="M600" s="39"/>
      <c r="N600" s="39"/>
      <c r="O600" s="39"/>
      <c r="P600" s="39"/>
      <c r="Q600" s="39"/>
      <c r="R600" s="39"/>
      <c r="S600" s="39"/>
      <c r="T600" s="39"/>
      <c r="U600" s="39"/>
      <c r="V600" s="39"/>
      <c r="W600" s="39"/>
      <c r="X600" s="39"/>
      <c r="Y600" s="39"/>
      <c r="Z600" s="39"/>
      <c r="AA600" s="39"/>
      <c r="AB600" s="39"/>
    </row>
    <row r="601">
      <c r="A601" s="1"/>
      <c r="B601" s="36"/>
      <c r="C601" s="36"/>
      <c r="D601" s="36"/>
      <c r="E601" s="36"/>
      <c r="F601" s="36"/>
      <c r="G601" s="36"/>
      <c r="H601" s="37"/>
      <c r="I601" s="36"/>
      <c r="J601" s="38"/>
      <c r="K601" s="38"/>
      <c r="L601" s="39"/>
      <c r="M601" s="39"/>
      <c r="N601" s="39"/>
      <c r="O601" s="39"/>
      <c r="P601" s="39"/>
      <c r="Q601" s="39"/>
      <c r="R601" s="39"/>
      <c r="S601" s="39"/>
      <c r="T601" s="39"/>
      <c r="U601" s="39"/>
      <c r="V601" s="39"/>
      <c r="W601" s="39"/>
      <c r="X601" s="39"/>
      <c r="Y601" s="39"/>
      <c r="Z601" s="39"/>
      <c r="AA601" s="39"/>
      <c r="AB601" s="39"/>
    </row>
    <row r="602">
      <c r="A602" s="1"/>
      <c r="B602" s="36"/>
      <c r="C602" s="36"/>
      <c r="D602" s="36"/>
      <c r="E602" s="36"/>
      <c r="F602" s="36"/>
      <c r="G602" s="36"/>
      <c r="H602" s="37"/>
      <c r="I602" s="36"/>
      <c r="J602" s="38"/>
      <c r="K602" s="38"/>
      <c r="L602" s="39"/>
      <c r="M602" s="39"/>
      <c r="N602" s="39"/>
      <c r="O602" s="39"/>
      <c r="P602" s="39"/>
      <c r="Q602" s="39"/>
      <c r="R602" s="39"/>
      <c r="S602" s="39"/>
      <c r="T602" s="39"/>
      <c r="U602" s="39"/>
      <c r="V602" s="39"/>
      <c r="W602" s="39"/>
      <c r="X602" s="39"/>
      <c r="Y602" s="39"/>
      <c r="Z602" s="39"/>
      <c r="AA602" s="39"/>
      <c r="AB602" s="39"/>
    </row>
    <row r="603">
      <c r="A603" s="1"/>
      <c r="B603" s="36"/>
      <c r="C603" s="36"/>
      <c r="D603" s="36"/>
      <c r="E603" s="36"/>
      <c r="F603" s="36"/>
      <c r="G603" s="36"/>
      <c r="H603" s="37"/>
      <c r="I603" s="36"/>
      <c r="J603" s="38"/>
      <c r="K603" s="38"/>
      <c r="L603" s="39"/>
      <c r="M603" s="39"/>
      <c r="N603" s="39"/>
      <c r="O603" s="39"/>
      <c r="P603" s="39"/>
      <c r="Q603" s="39"/>
      <c r="R603" s="39"/>
      <c r="S603" s="39"/>
      <c r="T603" s="39"/>
      <c r="U603" s="39"/>
      <c r="V603" s="39"/>
      <c r="W603" s="39"/>
      <c r="X603" s="39"/>
      <c r="Y603" s="39"/>
      <c r="Z603" s="39"/>
      <c r="AA603" s="39"/>
      <c r="AB603" s="39"/>
    </row>
    <row r="604">
      <c r="A604" s="1"/>
      <c r="B604" s="36"/>
      <c r="C604" s="36"/>
      <c r="D604" s="36"/>
      <c r="E604" s="36"/>
      <c r="F604" s="36"/>
      <c r="G604" s="36"/>
      <c r="H604" s="37"/>
      <c r="I604" s="36"/>
      <c r="J604" s="38"/>
      <c r="K604" s="38"/>
      <c r="L604" s="39"/>
      <c r="M604" s="39"/>
      <c r="N604" s="39"/>
      <c r="O604" s="39"/>
      <c r="P604" s="39"/>
      <c r="Q604" s="39"/>
      <c r="R604" s="39"/>
      <c r="S604" s="39"/>
      <c r="T604" s="39"/>
      <c r="U604" s="39"/>
      <c r="V604" s="39"/>
      <c r="W604" s="39"/>
      <c r="X604" s="39"/>
      <c r="Y604" s="39"/>
      <c r="Z604" s="39"/>
      <c r="AA604" s="39"/>
      <c r="AB604" s="39"/>
    </row>
    <row r="605">
      <c r="A605" s="1"/>
      <c r="B605" s="36"/>
      <c r="C605" s="36"/>
      <c r="D605" s="36"/>
      <c r="E605" s="36"/>
      <c r="F605" s="36"/>
      <c r="G605" s="36"/>
      <c r="H605" s="37"/>
      <c r="I605" s="36"/>
      <c r="J605" s="38"/>
      <c r="K605" s="38"/>
      <c r="L605" s="39"/>
      <c r="M605" s="39"/>
      <c r="N605" s="39"/>
      <c r="O605" s="39"/>
      <c r="P605" s="39"/>
      <c r="Q605" s="39"/>
      <c r="R605" s="39"/>
      <c r="S605" s="39"/>
      <c r="T605" s="39"/>
      <c r="U605" s="39"/>
      <c r="V605" s="39"/>
      <c r="W605" s="39"/>
      <c r="X605" s="39"/>
      <c r="Y605" s="39"/>
      <c r="Z605" s="39"/>
      <c r="AA605" s="39"/>
      <c r="AB605" s="39"/>
    </row>
    <row r="606">
      <c r="A606" s="1"/>
      <c r="B606" s="36"/>
      <c r="C606" s="36"/>
      <c r="D606" s="36"/>
      <c r="E606" s="36"/>
      <c r="F606" s="36"/>
      <c r="G606" s="36"/>
      <c r="H606" s="37"/>
      <c r="I606" s="36"/>
      <c r="J606" s="38"/>
      <c r="K606" s="38"/>
      <c r="L606" s="39"/>
      <c r="M606" s="39"/>
      <c r="N606" s="39"/>
      <c r="O606" s="39"/>
      <c r="P606" s="39"/>
      <c r="Q606" s="39"/>
      <c r="R606" s="39"/>
      <c r="S606" s="39"/>
      <c r="T606" s="39"/>
      <c r="U606" s="39"/>
      <c r="V606" s="39"/>
      <c r="W606" s="39"/>
      <c r="X606" s="39"/>
      <c r="Y606" s="39"/>
      <c r="Z606" s="39"/>
      <c r="AA606" s="39"/>
      <c r="AB606" s="39"/>
    </row>
    <row r="607">
      <c r="A607" s="1"/>
      <c r="B607" s="36"/>
      <c r="C607" s="36"/>
      <c r="D607" s="36"/>
      <c r="E607" s="36"/>
      <c r="F607" s="36"/>
      <c r="G607" s="36"/>
      <c r="H607" s="37"/>
      <c r="I607" s="36"/>
      <c r="J607" s="38"/>
      <c r="K607" s="38"/>
      <c r="L607" s="39"/>
      <c r="M607" s="39"/>
      <c r="N607" s="39"/>
      <c r="O607" s="39"/>
      <c r="P607" s="39"/>
      <c r="Q607" s="39"/>
      <c r="R607" s="39"/>
      <c r="S607" s="39"/>
      <c r="T607" s="39"/>
      <c r="U607" s="39"/>
      <c r="V607" s="39"/>
      <c r="W607" s="39"/>
      <c r="X607" s="39"/>
      <c r="Y607" s="39"/>
      <c r="Z607" s="39"/>
      <c r="AA607" s="39"/>
      <c r="AB607" s="39"/>
    </row>
    <row r="608">
      <c r="A608" s="1"/>
      <c r="B608" s="36"/>
      <c r="C608" s="36"/>
      <c r="D608" s="36"/>
      <c r="E608" s="36"/>
      <c r="F608" s="36"/>
      <c r="G608" s="36"/>
      <c r="H608" s="37"/>
      <c r="I608" s="36"/>
      <c r="J608" s="38"/>
      <c r="K608" s="38"/>
      <c r="L608" s="39"/>
      <c r="M608" s="39"/>
      <c r="N608" s="39"/>
      <c r="O608" s="39"/>
      <c r="P608" s="39"/>
      <c r="Q608" s="39"/>
      <c r="R608" s="39"/>
      <c r="S608" s="39"/>
      <c r="T608" s="39"/>
      <c r="U608" s="39"/>
      <c r="V608" s="39"/>
      <c r="W608" s="39"/>
      <c r="X608" s="39"/>
      <c r="Y608" s="39"/>
      <c r="Z608" s="39"/>
      <c r="AA608" s="39"/>
      <c r="AB608" s="39"/>
    </row>
    <row r="609">
      <c r="A609" s="1"/>
      <c r="B609" s="36"/>
      <c r="C609" s="36"/>
      <c r="D609" s="36"/>
      <c r="E609" s="36"/>
      <c r="F609" s="36"/>
      <c r="G609" s="36"/>
      <c r="H609" s="37"/>
      <c r="I609" s="36"/>
      <c r="J609" s="38"/>
      <c r="K609" s="38"/>
      <c r="L609" s="39"/>
      <c r="M609" s="39"/>
      <c r="N609" s="39"/>
      <c r="O609" s="39"/>
      <c r="P609" s="39"/>
      <c r="Q609" s="39"/>
      <c r="R609" s="39"/>
      <c r="S609" s="39"/>
      <c r="T609" s="39"/>
      <c r="U609" s="39"/>
      <c r="V609" s="39"/>
      <c r="W609" s="39"/>
      <c r="X609" s="39"/>
      <c r="Y609" s="39"/>
      <c r="Z609" s="39"/>
      <c r="AA609" s="39"/>
      <c r="AB609" s="39"/>
    </row>
    <row r="610">
      <c r="A610" s="1"/>
      <c r="B610" s="36"/>
      <c r="C610" s="36"/>
      <c r="D610" s="36"/>
      <c r="E610" s="36"/>
      <c r="F610" s="36"/>
      <c r="G610" s="36"/>
      <c r="H610" s="37"/>
      <c r="I610" s="36"/>
      <c r="J610" s="38"/>
      <c r="K610" s="38"/>
      <c r="L610" s="39"/>
      <c r="M610" s="39"/>
      <c r="N610" s="39"/>
      <c r="O610" s="39"/>
      <c r="P610" s="39"/>
      <c r="Q610" s="39"/>
      <c r="R610" s="39"/>
      <c r="S610" s="39"/>
      <c r="T610" s="39"/>
      <c r="U610" s="39"/>
      <c r="V610" s="39"/>
      <c r="W610" s="39"/>
      <c r="X610" s="39"/>
      <c r="Y610" s="39"/>
      <c r="Z610" s="39"/>
      <c r="AA610" s="39"/>
      <c r="AB610" s="39"/>
    </row>
    <row r="611">
      <c r="A611" s="1"/>
      <c r="B611" s="36"/>
      <c r="C611" s="36"/>
      <c r="D611" s="36"/>
      <c r="E611" s="36"/>
      <c r="F611" s="36"/>
      <c r="G611" s="36"/>
      <c r="H611" s="37"/>
      <c r="I611" s="36"/>
      <c r="J611" s="38"/>
      <c r="K611" s="38"/>
      <c r="L611" s="39"/>
      <c r="M611" s="39"/>
      <c r="N611" s="39"/>
      <c r="O611" s="39"/>
      <c r="P611" s="39"/>
      <c r="Q611" s="39"/>
      <c r="R611" s="39"/>
      <c r="S611" s="39"/>
      <c r="T611" s="39"/>
      <c r="U611" s="39"/>
      <c r="V611" s="39"/>
      <c r="W611" s="39"/>
      <c r="X611" s="39"/>
      <c r="Y611" s="39"/>
      <c r="Z611" s="39"/>
      <c r="AA611" s="39"/>
      <c r="AB611" s="39"/>
    </row>
    <row r="612">
      <c r="A612" s="1"/>
      <c r="B612" s="36"/>
      <c r="C612" s="36"/>
      <c r="D612" s="36"/>
      <c r="E612" s="36"/>
      <c r="F612" s="36"/>
      <c r="G612" s="36"/>
      <c r="H612" s="37"/>
      <c r="I612" s="36"/>
      <c r="J612" s="38"/>
      <c r="K612" s="38"/>
      <c r="L612" s="39"/>
      <c r="M612" s="39"/>
      <c r="N612" s="39"/>
      <c r="O612" s="39"/>
      <c r="P612" s="39"/>
      <c r="Q612" s="39"/>
      <c r="R612" s="39"/>
      <c r="S612" s="39"/>
      <c r="T612" s="39"/>
      <c r="U612" s="39"/>
      <c r="V612" s="39"/>
      <c r="W612" s="39"/>
      <c r="X612" s="39"/>
      <c r="Y612" s="39"/>
      <c r="Z612" s="39"/>
      <c r="AA612" s="39"/>
      <c r="AB612" s="39"/>
    </row>
    <row r="613">
      <c r="A613" s="1"/>
      <c r="B613" s="36"/>
      <c r="C613" s="36"/>
      <c r="D613" s="36"/>
      <c r="E613" s="36"/>
      <c r="F613" s="36"/>
      <c r="G613" s="36"/>
      <c r="H613" s="37"/>
      <c r="I613" s="36"/>
      <c r="J613" s="38"/>
      <c r="K613" s="38"/>
      <c r="L613" s="39"/>
      <c r="M613" s="39"/>
      <c r="N613" s="39"/>
      <c r="O613" s="39"/>
      <c r="P613" s="39"/>
      <c r="Q613" s="39"/>
      <c r="R613" s="39"/>
      <c r="S613" s="39"/>
      <c r="T613" s="39"/>
      <c r="U613" s="39"/>
      <c r="V613" s="39"/>
      <c r="W613" s="39"/>
      <c r="X613" s="39"/>
      <c r="Y613" s="39"/>
      <c r="Z613" s="39"/>
      <c r="AA613" s="39"/>
      <c r="AB613" s="39"/>
    </row>
    <row r="614">
      <c r="A614" s="1"/>
      <c r="B614" s="36"/>
      <c r="C614" s="36"/>
      <c r="D614" s="36"/>
      <c r="E614" s="36"/>
      <c r="F614" s="36"/>
      <c r="G614" s="36"/>
      <c r="H614" s="37"/>
      <c r="I614" s="36"/>
      <c r="J614" s="38"/>
      <c r="K614" s="38"/>
      <c r="L614" s="39"/>
      <c r="M614" s="39"/>
      <c r="N614" s="39"/>
      <c r="O614" s="39"/>
      <c r="P614" s="39"/>
      <c r="Q614" s="39"/>
      <c r="R614" s="39"/>
      <c r="S614" s="39"/>
      <c r="T614" s="39"/>
      <c r="U614" s="39"/>
      <c r="V614" s="39"/>
      <c r="W614" s="39"/>
      <c r="X614" s="39"/>
      <c r="Y614" s="39"/>
      <c r="Z614" s="39"/>
      <c r="AA614" s="39"/>
      <c r="AB614" s="39"/>
    </row>
    <row r="615">
      <c r="A615" s="1"/>
      <c r="B615" s="36"/>
      <c r="C615" s="36"/>
      <c r="D615" s="36"/>
      <c r="E615" s="36"/>
      <c r="F615" s="36"/>
      <c r="G615" s="36"/>
      <c r="H615" s="37"/>
      <c r="I615" s="36"/>
      <c r="J615" s="38"/>
      <c r="K615" s="38"/>
      <c r="L615" s="39"/>
      <c r="M615" s="39"/>
      <c r="N615" s="39"/>
      <c r="O615" s="39"/>
      <c r="P615" s="39"/>
      <c r="Q615" s="39"/>
      <c r="R615" s="39"/>
      <c r="S615" s="39"/>
      <c r="T615" s="39"/>
      <c r="U615" s="39"/>
      <c r="V615" s="39"/>
      <c r="W615" s="39"/>
      <c r="X615" s="39"/>
      <c r="Y615" s="39"/>
      <c r="Z615" s="39"/>
      <c r="AA615" s="39"/>
      <c r="AB615" s="39"/>
    </row>
    <row r="616">
      <c r="A616" s="1"/>
      <c r="B616" s="36"/>
      <c r="C616" s="36"/>
      <c r="D616" s="36"/>
      <c r="E616" s="36"/>
      <c r="F616" s="36"/>
      <c r="G616" s="36"/>
      <c r="H616" s="37"/>
      <c r="I616" s="36"/>
      <c r="J616" s="38"/>
      <c r="K616" s="38"/>
      <c r="L616" s="39"/>
      <c r="M616" s="39"/>
      <c r="N616" s="39"/>
      <c r="O616" s="39"/>
      <c r="P616" s="39"/>
      <c r="Q616" s="39"/>
      <c r="R616" s="39"/>
      <c r="S616" s="39"/>
      <c r="T616" s="39"/>
      <c r="U616" s="39"/>
      <c r="V616" s="39"/>
      <c r="W616" s="39"/>
      <c r="X616" s="39"/>
      <c r="Y616" s="39"/>
      <c r="Z616" s="39"/>
      <c r="AA616" s="39"/>
      <c r="AB616" s="39"/>
    </row>
    <row r="617">
      <c r="A617" s="1"/>
      <c r="B617" s="36"/>
      <c r="C617" s="36"/>
      <c r="D617" s="36"/>
      <c r="E617" s="36"/>
      <c r="F617" s="36"/>
      <c r="G617" s="36"/>
      <c r="H617" s="37"/>
      <c r="I617" s="36"/>
      <c r="J617" s="38"/>
      <c r="K617" s="38"/>
      <c r="L617" s="39"/>
      <c r="M617" s="39"/>
      <c r="N617" s="39"/>
      <c r="O617" s="39"/>
      <c r="P617" s="39"/>
      <c r="Q617" s="39"/>
      <c r="R617" s="39"/>
      <c r="S617" s="39"/>
      <c r="T617" s="39"/>
      <c r="U617" s="39"/>
      <c r="V617" s="39"/>
      <c r="W617" s="39"/>
      <c r="X617" s="39"/>
      <c r="Y617" s="39"/>
      <c r="Z617" s="39"/>
      <c r="AA617" s="39"/>
      <c r="AB617" s="39"/>
    </row>
    <row r="618">
      <c r="A618" s="1"/>
      <c r="B618" s="36"/>
      <c r="C618" s="36"/>
      <c r="D618" s="36"/>
      <c r="E618" s="36"/>
      <c r="F618" s="36"/>
      <c r="G618" s="36"/>
      <c r="H618" s="37"/>
      <c r="I618" s="36"/>
      <c r="J618" s="38"/>
      <c r="K618" s="38"/>
      <c r="L618" s="39"/>
      <c r="M618" s="39"/>
      <c r="N618" s="39"/>
      <c r="O618" s="39"/>
      <c r="P618" s="39"/>
      <c r="Q618" s="39"/>
      <c r="R618" s="39"/>
      <c r="S618" s="39"/>
      <c r="T618" s="39"/>
      <c r="U618" s="39"/>
      <c r="V618" s="39"/>
      <c r="W618" s="39"/>
      <c r="X618" s="39"/>
      <c r="Y618" s="39"/>
      <c r="Z618" s="39"/>
      <c r="AA618" s="39"/>
      <c r="AB618" s="39"/>
    </row>
    <row r="619">
      <c r="A619" s="1"/>
      <c r="B619" s="36"/>
      <c r="C619" s="36"/>
      <c r="D619" s="36"/>
      <c r="E619" s="36"/>
      <c r="F619" s="36"/>
      <c r="G619" s="36"/>
      <c r="H619" s="37"/>
      <c r="I619" s="36"/>
      <c r="J619" s="38"/>
      <c r="K619" s="38"/>
      <c r="L619" s="39"/>
      <c r="M619" s="39"/>
      <c r="N619" s="39"/>
      <c r="O619" s="39"/>
      <c r="P619" s="39"/>
      <c r="Q619" s="39"/>
      <c r="R619" s="39"/>
      <c r="S619" s="39"/>
      <c r="T619" s="39"/>
      <c r="U619" s="39"/>
      <c r="V619" s="39"/>
      <c r="W619" s="39"/>
      <c r="X619" s="39"/>
      <c r="Y619" s="39"/>
      <c r="Z619" s="39"/>
      <c r="AA619" s="39"/>
      <c r="AB619" s="39"/>
    </row>
    <row r="620">
      <c r="A620" s="1"/>
      <c r="B620" s="36"/>
      <c r="C620" s="36"/>
      <c r="D620" s="36"/>
      <c r="E620" s="36"/>
      <c r="F620" s="36"/>
      <c r="G620" s="36"/>
      <c r="H620" s="37"/>
      <c r="I620" s="36"/>
      <c r="J620" s="38"/>
      <c r="K620" s="38"/>
      <c r="L620" s="39"/>
      <c r="M620" s="39"/>
      <c r="N620" s="39"/>
      <c r="O620" s="39"/>
      <c r="P620" s="39"/>
      <c r="Q620" s="39"/>
      <c r="R620" s="39"/>
      <c r="S620" s="39"/>
      <c r="T620" s="39"/>
      <c r="U620" s="39"/>
      <c r="V620" s="39"/>
      <c r="W620" s="39"/>
      <c r="X620" s="39"/>
      <c r="Y620" s="39"/>
      <c r="Z620" s="39"/>
      <c r="AA620" s="39"/>
      <c r="AB620" s="39"/>
    </row>
    <row r="621">
      <c r="A621" s="1"/>
      <c r="B621" s="36"/>
      <c r="C621" s="36"/>
      <c r="D621" s="36"/>
      <c r="E621" s="36"/>
      <c r="F621" s="36"/>
      <c r="G621" s="36"/>
      <c r="H621" s="37"/>
      <c r="I621" s="36"/>
      <c r="J621" s="38"/>
      <c r="K621" s="38"/>
      <c r="L621" s="39"/>
      <c r="M621" s="39"/>
      <c r="N621" s="39"/>
      <c r="O621" s="39"/>
      <c r="P621" s="39"/>
      <c r="Q621" s="39"/>
      <c r="R621" s="39"/>
      <c r="S621" s="39"/>
      <c r="T621" s="39"/>
      <c r="U621" s="39"/>
      <c r="V621" s="39"/>
      <c r="W621" s="39"/>
      <c r="X621" s="39"/>
      <c r="Y621" s="39"/>
      <c r="Z621" s="39"/>
      <c r="AA621" s="39"/>
      <c r="AB621" s="39"/>
    </row>
    <row r="622">
      <c r="A622" s="1"/>
      <c r="B622" s="36"/>
      <c r="C622" s="36"/>
      <c r="D622" s="36"/>
      <c r="E622" s="36"/>
      <c r="F622" s="36"/>
      <c r="G622" s="36"/>
      <c r="H622" s="37"/>
      <c r="I622" s="36"/>
      <c r="J622" s="38"/>
      <c r="K622" s="38"/>
      <c r="L622" s="39"/>
      <c r="M622" s="39"/>
      <c r="N622" s="39"/>
      <c r="O622" s="39"/>
      <c r="P622" s="39"/>
      <c r="Q622" s="39"/>
      <c r="R622" s="39"/>
      <c r="S622" s="39"/>
      <c r="T622" s="39"/>
      <c r="U622" s="39"/>
      <c r="V622" s="39"/>
      <c r="W622" s="39"/>
      <c r="X622" s="39"/>
      <c r="Y622" s="39"/>
      <c r="Z622" s="39"/>
      <c r="AA622" s="39"/>
      <c r="AB622" s="39"/>
    </row>
    <row r="623">
      <c r="A623" s="1"/>
      <c r="B623" s="36"/>
      <c r="C623" s="36"/>
      <c r="D623" s="36"/>
      <c r="E623" s="36"/>
      <c r="F623" s="36"/>
      <c r="G623" s="36"/>
      <c r="H623" s="37"/>
      <c r="I623" s="36"/>
      <c r="J623" s="38"/>
      <c r="K623" s="38"/>
      <c r="L623" s="39"/>
      <c r="M623" s="39"/>
      <c r="N623" s="39"/>
      <c r="O623" s="39"/>
      <c r="P623" s="39"/>
      <c r="Q623" s="39"/>
      <c r="R623" s="39"/>
      <c r="S623" s="39"/>
      <c r="T623" s="39"/>
      <c r="U623" s="39"/>
      <c r="V623" s="39"/>
      <c r="W623" s="39"/>
      <c r="X623" s="39"/>
      <c r="Y623" s="39"/>
      <c r="Z623" s="39"/>
      <c r="AA623" s="39"/>
      <c r="AB623" s="39"/>
    </row>
    <row r="624">
      <c r="A624" s="1"/>
      <c r="B624" s="36"/>
      <c r="C624" s="36"/>
      <c r="D624" s="36"/>
      <c r="E624" s="36"/>
      <c r="F624" s="36"/>
      <c r="G624" s="36"/>
      <c r="H624" s="37"/>
      <c r="I624" s="36"/>
      <c r="J624" s="38"/>
      <c r="K624" s="38"/>
      <c r="L624" s="39"/>
      <c r="M624" s="39"/>
      <c r="N624" s="39"/>
      <c r="O624" s="39"/>
      <c r="P624" s="39"/>
      <c r="Q624" s="39"/>
      <c r="R624" s="39"/>
      <c r="S624" s="39"/>
      <c r="T624" s="39"/>
      <c r="U624" s="39"/>
      <c r="V624" s="39"/>
      <c r="W624" s="39"/>
      <c r="X624" s="39"/>
      <c r="Y624" s="39"/>
      <c r="Z624" s="39"/>
      <c r="AA624" s="39"/>
      <c r="AB624" s="39"/>
    </row>
    <row r="625">
      <c r="A625" s="1"/>
      <c r="B625" s="36"/>
      <c r="C625" s="36"/>
      <c r="D625" s="36"/>
      <c r="E625" s="36"/>
      <c r="F625" s="36"/>
      <c r="G625" s="36"/>
      <c r="H625" s="37"/>
      <c r="I625" s="36"/>
      <c r="J625" s="38"/>
      <c r="K625" s="38"/>
      <c r="L625" s="39"/>
      <c r="M625" s="39"/>
      <c r="N625" s="39"/>
      <c r="O625" s="39"/>
      <c r="P625" s="39"/>
      <c r="Q625" s="39"/>
      <c r="R625" s="39"/>
      <c r="S625" s="39"/>
      <c r="T625" s="39"/>
      <c r="U625" s="39"/>
      <c r="V625" s="39"/>
      <c r="W625" s="39"/>
      <c r="X625" s="39"/>
      <c r="Y625" s="39"/>
      <c r="Z625" s="39"/>
      <c r="AA625" s="39"/>
      <c r="AB625" s="39"/>
    </row>
    <row r="626">
      <c r="A626" s="1"/>
      <c r="B626" s="36"/>
      <c r="C626" s="36"/>
      <c r="D626" s="36"/>
      <c r="E626" s="36"/>
      <c r="F626" s="36"/>
      <c r="G626" s="36"/>
      <c r="H626" s="37"/>
      <c r="I626" s="36"/>
      <c r="J626" s="38"/>
      <c r="K626" s="38"/>
      <c r="L626" s="39"/>
      <c r="M626" s="39"/>
      <c r="N626" s="39"/>
      <c r="O626" s="39"/>
      <c r="P626" s="39"/>
      <c r="Q626" s="39"/>
      <c r="R626" s="39"/>
      <c r="S626" s="39"/>
      <c r="T626" s="39"/>
      <c r="U626" s="39"/>
      <c r="V626" s="39"/>
      <c r="W626" s="39"/>
      <c r="X626" s="39"/>
      <c r="Y626" s="39"/>
      <c r="Z626" s="39"/>
      <c r="AA626" s="39"/>
      <c r="AB626" s="39"/>
    </row>
    <row r="627">
      <c r="A627" s="1"/>
      <c r="B627" s="36"/>
      <c r="C627" s="36"/>
      <c r="D627" s="36"/>
      <c r="E627" s="36"/>
      <c r="F627" s="36"/>
      <c r="G627" s="36"/>
      <c r="H627" s="37"/>
      <c r="I627" s="36"/>
      <c r="J627" s="38"/>
      <c r="K627" s="38"/>
      <c r="L627" s="39"/>
      <c r="M627" s="39"/>
      <c r="N627" s="39"/>
      <c r="O627" s="39"/>
      <c r="P627" s="39"/>
      <c r="Q627" s="39"/>
      <c r="R627" s="39"/>
      <c r="S627" s="39"/>
      <c r="T627" s="39"/>
      <c r="U627" s="39"/>
      <c r="V627" s="39"/>
      <c r="W627" s="39"/>
      <c r="X627" s="39"/>
      <c r="Y627" s="39"/>
      <c r="Z627" s="39"/>
      <c r="AA627" s="39"/>
      <c r="AB627" s="39"/>
    </row>
    <row r="628">
      <c r="A628" s="1"/>
      <c r="B628" s="36"/>
      <c r="C628" s="36"/>
      <c r="D628" s="36"/>
      <c r="E628" s="36"/>
      <c r="F628" s="36"/>
      <c r="G628" s="36"/>
      <c r="H628" s="37"/>
      <c r="I628" s="36"/>
      <c r="J628" s="38"/>
      <c r="K628" s="38"/>
      <c r="L628" s="39"/>
      <c r="M628" s="39"/>
      <c r="N628" s="39"/>
      <c r="O628" s="39"/>
      <c r="P628" s="39"/>
      <c r="Q628" s="39"/>
      <c r="R628" s="39"/>
      <c r="S628" s="39"/>
      <c r="T628" s="39"/>
      <c r="U628" s="39"/>
      <c r="V628" s="39"/>
      <c r="W628" s="39"/>
      <c r="X628" s="39"/>
      <c r="Y628" s="39"/>
      <c r="Z628" s="39"/>
      <c r="AA628" s="39"/>
      <c r="AB628" s="39"/>
    </row>
    <row r="629">
      <c r="A629" s="1"/>
      <c r="B629" s="36"/>
      <c r="C629" s="36"/>
      <c r="D629" s="36"/>
      <c r="E629" s="36"/>
      <c r="F629" s="36"/>
      <c r="G629" s="36"/>
      <c r="H629" s="37"/>
      <c r="I629" s="36"/>
      <c r="J629" s="38"/>
      <c r="K629" s="38"/>
      <c r="L629" s="39"/>
      <c r="M629" s="39"/>
      <c r="N629" s="39"/>
      <c r="O629" s="39"/>
      <c r="P629" s="39"/>
      <c r="Q629" s="39"/>
      <c r="R629" s="39"/>
      <c r="S629" s="39"/>
      <c r="T629" s="39"/>
      <c r="U629" s="39"/>
      <c r="V629" s="39"/>
      <c r="W629" s="39"/>
      <c r="X629" s="39"/>
      <c r="Y629" s="39"/>
      <c r="Z629" s="39"/>
      <c r="AA629" s="39"/>
      <c r="AB629" s="39"/>
    </row>
    <row r="630">
      <c r="A630" s="1"/>
      <c r="B630" s="36"/>
      <c r="C630" s="36"/>
      <c r="D630" s="36"/>
      <c r="E630" s="36"/>
      <c r="F630" s="36"/>
      <c r="G630" s="36"/>
      <c r="H630" s="37"/>
      <c r="I630" s="36"/>
      <c r="J630" s="38"/>
      <c r="K630" s="38"/>
      <c r="L630" s="39"/>
      <c r="M630" s="39"/>
      <c r="N630" s="39"/>
      <c r="O630" s="39"/>
      <c r="P630" s="39"/>
      <c r="Q630" s="39"/>
      <c r="R630" s="39"/>
      <c r="S630" s="39"/>
      <c r="T630" s="39"/>
      <c r="U630" s="39"/>
      <c r="V630" s="39"/>
      <c r="W630" s="39"/>
      <c r="X630" s="39"/>
      <c r="Y630" s="39"/>
      <c r="Z630" s="39"/>
      <c r="AA630" s="39"/>
      <c r="AB630" s="39"/>
    </row>
    <row r="631">
      <c r="A631" s="1"/>
      <c r="B631" s="36"/>
      <c r="C631" s="36"/>
      <c r="D631" s="36"/>
      <c r="E631" s="36"/>
      <c r="F631" s="36"/>
      <c r="G631" s="36"/>
      <c r="H631" s="37"/>
      <c r="I631" s="36"/>
      <c r="J631" s="38"/>
      <c r="K631" s="38"/>
      <c r="L631" s="39"/>
      <c r="M631" s="39"/>
      <c r="N631" s="39"/>
      <c r="O631" s="39"/>
      <c r="P631" s="39"/>
      <c r="Q631" s="39"/>
      <c r="R631" s="39"/>
      <c r="S631" s="39"/>
      <c r="T631" s="39"/>
      <c r="U631" s="39"/>
      <c r="V631" s="39"/>
      <c r="W631" s="39"/>
      <c r="X631" s="39"/>
      <c r="Y631" s="39"/>
      <c r="Z631" s="39"/>
      <c r="AA631" s="39"/>
      <c r="AB631" s="39"/>
    </row>
    <row r="632">
      <c r="A632" s="1"/>
      <c r="B632" s="36"/>
      <c r="C632" s="36"/>
      <c r="D632" s="36"/>
      <c r="E632" s="36"/>
      <c r="F632" s="36"/>
      <c r="G632" s="36"/>
      <c r="H632" s="37"/>
      <c r="I632" s="36"/>
      <c r="J632" s="38"/>
      <c r="K632" s="38"/>
      <c r="L632" s="39"/>
      <c r="M632" s="39"/>
      <c r="N632" s="39"/>
      <c r="O632" s="39"/>
      <c r="P632" s="39"/>
      <c r="Q632" s="39"/>
      <c r="R632" s="39"/>
      <c r="S632" s="39"/>
      <c r="T632" s="39"/>
      <c r="U632" s="39"/>
      <c r="V632" s="39"/>
      <c r="W632" s="39"/>
      <c r="X632" s="39"/>
      <c r="Y632" s="39"/>
      <c r="Z632" s="39"/>
      <c r="AA632" s="39"/>
      <c r="AB632" s="39"/>
    </row>
    <row r="633">
      <c r="A633" s="1"/>
      <c r="B633" s="36"/>
      <c r="C633" s="36"/>
      <c r="D633" s="36"/>
      <c r="E633" s="36"/>
      <c r="F633" s="36"/>
      <c r="G633" s="36"/>
      <c r="H633" s="37"/>
      <c r="I633" s="36"/>
      <c r="J633" s="38"/>
      <c r="K633" s="38"/>
      <c r="L633" s="39"/>
      <c r="M633" s="39"/>
      <c r="N633" s="39"/>
      <c r="O633" s="39"/>
      <c r="P633" s="39"/>
      <c r="Q633" s="39"/>
      <c r="R633" s="39"/>
      <c r="S633" s="39"/>
      <c r="T633" s="39"/>
      <c r="U633" s="39"/>
      <c r="V633" s="39"/>
      <c r="W633" s="39"/>
      <c r="X633" s="39"/>
      <c r="Y633" s="39"/>
      <c r="Z633" s="39"/>
      <c r="AA633" s="39"/>
      <c r="AB633" s="39"/>
    </row>
    <row r="634">
      <c r="A634" s="1"/>
      <c r="B634" s="36"/>
      <c r="C634" s="36"/>
      <c r="D634" s="36"/>
      <c r="E634" s="36"/>
      <c r="F634" s="36"/>
      <c r="G634" s="36"/>
      <c r="H634" s="37"/>
      <c r="I634" s="36"/>
      <c r="J634" s="38"/>
      <c r="K634" s="38"/>
      <c r="L634" s="39"/>
      <c r="M634" s="39"/>
      <c r="N634" s="39"/>
      <c r="O634" s="39"/>
      <c r="P634" s="39"/>
      <c r="Q634" s="39"/>
      <c r="R634" s="39"/>
      <c r="S634" s="39"/>
      <c r="T634" s="39"/>
      <c r="U634" s="39"/>
      <c r="V634" s="39"/>
      <c r="W634" s="39"/>
      <c r="X634" s="39"/>
      <c r="Y634" s="39"/>
      <c r="Z634" s="39"/>
      <c r="AA634" s="39"/>
      <c r="AB634" s="39"/>
    </row>
    <row r="635">
      <c r="A635" s="1"/>
      <c r="B635" s="36"/>
      <c r="C635" s="36"/>
      <c r="D635" s="36"/>
      <c r="E635" s="36"/>
      <c r="F635" s="36"/>
      <c r="G635" s="36"/>
      <c r="H635" s="37"/>
      <c r="I635" s="36"/>
      <c r="J635" s="38"/>
      <c r="K635" s="38"/>
      <c r="L635" s="39"/>
      <c r="M635" s="39"/>
      <c r="N635" s="39"/>
      <c r="O635" s="39"/>
      <c r="P635" s="39"/>
      <c r="Q635" s="39"/>
      <c r="R635" s="39"/>
      <c r="S635" s="39"/>
      <c r="T635" s="39"/>
      <c r="U635" s="39"/>
      <c r="V635" s="39"/>
      <c r="W635" s="39"/>
      <c r="X635" s="39"/>
      <c r="Y635" s="39"/>
      <c r="Z635" s="39"/>
      <c r="AA635" s="39"/>
      <c r="AB635" s="39"/>
    </row>
    <row r="636">
      <c r="A636" s="1"/>
      <c r="B636" s="36"/>
      <c r="C636" s="36"/>
      <c r="D636" s="36"/>
      <c r="E636" s="36"/>
      <c r="F636" s="36"/>
      <c r="G636" s="36"/>
      <c r="H636" s="37"/>
      <c r="I636" s="36"/>
      <c r="J636" s="38"/>
      <c r="K636" s="38"/>
      <c r="L636" s="39"/>
      <c r="M636" s="39"/>
      <c r="N636" s="39"/>
      <c r="O636" s="39"/>
      <c r="P636" s="39"/>
      <c r="Q636" s="39"/>
      <c r="R636" s="39"/>
      <c r="S636" s="39"/>
      <c r="T636" s="39"/>
      <c r="U636" s="39"/>
      <c r="V636" s="39"/>
      <c r="W636" s="39"/>
      <c r="X636" s="39"/>
      <c r="Y636" s="39"/>
      <c r="Z636" s="39"/>
      <c r="AA636" s="39"/>
      <c r="AB636" s="39"/>
    </row>
    <row r="637">
      <c r="A637" s="1"/>
      <c r="B637" s="36"/>
      <c r="C637" s="36"/>
      <c r="D637" s="36"/>
      <c r="E637" s="36"/>
      <c r="F637" s="36"/>
      <c r="G637" s="36"/>
      <c r="H637" s="37"/>
      <c r="I637" s="36"/>
      <c r="J637" s="38"/>
      <c r="K637" s="38"/>
      <c r="L637" s="39"/>
      <c r="M637" s="39"/>
      <c r="N637" s="39"/>
      <c r="O637" s="39"/>
      <c r="P637" s="39"/>
      <c r="Q637" s="39"/>
      <c r="R637" s="39"/>
      <c r="S637" s="39"/>
      <c r="T637" s="39"/>
      <c r="U637" s="39"/>
      <c r="V637" s="39"/>
      <c r="W637" s="39"/>
      <c r="X637" s="39"/>
      <c r="Y637" s="39"/>
      <c r="Z637" s="39"/>
      <c r="AA637" s="39"/>
      <c r="AB637" s="39"/>
    </row>
    <row r="638">
      <c r="A638" s="1"/>
      <c r="B638" s="36"/>
      <c r="C638" s="36"/>
      <c r="D638" s="36"/>
      <c r="E638" s="36"/>
      <c r="F638" s="36"/>
      <c r="G638" s="36"/>
      <c r="H638" s="37"/>
      <c r="I638" s="36"/>
      <c r="J638" s="38"/>
      <c r="K638" s="38"/>
      <c r="L638" s="39"/>
      <c r="M638" s="39"/>
      <c r="N638" s="39"/>
      <c r="O638" s="39"/>
      <c r="P638" s="39"/>
      <c r="Q638" s="39"/>
      <c r="R638" s="39"/>
      <c r="S638" s="39"/>
      <c r="T638" s="39"/>
      <c r="U638" s="39"/>
      <c r="V638" s="39"/>
      <c r="W638" s="39"/>
      <c r="X638" s="39"/>
      <c r="Y638" s="39"/>
      <c r="Z638" s="39"/>
      <c r="AA638" s="39"/>
      <c r="AB638" s="39"/>
    </row>
    <row r="639">
      <c r="A639" s="1"/>
      <c r="B639" s="36"/>
      <c r="C639" s="36"/>
      <c r="D639" s="36"/>
      <c r="E639" s="36"/>
      <c r="F639" s="36"/>
      <c r="G639" s="36"/>
      <c r="H639" s="37"/>
      <c r="I639" s="36"/>
      <c r="J639" s="38"/>
      <c r="K639" s="38"/>
      <c r="L639" s="39"/>
      <c r="M639" s="39"/>
      <c r="N639" s="39"/>
      <c r="O639" s="39"/>
      <c r="P639" s="39"/>
      <c r="Q639" s="39"/>
      <c r="R639" s="39"/>
      <c r="S639" s="39"/>
      <c r="T639" s="39"/>
      <c r="U639" s="39"/>
      <c r="V639" s="39"/>
      <c r="W639" s="39"/>
      <c r="X639" s="39"/>
      <c r="Y639" s="39"/>
      <c r="Z639" s="39"/>
      <c r="AA639" s="39"/>
      <c r="AB639" s="39"/>
    </row>
    <row r="640">
      <c r="A640" s="1"/>
      <c r="B640" s="36"/>
      <c r="C640" s="36"/>
      <c r="D640" s="36"/>
      <c r="E640" s="36"/>
      <c r="F640" s="36"/>
      <c r="G640" s="36"/>
      <c r="H640" s="37"/>
      <c r="I640" s="36"/>
      <c r="J640" s="38"/>
      <c r="K640" s="38"/>
      <c r="L640" s="39"/>
      <c r="M640" s="39"/>
      <c r="N640" s="39"/>
      <c r="O640" s="39"/>
      <c r="P640" s="39"/>
      <c r="Q640" s="39"/>
      <c r="R640" s="39"/>
      <c r="S640" s="39"/>
      <c r="T640" s="39"/>
      <c r="U640" s="39"/>
      <c r="V640" s="39"/>
      <c r="W640" s="39"/>
      <c r="X640" s="39"/>
      <c r="Y640" s="39"/>
      <c r="Z640" s="39"/>
      <c r="AA640" s="39"/>
      <c r="AB640" s="39"/>
    </row>
    <row r="641">
      <c r="A641" s="1"/>
      <c r="B641" s="36"/>
      <c r="C641" s="36"/>
      <c r="D641" s="36"/>
      <c r="E641" s="36"/>
      <c r="F641" s="36"/>
      <c r="G641" s="36"/>
      <c r="H641" s="37"/>
      <c r="I641" s="36"/>
      <c r="J641" s="38"/>
      <c r="K641" s="38"/>
      <c r="L641" s="39"/>
      <c r="M641" s="39"/>
      <c r="N641" s="39"/>
      <c r="O641" s="39"/>
      <c r="P641" s="39"/>
      <c r="Q641" s="39"/>
      <c r="R641" s="39"/>
      <c r="S641" s="39"/>
      <c r="T641" s="39"/>
      <c r="U641" s="39"/>
      <c r="V641" s="39"/>
      <c r="W641" s="39"/>
      <c r="X641" s="39"/>
      <c r="Y641" s="39"/>
      <c r="Z641" s="39"/>
      <c r="AA641" s="39"/>
      <c r="AB641" s="39"/>
    </row>
    <row r="642">
      <c r="A642" s="1"/>
      <c r="B642" s="36"/>
      <c r="C642" s="36"/>
      <c r="D642" s="36"/>
      <c r="E642" s="36"/>
      <c r="F642" s="36"/>
      <c r="G642" s="36"/>
      <c r="H642" s="37"/>
      <c r="I642" s="36"/>
      <c r="J642" s="38"/>
      <c r="K642" s="38"/>
      <c r="L642" s="39"/>
      <c r="M642" s="39"/>
      <c r="N642" s="39"/>
      <c r="O642" s="39"/>
      <c r="P642" s="39"/>
      <c r="Q642" s="39"/>
      <c r="R642" s="39"/>
      <c r="S642" s="39"/>
      <c r="T642" s="39"/>
      <c r="U642" s="39"/>
      <c r="V642" s="39"/>
      <c r="W642" s="39"/>
      <c r="X642" s="39"/>
      <c r="Y642" s="39"/>
      <c r="Z642" s="39"/>
      <c r="AA642" s="39"/>
      <c r="AB642" s="39"/>
    </row>
    <row r="643">
      <c r="A643" s="1"/>
      <c r="B643" s="36"/>
      <c r="C643" s="36"/>
      <c r="D643" s="36"/>
      <c r="E643" s="36"/>
      <c r="F643" s="36"/>
      <c r="G643" s="36"/>
      <c r="H643" s="37"/>
      <c r="I643" s="36"/>
      <c r="J643" s="38"/>
      <c r="K643" s="38"/>
      <c r="L643" s="39"/>
      <c r="M643" s="39"/>
      <c r="N643" s="39"/>
      <c r="O643" s="39"/>
      <c r="P643" s="39"/>
      <c r="Q643" s="39"/>
      <c r="R643" s="39"/>
      <c r="S643" s="39"/>
      <c r="T643" s="39"/>
      <c r="U643" s="39"/>
      <c r="V643" s="39"/>
      <c r="W643" s="39"/>
      <c r="X643" s="39"/>
      <c r="Y643" s="39"/>
      <c r="Z643" s="39"/>
      <c r="AA643" s="39"/>
      <c r="AB643" s="39"/>
    </row>
    <row r="644">
      <c r="A644" s="1"/>
      <c r="B644" s="36"/>
      <c r="C644" s="36"/>
      <c r="D644" s="36"/>
      <c r="E644" s="36"/>
      <c r="F644" s="36"/>
      <c r="G644" s="36"/>
      <c r="H644" s="37"/>
      <c r="I644" s="36"/>
      <c r="J644" s="38"/>
      <c r="K644" s="38"/>
      <c r="L644" s="39"/>
      <c r="M644" s="39"/>
      <c r="N644" s="39"/>
      <c r="O644" s="39"/>
      <c r="P644" s="39"/>
      <c r="Q644" s="39"/>
      <c r="R644" s="39"/>
      <c r="S644" s="39"/>
      <c r="T644" s="39"/>
      <c r="U644" s="39"/>
      <c r="V644" s="39"/>
      <c r="W644" s="39"/>
      <c r="X644" s="39"/>
      <c r="Y644" s="39"/>
      <c r="Z644" s="39"/>
      <c r="AA644" s="39"/>
      <c r="AB644" s="39"/>
    </row>
    <row r="645">
      <c r="A645" s="1"/>
      <c r="B645" s="36"/>
      <c r="C645" s="36"/>
      <c r="D645" s="36"/>
      <c r="E645" s="36"/>
      <c r="F645" s="36"/>
      <c r="G645" s="36"/>
      <c r="H645" s="37"/>
      <c r="I645" s="36"/>
      <c r="J645" s="38"/>
      <c r="K645" s="38"/>
      <c r="L645" s="39"/>
      <c r="M645" s="39"/>
      <c r="N645" s="39"/>
      <c r="O645" s="39"/>
      <c r="P645" s="39"/>
      <c r="Q645" s="39"/>
      <c r="R645" s="39"/>
      <c r="S645" s="39"/>
      <c r="T645" s="39"/>
      <c r="U645" s="39"/>
      <c r="V645" s="39"/>
      <c r="W645" s="39"/>
      <c r="X645" s="39"/>
      <c r="Y645" s="39"/>
      <c r="Z645" s="39"/>
      <c r="AA645" s="39"/>
      <c r="AB645" s="39"/>
    </row>
    <row r="646">
      <c r="A646" s="1"/>
      <c r="B646" s="36"/>
      <c r="C646" s="36"/>
      <c r="D646" s="36"/>
      <c r="E646" s="36"/>
      <c r="F646" s="36"/>
      <c r="G646" s="36"/>
      <c r="H646" s="37"/>
      <c r="I646" s="36"/>
      <c r="J646" s="38"/>
      <c r="K646" s="38"/>
      <c r="L646" s="39"/>
      <c r="M646" s="39"/>
      <c r="N646" s="39"/>
      <c r="O646" s="39"/>
      <c r="P646" s="39"/>
      <c r="Q646" s="39"/>
      <c r="R646" s="39"/>
      <c r="S646" s="39"/>
      <c r="T646" s="39"/>
      <c r="U646" s="39"/>
      <c r="V646" s="39"/>
      <c r="W646" s="39"/>
      <c r="X646" s="39"/>
      <c r="Y646" s="39"/>
      <c r="Z646" s="39"/>
      <c r="AA646" s="39"/>
      <c r="AB646" s="39"/>
    </row>
    <row r="647">
      <c r="A647" s="1"/>
      <c r="B647" s="36"/>
      <c r="C647" s="36"/>
      <c r="D647" s="36"/>
      <c r="E647" s="36"/>
      <c r="F647" s="36"/>
      <c r="G647" s="36"/>
      <c r="H647" s="37"/>
      <c r="I647" s="36"/>
      <c r="J647" s="38"/>
      <c r="K647" s="38"/>
      <c r="L647" s="39"/>
      <c r="M647" s="39"/>
      <c r="N647" s="39"/>
      <c r="O647" s="39"/>
      <c r="P647" s="39"/>
      <c r="Q647" s="39"/>
      <c r="R647" s="39"/>
      <c r="S647" s="39"/>
      <c r="T647" s="39"/>
      <c r="U647" s="39"/>
      <c r="V647" s="39"/>
      <c r="W647" s="39"/>
      <c r="X647" s="39"/>
      <c r="Y647" s="39"/>
      <c r="Z647" s="39"/>
      <c r="AA647" s="39"/>
      <c r="AB647" s="39"/>
    </row>
    <row r="648">
      <c r="A648" s="1"/>
      <c r="B648" s="36"/>
      <c r="C648" s="36"/>
      <c r="D648" s="36"/>
      <c r="E648" s="36"/>
      <c r="F648" s="36"/>
      <c r="G648" s="36"/>
      <c r="H648" s="37"/>
      <c r="I648" s="36"/>
      <c r="J648" s="38"/>
      <c r="K648" s="38"/>
      <c r="L648" s="39"/>
      <c r="M648" s="39"/>
      <c r="N648" s="39"/>
      <c r="O648" s="39"/>
      <c r="P648" s="39"/>
      <c r="Q648" s="39"/>
      <c r="R648" s="39"/>
      <c r="S648" s="39"/>
      <c r="T648" s="39"/>
      <c r="U648" s="39"/>
      <c r="V648" s="39"/>
      <c r="W648" s="39"/>
      <c r="X648" s="39"/>
      <c r="Y648" s="39"/>
      <c r="Z648" s="39"/>
      <c r="AA648" s="39"/>
      <c r="AB648" s="39"/>
    </row>
    <row r="649">
      <c r="A649" s="1"/>
      <c r="B649" s="36"/>
      <c r="C649" s="36"/>
      <c r="D649" s="36"/>
      <c r="E649" s="36"/>
      <c r="F649" s="36"/>
      <c r="G649" s="36"/>
      <c r="H649" s="37"/>
      <c r="I649" s="36"/>
      <c r="J649" s="38"/>
      <c r="K649" s="38"/>
      <c r="L649" s="39"/>
      <c r="M649" s="39"/>
      <c r="N649" s="39"/>
      <c r="O649" s="39"/>
      <c r="P649" s="39"/>
      <c r="Q649" s="39"/>
      <c r="R649" s="39"/>
      <c r="S649" s="39"/>
      <c r="T649" s="39"/>
      <c r="U649" s="39"/>
      <c r="V649" s="39"/>
      <c r="W649" s="39"/>
      <c r="X649" s="39"/>
      <c r="Y649" s="39"/>
      <c r="Z649" s="39"/>
      <c r="AA649" s="39"/>
      <c r="AB649" s="39"/>
    </row>
    <row r="650">
      <c r="A650" s="1"/>
      <c r="B650" s="36"/>
      <c r="C650" s="36"/>
      <c r="D650" s="36"/>
      <c r="E650" s="36"/>
      <c r="F650" s="36"/>
      <c r="G650" s="36"/>
      <c r="H650" s="37"/>
      <c r="I650" s="36"/>
      <c r="J650" s="38"/>
      <c r="K650" s="38"/>
      <c r="L650" s="39"/>
      <c r="M650" s="39"/>
      <c r="N650" s="39"/>
      <c r="O650" s="39"/>
      <c r="P650" s="39"/>
      <c r="Q650" s="39"/>
      <c r="R650" s="39"/>
      <c r="S650" s="39"/>
      <c r="T650" s="39"/>
      <c r="U650" s="39"/>
      <c r="V650" s="39"/>
      <c r="W650" s="39"/>
      <c r="X650" s="39"/>
      <c r="Y650" s="39"/>
      <c r="Z650" s="39"/>
      <c r="AA650" s="39"/>
      <c r="AB650" s="39"/>
    </row>
    <row r="651">
      <c r="A651" s="1"/>
      <c r="B651" s="36"/>
      <c r="C651" s="36"/>
      <c r="D651" s="36"/>
      <c r="E651" s="36"/>
      <c r="F651" s="36"/>
      <c r="G651" s="36"/>
      <c r="H651" s="37"/>
      <c r="I651" s="36"/>
      <c r="J651" s="38"/>
      <c r="K651" s="38"/>
      <c r="L651" s="39"/>
      <c r="M651" s="39"/>
      <c r="N651" s="39"/>
      <c r="O651" s="39"/>
      <c r="P651" s="39"/>
      <c r="Q651" s="39"/>
      <c r="R651" s="39"/>
      <c r="S651" s="39"/>
      <c r="T651" s="39"/>
      <c r="U651" s="39"/>
      <c r="V651" s="39"/>
      <c r="W651" s="39"/>
      <c r="X651" s="39"/>
      <c r="Y651" s="39"/>
      <c r="Z651" s="39"/>
      <c r="AA651" s="39"/>
      <c r="AB651" s="39"/>
    </row>
    <row r="652">
      <c r="A652" s="1"/>
      <c r="B652" s="36"/>
      <c r="C652" s="36"/>
      <c r="D652" s="36"/>
      <c r="E652" s="36"/>
      <c r="F652" s="36"/>
      <c r="G652" s="36"/>
      <c r="H652" s="37"/>
      <c r="I652" s="36"/>
      <c r="J652" s="38"/>
      <c r="K652" s="38"/>
      <c r="L652" s="39"/>
      <c r="M652" s="39"/>
      <c r="N652" s="39"/>
      <c r="O652" s="39"/>
      <c r="P652" s="39"/>
      <c r="Q652" s="39"/>
      <c r="R652" s="39"/>
      <c r="S652" s="39"/>
      <c r="T652" s="39"/>
      <c r="U652" s="39"/>
      <c r="V652" s="39"/>
      <c r="W652" s="39"/>
      <c r="X652" s="39"/>
      <c r="Y652" s="39"/>
      <c r="Z652" s="39"/>
      <c r="AA652" s="39"/>
      <c r="AB652" s="39"/>
    </row>
    <row r="653">
      <c r="A653" s="1"/>
      <c r="B653" s="36"/>
      <c r="C653" s="36"/>
      <c r="D653" s="36"/>
      <c r="E653" s="36"/>
      <c r="F653" s="36"/>
      <c r="G653" s="36"/>
      <c r="H653" s="37"/>
      <c r="I653" s="36"/>
      <c r="J653" s="38"/>
      <c r="K653" s="38"/>
      <c r="L653" s="39"/>
      <c r="M653" s="39"/>
      <c r="N653" s="39"/>
      <c r="O653" s="39"/>
      <c r="P653" s="39"/>
      <c r="Q653" s="39"/>
      <c r="R653" s="39"/>
      <c r="S653" s="39"/>
      <c r="T653" s="39"/>
      <c r="U653" s="39"/>
      <c r="V653" s="39"/>
      <c r="W653" s="39"/>
      <c r="X653" s="39"/>
      <c r="Y653" s="39"/>
      <c r="Z653" s="39"/>
      <c r="AA653" s="39"/>
      <c r="AB653" s="39"/>
    </row>
    <row r="654">
      <c r="A654" s="1"/>
      <c r="B654" s="36"/>
      <c r="C654" s="36"/>
      <c r="D654" s="36"/>
      <c r="E654" s="36"/>
      <c r="F654" s="36"/>
      <c r="G654" s="36"/>
      <c r="H654" s="37"/>
      <c r="I654" s="36"/>
      <c r="J654" s="38"/>
      <c r="K654" s="38"/>
      <c r="L654" s="39"/>
      <c r="M654" s="39"/>
      <c r="N654" s="39"/>
      <c r="O654" s="39"/>
      <c r="P654" s="39"/>
      <c r="Q654" s="39"/>
      <c r="R654" s="39"/>
      <c r="S654" s="39"/>
      <c r="T654" s="39"/>
      <c r="U654" s="39"/>
      <c r="V654" s="39"/>
      <c r="W654" s="39"/>
      <c r="X654" s="39"/>
      <c r="Y654" s="39"/>
      <c r="Z654" s="39"/>
      <c r="AA654" s="39"/>
      <c r="AB654" s="39"/>
    </row>
    <row r="655">
      <c r="A655" s="1"/>
      <c r="B655" s="36"/>
      <c r="C655" s="36"/>
      <c r="D655" s="36"/>
      <c r="E655" s="36"/>
      <c r="F655" s="36"/>
      <c r="G655" s="36"/>
      <c r="H655" s="37"/>
      <c r="I655" s="36"/>
      <c r="J655" s="38"/>
      <c r="K655" s="38"/>
      <c r="L655" s="39"/>
      <c r="M655" s="39"/>
      <c r="N655" s="39"/>
      <c r="O655" s="39"/>
      <c r="P655" s="39"/>
      <c r="Q655" s="39"/>
      <c r="R655" s="39"/>
      <c r="S655" s="39"/>
      <c r="T655" s="39"/>
      <c r="U655" s="39"/>
      <c r="V655" s="39"/>
      <c r="W655" s="39"/>
      <c r="X655" s="39"/>
      <c r="Y655" s="39"/>
      <c r="Z655" s="39"/>
      <c r="AA655" s="39"/>
      <c r="AB655" s="39"/>
    </row>
    <row r="656">
      <c r="A656" s="1"/>
      <c r="B656" s="36"/>
      <c r="C656" s="36"/>
      <c r="D656" s="36"/>
      <c r="E656" s="36"/>
      <c r="F656" s="36"/>
      <c r="G656" s="36"/>
      <c r="H656" s="37"/>
      <c r="I656" s="36"/>
      <c r="J656" s="38"/>
      <c r="K656" s="38"/>
      <c r="L656" s="39"/>
      <c r="M656" s="39"/>
      <c r="N656" s="39"/>
      <c r="O656" s="39"/>
      <c r="P656" s="39"/>
      <c r="Q656" s="39"/>
      <c r="R656" s="39"/>
      <c r="S656" s="39"/>
      <c r="T656" s="39"/>
      <c r="U656" s="39"/>
      <c r="V656" s="39"/>
      <c r="W656" s="39"/>
      <c r="X656" s="39"/>
      <c r="Y656" s="39"/>
      <c r="Z656" s="39"/>
      <c r="AA656" s="39"/>
      <c r="AB656" s="39"/>
    </row>
    <row r="657">
      <c r="A657" s="1"/>
      <c r="B657" s="36"/>
      <c r="C657" s="36"/>
      <c r="D657" s="36"/>
      <c r="E657" s="36"/>
      <c r="F657" s="36"/>
      <c r="G657" s="36"/>
      <c r="H657" s="37"/>
      <c r="I657" s="36"/>
      <c r="J657" s="38"/>
      <c r="K657" s="38"/>
      <c r="L657" s="39"/>
      <c r="M657" s="39"/>
      <c r="N657" s="39"/>
      <c r="O657" s="39"/>
      <c r="P657" s="39"/>
      <c r="Q657" s="39"/>
      <c r="R657" s="39"/>
      <c r="S657" s="39"/>
      <c r="T657" s="39"/>
      <c r="U657" s="39"/>
      <c r="V657" s="39"/>
      <c r="W657" s="39"/>
      <c r="X657" s="39"/>
      <c r="Y657" s="39"/>
      <c r="Z657" s="39"/>
      <c r="AA657" s="39"/>
      <c r="AB657" s="39"/>
    </row>
    <row r="658">
      <c r="A658" s="1"/>
      <c r="B658" s="36"/>
      <c r="C658" s="36"/>
      <c r="D658" s="36"/>
      <c r="E658" s="36"/>
      <c r="F658" s="36"/>
      <c r="G658" s="36"/>
      <c r="H658" s="37"/>
      <c r="I658" s="36"/>
      <c r="J658" s="38"/>
      <c r="K658" s="38"/>
      <c r="L658" s="39"/>
      <c r="M658" s="39"/>
      <c r="N658" s="39"/>
      <c r="O658" s="39"/>
      <c r="P658" s="39"/>
      <c r="Q658" s="39"/>
      <c r="R658" s="39"/>
      <c r="S658" s="39"/>
      <c r="T658" s="39"/>
      <c r="U658" s="39"/>
      <c r="V658" s="39"/>
      <c r="W658" s="39"/>
      <c r="X658" s="39"/>
      <c r="Y658" s="39"/>
      <c r="Z658" s="39"/>
      <c r="AA658" s="39"/>
      <c r="AB658" s="39"/>
    </row>
    <row r="659">
      <c r="A659" s="1"/>
      <c r="B659" s="36"/>
      <c r="C659" s="36"/>
      <c r="D659" s="36"/>
      <c r="E659" s="36"/>
      <c r="F659" s="36"/>
      <c r="G659" s="36"/>
      <c r="H659" s="37"/>
      <c r="I659" s="36"/>
      <c r="J659" s="38"/>
      <c r="K659" s="38"/>
      <c r="L659" s="39"/>
      <c r="M659" s="39"/>
      <c r="N659" s="39"/>
      <c r="O659" s="39"/>
      <c r="P659" s="39"/>
      <c r="Q659" s="39"/>
      <c r="R659" s="39"/>
      <c r="S659" s="39"/>
      <c r="T659" s="39"/>
      <c r="U659" s="39"/>
      <c r="V659" s="39"/>
      <c r="W659" s="39"/>
      <c r="X659" s="39"/>
      <c r="Y659" s="39"/>
      <c r="Z659" s="39"/>
      <c r="AA659" s="39"/>
      <c r="AB659" s="39"/>
    </row>
    <row r="660">
      <c r="A660" s="1"/>
      <c r="B660" s="36"/>
      <c r="C660" s="36"/>
      <c r="D660" s="36"/>
      <c r="E660" s="36"/>
      <c r="F660" s="36"/>
      <c r="G660" s="36"/>
      <c r="H660" s="37"/>
      <c r="I660" s="36"/>
      <c r="J660" s="38"/>
      <c r="K660" s="38"/>
      <c r="L660" s="39"/>
      <c r="M660" s="39"/>
      <c r="N660" s="39"/>
      <c r="O660" s="39"/>
      <c r="P660" s="39"/>
      <c r="Q660" s="39"/>
      <c r="R660" s="39"/>
      <c r="S660" s="39"/>
      <c r="T660" s="39"/>
      <c r="U660" s="39"/>
      <c r="V660" s="39"/>
      <c r="W660" s="39"/>
      <c r="X660" s="39"/>
      <c r="Y660" s="39"/>
      <c r="Z660" s="39"/>
      <c r="AA660" s="39"/>
      <c r="AB660" s="39"/>
    </row>
    <row r="661">
      <c r="A661" s="1"/>
      <c r="B661" s="36"/>
      <c r="C661" s="36"/>
      <c r="D661" s="36"/>
      <c r="E661" s="36"/>
      <c r="F661" s="36"/>
      <c r="G661" s="36"/>
      <c r="H661" s="37"/>
      <c r="I661" s="36"/>
      <c r="J661" s="38"/>
      <c r="K661" s="38"/>
      <c r="L661" s="39"/>
      <c r="M661" s="39"/>
      <c r="N661" s="39"/>
      <c r="O661" s="39"/>
      <c r="P661" s="39"/>
      <c r="Q661" s="39"/>
      <c r="R661" s="39"/>
      <c r="S661" s="39"/>
      <c r="T661" s="39"/>
      <c r="U661" s="39"/>
      <c r="V661" s="39"/>
      <c r="W661" s="39"/>
      <c r="X661" s="39"/>
      <c r="Y661" s="39"/>
      <c r="Z661" s="39"/>
      <c r="AA661" s="39"/>
      <c r="AB661" s="39"/>
    </row>
    <row r="662">
      <c r="A662" s="1"/>
      <c r="B662" s="36"/>
      <c r="C662" s="36"/>
      <c r="D662" s="36"/>
      <c r="E662" s="36"/>
      <c r="F662" s="36"/>
      <c r="G662" s="36"/>
      <c r="H662" s="37"/>
      <c r="I662" s="36"/>
      <c r="J662" s="38"/>
      <c r="K662" s="38"/>
      <c r="L662" s="39"/>
      <c r="M662" s="39"/>
      <c r="N662" s="39"/>
      <c r="O662" s="39"/>
      <c r="P662" s="39"/>
      <c r="Q662" s="39"/>
      <c r="R662" s="39"/>
      <c r="S662" s="39"/>
      <c r="T662" s="39"/>
      <c r="U662" s="39"/>
      <c r="V662" s="39"/>
      <c r="W662" s="39"/>
      <c r="X662" s="39"/>
      <c r="Y662" s="39"/>
      <c r="Z662" s="39"/>
      <c r="AA662" s="39"/>
      <c r="AB662" s="39"/>
    </row>
    <row r="663">
      <c r="A663" s="1"/>
      <c r="B663" s="36"/>
      <c r="C663" s="36"/>
      <c r="D663" s="36"/>
      <c r="E663" s="36"/>
      <c r="F663" s="36"/>
      <c r="G663" s="36"/>
      <c r="H663" s="37"/>
      <c r="I663" s="36"/>
      <c r="J663" s="38"/>
      <c r="K663" s="38"/>
      <c r="L663" s="39"/>
      <c r="M663" s="39"/>
      <c r="N663" s="39"/>
      <c r="O663" s="39"/>
      <c r="P663" s="39"/>
      <c r="Q663" s="39"/>
      <c r="R663" s="39"/>
      <c r="S663" s="39"/>
      <c r="T663" s="39"/>
      <c r="U663" s="39"/>
      <c r="V663" s="39"/>
      <c r="W663" s="39"/>
      <c r="X663" s="39"/>
      <c r="Y663" s="39"/>
      <c r="Z663" s="39"/>
      <c r="AA663" s="39"/>
      <c r="AB663" s="39"/>
    </row>
    <row r="664">
      <c r="A664" s="1"/>
      <c r="B664" s="36"/>
      <c r="C664" s="36"/>
      <c r="D664" s="36"/>
      <c r="E664" s="36"/>
      <c r="F664" s="36"/>
      <c r="G664" s="36"/>
      <c r="H664" s="37"/>
      <c r="I664" s="36"/>
      <c r="J664" s="38"/>
      <c r="K664" s="38"/>
      <c r="L664" s="39"/>
      <c r="M664" s="39"/>
      <c r="N664" s="39"/>
      <c r="O664" s="39"/>
      <c r="P664" s="39"/>
      <c r="Q664" s="39"/>
      <c r="R664" s="39"/>
      <c r="S664" s="39"/>
      <c r="T664" s="39"/>
      <c r="U664" s="39"/>
      <c r="V664" s="39"/>
      <c r="W664" s="39"/>
      <c r="X664" s="39"/>
      <c r="Y664" s="39"/>
      <c r="Z664" s="39"/>
      <c r="AA664" s="39"/>
      <c r="AB664" s="39"/>
    </row>
    <row r="665">
      <c r="A665" s="1"/>
      <c r="B665" s="36"/>
      <c r="C665" s="36"/>
      <c r="D665" s="36"/>
      <c r="E665" s="36"/>
      <c r="F665" s="36"/>
      <c r="G665" s="36"/>
      <c r="H665" s="37"/>
      <c r="I665" s="36"/>
      <c r="J665" s="38"/>
      <c r="K665" s="38"/>
      <c r="L665" s="39"/>
      <c r="M665" s="39"/>
      <c r="N665" s="39"/>
      <c r="O665" s="39"/>
      <c r="P665" s="39"/>
      <c r="Q665" s="39"/>
      <c r="R665" s="39"/>
      <c r="S665" s="39"/>
      <c r="T665" s="39"/>
      <c r="U665" s="39"/>
      <c r="V665" s="39"/>
      <c r="W665" s="39"/>
      <c r="X665" s="39"/>
      <c r="Y665" s="39"/>
      <c r="Z665" s="39"/>
      <c r="AA665" s="39"/>
      <c r="AB665" s="39"/>
    </row>
    <row r="666">
      <c r="A666" s="1"/>
      <c r="B666" s="36"/>
      <c r="C666" s="36"/>
      <c r="D666" s="36"/>
      <c r="E666" s="36"/>
      <c r="F666" s="36"/>
      <c r="G666" s="36"/>
      <c r="H666" s="37"/>
      <c r="I666" s="36"/>
      <c r="J666" s="38"/>
      <c r="K666" s="38"/>
      <c r="L666" s="39"/>
      <c r="M666" s="39"/>
      <c r="N666" s="39"/>
      <c r="O666" s="39"/>
      <c r="P666" s="39"/>
      <c r="Q666" s="39"/>
      <c r="R666" s="39"/>
      <c r="S666" s="39"/>
      <c r="T666" s="39"/>
      <c r="U666" s="39"/>
      <c r="V666" s="39"/>
      <c r="W666" s="39"/>
      <c r="X666" s="39"/>
      <c r="Y666" s="39"/>
      <c r="Z666" s="39"/>
      <c r="AA666" s="39"/>
      <c r="AB666" s="39"/>
    </row>
    <row r="667">
      <c r="A667" s="1"/>
      <c r="B667" s="36"/>
      <c r="C667" s="36"/>
      <c r="D667" s="36"/>
      <c r="E667" s="36"/>
      <c r="F667" s="36"/>
      <c r="G667" s="36"/>
      <c r="H667" s="37"/>
      <c r="I667" s="36"/>
      <c r="J667" s="38"/>
      <c r="K667" s="38"/>
      <c r="L667" s="39"/>
      <c r="M667" s="39"/>
      <c r="N667" s="39"/>
      <c r="O667" s="39"/>
      <c r="P667" s="39"/>
      <c r="Q667" s="39"/>
      <c r="R667" s="39"/>
      <c r="S667" s="39"/>
      <c r="T667" s="39"/>
      <c r="U667" s="39"/>
      <c r="V667" s="39"/>
      <c r="W667" s="39"/>
      <c r="X667" s="39"/>
      <c r="Y667" s="39"/>
      <c r="Z667" s="39"/>
      <c r="AA667" s="39"/>
      <c r="AB667" s="39"/>
    </row>
    <row r="668">
      <c r="A668" s="1"/>
      <c r="B668" s="36"/>
      <c r="C668" s="36"/>
      <c r="D668" s="36"/>
      <c r="E668" s="36"/>
      <c r="F668" s="36"/>
      <c r="G668" s="36"/>
      <c r="H668" s="37"/>
      <c r="I668" s="36"/>
      <c r="J668" s="38"/>
      <c r="K668" s="38"/>
      <c r="L668" s="39"/>
      <c r="M668" s="39"/>
      <c r="N668" s="39"/>
      <c r="O668" s="39"/>
      <c r="P668" s="39"/>
      <c r="Q668" s="39"/>
      <c r="R668" s="39"/>
      <c r="S668" s="39"/>
      <c r="T668" s="39"/>
      <c r="U668" s="39"/>
      <c r="V668" s="39"/>
      <c r="W668" s="39"/>
      <c r="X668" s="39"/>
      <c r="Y668" s="39"/>
      <c r="Z668" s="39"/>
      <c r="AA668" s="39"/>
      <c r="AB668" s="39"/>
    </row>
    <row r="669">
      <c r="A669" s="1"/>
      <c r="B669" s="36"/>
      <c r="C669" s="36"/>
      <c r="D669" s="36"/>
      <c r="E669" s="36"/>
      <c r="F669" s="36"/>
      <c r="G669" s="36"/>
      <c r="H669" s="37"/>
      <c r="I669" s="36"/>
      <c r="J669" s="38"/>
      <c r="K669" s="38"/>
      <c r="L669" s="39"/>
      <c r="M669" s="39"/>
      <c r="N669" s="39"/>
      <c r="O669" s="39"/>
      <c r="P669" s="39"/>
      <c r="Q669" s="39"/>
      <c r="R669" s="39"/>
      <c r="S669" s="39"/>
      <c r="T669" s="39"/>
      <c r="U669" s="39"/>
      <c r="V669" s="39"/>
      <c r="W669" s="39"/>
      <c r="X669" s="39"/>
      <c r="Y669" s="39"/>
      <c r="Z669" s="39"/>
      <c r="AA669" s="39"/>
      <c r="AB669" s="39"/>
    </row>
    <row r="670">
      <c r="A670" s="1"/>
      <c r="B670" s="36"/>
      <c r="C670" s="36"/>
      <c r="D670" s="36"/>
      <c r="E670" s="36"/>
      <c r="F670" s="36"/>
      <c r="G670" s="36"/>
      <c r="H670" s="37"/>
      <c r="I670" s="36"/>
      <c r="J670" s="38"/>
      <c r="K670" s="38"/>
      <c r="L670" s="39"/>
      <c r="M670" s="39"/>
      <c r="N670" s="39"/>
      <c r="O670" s="39"/>
      <c r="P670" s="39"/>
      <c r="Q670" s="39"/>
      <c r="R670" s="39"/>
      <c r="S670" s="39"/>
      <c r="T670" s="39"/>
      <c r="U670" s="39"/>
      <c r="V670" s="39"/>
      <c r="W670" s="39"/>
      <c r="X670" s="39"/>
      <c r="Y670" s="39"/>
      <c r="Z670" s="39"/>
      <c r="AA670" s="39"/>
      <c r="AB670" s="39"/>
    </row>
    <row r="671">
      <c r="A671" s="1"/>
      <c r="B671" s="36"/>
      <c r="C671" s="36"/>
      <c r="D671" s="36"/>
      <c r="E671" s="36"/>
      <c r="F671" s="36"/>
      <c r="G671" s="36"/>
      <c r="H671" s="37"/>
      <c r="I671" s="36"/>
      <c r="J671" s="38"/>
      <c r="K671" s="38"/>
      <c r="L671" s="39"/>
      <c r="M671" s="39"/>
      <c r="N671" s="39"/>
      <c r="O671" s="39"/>
      <c r="P671" s="39"/>
      <c r="Q671" s="39"/>
      <c r="R671" s="39"/>
      <c r="S671" s="39"/>
      <c r="T671" s="39"/>
      <c r="U671" s="39"/>
      <c r="V671" s="39"/>
      <c r="W671" s="39"/>
      <c r="X671" s="39"/>
      <c r="Y671" s="39"/>
      <c r="Z671" s="39"/>
      <c r="AA671" s="39"/>
      <c r="AB671" s="39"/>
    </row>
    <row r="672">
      <c r="A672" s="1"/>
      <c r="B672" s="36"/>
      <c r="C672" s="36"/>
      <c r="D672" s="36"/>
      <c r="E672" s="36"/>
      <c r="F672" s="36"/>
      <c r="G672" s="36"/>
      <c r="H672" s="37"/>
      <c r="I672" s="36"/>
      <c r="J672" s="38"/>
      <c r="K672" s="38"/>
      <c r="L672" s="39"/>
      <c r="M672" s="39"/>
      <c r="N672" s="39"/>
      <c r="O672" s="39"/>
      <c r="P672" s="39"/>
      <c r="Q672" s="39"/>
      <c r="R672" s="39"/>
      <c r="S672" s="39"/>
      <c r="T672" s="39"/>
      <c r="U672" s="39"/>
      <c r="V672" s="39"/>
      <c r="W672" s="39"/>
      <c r="X672" s="39"/>
      <c r="Y672" s="39"/>
      <c r="Z672" s="39"/>
      <c r="AA672" s="39"/>
      <c r="AB672" s="39"/>
    </row>
    <row r="673">
      <c r="A673" s="1"/>
      <c r="B673" s="36"/>
      <c r="C673" s="36"/>
      <c r="D673" s="36"/>
      <c r="E673" s="36"/>
      <c r="F673" s="36"/>
      <c r="G673" s="36"/>
      <c r="H673" s="37"/>
      <c r="I673" s="36"/>
      <c r="J673" s="38"/>
      <c r="K673" s="38"/>
      <c r="L673" s="39"/>
      <c r="M673" s="39"/>
      <c r="N673" s="39"/>
      <c r="O673" s="39"/>
      <c r="P673" s="39"/>
      <c r="Q673" s="39"/>
      <c r="R673" s="39"/>
      <c r="S673" s="39"/>
      <c r="T673" s="39"/>
      <c r="U673" s="39"/>
      <c r="V673" s="39"/>
      <c r="W673" s="39"/>
      <c r="X673" s="39"/>
      <c r="Y673" s="39"/>
      <c r="Z673" s="39"/>
      <c r="AA673" s="39"/>
      <c r="AB673" s="39"/>
    </row>
    <row r="674">
      <c r="A674" s="1"/>
      <c r="B674" s="36"/>
      <c r="C674" s="36"/>
      <c r="D674" s="36"/>
      <c r="E674" s="36"/>
      <c r="F674" s="36"/>
      <c r="G674" s="36"/>
      <c r="H674" s="37"/>
      <c r="I674" s="36"/>
      <c r="J674" s="38"/>
      <c r="K674" s="38"/>
      <c r="L674" s="39"/>
      <c r="M674" s="39"/>
      <c r="N674" s="39"/>
      <c r="O674" s="39"/>
      <c r="P674" s="39"/>
      <c r="Q674" s="39"/>
      <c r="R674" s="39"/>
      <c r="S674" s="39"/>
      <c r="T674" s="39"/>
      <c r="U674" s="39"/>
      <c r="V674" s="39"/>
      <c r="W674" s="39"/>
      <c r="X674" s="39"/>
      <c r="Y674" s="39"/>
      <c r="Z674" s="39"/>
      <c r="AA674" s="39"/>
      <c r="AB674" s="39"/>
    </row>
    <row r="675">
      <c r="A675" s="1"/>
      <c r="B675" s="36"/>
      <c r="C675" s="36"/>
      <c r="D675" s="36"/>
      <c r="E675" s="36"/>
      <c r="F675" s="36"/>
      <c r="G675" s="36"/>
      <c r="H675" s="37"/>
      <c r="I675" s="36"/>
      <c r="J675" s="38"/>
      <c r="K675" s="38"/>
      <c r="L675" s="39"/>
      <c r="M675" s="39"/>
      <c r="N675" s="39"/>
      <c r="O675" s="39"/>
      <c r="P675" s="39"/>
      <c r="Q675" s="39"/>
      <c r="R675" s="39"/>
      <c r="S675" s="39"/>
      <c r="T675" s="39"/>
      <c r="U675" s="39"/>
      <c r="V675" s="39"/>
      <c r="W675" s="39"/>
      <c r="X675" s="39"/>
      <c r="Y675" s="39"/>
      <c r="Z675" s="39"/>
      <c r="AA675" s="39"/>
      <c r="AB675" s="39"/>
    </row>
    <row r="676">
      <c r="A676" s="1"/>
      <c r="B676" s="36"/>
      <c r="C676" s="36"/>
      <c r="D676" s="36"/>
      <c r="E676" s="36"/>
      <c r="F676" s="36"/>
      <c r="G676" s="36"/>
      <c r="H676" s="37"/>
      <c r="I676" s="36"/>
      <c r="J676" s="38"/>
      <c r="K676" s="38"/>
      <c r="L676" s="39"/>
      <c r="M676" s="39"/>
      <c r="N676" s="39"/>
      <c r="O676" s="39"/>
      <c r="P676" s="39"/>
      <c r="Q676" s="39"/>
      <c r="R676" s="39"/>
      <c r="S676" s="39"/>
      <c r="T676" s="39"/>
      <c r="U676" s="39"/>
      <c r="V676" s="39"/>
      <c r="W676" s="39"/>
      <c r="X676" s="39"/>
      <c r="Y676" s="39"/>
      <c r="Z676" s="39"/>
      <c r="AA676" s="39"/>
      <c r="AB676" s="39"/>
    </row>
    <row r="677">
      <c r="A677" s="1"/>
      <c r="B677" s="36"/>
      <c r="C677" s="36"/>
      <c r="D677" s="36"/>
      <c r="E677" s="36"/>
      <c r="F677" s="36"/>
      <c r="G677" s="36"/>
      <c r="H677" s="37"/>
      <c r="I677" s="36"/>
      <c r="J677" s="38"/>
      <c r="K677" s="38"/>
      <c r="L677" s="39"/>
      <c r="M677" s="39"/>
      <c r="N677" s="39"/>
      <c r="O677" s="39"/>
      <c r="P677" s="39"/>
      <c r="Q677" s="39"/>
      <c r="R677" s="39"/>
      <c r="S677" s="39"/>
      <c r="T677" s="39"/>
      <c r="U677" s="39"/>
      <c r="V677" s="39"/>
      <c r="W677" s="39"/>
      <c r="X677" s="39"/>
      <c r="Y677" s="39"/>
      <c r="Z677" s="39"/>
      <c r="AA677" s="39"/>
      <c r="AB677" s="39"/>
    </row>
    <row r="678">
      <c r="A678" s="1"/>
      <c r="B678" s="36"/>
      <c r="C678" s="36"/>
      <c r="D678" s="36"/>
      <c r="E678" s="36"/>
      <c r="F678" s="36"/>
      <c r="G678" s="36"/>
      <c r="H678" s="37"/>
      <c r="I678" s="36"/>
      <c r="J678" s="38"/>
      <c r="K678" s="38"/>
      <c r="L678" s="39"/>
      <c r="M678" s="39"/>
      <c r="N678" s="39"/>
      <c r="O678" s="39"/>
      <c r="P678" s="39"/>
      <c r="Q678" s="39"/>
      <c r="R678" s="39"/>
      <c r="S678" s="39"/>
      <c r="T678" s="39"/>
      <c r="U678" s="39"/>
      <c r="V678" s="39"/>
      <c r="W678" s="39"/>
      <c r="X678" s="39"/>
      <c r="Y678" s="39"/>
      <c r="Z678" s="39"/>
      <c r="AA678" s="39"/>
      <c r="AB678" s="39"/>
    </row>
    <row r="679">
      <c r="A679" s="1"/>
      <c r="B679" s="36"/>
      <c r="C679" s="36"/>
      <c r="D679" s="36"/>
      <c r="E679" s="36"/>
      <c r="F679" s="36"/>
      <c r="G679" s="36"/>
      <c r="H679" s="37"/>
      <c r="I679" s="36"/>
      <c r="J679" s="38"/>
      <c r="K679" s="38"/>
      <c r="L679" s="39"/>
      <c r="M679" s="39"/>
      <c r="N679" s="39"/>
      <c r="O679" s="39"/>
      <c r="P679" s="39"/>
      <c r="Q679" s="39"/>
      <c r="R679" s="39"/>
      <c r="S679" s="39"/>
      <c r="T679" s="39"/>
      <c r="U679" s="39"/>
      <c r="V679" s="39"/>
      <c r="W679" s="39"/>
      <c r="X679" s="39"/>
      <c r="Y679" s="39"/>
      <c r="Z679" s="39"/>
      <c r="AA679" s="39"/>
      <c r="AB679" s="39"/>
    </row>
    <row r="680">
      <c r="A680" s="1"/>
      <c r="B680" s="36"/>
      <c r="C680" s="36"/>
      <c r="D680" s="36"/>
      <c r="E680" s="36"/>
      <c r="F680" s="36"/>
      <c r="G680" s="36"/>
      <c r="H680" s="37"/>
      <c r="I680" s="36"/>
      <c r="J680" s="38"/>
      <c r="K680" s="38"/>
      <c r="L680" s="39"/>
      <c r="M680" s="39"/>
      <c r="N680" s="39"/>
      <c r="O680" s="39"/>
      <c r="P680" s="39"/>
      <c r="Q680" s="39"/>
      <c r="R680" s="39"/>
      <c r="S680" s="39"/>
      <c r="T680" s="39"/>
      <c r="U680" s="39"/>
      <c r="V680" s="39"/>
      <c r="W680" s="39"/>
      <c r="X680" s="39"/>
      <c r="Y680" s="39"/>
      <c r="Z680" s="39"/>
      <c r="AA680" s="39"/>
      <c r="AB680" s="39"/>
    </row>
    <row r="681">
      <c r="A681" s="1"/>
      <c r="B681" s="36"/>
      <c r="C681" s="36"/>
      <c r="D681" s="36"/>
      <c r="E681" s="36"/>
      <c r="F681" s="36"/>
      <c r="G681" s="36"/>
      <c r="H681" s="37"/>
      <c r="I681" s="36"/>
      <c r="J681" s="38"/>
      <c r="K681" s="38"/>
      <c r="L681" s="39"/>
      <c r="M681" s="39"/>
      <c r="N681" s="39"/>
      <c r="O681" s="39"/>
      <c r="P681" s="39"/>
      <c r="Q681" s="39"/>
      <c r="R681" s="39"/>
      <c r="S681" s="39"/>
      <c r="T681" s="39"/>
      <c r="U681" s="39"/>
      <c r="V681" s="39"/>
      <c r="W681" s="39"/>
      <c r="X681" s="39"/>
      <c r="Y681" s="39"/>
      <c r="Z681" s="39"/>
      <c r="AA681" s="39"/>
      <c r="AB681" s="39"/>
    </row>
    <row r="682">
      <c r="A682" s="1"/>
      <c r="B682" s="36"/>
      <c r="C682" s="36"/>
      <c r="D682" s="36"/>
      <c r="E682" s="36"/>
      <c r="F682" s="36"/>
      <c r="G682" s="36"/>
      <c r="H682" s="37"/>
      <c r="I682" s="36"/>
      <c r="J682" s="38"/>
      <c r="K682" s="38"/>
      <c r="L682" s="39"/>
      <c r="M682" s="39"/>
      <c r="N682" s="39"/>
      <c r="O682" s="39"/>
      <c r="P682" s="39"/>
      <c r="Q682" s="39"/>
      <c r="R682" s="39"/>
      <c r="S682" s="39"/>
      <c r="T682" s="39"/>
      <c r="U682" s="39"/>
      <c r="V682" s="39"/>
      <c r="W682" s="39"/>
      <c r="X682" s="39"/>
      <c r="Y682" s="39"/>
      <c r="Z682" s="39"/>
      <c r="AA682" s="39"/>
      <c r="AB682" s="39"/>
    </row>
    <row r="683">
      <c r="A683" s="1"/>
      <c r="B683" s="36"/>
      <c r="C683" s="36"/>
      <c r="D683" s="36"/>
      <c r="E683" s="36"/>
      <c r="F683" s="36"/>
      <c r="G683" s="36"/>
      <c r="H683" s="37"/>
      <c r="I683" s="36"/>
      <c r="J683" s="38"/>
      <c r="K683" s="38"/>
      <c r="L683" s="39"/>
      <c r="M683" s="39"/>
      <c r="N683" s="39"/>
      <c r="O683" s="39"/>
      <c r="P683" s="39"/>
      <c r="Q683" s="39"/>
      <c r="R683" s="39"/>
      <c r="S683" s="39"/>
      <c r="T683" s="39"/>
      <c r="U683" s="39"/>
      <c r="V683" s="39"/>
      <c r="W683" s="39"/>
      <c r="X683" s="39"/>
      <c r="Y683" s="39"/>
      <c r="Z683" s="39"/>
      <c r="AA683" s="39"/>
      <c r="AB683" s="39"/>
    </row>
    <row r="684">
      <c r="A684" s="1"/>
      <c r="B684" s="36"/>
      <c r="C684" s="36"/>
      <c r="D684" s="36"/>
      <c r="E684" s="36"/>
      <c r="F684" s="36"/>
      <c r="G684" s="36"/>
      <c r="H684" s="37"/>
      <c r="I684" s="36"/>
      <c r="J684" s="38"/>
      <c r="K684" s="38"/>
      <c r="L684" s="39"/>
      <c r="M684" s="39"/>
      <c r="N684" s="39"/>
      <c r="O684" s="39"/>
      <c r="P684" s="39"/>
      <c r="Q684" s="39"/>
      <c r="R684" s="39"/>
      <c r="S684" s="39"/>
      <c r="T684" s="39"/>
      <c r="U684" s="39"/>
      <c r="V684" s="39"/>
      <c r="W684" s="39"/>
      <c r="X684" s="39"/>
      <c r="Y684" s="39"/>
      <c r="Z684" s="39"/>
      <c r="AA684" s="39"/>
      <c r="AB684" s="39"/>
    </row>
    <row r="685">
      <c r="A685" s="1"/>
      <c r="B685" s="36"/>
      <c r="C685" s="36"/>
      <c r="D685" s="36"/>
      <c r="E685" s="36"/>
      <c r="F685" s="36"/>
      <c r="G685" s="36"/>
      <c r="H685" s="37"/>
      <c r="I685" s="36"/>
      <c r="J685" s="38"/>
      <c r="K685" s="38"/>
      <c r="L685" s="39"/>
      <c r="M685" s="39"/>
      <c r="N685" s="39"/>
      <c r="O685" s="39"/>
      <c r="P685" s="39"/>
      <c r="Q685" s="39"/>
      <c r="R685" s="39"/>
      <c r="S685" s="39"/>
      <c r="T685" s="39"/>
      <c r="U685" s="39"/>
      <c r="V685" s="39"/>
      <c r="W685" s="39"/>
      <c r="X685" s="39"/>
      <c r="Y685" s="39"/>
      <c r="Z685" s="39"/>
      <c r="AA685" s="39"/>
      <c r="AB685" s="39"/>
    </row>
    <row r="686">
      <c r="A686" s="1"/>
      <c r="B686" s="36"/>
      <c r="C686" s="36"/>
      <c r="D686" s="36"/>
      <c r="E686" s="36"/>
      <c r="F686" s="36"/>
      <c r="G686" s="36"/>
      <c r="H686" s="37"/>
      <c r="I686" s="36"/>
      <c r="J686" s="38"/>
      <c r="K686" s="38"/>
      <c r="L686" s="39"/>
      <c r="M686" s="39"/>
      <c r="N686" s="39"/>
      <c r="O686" s="39"/>
      <c r="P686" s="39"/>
      <c r="Q686" s="39"/>
      <c r="R686" s="39"/>
      <c r="S686" s="39"/>
      <c r="T686" s="39"/>
      <c r="U686" s="39"/>
      <c r="V686" s="39"/>
      <c r="W686" s="39"/>
      <c r="X686" s="39"/>
      <c r="Y686" s="39"/>
      <c r="Z686" s="39"/>
      <c r="AA686" s="39"/>
      <c r="AB686" s="39"/>
    </row>
    <row r="687">
      <c r="A687" s="1"/>
      <c r="B687" s="36"/>
      <c r="C687" s="36"/>
      <c r="D687" s="36"/>
      <c r="E687" s="36"/>
      <c r="F687" s="36"/>
      <c r="G687" s="36"/>
      <c r="H687" s="37"/>
      <c r="I687" s="36"/>
      <c r="J687" s="38"/>
      <c r="K687" s="38"/>
      <c r="L687" s="39"/>
      <c r="M687" s="39"/>
      <c r="N687" s="39"/>
      <c r="O687" s="39"/>
      <c r="P687" s="39"/>
      <c r="Q687" s="39"/>
      <c r="R687" s="39"/>
      <c r="S687" s="39"/>
      <c r="T687" s="39"/>
      <c r="U687" s="39"/>
      <c r="V687" s="39"/>
      <c r="W687" s="39"/>
      <c r="X687" s="39"/>
      <c r="Y687" s="39"/>
      <c r="Z687" s="39"/>
      <c r="AA687" s="39"/>
      <c r="AB687" s="39"/>
    </row>
    <row r="688">
      <c r="A688" s="1"/>
      <c r="B688" s="36"/>
      <c r="C688" s="36"/>
      <c r="D688" s="36"/>
      <c r="E688" s="36"/>
      <c r="F688" s="36"/>
      <c r="G688" s="36"/>
      <c r="H688" s="37"/>
      <c r="I688" s="36"/>
      <c r="J688" s="38"/>
      <c r="K688" s="38"/>
      <c r="L688" s="39"/>
      <c r="M688" s="39"/>
      <c r="N688" s="39"/>
      <c r="O688" s="39"/>
      <c r="P688" s="39"/>
      <c r="Q688" s="39"/>
      <c r="R688" s="39"/>
      <c r="S688" s="39"/>
      <c r="T688" s="39"/>
      <c r="U688" s="39"/>
      <c r="V688" s="39"/>
      <c r="W688" s="39"/>
      <c r="X688" s="39"/>
      <c r="Y688" s="39"/>
      <c r="Z688" s="39"/>
      <c r="AA688" s="39"/>
      <c r="AB688" s="39"/>
    </row>
    <row r="689">
      <c r="A689" s="1"/>
      <c r="B689" s="36"/>
      <c r="C689" s="36"/>
      <c r="D689" s="36"/>
      <c r="E689" s="36"/>
      <c r="F689" s="36"/>
      <c r="G689" s="36"/>
      <c r="H689" s="37"/>
      <c r="I689" s="36"/>
      <c r="J689" s="38"/>
      <c r="K689" s="38"/>
      <c r="L689" s="39"/>
      <c r="M689" s="39"/>
      <c r="N689" s="39"/>
      <c r="O689" s="39"/>
      <c r="P689" s="39"/>
      <c r="Q689" s="39"/>
      <c r="R689" s="39"/>
      <c r="S689" s="39"/>
      <c r="T689" s="39"/>
      <c r="U689" s="39"/>
      <c r="V689" s="39"/>
      <c r="W689" s="39"/>
      <c r="X689" s="39"/>
      <c r="Y689" s="39"/>
      <c r="Z689" s="39"/>
      <c r="AA689" s="39"/>
      <c r="AB689" s="39"/>
    </row>
    <row r="690">
      <c r="A690" s="1"/>
      <c r="B690" s="36"/>
      <c r="C690" s="36"/>
      <c r="D690" s="36"/>
      <c r="E690" s="36"/>
      <c r="F690" s="36"/>
      <c r="G690" s="36"/>
      <c r="H690" s="37"/>
      <c r="I690" s="36"/>
      <c r="J690" s="38"/>
      <c r="K690" s="38"/>
      <c r="L690" s="39"/>
      <c r="M690" s="39"/>
      <c r="N690" s="39"/>
      <c r="O690" s="39"/>
      <c r="P690" s="39"/>
      <c r="Q690" s="39"/>
      <c r="R690" s="39"/>
      <c r="S690" s="39"/>
      <c r="T690" s="39"/>
      <c r="U690" s="39"/>
      <c r="V690" s="39"/>
      <c r="W690" s="39"/>
      <c r="X690" s="39"/>
      <c r="Y690" s="39"/>
      <c r="Z690" s="39"/>
      <c r="AA690" s="39"/>
      <c r="AB690" s="39"/>
    </row>
    <row r="691">
      <c r="A691" s="1"/>
      <c r="B691" s="36"/>
      <c r="C691" s="36"/>
      <c r="D691" s="36"/>
      <c r="E691" s="36"/>
      <c r="F691" s="36"/>
      <c r="G691" s="36"/>
      <c r="H691" s="37"/>
      <c r="I691" s="36"/>
      <c r="J691" s="38"/>
      <c r="K691" s="38"/>
      <c r="L691" s="39"/>
      <c r="M691" s="39"/>
      <c r="N691" s="39"/>
      <c r="O691" s="39"/>
      <c r="P691" s="39"/>
      <c r="Q691" s="39"/>
      <c r="R691" s="39"/>
      <c r="S691" s="39"/>
      <c r="T691" s="39"/>
      <c r="U691" s="39"/>
      <c r="V691" s="39"/>
      <c r="W691" s="39"/>
      <c r="X691" s="39"/>
      <c r="Y691" s="39"/>
      <c r="Z691" s="39"/>
      <c r="AA691" s="39"/>
      <c r="AB691" s="39"/>
    </row>
    <row r="692">
      <c r="A692" s="1"/>
      <c r="B692" s="36"/>
      <c r="C692" s="36"/>
      <c r="D692" s="36"/>
      <c r="E692" s="36"/>
      <c r="F692" s="36"/>
      <c r="G692" s="36"/>
      <c r="H692" s="37"/>
      <c r="I692" s="36"/>
      <c r="J692" s="38"/>
      <c r="K692" s="38"/>
      <c r="L692" s="39"/>
      <c r="M692" s="39"/>
      <c r="N692" s="39"/>
      <c r="O692" s="39"/>
      <c r="P692" s="39"/>
      <c r="Q692" s="39"/>
      <c r="R692" s="39"/>
      <c r="S692" s="39"/>
      <c r="T692" s="39"/>
      <c r="U692" s="39"/>
      <c r="V692" s="39"/>
      <c r="W692" s="39"/>
      <c r="X692" s="39"/>
      <c r="Y692" s="39"/>
      <c r="Z692" s="39"/>
      <c r="AA692" s="39"/>
      <c r="AB692" s="39"/>
    </row>
    <row r="693">
      <c r="A693" s="1"/>
      <c r="B693" s="36"/>
      <c r="C693" s="36"/>
      <c r="D693" s="36"/>
      <c r="E693" s="36"/>
      <c r="F693" s="36"/>
      <c r="G693" s="36"/>
      <c r="H693" s="37"/>
      <c r="I693" s="36"/>
      <c r="J693" s="38"/>
      <c r="K693" s="38"/>
      <c r="L693" s="39"/>
      <c r="M693" s="39"/>
      <c r="N693" s="39"/>
      <c r="O693" s="39"/>
      <c r="P693" s="39"/>
      <c r="Q693" s="39"/>
      <c r="R693" s="39"/>
      <c r="S693" s="39"/>
      <c r="T693" s="39"/>
      <c r="U693" s="39"/>
      <c r="V693" s="39"/>
      <c r="W693" s="39"/>
      <c r="X693" s="39"/>
      <c r="Y693" s="39"/>
      <c r="Z693" s="39"/>
      <c r="AA693" s="39"/>
      <c r="AB693" s="39"/>
    </row>
    <row r="694">
      <c r="A694" s="1"/>
      <c r="B694" s="36"/>
      <c r="C694" s="36"/>
      <c r="D694" s="36"/>
      <c r="E694" s="36"/>
      <c r="F694" s="36"/>
      <c r="G694" s="36"/>
      <c r="H694" s="37"/>
      <c r="I694" s="36"/>
      <c r="J694" s="38"/>
      <c r="K694" s="38"/>
      <c r="L694" s="39"/>
      <c r="M694" s="39"/>
      <c r="N694" s="39"/>
      <c r="O694" s="39"/>
      <c r="P694" s="39"/>
      <c r="Q694" s="39"/>
      <c r="R694" s="39"/>
      <c r="S694" s="39"/>
      <c r="T694" s="39"/>
      <c r="U694" s="39"/>
      <c r="V694" s="39"/>
      <c r="W694" s="39"/>
      <c r="X694" s="39"/>
      <c r="Y694" s="39"/>
      <c r="Z694" s="39"/>
      <c r="AA694" s="39"/>
      <c r="AB694" s="39"/>
    </row>
    <row r="695">
      <c r="A695" s="1"/>
      <c r="B695" s="36"/>
      <c r="C695" s="36"/>
      <c r="D695" s="36"/>
      <c r="E695" s="36"/>
      <c r="F695" s="36"/>
      <c r="G695" s="36"/>
      <c r="H695" s="37"/>
      <c r="I695" s="36"/>
      <c r="J695" s="38"/>
      <c r="K695" s="38"/>
      <c r="L695" s="39"/>
      <c r="M695" s="39"/>
      <c r="N695" s="39"/>
      <c r="O695" s="39"/>
      <c r="P695" s="39"/>
      <c r="Q695" s="39"/>
      <c r="R695" s="39"/>
      <c r="S695" s="39"/>
      <c r="T695" s="39"/>
      <c r="U695" s="39"/>
      <c r="V695" s="39"/>
      <c r="W695" s="39"/>
      <c r="X695" s="39"/>
      <c r="Y695" s="39"/>
      <c r="Z695" s="39"/>
      <c r="AA695" s="39"/>
      <c r="AB695" s="39"/>
    </row>
    <row r="696">
      <c r="A696" s="1"/>
      <c r="B696" s="36"/>
      <c r="C696" s="36"/>
      <c r="D696" s="36"/>
      <c r="E696" s="36"/>
      <c r="F696" s="36"/>
      <c r="G696" s="36"/>
      <c r="H696" s="37"/>
      <c r="I696" s="36"/>
      <c r="J696" s="38"/>
      <c r="K696" s="38"/>
      <c r="L696" s="39"/>
      <c r="M696" s="39"/>
      <c r="N696" s="39"/>
      <c r="O696" s="39"/>
      <c r="P696" s="39"/>
      <c r="Q696" s="39"/>
      <c r="R696" s="39"/>
      <c r="S696" s="39"/>
      <c r="T696" s="39"/>
      <c r="U696" s="39"/>
      <c r="V696" s="39"/>
      <c r="W696" s="39"/>
      <c r="X696" s="39"/>
      <c r="Y696" s="39"/>
      <c r="Z696" s="39"/>
      <c r="AA696" s="39"/>
      <c r="AB696" s="39"/>
    </row>
    <row r="697">
      <c r="A697" s="1"/>
      <c r="B697" s="36"/>
      <c r="C697" s="36"/>
      <c r="D697" s="36"/>
      <c r="E697" s="36"/>
      <c r="F697" s="36"/>
      <c r="G697" s="36"/>
      <c r="H697" s="37"/>
      <c r="I697" s="36"/>
      <c r="J697" s="38"/>
      <c r="K697" s="38"/>
      <c r="L697" s="39"/>
      <c r="M697" s="39"/>
      <c r="N697" s="39"/>
      <c r="O697" s="39"/>
      <c r="P697" s="39"/>
      <c r="Q697" s="39"/>
      <c r="R697" s="39"/>
      <c r="S697" s="39"/>
      <c r="T697" s="39"/>
      <c r="U697" s="39"/>
      <c r="V697" s="39"/>
      <c r="W697" s="39"/>
      <c r="X697" s="39"/>
      <c r="Y697" s="39"/>
      <c r="Z697" s="39"/>
      <c r="AA697" s="39"/>
      <c r="AB697" s="39"/>
    </row>
    <row r="698">
      <c r="A698" s="1"/>
      <c r="B698" s="36"/>
      <c r="C698" s="36"/>
      <c r="D698" s="36"/>
      <c r="E698" s="36"/>
      <c r="F698" s="36"/>
      <c r="G698" s="36"/>
      <c r="H698" s="37"/>
      <c r="I698" s="36"/>
      <c r="J698" s="38"/>
      <c r="K698" s="38"/>
      <c r="L698" s="39"/>
      <c r="M698" s="39"/>
      <c r="N698" s="39"/>
      <c r="O698" s="39"/>
      <c r="P698" s="39"/>
      <c r="Q698" s="39"/>
      <c r="R698" s="39"/>
      <c r="S698" s="39"/>
      <c r="T698" s="39"/>
      <c r="U698" s="39"/>
      <c r="V698" s="39"/>
      <c r="W698" s="39"/>
      <c r="X698" s="39"/>
      <c r="Y698" s="39"/>
      <c r="Z698" s="39"/>
      <c r="AA698" s="39"/>
      <c r="AB698" s="39"/>
    </row>
    <row r="699">
      <c r="A699" s="1"/>
      <c r="B699" s="36"/>
      <c r="C699" s="36"/>
      <c r="D699" s="36"/>
      <c r="E699" s="36"/>
      <c r="F699" s="36"/>
      <c r="G699" s="36"/>
      <c r="H699" s="37"/>
      <c r="I699" s="36"/>
      <c r="J699" s="38"/>
      <c r="K699" s="38"/>
      <c r="L699" s="39"/>
      <c r="M699" s="39"/>
      <c r="N699" s="39"/>
      <c r="O699" s="39"/>
      <c r="P699" s="39"/>
      <c r="Q699" s="39"/>
      <c r="R699" s="39"/>
      <c r="S699" s="39"/>
      <c r="T699" s="39"/>
      <c r="U699" s="39"/>
      <c r="V699" s="39"/>
      <c r="W699" s="39"/>
      <c r="X699" s="39"/>
      <c r="Y699" s="39"/>
      <c r="Z699" s="39"/>
      <c r="AA699" s="39"/>
      <c r="AB699" s="39"/>
    </row>
    <row r="700">
      <c r="A700" s="1"/>
      <c r="B700" s="36"/>
      <c r="C700" s="36"/>
      <c r="D700" s="36"/>
      <c r="E700" s="36"/>
      <c r="F700" s="36"/>
      <c r="G700" s="36"/>
      <c r="H700" s="37"/>
      <c r="I700" s="36"/>
      <c r="J700" s="38"/>
      <c r="K700" s="38"/>
      <c r="L700" s="39"/>
      <c r="M700" s="39"/>
      <c r="N700" s="39"/>
      <c r="O700" s="39"/>
      <c r="P700" s="39"/>
      <c r="Q700" s="39"/>
      <c r="R700" s="39"/>
      <c r="S700" s="39"/>
      <c r="T700" s="39"/>
      <c r="U700" s="39"/>
      <c r="V700" s="39"/>
      <c r="W700" s="39"/>
      <c r="X700" s="39"/>
      <c r="Y700" s="39"/>
      <c r="Z700" s="39"/>
      <c r="AA700" s="39"/>
      <c r="AB700" s="39"/>
    </row>
    <row r="701">
      <c r="A701" s="1"/>
      <c r="B701" s="36"/>
      <c r="C701" s="36"/>
      <c r="D701" s="36"/>
      <c r="E701" s="36"/>
      <c r="F701" s="36"/>
      <c r="G701" s="36"/>
      <c r="H701" s="37"/>
      <c r="I701" s="36"/>
      <c r="J701" s="38"/>
      <c r="K701" s="38"/>
      <c r="L701" s="39"/>
      <c r="M701" s="39"/>
      <c r="N701" s="39"/>
      <c r="O701" s="39"/>
      <c r="P701" s="39"/>
      <c r="Q701" s="39"/>
      <c r="R701" s="39"/>
      <c r="S701" s="39"/>
      <c r="T701" s="39"/>
      <c r="U701" s="39"/>
      <c r="V701" s="39"/>
      <c r="W701" s="39"/>
      <c r="X701" s="39"/>
      <c r="Y701" s="39"/>
      <c r="Z701" s="39"/>
      <c r="AA701" s="39"/>
      <c r="AB701" s="39"/>
    </row>
    <row r="702">
      <c r="A702" s="1"/>
      <c r="B702" s="36"/>
      <c r="C702" s="36"/>
      <c r="D702" s="36"/>
      <c r="E702" s="36"/>
      <c r="F702" s="36"/>
      <c r="G702" s="36"/>
      <c r="H702" s="37"/>
      <c r="I702" s="36"/>
      <c r="J702" s="38"/>
      <c r="K702" s="38"/>
      <c r="L702" s="39"/>
      <c r="M702" s="39"/>
      <c r="N702" s="39"/>
      <c r="O702" s="39"/>
      <c r="P702" s="39"/>
      <c r="Q702" s="39"/>
      <c r="R702" s="39"/>
      <c r="S702" s="39"/>
      <c r="T702" s="39"/>
      <c r="U702" s="39"/>
      <c r="V702" s="39"/>
      <c r="W702" s="39"/>
      <c r="X702" s="39"/>
      <c r="Y702" s="39"/>
      <c r="Z702" s="39"/>
      <c r="AA702" s="39"/>
      <c r="AB702" s="39"/>
    </row>
    <row r="703">
      <c r="A703" s="1"/>
      <c r="B703" s="36"/>
      <c r="C703" s="36"/>
      <c r="D703" s="36"/>
      <c r="E703" s="36"/>
      <c r="F703" s="36"/>
      <c r="G703" s="36"/>
      <c r="H703" s="37"/>
      <c r="I703" s="36"/>
      <c r="J703" s="38"/>
      <c r="K703" s="38"/>
      <c r="L703" s="39"/>
      <c r="M703" s="39"/>
      <c r="N703" s="39"/>
      <c r="O703" s="39"/>
      <c r="P703" s="39"/>
      <c r="Q703" s="39"/>
      <c r="R703" s="39"/>
      <c r="S703" s="39"/>
      <c r="T703" s="39"/>
      <c r="U703" s="39"/>
      <c r="V703" s="39"/>
      <c r="W703" s="39"/>
      <c r="X703" s="39"/>
      <c r="Y703" s="39"/>
      <c r="Z703" s="39"/>
      <c r="AA703" s="39"/>
      <c r="AB703" s="39"/>
    </row>
    <row r="704">
      <c r="A704" s="1"/>
      <c r="B704" s="36"/>
      <c r="C704" s="36"/>
      <c r="D704" s="36"/>
      <c r="E704" s="36"/>
      <c r="F704" s="36"/>
      <c r="G704" s="36"/>
      <c r="H704" s="37"/>
      <c r="I704" s="36"/>
      <c r="J704" s="38"/>
      <c r="K704" s="38"/>
      <c r="L704" s="39"/>
      <c r="M704" s="39"/>
      <c r="N704" s="39"/>
      <c r="O704" s="39"/>
      <c r="P704" s="39"/>
      <c r="Q704" s="39"/>
      <c r="R704" s="39"/>
      <c r="S704" s="39"/>
      <c r="T704" s="39"/>
      <c r="U704" s="39"/>
      <c r="V704" s="39"/>
      <c r="W704" s="39"/>
      <c r="X704" s="39"/>
      <c r="Y704" s="39"/>
      <c r="Z704" s="39"/>
      <c r="AA704" s="39"/>
      <c r="AB704" s="39"/>
    </row>
    <row r="705">
      <c r="A705" s="1"/>
      <c r="B705" s="36"/>
      <c r="C705" s="36"/>
      <c r="D705" s="36"/>
      <c r="E705" s="36"/>
      <c r="F705" s="36"/>
      <c r="G705" s="36"/>
      <c r="H705" s="37"/>
      <c r="I705" s="36"/>
      <c r="J705" s="38"/>
      <c r="K705" s="38"/>
      <c r="L705" s="39"/>
      <c r="M705" s="39"/>
      <c r="N705" s="39"/>
      <c r="O705" s="39"/>
      <c r="P705" s="39"/>
      <c r="Q705" s="39"/>
      <c r="R705" s="39"/>
      <c r="S705" s="39"/>
      <c r="T705" s="39"/>
      <c r="U705" s="39"/>
      <c r="V705" s="39"/>
      <c r="W705" s="39"/>
      <c r="X705" s="39"/>
      <c r="Y705" s="39"/>
      <c r="Z705" s="39"/>
      <c r="AA705" s="39"/>
      <c r="AB705" s="39"/>
    </row>
    <row r="706">
      <c r="A706" s="1"/>
      <c r="B706" s="36"/>
      <c r="C706" s="36"/>
      <c r="D706" s="36"/>
      <c r="E706" s="36"/>
      <c r="F706" s="36"/>
      <c r="G706" s="36"/>
      <c r="H706" s="37"/>
      <c r="I706" s="36"/>
      <c r="J706" s="38"/>
      <c r="K706" s="38"/>
      <c r="L706" s="39"/>
      <c r="M706" s="39"/>
      <c r="N706" s="39"/>
      <c r="O706" s="39"/>
      <c r="P706" s="39"/>
      <c r="Q706" s="39"/>
      <c r="R706" s="39"/>
      <c r="S706" s="39"/>
      <c r="T706" s="39"/>
      <c r="U706" s="39"/>
      <c r="V706" s="39"/>
      <c r="W706" s="39"/>
      <c r="X706" s="39"/>
      <c r="Y706" s="39"/>
      <c r="Z706" s="39"/>
      <c r="AA706" s="39"/>
      <c r="AB706" s="39"/>
    </row>
    <row r="707">
      <c r="A707" s="1"/>
      <c r="B707" s="36"/>
      <c r="C707" s="36"/>
      <c r="D707" s="36"/>
      <c r="E707" s="36"/>
      <c r="F707" s="36"/>
      <c r="G707" s="36"/>
      <c r="H707" s="37"/>
      <c r="I707" s="36"/>
      <c r="J707" s="38"/>
      <c r="K707" s="38"/>
      <c r="L707" s="39"/>
      <c r="M707" s="39"/>
      <c r="N707" s="39"/>
      <c r="O707" s="39"/>
      <c r="P707" s="39"/>
      <c r="Q707" s="39"/>
      <c r="R707" s="39"/>
      <c r="S707" s="39"/>
      <c r="T707" s="39"/>
      <c r="U707" s="39"/>
      <c r="V707" s="39"/>
      <c r="W707" s="39"/>
      <c r="X707" s="39"/>
      <c r="Y707" s="39"/>
      <c r="Z707" s="39"/>
      <c r="AA707" s="39"/>
      <c r="AB707" s="39"/>
    </row>
    <row r="708">
      <c r="A708" s="1"/>
      <c r="B708" s="36"/>
      <c r="C708" s="36"/>
      <c r="D708" s="36"/>
      <c r="E708" s="36"/>
      <c r="F708" s="36"/>
      <c r="G708" s="36"/>
      <c r="H708" s="37"/>
      <c r="I708" s="36"/>
      <c r="J708" s="38"/>
      <c r="K708" s="38"/>
      <c r="L708" s="39"/>
      <c r="M708" s="39"/>
      <c r="N708" s="39"/>
      <c r="O708" s="39"/>
      <c r="P708" s="39"/>
      <c r="Q708" s="39"/>
      <c r="R708" s="39"/>
      <c r="S708" s="39"/>
      <c r="T708" s="39"/>
      <c r="U708" s="39"/>
      <c r="V708" s="39"/>
      <c r="W708" s="39"/>
      <c r="X708" s="39"/>
      <c r="Y708" s="39"/>
      <c r="Z708" s="39"/>
      <c r="AA708" s="39"/>
      <c r="AB708" s="39"/>
    </row>
    <row r="709">
      <c r="A709" s="1"/>
      <c r="B709" s="36"/>
      <c r="C709" s="36"/>
      <c r="D709" s="36"/>
      <c r="E709" s="36"/>
      <c r="F709" s="36"/>
      <c r="G709" s="36"/>
      <c r="H709" s="37"/>
      <c r="I709" s="36"/>
      <c r="J709" s="38"/>
      <c r="K709" s="38"/>
      <c r="L709" s="39"/>
      <c r="M709" s="39"/>
      <c r="N709" s="39"/>
      <c r="O709" s="39"/>
      <c r="P709" s="39"/>
      <c r="Q709" s="39"/>
      <c r="R709" s="39"/>
      <c r="S709" s="39"/>
      <c r="T709" s="39"/>
      <c r="U709" s="39"/>
      <c r="V709" s="39"/>
      <c r="W709" s="39"/>
      <c r="X709" s="39"/>
      <c r="Y709" s="39"/>
      <c r="Z709" s="39"/>
      <c r="AA709" s="39"/>
      <c r="AB709" s="39"/>
    </row>
    <row r="710">
      <c r="A710" s="1"/>
      <c r="B710" s="36"/>
      <c r="C710" s="36"/>
      <c r="D710" s="36"/>
      <c r="E710" s="36"/>
      <c r="F710" s="36"/>
      <c r="G710" s="36"/>
      <c r="H710" s="37"/>
      <c r="I710" s="36"/>
      <c r="J710" s="38"/>
      <c r="K710" s="38"/>
      <c r="L710" s="39"/>
      <c r="M710" s="39"/>
      <c r="N710" s="39"/>
      <c r="O710" s="39"/>
      <c r="P710" s="39"/>
      <c r="Q710" s="39"/>
      <c r="R710" s="39"/>
      <c r="S710" s="39"/>
      <c r="T710" s="39"/>
      <c r="U710" s="39"/>
      <c r="V710" s="39"/>
      <c r="W710" s="39"/>
      <c r="X710" s="39"/>
      <c r="Y710" s="39"/>
      <c r="Z710" s="39"/>
      <c r="AA710" s="39"/>
      <c r="AB710" s="39"/>
    </row>
    <row r="711">
      <c r="A711" s="1"/>
      <c r="B711" s="36"/>
      <c r="C711" s="36"/>
      <c r="D711" s="36"/>
      <c r="E711" s="36"/>
      <c r="F711" s="36"/>
      <c r="G711" s="36"/>
      <c r="H711" s="37"/>
      <c r="I711" s="36"/>
      <c r="J711" s="38"/>
      <c r="K711" s="38"/>
      <c r="L711" s="39"/>
      <c r="M711" s="39"/>
      <c r="N711" s="39"/>
      <c r="O711" s="39"/>
      <c r="P711" s="39"/>
      <c r="Q711" s="39"/>
      <c r="R711" s="39"/>
      <c r="S711" s="39"/>
      <c r="T711" s="39"/>
      <c r="U711" s="39"/>
      <c r="V711" s="39"/>
      <c r="W711" s="39"/>
      <c r="X711" s="39"/>
      <c r="Y711" s="39"/>
      <c r="Z711" s="39"/>
      <c r="AA711" s="39"/>
      <c r="AB711" s="39"/>
    </row>
    <row r="712">
      <c r="A712" s="1"/>
      <c r="B712" s="36"/>
      <c r="C712" s="36"/>
      <c r="D712" s="36"/>
      <c r="E712" s="36"/>
      <c r="F712" s="36"/>
      <c r="G712" s="36"/>
      <c r="H712" s="37"/>
      <c r="I712" s="36"/>
      <c r="J712" s="38"/>
      <c r="K712" s="38"/>
      <c r="L712" s="39"/>
      <c r="M712" s="39"/>
      <c r="N712" s="39"/>
      <c r="O712" s="39"/>
      <c r="P712" s="39"/>
      <c r="Q712" s="39"/>
      <c r="R712" s="39"/>
      <c r="S712" s="39"/>
      <c r="T712" s="39"/>
      <c r="U712" s="39"/>
      <c r="V712" s="39"/>
      <c r="W712" s="39"/>
      <c r="X712" s="39"/>
      <c r="Y712" s="39"/>
      <c r="Z712" s="39"/>
      <c r="AA712" s="39"/>
      <c r="AB712" s="39"/>
    </row>
    <row r="713">
      <c r="A713" s="1"/>
      <c r="B713" s="36"/>
      <c r="C713" s="36"/>
      <c r="D713" s="36"/>
      <c r="E713" s="36"/>
      <c r="F713" s="36"/>
      <c r="G713" s="36"/>
      <c r="H713" s="37"/>
      <c r="I713" s="36"/>
      <c r="J713" s="38"/>
      <c r="K713" s="38"/>
      <c r="L713" s="39"/>
      <c r="M713" s="39"/>
      <c r="N713" s="39"/>
      <c r="O713" s="39"/>
      <c r="P713" s="39"/>
      <c r="Q713" s="39"/>
      <c r="R713" s="39"/>
      <c r="S713" s="39"/>
      <c r="T713" s="39"/>
      <c r="U713" s="39"/>
      <c r="V713" s="39"/>
      <c r="W713" s="39"/>
      <c r="X713" s="39"/>
      <c r="Y713" s="39"/>
      <c r="Z713" s="39"/>
      <c r="AA713" s="39"/>
      <c r="AB713" s="39"/>
    </row>
    <row r="714">
      <c r="A714" s="1"/>
      <c r="B714" s="36"/>
      <c r="C714" s="36"/>
      <c r="D714" s="36"/>
      <c r="E714" s="36"/>
      <c r="F714" s="36"/>
      <c r="G714" s="36"/>
      <c r="H714" s="37"/>
      <c r="I714" s="36"/>
      <c r="J714" s="38"/>
      <c r="K714" s="38"/>
      <c r="L714" s="39"/>
      <c r="M714" s="39"/>
      <c r="N714" s="39"/>
      <c r="O714" s="39"/>
      <c r="P714" s="39"/>
      <c r="Q714" s="39"/>
      <c r="R714" s="39"/>
      <c r="S714" s="39"/>
      <c r="T714" s="39"/>
      <c r="U714" s="39"/>
      <c r="V714" s="39"/>
      <c r="W714" s="39"/>
      <c r="X714" s="39"/>
      <c r="Y714" s="39"/>
      <c r="Z714" s="39"/>
      <c r="AA714" s="39"/>
      <c r="AB714" s="39"/>
    </row>
    <row r="715">
      <c r="A715" s="1"/>
      <c r="B715" s="36"/>
      <c r="C715" s="36"/>
      <c r="D715" s="36"/>
      <c r="E715" s="36"/>
      <c r="F715" s="36"/>
      <c r="G715" s="36"/>
      <c r="H715" s="37"/>
      <c r="I715" s="36"/>
      <c r="J715" s="38"/>
      <c r="K715" s="38"/>
      <c r="L715" s="39"/>
      <c r="M715" s="39"/>
      <c r="N715" s="39"/>
      <c r="O715" s="39"/>
      <c r="P715" s="39"/>
      <c r="Q715" s="39"/>
      <c r="R715" s="39"/>
      <c r="S715" s="39"/>
      <c r="T715" s="39"/>
      <c r="U715" s="39"/>
      <c r="V715" s="39"/>
      <c r="W715" s="39"/>
      <c r="X715" s="39"/>
      <c r="Y715" s="39"/>
      <c r="Z715" s="39"/>
      <c r="AA715" s="39"/>
      <c r="AB715" s="39"/>
    </row>
    <row r="716">
      <c r="A716" s="1"/>
      <c r="B716" s="36"/>
      <c r="C716" s="36"/>
      <c r="D716" s="36"/>
      <c r="E716" s="36"/>
      <c r="F716" s="36"/>
      <c r="G716" s="36"/>
      <c r="H716" s="37"/>
      <c r="I716" s="36"/>
      <c r="J716" s="38"/>
      <c r="K716" s="38"/>
      <c r="L716" s="39"/>
      <c r="M716" s="39"/>
      <c r="N716" s="39"/>
      <c r="O716" s="39"/>
      <c r="P716" s="39"/>
      <c r="Q716" s="39"/>
      <c r="R716" s="39"/>
      <c r="S716" s="39"/>
      <c r="T716" s="39"/>
      <c r="U716" s="39"/>
      <c r="V716" s="39"/>
      <c r="W716" s="39"/>
      <c r="X716" s="39"/>
      <c r="Y716" s="39"/>
      <c r="Z716" s="39"/>
      <c r="AA716" s="39"/>
      <c r="AB716" s="39"/>
    </row>
    <row r="717">
      <c r="A717" s="1"/>
      <c r="B717" s="36"/>
      <c r="C717" s="36"/>
      <c r="D717" s="36"/>
      <c r="E717" s="36"/>
      <c r="F717" s="36"/>
      <c r="G717" s="36"/>
      <c r="H717" s="37"/>
      <c r="I717" s="36"/>
      <c r="J717" s="38"/>
      <c r="K717" s="38"/>
      <c r="L717" s="39"/>
      <c r="M717" s="39"/>
      <c r="N717" s="39"/>
      <c r="O717" s="39"/>
      <c r="P717" s="39"/>
      <c r="Q717" s="39"/>
      <c r="R717" s="39"/>
      <c r="S717" s="39"/>
      <c r="T717" s="39"/>
      <c r="U717" s="39"/>
      <c r="V717" s="39"/>
      <c r="W717" s="39"/>
      <c r="X717" s="39"/>
      <c r="Y717" s="39"/>
      <c r="Z717" s="39"/>
      <c r="AA717" s="39"/>
      <c r="AB717" s="39"/>
    </row>
    <row r="718">
      <c r="A718" s="1"/>
      <c r="B718" s="36"/>
      <c r="C718" s="36"/>
      <c r="D718" s="36"/>
      <c r="E718" s="36"/>
      <c r="F718" s="36"/>
      <c r="G718" s="36"/>
      <c r="H718" s="37"/>
      <c r="I718" s="36"/>
      <c r="J718" s="38"/>
      <c r="K718" s="38"/>
      <c r="L718" s="39"/>
      <c r="M718" s="39"/>
      <c r="N718" s="39"/>
      <c r="O718" s="39"/>
      <c r="P718" s="39"/>
      <c r="Q718" s="39"/>
      <c r="R718" s="39"/>
      <c r="S718" s="39"/>
      <c r="T718" s="39"/>
      <c r="U718" s="39"/>
      <c r="V718" s="39"/>
      <c r="W718" s="39"/>
      <c r="X718" s="39"/>
      <c r="Y718" s="39"/>
      <c r="Z718" s="39"/>
      <c r="AA718" s="39"/>
      <c r="AB718" s="39"/>
    </row>
    <row r="719">
      <c r="A719" s="1"/>
      <c r="B719" s="36"/>
      <c r="C719" s="36"/>
      <c r="D719" s="36"/>
      <c r="E719" s="36"/>
      <c r="F719" s="36"/>
      <c r="G719" s="36"/>
      <c r="H719" s="37"/>
      <c r="I719" s="36"/>
      <c r="J719" s="38"/>
      <c r="K719" s="38"/>
      <c r="L719" s="39"/>
      <c r="M719" s="39"/>
      <c r="N719" s="39"/>
      <c r="O719" s="39"/>
      <c r="P719" s="39"/>
      <c r="Q719" s="39"/>
      <c r="R719" s="39"/>
      <c r="S719" s="39"/>
      <c r="T719" s="39"/>
      <c r="U719" s="39"/>
      <c r="V719" s="39"/>
      <c r="W719" s="39"/>
      <c r="X719" s="39"/>
      <c r="Y719" s="39"/>
      <c r="Z719" s="39"/>
      <c r="AA719" s="39"/>
      <c r="AB719" s="39"/>
    </row>
    <row r="720">
      <c r="A720" s="1"/>
      <c r="B720" s="36"/>
      <c r="C720" s="36"/>
      <c r="D720" s="36"/>
      <c r="E720" s="36"/>
      <c r="F720" s="36"/>
      <c r="G720" s="36"/>
      <c r="H720" s="37"/>
      <c r="I720" s="36"/>
      <c r="J720" s="38"/>
      <c r="K720" s="38"/>
      <c r="L720" s="39"/>
      <c r="M720" s="39"/>
      <c r="N720" s="39"/>
      <c r="O720" s="39"/>
      <c r="P720" s="39"/>
      <c r="Q720" s="39"/>
      <c r="R720" s="39"/>
      <c r="S720" s="39"/>
      <c r="T720" s="39"/>
      <c r="U720" s="39"/>
      <c r="V720" s="39"/>
      <c r="W720" s="39"/>
      <c r="X720" s="39"/>
      <c r="Y720" s="39"/>
      <c r="Z720" s="39"/>
      <c r="AA720" s="39"/>
      <c r="AB720" s="39"/>
    </row>
    <row r="721">
      <c r="A721" s="1"/>
      <c r="B721" s="36"/>
      <c r="C721" s="36"/>
      <c r="D721" s="36"/>
      <c r="E721" s="36"/>
      <c r="F721" s="36"/>
      <c r="G721" s="36"/>
      <c r="H721" s="37"/>
      <c r="I721" s="36"/>
      <c r="J721" s="38"/>
      <c r="K721" s="38"/>
      <c r="L721" s="39"/>
      <c r="M721" s="39"/>
      <c r="N721" s="39"/>
      <c r="O721" s="39"/>
      <c r="P721" s="39"/>
      <c r="Q721" s="39"/>
      <c r="R721" s="39"/>
      <c r="S721" s="39"/>
      <c r="T721" s="39"/>
      <c r="U721" s="39"/>
      <c r="V721" s="39"/>
      <c r="W721" s="39"/>
      <c r="X721" s="39"/>
      <c r="Y721" s="39"/>
      <c r="Z721" s="39"/>
      <c r="AA721" s="39"/>
      <c r="AB721" s="39"/>
    </row>
    <row r="722">
      <c r="A722" s="1"/>
      <c r="B722" s="36"/>
      <c r="C722" s="36"/>
      <c r="D722" s="36"/>
      <c r="E722" s="36"/>
      <c r="F722" s="36"/>
      <c r="G722" s="36"/>
      <c r="H722" s="37"/>
      <c r="I722" s="36"/>
      <c r="J722" s="38"/>
      <c r="K722" s="38"/>
      <c r="L722" s="39"/>
      <c r="M722" s="39"/>
      <c r="N722" s="39"/>
      <c r="O722" s="39"/>
      <c r="P722" s="39"/>
      <c r="Q722" s="39"/>
      <c r="R722" s="39"/>
      <c r="S722" s="39"/>
      <c r="T722" s="39"/>
      <c r="U722" s="39"/>
      <c r="V722" s="39"/>
      <c r="W722" s="39"/>
      <c r="X722" s="39"/>
      <c r="Y722" s="39"/>
      <c r="Z722" s="39"/>
      <c r="AA722" s="39"/>
      <c r="AB722" s="39"/>
    </row>
    <row r="723">
      <c r="A723" s="1"/>
      <c r="B723" s="36"/>
      <c r="C723" s="36"/>
      <c r="D723" s="36"/>
      <c r="E723" s="36"/>
      <c r="F723" s="36"/>
      <c r="G723" s="36"/>
      <c r="H723" s="37"/>
      <c r="I723" s="36"/>
      <c r="J723" s="38"/>
      <c r="K723" s="38"/>
      <c r="L723" s="39"/>
      <c r="M723" s="39"/>
      <c r="N723" s="39"/>
      <c r="O723" s="39"/>
      <c r="P723" s="39"/>
      <c r="Q723" s="39"/>
      <c r="R723" s="39"/>
      <c r="S723" s="39"/>
      <c r="T723" s="39"/>
      <c r="U723" s="39"/>
      <c r="V723" s="39"/>
      <c r="W723" s="39"/>
      <c r="X723" s="39"/>
      <c r="Y723" s="39"/>
      <c r="Z723" s="39"/>
      <c r="AA723" s="39"/>
      <c r="AB723" s="39"/>
    </row>
    <row r="724">
      <c r="A724" s="1"/>
      <c r="B724" s="36"/>
      <c r="C724" s="36"/>
      <c r="D724" s="36"/>
      <c r="E724" s="36"/>
      <c r="F724" s="36"/>
      <c r="G724" s="36"/>
      <c r="H724" s="37"/>
      <c r="I724" s="36"/>
      <c r="J724" s="38"/>
      <c r="K724" s="38"/>
      <c r="L724" s="39"/>
      <c r="M724" s="39"/>
      <c r="N724" s="39"/>
      <c r="O724" s="39"/>
      <c r="P724" s="39"/>
      <c r="Q724" s="39"/>
      <c r="R724" s="39"/>
      <c r="S724" s="39"/>
      <c r="T724" s="39"/>
      <c r="U724" s="39"/>
      <c r="V724" s="39"/>
      <c r="W724" s="39"/>
      <c r="X724" s="39"/>
      <c r="Y724" s="39"/>
      <c r="Z724" s="39"/>
      <c r="AA724" s="39"/>
      <c r="AB724" s="39"/>
    </row>
    <row r="725">
      <c r="A725" s="1"/>
      <c r="B725" s="36"/>
      <c r="C725" s="36"/>
      <c r="D725" s="36"/>
      <c r="E725" s="36"/>
      <c r="F725" s="36"/>
      <c r="G725" s="36"/>
      <c r="H725" s="37"/>
      <c r="I725" s="36"/>
      <c r="J725" s="38"/>
      <c r="K725" s="38"/>
      <c r="L725" s="39"/>
      <c r="M725" s="39"/>
      <c r="N725" s="39"/>
      <c r="O725" s="39"/>
      <c r="P725" s="39"/>
      <c r="Q725" s="39"/>
      <c r="R725" s="39"/>
      <c r="S725" s="39"/>
      <c r="T725" s="39"/>
      <c r="U725" s="39"/>
      <c r="V725" s="39"/>
      <c r="W725" s="39"/>
      <c r="X725" s="39"/>
      <c r="Y725" s="39"/>
      <c r="Z725" s="39"/>
      <c r="AA725" s="39"/>
      <c r="AB725" s="39"/>
    </row>
    <row r="726">
      <c r="A726" s="1"/>
      <c r="B726" s="36"/>
      <c r="C726" s="36"/>
      <c r="D726" s="36"/>
      <c r="E726" s="36"/>
      <c r="F726" s="36"/>
      <c r="G726" s="36"/>
      <c r="H726" s="37"/>
      <c r="I726" s="36"/>
      <c r="J726" s="38"/>
      <c r="K726" s="38"/>
      <c r="L726" s="39"/>
      <c r="M726" s="39"/>
      <c r="N726" s="39"/>
      <c r="O726" s="39"/>
      <c r="P726" s="39"/>
      <c r="Q726" s="39"/>
      <c r="R726" s="39"/>
      <c r="S726" s="39"/>
      <c r="T726" s="39"/>
      <c r="U726" s="39"/>
      <c r="V726" s="39"/>
      <c r="W726" s="39"/>
      <c r="X726" s="39"/>
      <c r="Y726" s="39"/>
      <c r="Z726" s="39"/>
      <c r="AA726" s="39"/>
      <c r="AB726" s="39"/>
    </row>
    <row r="727">
      <c r="A727" s="1"/>
      <c r="B727" s="36"/>
      <c r="C727" s="36"/>
      <c r="D727" s="36"/>
      <c r="E727" s="36"/>
      <c r="F727" s="36"/>
      <c r="G727" s="36"/>
      <c r="H727" s="37"/>
      <c r="I727" s="36"/>
      <c r="J727" s="38"/>
      <c r="K727" s="38"/>
      <c r="L727" s="39"/>
      <c r="M727" s="39"/>
      <c r="N727" s="39"/>
      <c r="O727" s="39"/>
      <c r="P727" s="39"/>
      <c r="Q727" s="39"/>
      <c r="R727" s="39"/>
      <c r="S727" s="39"/>
      <c r="T727" s="39"/>
      <c r="U727" s="39"/>
      <c r="V727" s="39"/>
      <c r="W727" s="39"/>
      <c r="X727" s="39"/>
      <c r="Y727" s="39"/>
      <c r="Z727" s="39"/>
      <c r="AA727" s="39"/>
      <c r="AB727" s="39"/>
    </row>
    <row r="728">
      <c r="A728" s="1"/>
      <c r="B728" s="36"/>
      <c r="C728" s="36"/>
      <c r="D728" s="36"/>
      <c r="E728" s="36"/>
      <c r="F728" s="36"/>
      <c r="G728" s="36"/>
      <c r="H728" s="37"/>
      <c r="I728" s="36"/>
      <c r="J728" s="38"/>
      <c r="K728" s="38"/>
      <c r="L728" s="39"/>
      <c r="M728" s="39"/>
      <c r="N728" s="39"/>
      <c r="O728" s="39"/>
      <c r="P728" s="39"/>
      <c r="Q728" s="39"/>
      <c r="R728" s="39"/>
      <c r="S728" s="39"/>
      <c r="T728" s="39"/>
      <c r="U728" s="39"/>
      <c r="V728" s="39"/>
      <c r="W728" s="39"/>
      <c r="X728" s="39"/>
      <c r="Y728" s="39"/>
      <c r="Z728" s="39"/>
      <c r="AA728" s="39"/>
      <c r="AB728" s="39"/>
    </row>
    <row r="729">
      <c r="A729" s="1"/>
      <c r="B729" s="36"/>
      <c r="C729" s="36"/>
      <c r="D729" s="36"/>
      <c r="E729" s="36"/>
      <c r="F729" s="36"/>
      <c r="G729" s="36"/>
      <c r="H729" s="37"/>
      <c r="I729" s="36"/>
      <c r="J729" s="38"/>
      <c r="K729" s="38"/>
      <c r="L729" s="39"/>
      <c r="M729" s="39"/>
      <c r="N729" s="39"/>
      <c r="O729" s="39"/>
      <c r="P729" s="39"/>
      <c r="Q729" s="39"/>
      <c r="R729" s="39"/>
      <c r="S729" s="39"/>
      <c r="T729" s="39"/>
      <c r="U729" s="39"/>
      <c r="V729" s="39"/>
      <c r="W729" s="39"/>
      <c r="X729" s="39"/>
      <c r="Y729" s="39"/>
      <c r="Z729" s="39"/>
      <c r="AA729" s="39"/>
      <c r="AB729" s="39"/>
    </row>
    <row r="730">
      <c r="A730" s="1"/>
      <c r="B730" s="36"/>
      <c r="C730" s="36"/>
      <c r="D730" s="36"/>
      <c r="E730" s="36"/>
      <c r="F730" s="36"/>
      <c r="G730" s="36"/>
      <c r="H730" s="37"/>
      <c r="I730" s="36"/>
      <c r="J730" s="38"/>
      <c r="K730" s="38"/>
      <c r="L730" s="39"/>
      <c r="M730" s="39"/>
      <c r="N730" s="39"/>
      <c r="O730" s="39"/>
      <c r="P730" s="39"/>
      <c r="Q730" s="39"/>
      <c r="R730" s="39"/>
      <c r="S730" s="39"/>
      <c r="T730" s="39"/>
      <c r="U730" s="39"/>
      <c r="V730" s="39"/>
      <c r="W730" s="39"/>
      <c r="X730" s="39"/>
      <c r="Y730" s="39"/>
      <c r="Z730" s="39"/>
      <c r="AA730" s="39"/>
      <c r="AB730" s="39"/>
    </row>
    <row r="731">
      <c r="A731" s="1"/>
      <c r="B731" s="36"/>
      <c r="C731" s="36"/>
      <c r="D731" s="36"/>
      <c r="E731" s="36"/>
      <c r="F731" s="36"/>
      <c r="G731" s="36"/>
      <c r="H731" s="37"/>
      <c r="I731" s="36"/>
      <c r="J731" s="38"/>
      <c r="K731" s="38"/>
      <c r="L731" s="39"/>
      <c r="M731" s="39"/>
      <c r="N731" s="39"/>
      <c r="O731" s="39"/>
      <c r="P731" s="39"/>
      <c r="Q731" s="39"/>
      <c r="R731" s="39"/>
      <c r="S731" s="39"/>
      <c r="T731" s="39"/>
      <c r="U731" s="39"/>
      <c r="V731" s="39"/>
      <c r="W731" s="39"/>
      <c r="X731" s="39"/>
      <c r="Y731" s="39"/>
      <c r="Z731" s="39"/>
      <c r="AA731" s="39"/>
      <c r="AB731" s="39"/>
    </row>
    <row r="732">
      <c r="A732" s="1"/>
      <c r="B732" s="36"/>
      <c r="C732" s="36"/>
      <c r="D732" s="36"/>
      <c r="E732" s="36"/>
      <c r="F732" s="36"/>
      <c r="G732" s="36"/>
      <c r="H732" s="37"/>
      <c r="I732" s="36"/>
      <c r="J732" s="38"/>
      <c r="K732" s="38"/>
      <c r="L732" s="39"/>
      <c r="M732" s="39"/>
      <c r="N732" s="39"/>
      <c r="O732" s="39"/>
      <c r="P732" s="39"/>
      <c r="Q732" s="39"/>
      <c r="R732" s="39"/>
      <c r="S732" s="39"/>
      <c r="T732" s="39"/>
      <c r="U732" s="39"/>
      <c r="V732" s="39"/>
      <c r="W732" s="39"/>
      <c r="X732" s="39"/>
      <c r="Y732" s="39"/>
      <c r="Z732" s="39"/>
      <c r="AA732" s="39"/>
      <c r="AB732" s="39"/>
    </row>
    <row r="733">
      <c r="A733" s="1"/>
      <c r="B733" s="36"/>
      <c r="C733" s="36"/>
      <c r="D733" s="36"/>
      <c r="E733" s="36"/>
      <c r="F733" s="36"/>
      <c r="G733" s="36"/>
      <c r="H733" s="37"/>
      <c r="I733" s="36"/>
      <c r="J733" s="38"/>
      <c r="K733" s="38"/>
      <c r="L733" s="39"/>
      <c r="M733" s="39"/>
      <c r="N733" s="39"/>
      <c r="O733" s="39"/>
      <c r="P733" s="39"/>
      <c r="Q733" s="39"/>
      <c r="R733" s="39"/>
      <c r="S733" s="39"/>
      <c r="T733" s="39"/>
      <c r="U733" s="39"/>
      <c r="V733" s="39"/>
      <c r="W733" s="39"/>
      <c r="X733" s="39"/>
      <c r="Y733" s="39"/>
      <c r="Z733" s="39"/>
      <c r="AA733" s="39"/>
      <c r="AB733" s="39"/>
    </row>
    <row r="734">
      <c r="A734" s="1"/>
      <c r="B734" s="36"/>
      <c r="C734" s="36"/>
      <c r="D734" s="36"/>
      <c r="E734" s="36"/>
      <c r="F734" s="36"/>
      <c r="G734" s="36"/>
      <c r="H734" s="37"/>
      <c r="I734" s="36"/>
      <c r="J734" s="38"/>
      <c r="K734" s="38"/>
      <c r="L734" s="39"/>
      <c r="M734" s="39"/>
      <c r="N734" s="39"/>
      <c r="O734" s="39"/>
      <c r="P734" s="39"/>
      <c r="Q734" s="39"/>
      <c r="R734" s="39"/>
      <c r="S734" s="39"/>
      <c r="T734" s="39"/>
      <c r="U734" s="39"/>
      <c r="V734" s="39"/>
      <c r="W734" s="39"/>
      <c r="X734" s="39"/>
      <c r="Y734" s="39"/>
      <c r="Z734" s="39"/>
      <c r="AA734" s="39"/>
      <c r="AB734" s="39"/>
    </row>
    <row r="735">
      <c r="A735" s="1"/>
      <c r="B735" s="36"/>
      <c r="C735" s="36"/>
      <c r="D735" s="36"/>
      <c r="E735" s="36"/>
      <c r="F735" s="36"/>
      <c r="G735" s="36"/>
      <c r="H735" s="37"/>
      <c r="I735" s="36"/>
      <c r="J735" s="38"/>
      <c r="K735" s="38"/>
      <c r="L735" s="39"/>
      <c r="M735" s="39"/>
      <c r="N735" s="39"/>
      <c r="O735" s="39"/>
      <c r="P735" s="39"/>
      <c r="Q735" s="39"/>
      <c r="R735" s="39"/>
      <c r="S735" s="39"/>
      <c r="T735" s="39"/>
      <c r="U735" s="39"/>
      <c r="V735" s="39"/>
      <c r="W735" s="39"/>
      <c r="X735" s="39"/>
      <c r="Y735" s="39"/>
      <c r="Z735" s="39"/>
      <c r="AA735" s="39"/>
      <c r="AB735" s="39"/>
    </row>
    <row r="736">
      <c r="A736" s="1"/>
      <c r="B736" s="36"/>
      <c r="C736" s="36"/>
      <c r="D736" s="36"/>
      <c r="E736" s="36"/>
      <c r="F736" s="36"/>
      <c r="G736" s="36"/>
      <c r="H736" s="37"/>
      <c r="I736" s="36"/>
      <c r="J736" s="38"/>
      <c r="K736" s="38"/>
      <c r="L736" s="39"/>
      <c r="M736" s="39"/>
      <c r="N736" s="39"/>
      <c r="O736" s="39"/>
      <c r="P736" s="39"/>
      <c r="Q736" s="39"/>
      <c r="R736" s="39"/>
      <c r="S736" s="39"/>
      <c r="T736" s="39"/>
      <c r="U736" s="39"/>
      <c r="V736" s="39"/>
      <c r="W736" s="39"/>
      <c r="X736" s="39"/>
      <c r="Y736" s="39"/>
      <c r="Z736" s="39"/>
      <c r="AA736" s="39"/>
      <c r="AB736" s="39"/>
    </row>
    <row r="737">
      <c r="A737" s="1"/>
      <c r="B737" s="36"/>
      <c r="C737" s="36"/>
      <c r="D737" s="36"/>
      <c r="E737" s="36"/>
      <c r="F737" s="36"/>
      <c r="G737" s="36"/>
      <c r="H737" s="37"/>
      <c r="I737" s="36"/>
      <c r="J737" s="38"/>
      <c r="K737" s="38"/>
      <c r="L737" s="39"/>
      <c r="M737" s="39"/>
      <c r="N737" s="39"/>
      <c r="O737" s="39"/>
      <c r="P737" s="39"/>
      <c r="Q737" s="39"/>
      <c r="R737" s="39"/>
      <c r="S737" s="39"/>
      <c r="T737" s="39"/>
      <c r="U737" s="39"/>
      <c r="V737" s="39"/>
      <c r="W737" s="39"/>
      <c r="X737" s="39"/>
      <c r="Y737" s="39"/>
      <c r="Z737" s="39"/>
      <c r="AA737" s="39"/>
      <c r="AB737" s="39"/>
    </row>
    <row r="738">
      <c r="A738" s="1"/>
      <c r="B738" s="36"/>
      <c r="C738" s="36"/>
      <c r="D738" s="36"/>
      <c r="E738" s="36"/>
      <c r="F738" s="36"/>
      <c r="G738" s="36"/>
      <c r="H738" s="37"/>
      <c r="I738" s="36"/>
      <c r="J738" s="38"/>
      <c r="K738" s="38"/>
      <c r="L738" s="39"/>
      <c r="M738" s="39"/>
      <c r="N738" s="39"/>
      <c r="O738" s="39"/>
      <c r="P738" s="39"/>
      <c r="Q738" s="39"/>
      <c r="R738" s="39"/>
      <c r="S738" s="39"/>
      <c r="T738" s="39"/>
      <c r="U738" s="39"/>
      <c r="V738" s="39"/>
      <c r="W738" s="39"/>
      <c r="X738" s="39"/>
      <c r="Y738" s="39"/>
      <c r="Z738" s="39"/>
      <c r="AA738" s="39"/>
      <c r="AB738" s="39"/>
    </row>
    <row r="739">
      <c r="A739" s="1"/>
      <c r="B739" s="36"/>
      <c r="C739" s="36"/>
      <c r="D739" s="36"/>
      <c r="E739" s="36"/>
      <c r="F739" s="36"/>
      <c r="G739" s="36"/>
      <c r="H739" s="37"/>
      <c r="I739" s="36"/>
      <c r="J739" s="38"/>
      <c r="K739" s="38"/>
      <c r="L739" s="39"/>
      <c r="M739" s="39"/>
      <c r="N739" s="39"/>
      <c r="O739" s="39"/>
      <c r="P739" s="39"/>
      <c r="Q739" s="39"/>
      <c r="R739" s="39"/>
      <c r="S739" s="39"/>
      <c r="T739" s="39"/>
      <c r="U739" s="39"/>
      <c r="V739" s="39"/>
      <c r="W739" s="39"/>
      <c r="X739" s="39"/>
      <c r="Y739" s="39"/>
      <c r="Z739" s="39"/>
      <c r="AA739" s="39"/>
      <c r="AB739" s="39"/>
    </row>
    <row r="740">
      <c r="A740" s="1"/>
      <c r="B740" s="36"/>
      <c r="C740" s="36"/>
      <c r="D740" s="36"/>
      <c r="E740" s="36"/>
      <c r="F740" s="36"/>
      <c r="G740" s="36"/>
      <c r="H740" s="37"/>
      <c r="I740" s="36"/>
      <c r="J740" s="38"/>
      <c r="K740" s="38"/>
      <c r="L740" s="39"/>
      <c r="M740" s="39"/>
      <c r="N740" s="39"/>
      <c r="O740" s="39"/>
      <c r="P740" s="39"/>
      <c r="Q740" s="39"/>
      <c r="R740" s="39"/>
      <c r="S740" s="39"/>
      <c r="T740" s="39"/>
      <c r="U740" s="39"/>
      <c r="V740" s="39"/>
      <c r="W740" s="39"/>
      <c r="X740" s="39"/>
      <c r="Y740" s="39"/>
      <c r="Z740" s="39"/>
      <c r="AA740" s="39"/>
      <c r="AB740" s="39"/>
    </row>
    <row r="741">
      <c r="A741" s="1"/>
      <c r="B741" s="36"/>
      <c r="C741" s="36"/>
      <c r="D741" s="36"/>
      <c r="E741" s="36"/>
      <c r="F741" s="36"/>
      <c r="G741" s="36"/>
      <c r="H741" s="37"/>
      <c r="I741" s="36"/>
      <c r="J741" s="38"/>
      <c r="K741" s="38"/>
      <c r="L741" s="39"/>
      <c r="M741" s="39"/>
      <c r="N741" s="39"/>
      <c r="O741" s="39"/>
      <c r="P741" s="39"/>
      <c r="Q741" s="39"/>
      <c r="R741" s="39"/>
      <c r="S741" s="39"/>
      <c r="T741" s="39"/>
      <c r="U741" s="39"/>
      <c r="V741" s="39"/>
      <c r="W741" s="39"/>
      <c r="X741" s="39"/>
      <c r="Y741" s="39"/>
      <c r="Z741" s="39"/>
      <c r="AA741" s="39"/>
      <c r="AB741" s="39"/>
    </row>
    <row r="742">
      <c r="A742" s="1"/>
      <c r="B742" s="36"/>
      <c r="C742" s="36"/>
      <c r="D742" s="36"/>
      <c r="E742" s="36"/>
      <c r="F742" s="36"/>
      <c r="G742" s="36"/>
      <c r="H742" s="37"/>
      <c r="I742" s="36"/>
      <c r="J742" s="38"/>
      <c r="K742" s="38"/>
      <c r="L742" s="39"/>
      <c r="M742" s="39"/>
      <c r="N742" s="39"/>
      <c r="O742" s="39"/>
      <c r="P742" s="39"/>
      <c r="Q742" s="39"/>
      <c r="R742" s="39"/>
      <c r="S742" s="39"/>
      <c r="T742" s="39"/>
      <c r="U742" s="39"/>
      <c r="V742" s="39"/>
      <c r="W742" s="39"/>
      <c r="X742" s="39"/>
      <c r="Y742" s="39"/>
      <c r="Z742" s="39"/>
      <c r="AA742" s="39"/>
      <c r="AB742" s="39"/>
    </row>
    <row r="743">
      <c r="A743" s="1"/>
      <c r="B743" s="36"/>
      <c r="C743" s="36"/>
      <c r="D743" s="36"/>
      <c r="E743" s="36"/>
      <c r="F743" s="36"/>
      <c r="G743" s="36"/>
      <c r="H743" s="37"/>
      <c r="I743" s="36"/>
      <c r="J743" s="38"/>
      <c r="K743" s="38"/>
      <c r="L743" s="39"/>
      <c r="M743" s="39"/>
      <c r="N743" s="39"/>
      <c r="O743" s="39"/>
      <c r="P743" s="39"/>
      <c r="Q743" s="39"/>
      <c r="R743" s="39"/>
      <c r="S743" s="39"/>
      <c r="T743" s="39"/>
      <c r="U743" s="39"/>
      <c r="V743" s="39"/>
      <c r="W743" s="39"/>
      <c r="X743" s="39"/>
      <c r="Y743" s="39"/>
      <c r="Z743" s="39"/>
      <c r="AA743" s="39"/>
      <c r="AB743" s="39"/>
    </row>
    <row r="744">
      <c r="A744" s="1"/>
      <c r="B744" s="36"/>
      <c r="C744" s="36"/>
      <c r="D744" s="36"/>
      <c r="E744" s="36"/>
      <c r="F744" s="36"/>
      <c r="G744" s="36"/>
      <c r="H744" s="37"/>
      <c r="I744" s="36"/>
      <c r="J744" s="38"/>
      <c r="K744" s="38"/>
      <c r="L744" s="39"/>
      <c r="M744" s="39"/>
      <c r="N744" s="39"/>
      <c r="O744" s="39"/>
      <c r="P744" s="39"/>
      <c r="Q744" s="39"/>
      <c r="R744" s="39"/>
      <c r="S744" s="39"/>
      <c r="T744" s="39"/>
      <c r="U744" s="39"/>
      <c r="V744" s="39"/>
      <c r="W744" s="39"/>
      <c r="X744" s="39"/>
      <c r="Y744" s="39"/>
      <c r="Z744" s="39"/>
      <c r="AA744" s="39"/>
      <c r="AB744" s="39"/>
    </row>
    <row r="745">
      <c r="A745" s="1"/>
      <c r="B745" s="36"/>
      <c r="C745" s="36"/>
      <c r="D745" s="36"/>
      <c r="E745" s="36"/>
      <c r="F745" s="36"/>
      <c r="G745" s="36"/>
      <c r="H745" s="37"/>
      <c r="I745" s="36"/>
      <c r="J745" s="38"/>
      <c r="K745" s="38"/>
      <c r="L745" s="39"/>
      <c r="M745" s="39"/>
      <c r="N745" s="39"/>
      <c r="O745" s="39"/>
      <c r="P745" s="39"/>
      <c r="Q745" s="39"/>
      <c r="R745" s="39"/>
      <c r="S745" s="39"/>
      <c r="T745" s="39"/>
      <c r="U745" s="39"/>
      <c r="V745" s="39"/>
      <c r="W745" s="39"/>
      <c r="X745" s="39"/>
      <c r="Y745" s="39"/>
      <c r="Z745" s="39"/>
      <c r="AA745" s="39"/>
      <c r="AB745" s="39"/>
    </row>
    <row r="746">
      <c r="A746" s="1"/>
      <c r="B746" s="36"/>
      <c r="C746" s="36"/>
      <c r="D746" s="36"/>
      <c r="E746" s="36"/>
      <c r="F746" s="36"/>
      <c r="G746" s="36"/>
      <c r="H746" s="37"/>
      <c r="I746" s="36"/>
      <c r="J746" s="38"/>
      <c r="K746" s="38"/>
      <c r="L746" s="39"/>
      <c r="M746" s="39"/>
      <c r="N746" s="39"/>
      <c r="O746" s="39"/>
      <c r="P746" s="39"/>
      <c r="Q746" s="39"/>
      <c r="R746" s="39"/>
      <c r="S746" s="39"/>
      <c r="T746" s="39"/>
      <c r="U746" s="39"/>
      <c r="V746" s="39"/>
      <c r="W746" s="39"/>
      <c r="X746" s="39"/>
      <c r="Y746" s="39"/>
      <c r="Z746" s="39"/>
      <c r="AA746" s="39"/>
      <c r="AB746" s="39"/>
    </row>
    <row r="747">
      <c r="A747" s="1"/>
      <c r="B747" s="36"/>
      <c r="C747" s="36"/>
      <c r="D747" s="36"/>
      <c r="E747" s="36"/>
      <c r="F747" s="36"/>
      <c r="G747" s="36"/>
      <c r="H747" s="37"/>
      <c r="I747" s="36"/>
      <c r="J747" s="38"/>
      <c r="K747" s="38"/>
      <c r="L747" s="39"/>
      <c r="M747" s="39"/>
      <c r="N747" s="39"/>
      <c r="O747" s="39"/>
      <c r="P747" s="39"/>
      <c r="Q747" s="39"/>
      <c r="R747" s="39"/>
      <c r="S747" s="39"/>
      <c r="T747" s="39"/>
      <c r="U747" s="39"/>
      <c r="V747" s="39"/>
      <c r="W747" s="39"/>
      <c r="X747" s="39"/>
      <c r="Y747" s="39"/>
      <c r="Z747" s="39"/>
      <c r="AA747" s="39"/>
      <c r="AB747" s="39"/>
    </row>
    <row r="748">
      <c r="A748" s="1"/>
      <c r="B748" s="36"/>
      <c r="C748" s="36"/>
      <c r="D748" s="36"/>
      <c r="E748" s="36"/>
      <c r="F748" s="36"/>
      <c r="G748" s="36"/>
      <c r="H748" s="37"/>
      <c r="I748" s="36"/>
      <c r="J748" s="38"/>
      <c r="K748" s="38"/>
      <c r="L748" s="39"/>
      <c r="M748" s="39"/>
      <c r="N748" s="39"/>
      <c r="O748" s="39"/>
      <c r="P748" s="39"/>
      <c r="Q748" s="39"/>
      <c r="R748" s="39"/>
      <c r="S748" s="39"/>
      <c r="T748" s="39"/>
      <c r="U748" s="39"/>
      <c r="V748" s="39"/>
      <c r="W748" s="39"/>
      <c r="X748" s="39"/>
      <c r="Y748" s="39"/>
      <c r="Z748" s="39"/>
      <c r="AA748" s="39"/>
      <c r="AB748" s="39"/>
    </row>
    <row r="749">
      <c r="A749" s="1"/>
      <c r="B749" s="36"/>
      <c r="C749" s="36"/>
      <c r="D749" s="36"/>
      <c r="E749" s="36"/>
      <c r="F749" s="36"/>
      <c r="G749" s="36"/>
      <c r="H749" s="37"/>
      <c r="I749" s="36"/>
      <c r="J749" s="38"/>
      <c r="K749" s="38"/>
      <c r="L749" s="39"/>
      <c r="M749" s="39"/>
      <c r="N749" s="39"/>
      <c r="O749" s="39"/>
      <c r="P749" s="39"/>
      <c r="Q749" s="39"/>
      <c r="R749" s="39"/>
      <c r="S749" s="39"/>
      <c r="T749" s="39"/>
      <c r="U749" s="39"/>
      <c r="V749" s="39"/>
      <c r="W749" s="39"/>
      <c r="X749" s="39"/>
      <c r="Y749" s="39"/>
      <c r="Z749" s="39"/>
      <c r="AA749" s="39"/>
      <c r="AB749" s="39"/>
    </row>
    <row r="750">
      <c r="A750" s="1"/>
      <c r="B750" s="36"/>
      <c r="C750" s="36"/>
      <c r="D750" s="36"/>
      <c r="E750" s="36"/>
      <c r="F750" s="36"/>
      <c r="G750" s="36"/>
      <c r="H750" s="37"/>
      <c r="I750" s="36"/>
      <c r="J750" s="38"/>
      <c r="K750" s="38"/>
      <c r="L750" s="39"/>
      <c r="M750" s="39"/>
      <c r="N750" s="39"/>
      <c r="O750" s="39"/>
      <c r="P750" s="39"/>
      <c r="Q750" s="39"/>
      <c r="R750" s="39"/>
      <c r="S750" s="39"/>
      <c r="T750" s="39"/>
      <c r="U750" s="39"/>
      <c r="V750" s="39"/>
      <c r="W750" s="39"/>
      <c r="X750" s="39"/>
      <c r="Y750" s="39"/>
      <c r="Z750" s="39"/>
      <c r="AA750" s="39"/>
      <c r="AB750" s="39"/>
    </row>
    <row r="751">
      <c r="A751" s="1"/>
      <c r="B751" s="36"/>
      <c r="C751" s="36"/>
      <c r="D751" s="36"/>
      <c r="E751" s="36"/>
      <c r="F751" s="36"/>
      <c r="G751" s="36"/>
      <c r="H751" s="37"/>
      <c r="I751" s="36"/>
      <c r="J751" s="38"/>
      <c r="K751" s="38"/>
      <c r="L751" s="39"/>
      <c r="M751" s="39"/>
      <c r="N751" s="39"/>
      <c r="O751" s="39"/>
      <c r="P751" s="39"/>
      <c r="Q751" s="39"/>
      <c r="R751" s="39"/>
      <c r="S751" s="39"/>
      <c r="T751" s="39"/>
      <c r="U751" s="39"/>
      <c r="V751" s="39"/>
      <c r="W751" s="39"/>
      <c r="X751" s="39"/>
      <c r="Y751" s="39"/>
      <c r="Z751" s="39"/>
      <c r="AA751" s="39"/>
      <c r="AB751" s="39"/>
    </row>
    <row r="752">
      <c r="A752" s="1"/>
      <c r="B752" s="36"/>
      <c r="C752" s="36"/>
      <c r="D752" s="36"/>
      <c r="E752" s="36"/>
      <c r="F752" s="36"/>
      <c r="G752" s="36"/>
      <c r="H752" s="37"/>
      <c r="I752" s="36"/>
      <c r="J752" s="38"/>
      <c r="K752" s="38"/>
      <c r="L752" s="39"/>
      <c r="M752" s="39"/>
      <c r="N752" s="39"/>
      <c r="O752" s="39"/>
      <c r="P752" s="39"/>
      <c r="Q752" s="39"/>
      <c r="R752" s="39"/>
      <c r="S752" s="39"/>
      <c r="T752" s="39"/>
      <c r="U752" s="39"/>
      <c r="V752" s="39"/>
      <c r="W752" s="39"/>
      <c r="X752" s="39"/>
      <c r="Y752" s="39"/>
      <c r="Z752" s="39"/>
      <c r="AA752" s="39"/>
      <c r="AB752" s="39"/>
    </row>
    <row r="753">
      <c r="A753" s="1"/>
      <c r="B753" s="36"/>
      <c r="C753" s="36"/>
      <c r="D753" s="36"/>
      <c r="E753" s="36"/>
      <c r="F753" s="36"/>
      <c r="G753" s="36"/>
      <c r="H753" s="37"/>
      <c r="I753" s="36"/>
      <c r="J753" s="38"/>
      <c r="K753" s="38"/>
      <c r="L753" s="39"/>
      <c r="M753" s="39"/>
      <c r="N753" s="39"/>
      <c r="O753" s="39"/>
      <c r="P753" s="39"/>
      <c r="Q753" s="39"/>
      <c r="R753" s="39"/>
      <c r="S753" s="39"/>
      <c r="T753" s="39"/>
      <c r="U753" s="39"/>
      <c r="V753" s="39"/>
      <c r="W753" s="39"/>
      <c r="X753" s="39"/>
      <c r="Y753" s="39"/>
      <c r="Z753" s="39"/>
      <c r="AA753" s="39"/>
      <c r="AB753" s="39"/>
    </row>
    <row r="754">
      <c r="A754" s="1"/>
      <c r="B754" s="36"/>
      <c r="C754" s="36"/>
      <c r="D754" s="36"/>
      <c r="E754" s="36"/>
      <c r="F754" s="36"/>
      <c r="G754" s="36"/>
      <c r="H754" s="37"/>
      <c r="I754" s="36"/>
      <c r="J754" s="38"/>
      <c r="K754" s="38"/>
      <c r="L754" s="39"/>
      <c r="M754" s="39"/>
      <c r="N754" s="39"/>
      <c r="O754" s="39"/>
      <c r="P754" s="39"/>
      <c r="Q754" s="39"/>
      <c r="R754" s="39"/>
      <c r="S754" s="39"/>
      <c r="T754" s="39"/>
      <c r="U754" s="39"/>
      <c r="V754" s="39"/>
      <c r="W754" s="39"/>
      <c r="X754" s="39"/>
      <c r="Y754" s="39"/>
      <c r="Z754" s="39"/>
      <c r="AA754" s="39"/>
      <c r="AB754" s="39"/>
    </row>
    <row r="755">
      <c r="A755" s="1"/>
      <c r="B755" s="36"/>
      <c r="C755" s="36"/>
      <c r="D755" s="36"/>
      <c r="E755" s="36"/>
      <c r="F755" s="36"/>
      <c r="G755" s="36"/>
      <c r="H755" s="37"/>
      <c r="I755" s="36"/>
      <c r="J755" s="38"/>
      <c r="K755" s="38"/>
      <c r="L755" s="39"/>
      <c r="M755" s="39"/>
      <c r="N755" s="39"/>
      <c r="O755" s="39"/>
      <c r="P755" s="39"/>
      <c r="Q755" s="39"/>
      <c r="R755" s="39"/>
      <c r="S755" s="39"/>
      <c r="T755" s="39"/>
      <c r="U755" s="39"/>
      <c r="V755" s="39"/>
      <c r="W755" s="39"/>
      <c r="X755" s="39"/>
      <c r="Y755" s="39"/>
      <c r="Z755" s="39"/>
      <c r="AA755" s="39"/>
      <c r="AB755" s="39"/>
    </row>
    <row r="756">
      <c r="A756" s="1"/>
      <c r="B756" s="36"/>
      <c r="C756" s="36"/>
      <c r="D756" s="36"/>
      <c r="E756" s="36"/>
      <c r="F756" s="36"/>
      <c r="G756" s="36"/>
      <c r="H756" s="37"/>
      <c r="I756" s="36"/>
      <c r="J756" s="38"/>
      <c r="K756" s="38"/>
      <c r="L756" s="39"/>
      <c r="M756" s="39"/>
      <c r="N756" s="39"/>
      <c r="O756" s="39"/>
      <c r="P756" s="39"/>
      <c r="Q756" s="39"/>
      <c r="R756" s="39"/>
      <c r="S756" s="39"/>
      <c r="T756" s="39"/>
      <c r="U756" s="39"/>
      <c r="V756" s="39"/>
      <c r="W756" s="39"/>
      <c r="X756" s="39"/>
      <c r="Y756" s="39"/>
      <c r="Z756" s="39"/>
      <c r="AA756" s="39"/>
      <c r="AB756" s="39"/>
    </row>
    <row r="757">
      <c r="A757" s="1"/>
      <c r="B757" s="36"/>
      <c r="C757" s="36"/>
      <c r="D757" s="36"/>
      <c r="E757" s="36"/>
      <c r="F757" s="36"/>
      <c r="G757" s="36"/>
      <c r="H757" s="37"/>
      <c r="I757" s="36"/>
      <c r="J757" s="38"/>
      <c r="K757" s="38"/>
      <c r="L757" s="39"/>
      <c r="M757" s="39"/>
      <c r="N757" s="39"/>
      <c r="O757" s="39"/>
      <c r="P757" s="39"/>
      <c r="Q757" s="39"/>
      <c r="R757" s="39"/>
      <c r="S757" s="39"/>
      <c r="T757" s="39"/>
      <c r="U757" s="39"/>
      <c r="V757" s="39"/>
      <c r="W757" s="39"/>
      <c r="X757" s="39"/>
      <c r="Y757" s="39"/>
      <c r="Z757" s="39"/>
      <c r="AA757" s="39"/>
      <c r="AB757" s="39"/>
    </row>
    <row r="758">
      <c r="A758" s="1"/>
      <c r="B758" s="36"/>
      <c r="C758" s="36"/>
      <c r="D758" s="36"/>
      <c r="E758" s="36"/>
      <c r="F758" s="36"/>
      <c r="G758" s="36"/>
      <c r="H758" s="37"/>
      <c r="I758" s="36"/>
      <c r="J758" s="38"/>
      <c r="K758" s="38"/>
      <c r="L758" s="39"/>
      <c r="M758" s="39"/>
      <c r="N758" s="39"/>
      <c r="O758" s="39"/>
      <c r="P758" s="39"/>
      <c r="Q758" s="39"/>
      <c r="R758" s="39"/>
      <c r="S758" s="39"/>
      <c r="T758" s="39"/>
      <c r="U758" s="39"/>
      <c r="V758" s="39"/>
      <c r="W758" s="39"/>
      <c r="X758" s="39"/>
      <c r="Y758" s="39"/>
      <c r="Z758" s="39"/>
      <c r="AA758" s="39"/>
      <c r="AB758" s="39"/>
    </row>
    <row r="759">
      <c r="A759" s="1"/>
      <c r="B759" s="36"/>
      <c r="C759" s="36"/>
      <c r="D759" s="36"/>
      <c r="E759" s="36"/>
      <c r="F759" s="36"/>
      <c r="G759" s="36"/>
      <c r="H759" s="37"/>
      <c r="I759" s="36"/>
      <c r="J759" s="38"/>
      <c r="K759" s="38"/>
      <c r="L759" s="39"/>
      <c r="M759" s="39"/>
      <c r="N759" s="39"/>
      <c r="O759" s="39"/>
      <c r="P759" s="39"/>
      <c r="Q759" s="39"/>
      <c r="R759" s="39"/>
      <c r="S759" s="39"/>
      <c r="T759" s="39"/>
      <c r="U759" s="39"/>
      <c r="V759" s="39"/>
      <c r="W759" s="39"/>
      <c r="X759" s="39"/>
      <c r="Y759" s="39"/>
      <c r="Z759" s="39"/>
      <c r="AA759" s="39"/>
      <c r="AB759" s="39"/>
    </row>
    <row r="760">
      <c r="A760" s="1"/>
      <c r="B760" s="36"/>
      <c r="C760" s="36"/>
      <c r="D760" s="36"/>
      <c r="E760" s="36"/>
      <c r="F760" s="36"/>
      <c r="G760" s="36"/>
      <c r="H760" s="37"/>
      <c r="I760" s="36"/>
      <c r="J760" s="38"/>
      <c r="K760" s="38"/>
      <c r="L760" s="39"/>
      <c r="M760" s="39"/>
      <c r="N760" s="39"/>
      <c r="O760" s="39"/>
      <c r="P760" s="39"/>
      <c r="Q760" s="39"/>
      <c r="R760" s="39"/>
      <c r="S760" s="39"/>
      <c r="T760" s="39"/>
      <c r="U760" s="39"/>
      <c r="V760" s="39"/>
      <c r="W760" s="39"/>
      <c r="X760" s="39"/>
      <c r="Y760" s="39"/>
      <c r="Z760" s="39"/>
      <c r="AA760" s="39"/>
      <c r="AB760" s="39"/>
    </row>
    <row r="761">
      <c r="A761" s="1"/>
      <c r="B761" s="36"/>
      <c r="C761" s="36"/>
      <c r="D761" s="36"/>
      <c r="E761" s="36"/>
      <c r="F761" s="36"/>
      <c r="G761" s="36"/>
      <c r="H761" s="37"/>
      <c r="I761" s="36"/>
      <c r="J761" s="38"/>
      <c r="K761" s="38"/>
      <c r="L761" s="39"/>
      <c r="M761" s="39"/>
      <c r="N761" s="39"/>
      <c r="O761" s="39"/>
      <c r="P761" s="39"/>
      <c r="Q761" s="39"/>
      <c r="R761" s="39"/>
      <c r="S761" s="39"/>
      <c r="T761" s="39"/>
      <c r="U761" s="39"/>
      <c r="V761" s="39"/>
      <c r="W761" s="39"/>
      <c r="X761" s="39"/>
      <c r="Y761" s="39"/>
      <c r="Z761" s="39"/>
      <c r="AA761" s="39"/>
      <c r="AB761" s="39"/>
    </row>
    <row r="762">
      <c r="A762" s="1"/>
      <c r="B762" s="36"/>
      <c r="C762" s="36"/>
      <c r="D762" s="36"/>
      <c r="E762" s="36"/>
      <c r="F762" s="36"/>
      <c r="G762" s="36"/>
      <c r="H762" s="37"/>
      <c r="I762" s="36"/>
      <c r="J762" s="38"/>
      <c r="K762" s="38"/>
      <c r="L762" s="39"/>
      <c r="M762" s="39"/>
      <c r="N762" s="39"/>
      <c r="O762" s="39"/>
      <c r="P762" s="39"/>
      <c r="Q762" s="39"/>
      <c r="R762" s="39"/>
      <c r="S762" s="39"/>
      <c r="T762" s="39"/>
      <c r="U762" s="39"/>
      <c r="V762" s="39"/>
      <c r="W762" s="39"/>
      <c r="X762" s="39"/>
      <c r="Y762" s="39"/>
      <c r="Z762" s="39"/>
      <c r="AA762" s="39"/>
      <c r="AB762" s="39"/>
    </row>
    <row r="763">
      <c r="A763" s="1"/>
      <c r="B763" s="36"/>
      <c r="C763" s="36"/>
      <c r="D763" s="36"/>
      <c r="E763" s="36"/>
      <c r="F763" s="36"/>
      <c r="G763" s="36"/>
      <c r="H763" s="37"/>
      <c r="I763" s="36"/>
      <c r="J763" s="38"/>
      <c r="K763" s="38"/>
      <c r="L763" s="39"/>
      <c r="M763" s="39"/>
      <c r="N763" s="39"/>
      <c r="O763" s="39"/>
      <c r="P763" s="39"/>
      <c r="Q763" s="39"/>
      <c r="R763" s="39"/>
      <c r="S763" s="39"/>
      <c r="T763" s="39"/>
      <c r="U763" s="39"/>
      <c r="V763" s="39"/>
      <c r="W763" s="39"/>
      <c r="X763" s="39"/>
      <c r="Y763" s="39"/>
      <c r="Z763" s="39"/>
      <c r="AA763" s="39"/>
      <c r="AB763" s="39"/>
    </row>
    <row r="764">
      <c r="A764" s="1"/>
      <c r="B764" s="36"/>
      <c r="C764" s="36"/>
      <c r="D764" s="36"/>
      <c r="E764" s="36"/>
      <c r="F764" s="36"/>
      <c r="G764" s="36"/>
      <c r="H764" s="37"/>
      <c r="I764" s="36"/>
      <c r="J764" s="38"/>
      <c r="K764" s="38"/>
      <c r="L764" s="39"/>
      <c r="M764" s="39"/>
      <c r="N764" s="39"/>
      <c r="O764" s="39"/>
      <c r="P764" s="39"/>
      <c r="Q764" s="39"/>
      <c r="R764" s="39"/>
      <c r="S764" s="39"/>
      <c r="T764" s="39"/>
      <c r="U764" s="39"/>
      <c r="V764" s="39"/>
      <c r="W764" s="39"/>
      <c r="X764" s="39"/>
      <c r="Y764" s="39"/>
      <c r="Z764" s="39"/>
      <c r="AA764" s="39"/>
      <c r="AB764" s="39"/>
    </row>
    <row r="765">
      <c r="A765" s="1"/>
      <c r="B765" s="36"/>
      <c r="C765" s="36"/>
      <c r="D765" s="36"/>
      <c r="E765" s="36"/>
      <c r="F765" s="36"/>
      <c r="G765" s="36"/>
      <c r="H765" s="37"/>
      <c r="I765" s="36"/>
      <c r="J765" s="38"/>
      <c r="K765" s="38"/>
      <c r="L765" s="39"/>
      <c r="M765" s="39"/>
      <c r="N765" s="39"/>
      <c r="O765" s="39"/>
      <c r="P765" s="39"/>
      <c r="Q765" s="39"/>
      <c r="R765" s="39"/>
      <c r="S765" s="39"/>
      <c r="T765" s="39"/>
      <c r="U765" s="39"/>
      <c r="V765" s="39"/>
      <c r="W765" s="39"/>
      <c r="X765" s="39"/>
      <c r="Y765" s="39"/>
      <c r="Z765" s="39"/>
      <c r="AA765" s="39"/>
      <c r="AB765" s="39"/>
    </row>
    <row r="766">
      <c r="A766" s="1"/>
      <c r="B766" s="36"/>
      <c r="C766" s="36"/>
      <c r="D766" s="36"/>
      <c r="E766" s="36"/>
      <c r="F766" s="36"/>
      <c r="G766" s="36"/>
      <c r="H766" s="37"/>
      <c r="I766" s="36"/>
      <c r="J766" s="38"/>
      <c r="K766" s="38"/>
      <c r="L766" s="39"/>
      <c r="M766" s="39"/>
      <c r="N766" s="39"/>
      <c r="O766" s="39"/>
      <c r="P766" s="39"/>
      <c r="Q766" s="39"/>
      <c r="R766" s="39"/>
      <c r="S766" s="39"/>
      <c r="T766" s="39"/>
      <c r="U766" s="39"/>
      <c r="V766" s="39"/>
      <c r="W766" s="39"/>
      <c r="X766" s="39"/>
      <c r="Y766" s="39"/>
      <c r="Z766" s="39"/>
      <c r="AA766" s="39"/>
      <c r="AB766" s="39"/>
    </row>
    <row r="767">
      <c r="A767" s="1"/>
      <c r="B767" s="36"/>
      <c r="C767" s="36"/>
      <c r="D767" s="36"/>
      <c r="E767" s="36"/>
      <c r="F767" s="36"/>
      <c r="G767" s="36"/>
      <c r="H767" s="37"/>
      <c r="I767" s="36"/>
      <c r="J767" s="38"/>
      <c r="K767" s="38"/>
      <c r="L767" s="39"/>
      <c r="M767" s="39"/>
      <c r="N767" s="39"/>
      <c r="O767" s="39"/>
      <c r="P767" s="39"/>
      <c r="Q767" s="39"/>
      <c r="R767" s="39"/>
      <c r="S767" s="39"/>
      <c r="T767" s="39"/>
      <c r="U767" s="39"/>
      <c r="V767" s="39"/>
      <c r="W767" s="39"/>
      <c r="X767" s="39"/>
      <c r="Y767" s="39"/>
      <c r="Z767" s="39"/>
      <c r="AA767" s="39"/>
      <c r="AB767" s="39"/>
    </row>
    <row r="768">
      <c r="A768" s="1"/>
      <c r="B768" s="36"/>
      <c r="C768" s="36"/>
      <c r="D768" s="36"/>
      <c r="E768" s="36"/>
      <c r="F768" s="36"/>
      <c r="G768" s="36"/>
      <c r="H768" s="37"/>
      <c r="I768" s="36"/>
      <c r="J768" s="38"/>
      <c r="K768" s="38"/>
      <c r="L768" s="39"/>
      <c r="M768" s="39"/>
      <c r="N768" s="39"/>
      <c r="O768" s="39"/>
      <c r="P768" s="39"/>
      <c r="Q768" s="39"/>
      <c r="R768" s="39"/>
      <c r="S768" s="39"/>
      <c r="T768" s="39"/>
      <c r="U768" s="39"/>
      <c r="V768" s="39"/>
      <c r="W768" s="39"/>
      <c r="X768" s="39"/>
      <c r="Y768" s="39"/>
      <c r="Z768" s="39"/>
      <c r="AA768" s="39"/>
      <c r="AB768" s="39"/>
    </row>
    <row r="769">
      <c r="A769" s="1"/>
      <c r="B769" s="36"/>
      <c r="C769" s="36"/>
      <c r="D769" s="36"/>
      <c r="E769" s="36"/>
      <c r="F769" s="36"/>
      <c r="G769" s="36"/>
      <c r="H769" s="37"/>
      <c r="I769" s="36"/>
      <c r="J769" s="38"/>
      <c r="K769" s="38"/>
      <c r="L769" s="39"/>
      <c r="M769" s="39"/>
      <c r="N769" s="39"/>
      <c r="O769" s="39"/>
      <c r="P769" s="39"/>
      <c r="Q769" s="39"/>
      <c r="R769" s="39"/>
      <c r="S769" s="39"/>
      <c r="T769" s="39"/>
      <c r="U769" s="39"/>
      <c r="V769" s="39"/>
      <c r="W769" s="39"/>
      <c r="X769" s="39"/>
      <c r="Y769" s="39"/>
      <c r="Z769" s="39"/>
      <c r="AA769" s="39"/>
      <c r="AB769" s="39"/>
    </row>
    <row r="770">
      <c r="A770" s="1"/>
      <c r="B770" s="36"/>
      <c r="C770" s="36"/>
      <c r="D770" s="36"/>
      <c r="E770" s="36"/>
      <c r="F770" s="36"/>
      <c r="G770" s="36"/>
      <c r="H770" s="37"/>
      <c r="I770" s="36"/>
      <c r="J770" s="38"/>
      <c r="K770" s="38"/>
      <c r="L770" s="39"/>
      <c r="M770" s="39"/>
      <c r="N770" s="39"/>
      <c r="O770" s="39"/>
      <c r="P770" s="39"/>
      <c r="Q770" s="39"/>
      <c r="R770" s="39"/>
      <c r="S770" s="39"/>
      <c r="T770" s="39"/>
      <c r="U770" s="39"/>
      <c r="V770" s="39"/>
      <c r="W770" s="39"/>
      <c r="X770" s="39"/>
      <c r="Y770" s="39"/>
      <c r="Z770" s="39"/>
      <c r="AA770" s="39"/>
      <c r="AB770" s="39"/>
    </row>
    <row r="771">
      <c r="A771" s="1"/>
      <c r="B771" s="36"/>
      <c r="C771" s="36"/>
      <c r="D771" s="36"/>
      <c r="E771" s="36"/>
      <c r="F771" s="36"/>
      <c r="G771" s="36"/>
      <c r="H771" s="37"/>
      <c r="I771" s="36"/>
      <c r="J771" s="38"/>
      <c r="K771" s="38"/>
      <c r="L771" s="39"/>
      <c r="M771" s="39"/>
      <c r="N771" s="39"/>
      <c r="O771" s="39"/>
      <c r="P771" s="39"/>
      <c r="Q771" s="39"/>
      <c r="R771" s="39"/>
      <c r="S771" s="39"/>
      <c r="T771" s="39"/>
      <c r="U771" s="39"/>
      <c r="V771" s="39"/>
      <c r="W771" s="39"/>
      <c r="X771" s="39"/>
      <c r="Y771" s="39"/>
      <c r="Z771" s="39"/>
      <c r="AA771" s="39"/>
      <c r="AB771" s="39"/>
    </row>
    <row r="772">
      <c r="A772" s="1"/>
      <c r="B772" s="36"/>
      <c r="C772" s="36"/>
      <c r="D772" s="36"/>
      <c r="E772" s="36"/>
      <c r="F772" s="36"/>
      <c r="G772" s="36"/>
      <c r="H772" s="37"/>
      <c r="I772" s="36"/>
      <c r="J772" s="38"/>
      <c r="K772" s="38"/>
      <c r="L772" s="39"/>
      <c r="M772" s="39"/>
      <c r="N772" s="39"/>
      <c r="O772" s="39"/>
      <c r="P772" s="39"/>
      <c r="Q772" s="39"/>
      <c r="R772" s="39"/>
      <c r="S772" s="39"/>
      <c r="T772" s="39"/>
      <c r="U772" s="39"/>
      <c r="V772" s="39"/>
      <c r="W772" s="39"/>
      <c r="X772" s="39"/>
      <c r="Y772" s="39"/>
      <c r="Z772" s="39"/>
      <c r="AA772" s="39"/>
      <c r="AB772" s="39"/>
    </row>
    <row r="773">
      <c r="A773" s="1"/>
      <c r="B773" s="36"/>
      <c r="C773" s="36"/>
      <c r="D773" s="36"/>
      <c r="E773" s="36"/>
      <c r="F773" s="36"/>
      <c r="G773" s="36"/>
      <c r="H773" s="37"/>
      <c r="I773" s="36"/>
      <c r="J773" s="38"/>
      <c r="K773" s="38"/>
      <c r="L773" s="39"/>
      <c r="M773" s="39"/>
      <c r="N773" s="39"/>
      <c r="O773" s="39"/>
      <c r="P773" s="39"/>
      <c r="Q773" s="39"/>
      <c r="R773" s="39"/>
      <c r="S773" s="39"/>
      <c r="T773" s="39"/>
      <c r="U773" s="39"/>
      <c r="V773" s="39"/>
      <c r="W773" s="39"/>
      <c r="X773" s="39"/>
      <c r="Y773" s="39"/>
      <c r="Z773" s="39"/>
      <c r="AA773" s="39"/>
      <c r="AB773" s="39"/>
    </row>
    <row r="774">
      <c r="A774" s="1"/>
      <c r="B774" s="36"/>
      <c r="C774" s="36"/>
      <c r="D774" s="36"/>
      <c r="E774" s="36"/>
      <c r="F774" s="36"/>
      <c r="G774" s="36"/>
      <c r="H774" s="37"/>
      <c r="I774" s="36"/>
      <c r="J774" s="38"/>
      <c r="K774" s="38"/>
      <c r="L774" s="39"/>
      <c r="M774" s="39"/>
      <c r="N774" s="39"/>
      <c r="O774" s="39"/>
      <c r="P774" s="39"/>
      <c r="Q774" s="39"/>
      <c r="R774" s="39"/>
      <c r="S774" s="39"/>
      <c r="T774" s="39"/>
      <c r="U774" s="39"/>
      <c r="V774" s="39"/>
      <c r="W774" s="39"/>
      <c r="X774" s="39"/>
      <c r="Y774" s="39"/>
      <c r="Z774" s="39"/>
      <c r="AA774" s="39"/>
      <c r="AB774" s="39"/>
    </row>
    <row r="775">
      <c r="A775" s="1"/>
      <c r="B775" s="36"/>
      <c r="C775" s="36"/>
      <c r="D775" s="36"/>
      <c r="E775" s="36"/>
      <c r="F775" s="36"/>
      <c r="G775" s="36"/>
      <c r="H775" s="37"/>
      <c r="I775" s="36"/>
      <c r="J775" s="38"/>
      <c r="K775" s="38"/>
      <c r="L775" s="39"/>
      <c r="M775" s="39"/>
      <c r="N775" s="39"/>
      <c r="O775" s="39"/>
      <c r="P775" s="39"/>
      <c r="Q775" s="39"/>
      <c r="R775" s="39"/>
      <c r="S775" s="39"/>
      <c r="T775" s="39"/>
      <c r="U775" s="39"/>
      <c r="V775" s="39"/>
      <c r="W775" s="39"/>
      <c r="X775" s="39"/>
      <c r="Y775" s="39"/>
      <c r="Z775" s="39"/>
      <c r="AA775" s="39"/>
      <c r="AB775" s="39"/>
    </row>
    <row r="776">
      <c r="A776" s="1"/>
      <c r="B776" s="36"/>
      <c r="C776" s="36"/>
      <c r="D776" s="36"/>
      <c r="E776" s="36"/>
      <c r="F776" s="36"/>
      <c r="G776" s="36"/>
      <c r="H776" s="37"/>
      <c r="I776" s="36"/>
      <c r="J776" s="38"/>
      <c r="K776" s="38"/>
      <c r="L776" s="39"/>
      <c r="M776" s="39"/>
      <c r="N776" s="39"/>
      <c r="O776" s="39"/>
      <c r="P776" s="39"/>
      <c r="Q776" s="39"/>
      <c r="R776" s="39"/>
      <c r="S776" s="39"/>
      <c r="T776" s="39"/>
      <c r="U776" s="39"/>
      <c r="V776" s="39"/>
      <c r="W776" s="39"/>
      <c r="X776" s="39"/>
      <c r="Y776" s="39"/>
      <c r="Z776" s="39"/>
      <c r="AA776" s="39"/>
      <c r="AB776" s="39"/>
    </row>
    <row r="777">
      <c r="A777" s="1"/>
      <c r="B777" s="36"/>
      <c r="C777" s="36"/>
      <c r="D777" s="36"/>
      <c r="E777" s="36"/>
      <c r="F777" s="36"/>
      <c r="G777" s="36"/>
      <c r="H777" s="37"/>
      <c r="I777" s="36"/>
      <c r="J777" s="38"/>
      <c r="K777" s="38"/>
      <c r="L777" s="39"/>
      <c r="M777" s="39"/>
      <c r="N777" s="39"/>
      <c r="O777" s="39"/>
      <c r="P777" s="39"/>
      <c r="Q777" s="39"/>
      <c r="R777" s="39"/>
      <c r="S777" s="39"/>
      <c r="T777" s="39"/>
      <c r="U777" s="39"/>
      <c r="V777" s="39"/>
      <c r="W777" s="39"/>
      <c r="X777" s="39"/>
      <c r="Y777" s="39"/>
      <c r="Z777" s="39"/>
      <c r="AA777" s="39"/>
      <c r="AB777" s="39"/>
    </row>
    <row r="778">
      <c r="A778" s="1"/>
      <c r="B778" s="36"/>
      <c r="C778" s="36"/>
      <c r="D778" s="36"/>
      <c r="E778" s="36"/>
      <c r="F778" s="36"/>
      <c r="G778" s="36"/>
      <c r="H778" s="37"/>
      <c r="I778" s="36"/>
      <c r="J778" s="38"/>
      <c r="K778" s="38"/>
      <c r="L778" s="39"/>
      <c r="M778" s="39"/>
      <c r="N778" s="39"/>
      <c r="O778" s="39"/>
      <c r="P778" s="39"/>
      <c r="Q778" s="39"/>
      <c r="R778" s="39"/>
      <c r="S778" s="39"/>
      <c r="T778" s="39"/>
      <c r="U778" s="39"/>
      <c r="V778" s="39"/>
      <c r="W778" s="39"/>
      <c r="X778" s="39"/>
      <c r="Y778" s="39"/>
      <c r="Z778" s="39"/>
      <c r="AA778" s="39"/>
      <c r="AB778" s="39"/>
    </row>
    <row r="779">
      <c r="A779" s="1"/>
      <c r="B779" s="36"/>
      <c r="C779" s="36"/>
      <c r="D779" s="36"/>
      <c r="E779" s="36"/>
      <c r="F779" s="36"/>
      <c r="G779" s="36"/>
      <c r="H779" s="37"/>
      <c r="I779" s="36"/>
      <c r="J779" s="38"/>
      <c r="K779" s="38"/>
      <c r="L779" s="39"/>
      <c r="M779" s="39"/>
      <c r="N779" s="39"/>
      <c r="O779" s="39"/>
      <c r="P779" s="39"/>
      <c r="Q779" s="39"/>
      <c r="R779" s="39"/>
      <c r="S779" s="39"/>
      <c r="T779" s="39"/>
      <c r="U779" s="39"/>
      <c r="V779" s="39"/>
      <c r="W779" s="39"/>
      <c r="X779" s="39"/>
      <c r="Y779" s="39"/>
      <c r="Z779" s="39"/>
      <c r="AA779" s="39"/>
      <c r="AB779" s="39"/>
    </row>
    <row r="780">
      <c r="A780" s="1"/>
      <c r="B780" s="36"/>
      <c r="C780" s="36"/>
      <c r="D780" s="36"/>
      <c r="E780" s="36"/>
      <c r="F780" s="36"/>
      <c r="G780" s="36"/>
      <c r="H780" s="37"/>
      <c r="I780" s="36"/>
      <c r="J780" s="38"/>
      <c r="K780" s="38"/>
      <c r="L780" s="39"/>
      <c r="M780" s="39"/>
      <c r="N780" s="39"/>
      <c r="O780" s="39"/>
      <c r="P780" s="39"/>
      <c r="Q780" s="39"/>
      <c r="R780" s="39"/>
      <c r="S780" s="39"/>
      <c r="T780" s="39"/>
      <c r="U780" s="39"/>
      <c r="V780" s="39"/>
      <c r="W780" s="39"/>
      <c r="X780" s="39"/>
      <c r="Y780" s="39"/>
      <c r="Z780" s="39"/>
      <c r="AA780" s="39"/>
      <c r="AB780" s="39"/>
    </row>
    <row r="781">
      <c r="A781" s="1"/>
      <c r="B781" s="36"/>
      <c r="C781" s="36"/>
      <c r="D781" s="36"/>
      <c r="E781" s="36"/>
      <c r="F781" s="36"/>
      <c r="G781" s="36"/>
      <c r="H781" s="37"/>
      <c r="I781" s="36"/>
      <c r="J781" s="38"/>
      <c r="K781" s="38"/>
      <c r="L781" s="39"/>
      <c r="M781" s="39"/>
      <c r="N781" s="39"/>
      <c r="O781" s="39"/>
      <c r="P781" s="39"/>
      <c r="Q781" s="39"/>
      <c r="R781" s="39"/>
      <c r="S781" s="39"/>
      <c r="T781" s="39"/>
      <c r="U781" s="39"/>
      <c r="V781" s="39"/>
      <c r="W781" s="39"/>
      <c r="X781" s="39"/>
      <c r="Y781" s="39"/>
      <c r="Z781" s="39"/>
      <c r="AA781" s="39"/>
      <c r="AB781" s="39"/>
    </row>
    <row r="782">
      <c r="A782" s="1"/>
      <c r="B782" s="36"/>
      <c r="C782" s="36"/>
      <c r="D782" s="36"/>
      <c r="E782" s="36"/>
      <c r="F782" s="36"/>
      <c r="G782" s="36"/>
      <c r="H782" s="37"/>
      <c r="I782" s="36"/>
      <c r="J782" s="38"/>
      <c r="K782" s="38"/>
      <c r="L782" s="39"/>
      <c r="M782" s="39"/>
      <c r="N782" s="39"/>
      <c r="O782" s="39"/>
      <c r="P782" s="39"/>
      <c r="Q782" s="39"/>
      <c r="R782" s="39"/>
      <c r="S782" s="39"/>
      <c r="T782" s="39"/>
      <c r="U782" s="39"/>
      <c r="V782" s="39"/>
      <c r="W782" s="39"/>
      <c r="X782" s="39"/>
      <c r="Y782" s="39"/>
      <c r="Z782" s="39"/>
      <c r="AA782" s="39"/>
      <c r="AB782" s="39"/>
    </row>
    <row r="783">
      <c r="A783" s="1"/>
      <c r="B783" s="36"/>
      <c r="C783" s="36"/>
      <c r="D783" s="36"/>
      <c r="E783" s="36"/>
      <c r="F783" s="36"/>
      <c r="G783" s="36"/>
      <c r="H783" s="37"/>
      <c r="I783" s="36"/>
      <c r="J783" s="38"/>
      <c r="K783" s="38"/>
      <c r="L783" s="39"/>
      <c r="M783" s="39"/>
      <c r="N783" s="39"/>
      <c r="O783" s="39"/>
      <c r="P783" s="39"/>
      <c r="Q783" s="39"/>
      <c r="R783" s="39"/>
      <c r="S783" s="39"/>
      <c r="T783" s="39"/>
      <c r="U783" s="39"/>
      <c r="V783" s="39"/>
      <c r="W783" s="39"/>
      <c r="X783" s="39"/>
      <c r="Y783" s="39"/>
      <c r="Z783" s="39"/>
      <c r="AA783" s="39"/>
      <c r="AB783" s="39"/>
    </row>
    <row r="784">
      <c r="A784" s="1"/>
      <c r="B784" s="36"/>
      <c r="C784" s="36"/>
      <c r="D784" s="36"/>
      <c r="E784" s="36"/>
      <c r="F784" s="36"/>
      <c r="G784" s="36"/>
      <c r="H784" s="37"/>
      <c r="I784" s="36"/>
      <c r="J784" s="38"/>
      <c r="K784" s="38"/>
      <c r="L784" s="39"/>
      <c r="M784" s="39"/>
      <c r="N784" s="39"/>
      <c r="O784" s="39"/>
      <c r="P784" s="39"/>
      <c r="Q784" s="39"/>
      <c r="R784" s="39"/>
      <c r="S784" s="39"/>
      <c r="T784" s="39"/>
      <c r="U784" s="39"/>
      <c r="V784" s="39"/>
      <c r="W784" s="39"/>
      <c r="X784" s="39"/>
      <c r="Y784" s="39"/>
      <c r="Z784" s="39"/>
      <c r="AA784" s="39"/>
      <c r="AB784" s="39"/>
    </row>
    <row r="785">
      <c r="A785" s="1"/>
      <c r="B785" s="36"/>
      <c r="C785" s="36"/>
      <c r="D785" s="36"/>
      <c r="E785" s="36"/>
      <c r="F785" s="36"/>
      <c r="G785" s="36"/>
      <c r="H785" s="37"/>
      <c r="I785" s="36"/>
      <c r="J785" s="38"/>
      <c r="K785" s="38"/>
      <c r="L785" s="39"/>
      <c r="M785" s="39"/>
      <c r="N785" s="39"/>
      <c r="O785" s="39"/>
      <c r="P785" s="39"/>
      <c r="Q785" s="39"/>
      <c r="R785" s="39"/>
      <c r="S785" s="39"/>
      <c r="T785" s="39"/>
      <c r="U785" s="39"/>
      <c r="V785" s="39"/>
      <c r="W785" s="39"/>
      <c r="X785" s="39"/>
      <c r="Y785" s="39"/>
      <c r="Z785" s="39"/>
      <c r="AA785" s="39"/>
      <c r="AB785" s="39"/>
    </row>
    <row r="786">
      <c r="A786" s="1"/>
      <c r="B786" s="36"/>
      <c r="C786" s="36"/>
      <c r="D786" s="36"/>
      <c r="E786" s="36"/>
      <c r="F786" s="36"/>
      <c r="G786" s="36"/>
      <c r="H786" s="37"/>
      <c r="I786" s="36"/>
      <c r="J786" s="38"/>
      <c r="K786" s="38"/>
      <c r="L786" s="39"/>
      <c r="M786" s="39"/>
      <c r="N786" s="39"/>
      <c r="O786" s="39"/>
      <c r="P786" s="39"/>
      <c r="Q786" s="39"/>
      <c r="R786" s="39"/>
      <c r="S786" s="39"/>
      <c r="T786" s="39"/>
      <c r="U786" s="39"/>
      <c r="V786" s="39"/>
      <c r="W786" s="39"/>
      <c r="X786" s="39"/>
      <c r="Y786" s="39"/>
      <c r="Z786" s="39"/>
      <c r="AA786" s="39"/>
      <c r="AB786" s="39"/>
    </row>
    <row r="787">
      <c r="A787" s="1"/>
      <c r="B787" s="36"/>
      <c r="C787" s="36"/>
      <c r="D787" s="36"/>
      <c r="E787" s="36"/>
      <c r="F787" s="36"/>
      <c r="G787" s="36"/>
      <c r="H787" s="37"/>
      <c r="I787" s="36"/>
      <c r="J787" s="38"/>
      <c r="K787" s="38"/>
      <c r="L787" s="39"/>
      <c r="M787" s="39"/>
      <c r="N787" s="39"/>
      <c r="O787" s="39"/>
      <c r="P787" s="39"/>
      <c r="Q787" s="39"/>
      <c r="R787" s="39"/>
      <c r="S787" s="39"/>
      <c r="T787" s="39"/>
      <c r="U787" s="39"/>
      <c r="V787" s="39"/>
      <c r="W787" s="39"/>
      <c r="X787" s="39"/>
      <c r="Y787" s="39"/>
      <c r="Z787" s="39"/>
      <c r="AA787" s="39"/>
      <c r="AB787" s="39"/>
    </row>
    <row r="788">
      <c r="A788" s="1"/>
      <c r="B788" s="36"/>
      <c r="C788" s="36"/>
      <c r="D788" s="36"/>
      <c r="E788" s="36"/>
      <c r="F788" s="36"/>
      <c r="G788" s="36"/>
      <c r="H788" s="37"/>
      <c r="I788" s="36"/>
      <c r="J788" s="38"/>
      <c r="K788" s="38"/>
      <c r="L788" s="39"/>
      <c r="M788" s="39"/>
      <c r="N788" s="39"/>
      <c r="O788" s="39"/>
      <c r="P788" s="39"/>
      <c r="Q788" s="39"/>
      <c r="R788" s="39"/>
      <c r="S788" s="39"/>
      <c r="T788" s="39"/>
      <c r="U788" s="39"/>
      <c r="V788" s="39"/>
      <c r="W788" s="39"/>
      <c r="X788" s="39"/>
      <c r="Y788" s="39"/>
      <c r="Z788" s="39"/>
      <c r="AA788" s="39"/>
      <c r="AB788" s="39"/>
    </row>
    <row r="789">
      <c r="A789" s="1"/>
      <c r="B789" s="36"/>
      <c r="C789" s="36"/>
      <c r="D789" s="36"/>
      <c r="E789" s="36"/>
      <c r="F789" s="36"/>
      <c r="G789" s="36"/>
      <c r="H789" s="37"/>
      <c r="I789" s="36"/>
      <c r="J789" s="38"/>
      <c r="K789" s="38"/>
      <c r="L789" s="39"/>
      <c r="M789" s="39"/>
      <c r="N789" s="39"/>
      <c r="O789" s="39"/>
      <c r="P789" s="39"/>
      <c r="Q789" s="39"/>
      <c r="R789" s="39"/>
      <c r="S789" s="39"/>
      <c r="T789" s="39"/>
      <c r="U789" s="39"/>
      <c r="V789" s="39"/>
      <c r="W789" s="39"/>
      <c r="X789" s="39"/>
      <c r="Y789" s="39"/>
      <c r="Z789" s="39"/>
      <c r="AA789" s="39"/>
      <c r="AB789" s="39"/>
    </row>
    <row r="790">
      <c r="A790" s="1"/>
      <c r="B790" s="36"/>
      <c r="C790" s="36"/>
      <c r="D790" s="36"/>
      <c r="E790" s="36"/>
      <c r="F790" s="36"/>
      <c r="G790" s="36"/>
      <c r="H790" s="37"/>
      <c r="I790" s="36"/>
      <c r="J790" s="38"/>
      <c r="K790" s="38"/>
      <c r="L790" s="39"/>
      <c r="M790" s="39"/>
      <c r="N790" s="39"/>
      <c r="O790" s="39"/>
      <c r="P790" s="39"/>
      <c r="Q790" s="39"/>
      <c r="R790" s="39"/>
      <c r="S790" s="39"/>
      <c r="T790" s="39"/>
      <c r="U790" s="39"/>
      <c r="V790" s="39"/>
      <c r="W790" s="39"/>
      <c r="X790" s="39"/>
      <c r="Y790" s="39"/>
      <c r="Z790" s="39"/>
      <c r="AA790" s="39"/>
      <c r="AB790" s="39"/>
    </row>
    <row r="791">
      <c r="A791" s="1"/>
      <c r="B791" s="36"/>
      <c r="C791" s="36"/>
      <c r="D791" s="36"/>
      <c r="E791" s="36"/>
      <c r="F791" s="36"/>
      <c r="G791" s="36"/>
      <c r="H791" s="37"/>
      <c r="I791" s="36"/>
      <c r="J791" s="38"/>
      <c r="K791" s="38"/>
      <c r="L791" s="39"/>
      <c r="M791" s="39"/>
      <c r="N791" s="39"/>
      <c r="O791" s="39"/>
      <c r="P791" s="39"/>
      <c r="Q791" s="39"/>
      <c r="R791" s="39"/>
      <c r="S791" s="39"/>
      <c r="T791" s="39"/>
      <c r="U791" s="39"/>
      <c r="V791" s="39"/>
      <c r="W791" s="39"/>
      <c r="X791" s="39"/>
      <c r="Y791" s="39"/>
      <c r="Z791" s="39"/>
      <c r="AA791" s="39"/>
      <c r="AB791" s="39"/>
    </row>
    <row r="792">
      <c r="A792" s="1"/>
      <c r="B792" s="36"/>
      <c r="C792" s="36"/>
      <c r="D792" s="36"/>
      <c r="E792" s="36"/>
      <c r="F792" s="36"/>
      <c r="G792" s="36"/>
      <c r="H792" s="37"/>
      <c r="I792" s="36"/>
      <c r="J792" s="38"/>
      <c r="K792" s="38"/>
      <c r="L792" s="39"/>
      <c r="M792" s="39"/>
      <c r="N792" s="39"/>
      <c r="O792" s="39"/>
      <c r="P792" s="39"/>
      <c r="Q792" s="39"/>
      <c r="R792" s="39"/>
      <c r="S792" s="39"/>
      <c r="T792" s="39"/>
      <c r="U792" s="39"/>
      <c r="V792" s="39"/>
      <c r="W792" s="39"/>
      <c r="X792" s="39"/>
      <c r="Y792" s="39"/>
      <c r="Z792" s="39"/>
      <c r="AA792" s="39"/>
      <c r="AB792" s="39"/>
    </row>
    <row r="793">
      <c r="A793" s="1"/>
      <c r="B793" s="36"/>
      <c r="C793" s="36"/>
      <c r="D793" s="36"/>
      <c r="E793" s="36"/>
      <c r="F793" s="36"/>
      <c r="G793" s="36"/>
      <c r="H793" s="37"/>
      <c r="I793" s="36"/>
      <c r="J793" s="38"/>
      <c r="K793" s="38"/>
      <c r="L793" s="39"/>
      <c r="M793" s="39"/>
      <c r="N793" s="39"/>
      <c r="O793" s="39"/>
      <c r="P793" s="39"/>
      <c r="Q793" s="39"/>
      <c r="R793" s="39"/>
      <c r="S793" s="39"/>
      <c r="T793" s="39"/>
      <c r="U793" s="39"/>
      <c r="V793" s="39"/>
      <c r="W793" s="39"/>
      <c r="X793" s="39"/>
      <c r="Y793" s="39"/>
      <c r="Z793" s="39"/>
      <c r="AA793" s="39"/>
      <c r="AB793" s="39"/>
    </row>
    <row r="794">
      <c r="A794" s="1"/>
      <c r="B794" s="36"/>
      <c r="C794" s="36"/>
      <c r="D794" s="36"/>
      <c r="E794" s="36"/>
      <c r="F794" s="36"/>
      <c r="G794" s="36"/>
      <c r="H794" s="37"/>
      <c r="I794" s="36"/>
      <c r="J794" s="38"/>
      <c r="K794" s="38"/>
      <c r="L794" s="39"/>
      <c r="M794" s="39"/>
      <c r="N794" s="39"/>
      <c r="O794" s="39"/>
      <c r="P794" s="39"/>
      <c r="Q794" s="39"/>
      <c r="R794" s="39"/>
      <c r="S794" s="39"/>
      <c r="T794" s="39"/>
      <c r="U794" s="39"/>
      <c r="V794" s="39"/>
      <c r="W794" s="39"/>
      <c r="X794" s="39"/>
      <c r="Y794" s="39"/>
      <c r="Z794" s="39"/>
      <c r="AA794" s="39"/>
      <c r="AB794" s="39"/>
    </row>
    <row r="795">
      <c r="A795" s="1"/>
      <c r="B795" s="36"/>
      <c r="C795" s="36"/>
      <c r="D795" s="36"/>
      <c r="E795" s="36"/>
      <c r="F795" s="36"/>
      <c r="G795" s="36"/>
      <c r="H795" s="37"/>
      <c r="I795" s="36"/>
      <c r="J795" s="38"/>
      <c r="K795" s="38"/>
      <c r="L795" s="39"/>
      <c r="M795" s="39"/>
      <c r="N795" s="39"/>
      <c r="O795" s="39"/>
      <c r="P795" s="39"/>
      <c r="Q795" s="39"/>
      <c r="R795" s="39"/>
      <c r="S795" s="39"/>
      <c r="T795" s="39"/>
      <c r="U795" s="39"/>
      <c r="V795" s="39"/>
      <c r="W795" s="39"/>
      <c r="X795" s="39"/>
      <c r="Y795" s="39"/>
      <c r="Z795" s="39"/>
      <c r="AA795" s="39"/>
      <c r="AB795" s="39"/>
    </row>
    <row r="796">
      <c r="A796" s="1"/>
      <c r="B796" s="36"/>
      <c r="C796" s="36"/>
      <c r="D796" s="36"/>
      <c r="E796" s="36"/>
      <c r="F796" s="36"/>
      <c r="G796" s="36"/>
      <c r="H796" s="37"/>
      <c r="I796" s="36"/>
      <c r="J796" s="38"/>
      <c r="K796" s="38"/>
      <c r="L796" s="39"/>
      <c r="M796" s="39"/>
      <c r="N796" s="39"/>
      <c r="O796" s="39"/>
      <c r="P796" s="39"/>
      <c r="Q796" s="39"/>
      <c r="R796" s="39"/>
      <c r="S796" s="39"/>
      <c r="T796" s="39"/>
      <c r="U796" s="39"/>
      <c r="V796" s="39"/>
      <c r="W796" s="39"/>
      <c r="X796" s="39"/>
      <c r="Y796" s="39"/>
      <c r="Z796" s="39"/>
      <c r="AA796" s="39"/>
      <c r="AB796" s="39"/>
    </row>
    <row r="797">
      <c r="A797" s="1"/>
      <c r="B797" s="36"/>
      <c r="C797" s="36"/>
      <c r="D797" s="36"/>
      <c r="E797" s="36"/>
      <c r="F797" s="36"/>
      <c r="G797" s="36"/>
      <c r="H797" s="37"/>
      <c r="I797" s="36"/>
      <c r="J797" s="38"/>
      <c r="K797" s="38"/>
      <c r="L797" s="39"/>
      <c r="M797" s="39"/>
      <c r="N797" s="39"/>
      <c r="O797" s="39"/>
      <c r="P797" s="39"/>
      <c r="Q797" s="39"/>
      <c r="R797" s="39"/>
      <c r="S797" s="39"/>
      <c r="T797" s="39"/>
      <c r="U797" s="39"/>
      <c r="V797" s="39"/>
      <c r="W797" s="39"/>
      <c r="X797" s="39"/>
      <c r="Y797" s="39"/>
      <c r="Z797" s="39"/>
      <c r="AA797" s="39"/>
      <c r="AB797" s="39"/>
    </row>
    <row r="798">
      <c r="A798" s="1"/>
      <c r="B798" s="36"/>
      <c r="C798" s="36"/>
      <c r="D798" s="36"/>
      <c r="E798" s="36"/>
      <c r="F798" s="36"/>
      <c r="G798" s="36"/>
      <c r="H798" s="37"/>
      <c r="I798" s="36"/>
      <c r="J798" s="38"/>
      <c r="K798" s="38"/>
      <c r="L798" s="39"/>
      <c r="M798" s="39"/>
      <c r="N798" s="39"/>
      <c r="O798" s="39"/>
      <c r="P798" s="39"/>
      <c r="Q798" s="39"/>
      <c r="R798" s="39"/>
      <c r="S798" s="39"/>
      <c r="T798" s="39"/>
      <c r="U798" s="39"/>
      <c r="V798" s="39"/>
      <c r="W798" s="39"/>
      <c r="X798" s="39"/>
      <c r="Y798" s="39"/>
      <c r="Z798" s="39"/>
      <c r="AA798" s="39"/>
      <c r="AB798" s="39"/>
    </row>
    <row r="799">
      <c r="A799" s="1"/>
      <c r="B799" s="36"/>
      <c r="C799" s="36"/>
      <c r="D799" s="36"/>
      <c r="E799" s="36"/>
      <c r="F799" s="36"/>
      <c r="G799" s="36"/>
      <c r="H799" s="37"/>
      <c r="I799" s="36"/>
      <c r="J799" s="38"/>
      <c r="K799" s="38"/>
      <c r="L799" s="39"/>
      <c r="M799" s="39"/>
      <c r="N799" s="39"/>
      <c r="O799" s="39"/>
      <c r="P799" s="39"/>
      <c r="Q799" s="39"/>
      <c r="R799" s="39"/>
      <c r="S799" s="39"/>
      <c r="T799" s="39"/>
      <c r="U799" s="39"/>
      <c r="V799" s="39"/>
      <c r="W799" s="39"/>
      <c r="X799" s="39"/>
      <c r="Y799" s="39"/>
      <c r="Z799" s="39"/>
      <c r="AA799" s="39"/>
      <c r="AB799" s="39"/>
    </row>
    <row r="800">
      <c r="A800" s="1"/>
      <c r="B800" s="36"/>
      <c r="C800" s="36"/>
      <c r="D800" s="36"/>
      <c r="E800" s="36"/>
      <c r="F800" s="36"/>
      <c r="G800" s="36"/>
      <c r="H800" s="37"/>
      <c r="I800" s="36"/>
      <c r="J800" s="38"/>
      <c r="K800" s="38"/>
      <c r="L800" s="39"/>
      <c r="M800" s="39"/>
      <c r="N800" s="39"/>
      <c r="O800" s="39"/>
      <c r="P800" s="39"/>
      <c r="Q800" s="39"/>
      <c r="R800" s="39"/>
      <c r="S800" s="39"/>
      <c r="T800" s="39"/>
      <c r="U800" s="39"/>
      <c r="V800" s="39"/>
      <c r="W800" s="39"/>
      <c r="X800" s="39"/>
      <c r="Y800" s="39"/>
      <c r="Z800" s="39"/>
      <c r="AA800" s="39"/>
      <c r="AB800" s="39"/>
    </row>
    <row r="801">
      <c r="A801" s="1"/>
      <c r="B801" s="36"/>
      <c r="C801" s="36"/>
      <c r="D801" s="36"/>
      <c r="E801" s="36"/>
      <c r="F801" s="36"/>
      <c r="G801" s="36"/>
      <c r="H801" s="37"/>
      <c r="I801" s="36"/>
      <c r="J801" s="38"/>
      <c r="K801" s="38"/>
      <c r="L801" s="39"/>
      <c r="M801" s="39"/>
      <c r="N801" s="39"/>
      <c r="O801" s="39"/>
      <c r="P801" s="39"/>
      <c r="Q801" s="39"/>
      <c r="R801" s="39"/>
      <c r="S801" s="39"/>
      <c r="T801" s="39"/>
      <c r="U801" s="39"/>
      <c r="V801" s="39"/>
      <c r="W801" s="39"/>
      <c r="X801" s="39"/>
      <c r="Y801" s="39"/>
      <c r="Z801" s="39"/>
      <c r="AA801" s="39"/>
      <c r="AB801" s="39"/>
    </row>
    <row r="802">
      <c r="A802" s="1"/>
      <c r="B802" s="36"/>
      <c r="C802" s="36"/>
      <c r="D802" s="36"/>
      <c r="E802" s="36"/>
      <c r="F802" s="36"/>
      <c r="G802" s="36"/>
      <c r="H802" s="37"/>
      <c r="I802" s="36"/>
      <c r="J802" s="38"/>
      <c r="K802" s="38"/>
      <c r="L802" s="39"/>
      <c r="M802" s="39"/>
      <c r="N802" s="39"/>
      <c r="O802" s="39"/>
      <c r="P802" s="39"/>
      <c r="Q802" s="39"/>
      <c r="R802" s="39"/>
      <c r="S802" s="39"/>
      <c r="T802" s="39"/>
      <c r="U802" s="39"/>
      <c r="V802" s="39"/>
      <c r="W802" s="39"/>
      <c r="X802" s="39"/>
      <c r="Y802" s="39"/>
      <c r="Z802" s="39"/>
      <c r="AA802" s="39"/>
      <c r="AB802" s="39"/>
    </row>
    <row r="803">
      <c r="A803" s="1"/>
      <c r="B803" s="36"/>
      <c r="C803" s="36"/>
      <c r="D803" s="36"/>
      <c r="E803" s="36"/>
      <c r="F803" s="36"/>
      <c r="G803" s="36"/>
      <c r="H803" s="37"/>
      <c r="I803" s="36"/>
      <c r="J803" s="38"/>
      <c r="K803" s="38"/>
      <c r="L803" s="39"/>
      <c r="M803" s="39"/>
      <c r="N803" s="39"/>
      <c r="O803" s="39"/>
      <c r="P803" s="39"/>
      <c r="Q803" s="39"/>
      <c r="R803" s="39"/>
      <c r="S803" s="39"/>
      <c r="T803" s="39"/>
      <c r="U803" s="39"/>
      <c r="V803" s="39"/>
      <c r="W803" s="39"/>
      <c r="X803" s="39"/>
      <c r="Y803" s="39"/>
      <c r="Z803" s="39"/>
      <c r="AA803" s="39"/>
      <c r="AB803" s="39"/>
    </row>
    <row r="804">
      <c r="A804" s="1"/>
      <c r="B804" s="36"/>
      <c r="C804" s="36"/>
      <c r="D804" s="36"/>
      <c r="E804" s="36"/>
      <c r="F804" s="36"/>
      <c r="G804" s="36"/>
      <c r="H804" s="37"/>
      <c r="I804" s="36"/>
      <c r="J804" s="38"/>
      <c r="K804" s="38"/>
      <c r="L804" s="39"/>
      <c r="M804" s="39"/>
      <c r="N804" s="39"/>
      <c r="O804" s="39"/>
      <c r="P804" s="39"/>
      <c r="Q804" s="39"/>
      <c r="R804" s="39"/>
      <c r="S804" s="39"/>
      <c r="T804" s="39"/>
      <c r="U804" s="39"/>
      <c r="V804" s="39"/>
      <c r="W804" s="39"/>
      <c r="X804" s="39"/>
      <c r="Y804" s="39"/>
      <c r="Z804" s="39"/>
      <c r="AA804" s="39"/>
      <c r="AB804" s="39"/>
    </row>
    <row r="805">
      <c r="A805" s="1"/>
      <c r="B805" s="36"/>
      <c r="C805" s="36"/>
      <c r="D805" s="36"/>
      <c r="E805" s="36"/>
      <c r="F805" s="36"/>
      <c r="G805" s="36"/>
      <c r="H805" s="37"/>
      <c r="I805" s="36"/>
      <c r="J805" s="38"/>
      <c r="K805" s="38"/>
      <c r="L805" s="39"/>
      <c r="M805" s="39"/>
      <c r="N805" s="39"/>
      <c r="O805" s="39"/>
      <c r="P805" s="39"/>
      <c r="Q805" s="39"/>
      <c r="R805" s="39"/>
      <c r="S805" s="39"/>
      <c r="T805" s="39"/>
      <c r="U805" s="39"/>
      <c r="V805" s="39"/>
      <c r="W805" s="39"/>
      <c r="X805" s="39"/>
      <c r="Y805" s="39"/>
      <c r="Z805" s="39"/>
      <c r="AA805" s="39"/>
      <c r="AB805" s="39"/>
    </row>
    <row r="806">
      <c r="A806" s="1"/>
      <c r="B806" s="36"/>
      <c r="C806" s="36"/>
      <c r="D806" s="36"/>
      <c r="E806" s="36"/>
      <c r="F806" s="36"/>
      <c r="G806" s="36"/>
      <c r="H806" s="37"/>
      <c r="I806" s="36"/>
      <c r="J806" s="38"/>
      <c r="K806" s="38"/>
      <c r="L806" s="39"/>
      <c r="M806" s="39"/>
      <c r="N806" s="39"/>
      <c r="O806" s="39"/>
      <c r="P806" s="39"/>
      <c r="Q806" s="39"/>
      <c r="R806" s="39"/>
      <c r="S806" s="39"/>
      <c r="T806" s="39"/>
      <c r="U806" s="39"/>
      <c r="V806" s="39"/>
      <c r="W806" s="39"/>
      <c r="X806" s="39"/>
      <c r="Y806" s="39"/>
      <c r="Z806" s="39"/>
      <c r="AA806" s="39"/>
      <c r="AB806" s="39"/>
    </row>
    <row r="807">
      <c r="A807" s="1"/>
      <c r="B807" s="36"/>
      <c r="C807" s="36"/>
      <c r="D807" s="36"/>
      <c r="E807" s="36"/>
      <c r="F807" s="36"/>
      <c r="G807" s="36"/>
      <c r="H807" s="37"/>
      <c r="I807" s="36"/>
      <c r="J807" s="38"/>
      <c r="K807" s="38"/>
      <c r="L807" s="39"/>
      <c r="M807" s="39"/>
      <c r="N807" s="39"/>
      <c r="O807" s="39"/>
      <c r="P807" s="39"/>
      <c r="Q807" s="39"/>
      <c r="R807" s="39"/>
      <c r="S807" s="39"/>
      <c r="T807" s="39"/>
      <c r="U807" s="39"/>
      <c r="V807" s="39"/>
      <c r="W807" s="39"/>
      <c r="X807" s="39"/>
      <c r="Y807" s="39"/>
      <c r="Z807" s="39"/>
      <c r="AA807" s="39"/>
      <c r="AB807" s="39"/>
    </row>
    <row r="808">
      <c r="A808" s="1"/>
      <c r="B808" s="36"/>
      <c r="C808" s="36"/>
      <c r="D808" s="36"/>
      <c r="E808" s="36"/>
      <c r="F808" s="36"/>
      <c r="G808" s="36"/>
      <c r="H808" s="37"/>
      <c r="I808" s="36"/>
      <c r="J808" s="38"/>
      <c r="K808" s="38"/>
      <c r="L808" s="39"/>
      <c r="M808" s="39"/>
      <c r="N808" s="39"/>
      <c r="O808" s="39"/>
      <c r="P808" s="39"/>
      <c r="Q808" s="39"/>
      <c r="R808" s="39"/>
      <c r="S808" s="39"/>
      <c r="T808" s="39"/>
      <c r="U808" s="39"/>
      <c r="V808" s="39"/>
      <c r="W808" s="39"/>
      <c r="X808" s="39"/>
      <c r="Y808" s="39"/>
      <c r="Z808" s="39"/>
      <c r="AA808" s="39"/>
      <c r="AB808" s="39"/>
    </row>
    <row r="809">
      <c r="A809" s="1"/>
      <c r="B809" s="36"/>
      <c r="C809" s="36"/>
      <c r="D809" s="36"/>
      <c r="E809" s="36"/>
      <c r="F809" s="36"/>
      <c r="G809" s="36"/>
      <c r="H809" s="37"/>
      <c r="I809" s="36"/>
      <c r="J809" s="38"/>
      <c r="K809" s="38"/>
      <c r="L809" s="39"/>
      <c r="M809" s="39"/>
      <c r="N809" s="39"/>
      <c r="O809" s="39"/>
      <c r="P809" s="39"/>
      <c r="Q809" s="39"/>
      <c r="R809" s="39"/>
      <c r="S809" s="39"/>
      <c r="T809" s="39"/>
      <c r="U809" s="39"/>
      <c r="V809" s="39"/>
      <c r="W809" s="39"/>
      <c r="X809" s="39"/>
      <c r="Y809" s="39"/>
      <c r="Z809" s="39"/>
      <c r="AA809" s="39"/>
      <c r="AB809" s="39"/>
    </row>
    <row r="810">
      <c r="A810" s="1"/>
      <c r="B810" s="36"/>
      <c r="C810" s="36"/>
      <c r="D810" s="36"/>
      <c r="E810" s="36"/>
      <c r="F810" s="36"/>
      <c r="G810" s="36"/>
      <c r="H810" s="37"/>
      <c r="I810" s="36"/>
      <c r="J810" s="38"/>
      <c r="K810" s="38"/>
      <c r="L810" s="39"/>
      <c r="M810" s="39"/>
      <c r="N810" s="39"/>
      <c r="O810" s="39"/>
      <c r="P810" s="39"/>
      <c r="Q810" s="39"/>
      <c r="R810" s="39"/>
      <c r="S810" s="39"/>
      <c r="T810" s="39"/>
      <c r="U810" s="39"/>
      <c r="V810" s="39"/>
      <c r="W810" s="39"/>
      <c r="X810" s="39"/>
      <c r="Y810" s="39"/>
      <c r="Z810" s="39"/>
      <c r="AA810" s="39"/>
      <c r="AB810" s="39"/>
    </row>
    <row r="811">
      <c r="A811" s="1"/>
      <c r="B811" s="36"/>
      <c r="C811" s="36"/>
      <c r="D811" s="36"/>
      <c r="E811" s="36"/>
      <c r="F811" s="36"/>
      <c r="G811" s="36"/>
      <c r="H811" s="37"/>
      <c r="I811" s="36"/>
      <c r="J811" s="38"/>
      <c r="K811" s="38"/>
      <c r="L811" s="39"/>
      <c r="M811" s="39"/>
      <c r="N811" s="39"/>
      <c r="O811" s="39"/>
      <c r="P811" s="39"/>
      <c r="Q811" s="39"/>
      <c r="R811" s="39"/>
      <c r="S811" s="39"/>
      <c r="T811" s="39"/>
      <c r="U811" s="39"/>
      <c r="V811" s="39"/>
      <c r="W811" s="39"/>
      <c r="X811" s="39"/>
      <c r="Y811" s="39"/>
      <c r="Z811" s="39"/>
      <c r="AA811" s="39"/>
      <c r="AB811" s="39"/>
    </row>
    <row r="812">
      <c r="A812" s="1"/>
      <c r="B812" s="36"/>
      <c r="C812" s="36"/>
      <c r="D812" s="36"/>
      <c r="E812" s="36"/>
      <c r="F812" s="36"/>
      <c r="G812" s="36"/>
      <c r="H812" s="37"/>
      <c r="I812" s="36"/>
      <c r="J812" s="38"/>
      <c r="K812" s="38"/>
      <c r="L812" s="39"/>
      <c r="M812" s="39"/>
      <c r="N812" s="39"/>
      <c r="O812" s="39"/>
      <c r="P812" s="39"/>
      <c r="Q812" s="39"/>
      <c r="R812" s="39"/>
      <c r="S812" s="39"/>
      <c r="T812" s="39"/>
      <c r="U812" s="39"/>
      <c r="V812" s="39"/>
      <c r="W812" s="39"/>
      <c r="X812" s="39"/>
      <c r="Y812" s="39"/>
      <c r="Z812" s="39"/>
      <c r="AA812" s="39"/>
      <c r="AB812" s="39"/>
    </row>
    <row r="813">
      <c r="A813" s="1"/>
      <c r="B813" s="36"/>
      <c r="C813" s="36"/>
      <c r="D813" s="36"/>
      <c r="E813" s="36"/>
      <c r="F813" s="36"/>
      <c r="G813" s="36"/>
      <c r="H813" s="37"/>
      <c r="I813" s="36"/>
      <c r="J813" s="38"/>
      <c r="K813" s="38"/>
      <c r="L813" s="39"/>
      <c r="M813" s="39"/>
      <c r="N813" s="39"/>
      <c r="O813" s="39"/>
      <c r="P813" s="39"/>
      <c r="Q813" s="39"/>
      <c r="R813" s="39"/>
      <c r="S813" s="39"/>
      <c r="T813" s="39"/>
      <c r="U813" s="39"/>
      <c r="V813" s="39"/>
      <c r="W813" s="39"/>
      <c r="X813" s="39"/>
      <c r="Y813" s="39"/>
      <c r="Z813" s="39"/>
      <c r="AA813" s="39"/>
      <c r="AB813" s="39"/>
    </row>
    <row r="814">
      <c r="A814" s="1"/>
      <c r="B814" s="36"/>
      <c r="C814" s="36"/>
      <c r="D814" s="36"/>
      <c r="E814" s="36"/>
      <c r="F814" s="36"/>
      <c r="G814" s="36"/>
      <c r="H814" s="37"/>
      <c r="I814" s="36"/>
      <c r="J814" s="38"/>
      <c r="K814" s="38"/>
      <c r="L814" s="39"/>
      <c r="M814" s="39"/>
      <c r="N814" s="39"/>
      <c r="O814" s="39"/>
      <c r="P814" s="39"/>
      <c r="Q814" s="39"/>
      <c r="R814" s="39"/>
      <c r="S814" s="39"/>
      <c r="T814" s="39"/>
      <c r="U814" s="39"/>
      <c r="V814" s="39"/>
      <c r="W814" s="39"/>
      <c r="X814" s="39"/>
      <c r="Y814" s="39"/>
      <c r="Z814" s="39"/>
      <c r="AA814" s="39"/>
      <c r="AB814" s="39"/>
    </row>
    <row r="815">
      <c r="A815" s="1"/>
      <c r="B815" s="36"/>
      <c r="C815" s="36"/>
      <c r="D815" s="36"/>
      <c r="E815" s="36"/>
      <c r="F815" s="36"/>
      <c r="G815" s="36"/>
      <c r="H815" s="37"/>
      <c r="I815" s="36"/>
      <c r="J815" s="38"/>
      <c r="K815" s="38"/>
      <c r="L815" s="39"/>
      <c r="M815" s="39"/>
      <c r="N815" s="39"/>
      <c r="O815" s="39"/>
      <c r="P815" s="39"/>
      <c r="Q815" s="39"/>
      <c r="R815" s="39"/>
      <c r="S815" s="39"/>
      <c r="T815" s="39"/>
      <c r="U815" s="39"/>
      <c r="V815" s="39"/>
      <c r="W815" s="39"/>
      <c r="X815" s="39"/>
      <c r="Y815" s="39"/>
      <c r="Z815" s="39"/>
      <c r="AA815" s="39"/>
      <c r="AB815" s="39"/>
    </row>
    <row r="816">
      <c r="A816" s="1"/>
      <c r="B816" s="36"/>
      <c r="C816" s="36"/>
      <c r="D816" s="36"/>
      <c r="E816" s="36"/>
      <c r="F816" s="36"/>
      <c r="G816" s="36"/>
      <c r="H816" s="37"/>
      <c r="I816" s="36"/>
      <c r="J816" s="38"/>
      <c r="K816" s="38"/>
      <c r="L816" s="39"/>
      <c r="M816" s="39"/>
      <c r="N816" s="39"/>
      <c r="O816" s="39"/>
      <c r="P816" s="39"/>
      <c r="Q816" s="39"/>
      <c r="R816" s="39"/>
      <c r="S816" s="39"/>
      <c r="T816" s="39"/>
      <c r="U816" s="39"/>
      <c r="V816" s="39"/>
      <c r="W816" s="39"/>
      <c r="X816" s="39"/>
      <c r="Y816" s="39"/>
      <c r="Z816" s="39"/>
      <c r="AA816" s="39"/>
      <c r="AB816" s="39"/>
    </row>
    <row r="817">
      <c r="A817" s="1"/>
      <c r="B817" s="36"/>
      <c r="C817" s="36"/>
      <c r="D817" s="36"/>
      <c r="E817" s="36"/>
      <c r="F817" s="36"/>
      <c r="G817" s="36"/>
      <c r="H817" s="37"/>
      <c r="I817" s="36"/>
      <c r="J817" s="38"/>
      <c r="K817" s="38"/>
      <c r="L817" s="39"/>
      <c r="M817" s="39"/>
      <c r="N817" s="39"/>
      <c r="O817" s="39"/>
      <c r="P817" s="39"/>
      <c r="Q817" s="39"/>
      <c r="R817" s="39"/>
      <c r="S817" s="39"/>
      <c r="T817" s="39"/>
      <c r="U817" s="39"/>
      <c r="V817" s="39"/>
      <c r="W817" s="39"/>
      <c r="X817" s="39"/>
      <c r="Y817" s="39"/>
      <c r="Z817" s="39"/>
      <c r="AA817" s="39"/>
      <c r="AB817" s="39"/>
    </row>
    <row r="818">
      <c r="A818" s="1"/>
      <c r="B818" s="36"/>
      <c r="C818" s="36"/>
      <c r="D818" s="36"/>
      <c r="E818" s="36"/>
      <c r="F818" s="36"/>
      <c r="G818" s="36"/>
      <c r="H818" s="37"/>
      <c r="I818" s="36"/>
      <c r="J818" s="38"/>
      <c r="K818" s="38"/>
      <c r="L818" s="39"/>
      <c r="M818" s="39"/>
      <c r="N818" s="39"/>
      <c r="O818" s="39"/>
      <c r="P818" s="39"/>
      <c r="Q818" s="39"/>
      <c r="R818" s="39"/>
      <c r="S818" s="39"/>
      <c r="T818" s="39"/>
      <c r="U818" s="39"/>
      <c r="V818" s="39"/>
      <c r="W818" s="39"/>
      <c r="X818" s="39"/>
      <c r="Y818" s="39"/>
      <c r="Z818" s="39"/>
      <c r="AA818" s="39"/>
      <c r="AB818" s="39"/>
    </row>
    <row r="819">
      <c r="A819" s="1"/>
      <c r="B819" s="36"/>
      <c r="C819" s="36"/>
      <c r="D819" s="36"/>
      <c r="E819" s="36"/>
      <c r="F819" s="36"/>
      <c r="G819" s="36"/>
      <c r="H819" s="37"/>
      <c r="I819" s="36"/>
      <c r="J819" s="38"/>
      <c r="K819" s="38"/>
      <c r="L819" s="39"/>
      <c r="M819" s="39"/>
      <c r="N819" s="39"/>
      <c r="O819" s="39"/>
      <c r="P819" s="39"/>
      <c r="Q819" s="39"/>
      <c r="R819" s="39"/>
      <c r="S819" s="39"/>
      <c r="T819" s="39"/>
      <c r="U819" s="39"/>
      <c r="V819" s="39"/>
      <c r="W819" s="39"/>
      <c r="X819" s="39"/>
      <c r="Y819" s="39"/>
      <c r="Z819" s="39"/>
      <c r="AA819" s="39"/>
      <c r="AB819" s="39"/>
    </row>
    <row r="820">
      <c r="A820" s="1"/>
      <c r="B820" s="36"/>
      <c r="C820" s="36"/>
      <c r="D820" s="36"/>
      <c r="E820" s="36"/>
      <c r="F820" s="36"/>
      <c r="G820" s="36"/>
      <c r="H820" s="37"/>
      <c r="I820" s="36"/>
      <c r="J820" s="38"/>
      <c r="K820" s="38"/>
      <c r="L820" s="39"/>
      <c r="M820" s="39"/>
      <c r="N820" s="39"/>
      <c r="O820" s="39"/>
      <c r="P820" s="39"/>
      <c r="Q820" s="39"/>
      <c r="R820" s="39"/>
      <c r="S820" s="39"/>
      <c r="T820" s="39"/>
      <c r="U820" s="39"/>
      <c r="V820" s="39"/>
      <c r="W820" s="39"/>
      <c r="X820" s="39"/>
      <c r="Y820" s="39"/>
      <c r="Z820" s="39"/>
      <c r="AA820" s="39"/>
      <c r="AB820" s="39"/>
    </row>
    <row r="821">
      <c r="A821" s="1"/>
      <c r="B821" s="36"/>
      <c r="C821" s="36"/>
      <c r="D821" s="36"/>
      <c r="E821" s="36"/>
      <c r="F821" s="36"/>
      <c r="G821" s="36"/>
      <c r="H821" s="37"/>
      <c r="I821" s="36"/>
      <c r="J821" s="38"/>
      <c r="K821" s="38"/>
      <c r="L821" s="39"/>
      <c r="M821" s="39"/>
      <c r="N821" s="39"/>
      <c r="O821" s="39"/>
      <c r="P821" s="39"/>
      <c r="Q821" s="39"/>
      <c r="R821" s="39"/>
      <c r="S821" s="39"/>
      <c r="T821" s="39"/>
      <c r="U821" s="39"/>
      <c r="V821" s="39"/>
      <c r="W821" s="39"/>
      <c r="X821" s="39"/>
      <c r="Y821" s="39"/>
      <c r="Z821" s="39"/>
      <c r="AA821" s="39"/>
      <c r="AB821" s="39"/>
    </row>
    <row r="822">
      <c r="A822" s="1"/>
      <c r="B822" s="36"/>
      <c r="C822" s="36"/>
      <c r="D822" s="36"/>
      <c r="E822" s="36"/>
      <c r="F822" s="36"/>
      <c r="G822" s="36"/>
      <c r="H822" s="37"/>
      <c r="I822" s="36"/>
      <c r="J822" s="38"/>
      <c r="K822" s="38"/>
      <c r="L822" s="39"/>
      <c r="M822" s="39"/>
      <c r="N822" s="39"/>
      <c r="O822" s="39"/>
      <c r="P822" s="39"/>
      <c r="Q822" s="39"/>
      <c r="R822" s="39"/>
      <c r="S822" s="39"/>
      <c r="T822" s="39"/>
      <c r="U822" s="39"/>
      <c r="V822" s="39"/>
      <c r="W822" s="39"/>
      <c r="X822" s="39"/>
      <c r="Y822" s="39"/>
      <c r="Z822" s="39"/>
      <c r="AA822" s="39"/>
      <c r="AB822" s="39"/>
    </row>
    <row r="823">
      <c r="A823" s="1"/>
      <c r="B823" s="36"/>
      <c r="C823" s="36"/>
      <c r="D823" s="36"/>
      <c r="E823" s="36"/>
      <c r="F823" s="36"/>
      <c r="G823" s="36"/>
      <c r="H823" s="37"/>
      <c r="I823" s="36"/>
      <c r="J823" s="38"/>
      <c r="K823" s="38"/>
      <c r="L823" s="39"/>
      <c r="M823" s="39"/>
      <c r="N823" s="39"/>
      <c r="O823" s="39"/>
      <c r="P823" s="39"/>
      <c r="Q823" s="39"/>
      <c r="R823" s="39"/>
      <c r="S823" s="39"/>
      <c r="T823" s="39"/>
      <c r="U823" s="39"/>
      <c r="V823" s="39"/>
      <c r="W823" s="39"/>
      <c r="X823" s="39"/>
      <c r="Y823" s="39"/>
      <c r="Z823" s="39"/>
      <c r="AA823" s="39"/>
      <c r="AB823" s="39"/>
    </row>
    <row r="824">
      <c r="A824" s="1"/>
      <c r="B824" s="36"/>
      <c r="C824" s="36"/>
      <c r="D824" s="36"/>
      <c r="E824" s="36"/>
      <c r="F824" s="36"/>
      <c r="G824" s="36"/>
      <c r="H824" s="37"/>
      <c r="I824" s="36"/>
      <c r="J824" s="38"/>
      <c r="K824" s="38"/>
      <c r="L824" s="39"/>
      <c r="M824" s="39"/>
      <c r="N824" s="39"/>
      <c r="O824" s="39"/>
      <c r="P824" s="39"/>
      <c r="Q824" s="39"/>
      <c r="R824" s="39"/>
      <c r="S824" s="39"/>
      <c r="T824" s="39"/>
      <c r="U824" s="39"/>
      <c r="V824" s="39"/>
      <c r="W824" s="39"/>
      <c r="X824" s="39"/>
      <c r="Y824" s="39"/>
      <c r="Z824" s="39"/>
      <c r="AA824" s="39"/>
      <c r="AB824" s="39"/>
    </row>
    <row r="825">
      <c r="A825" s="1"/>
      <c r="B825" s="36"/>
      <c r="C825" s="36"/>
      <c r="D825" s="36"/>
      <c r="E825" s="36"/>
      <c r="F825" s="36"/>
      <c r="G825" s="36"/>
      <c r="H825" s="37"/>
      <c r="I825" s="36"/>
      <c r="J825" s="38"/>
      <c r="K825" s="38"/>
      <c r="L825" s="39"/>
      <c r="M825" s="39"/>
      <c r="N825" s="39"/>
      <c r="O825" s="39"/>
      <c r="P825" s="39"/>
      <c r="Q825" s="39"/>
      <c r="R825" s="39"/>
      <c r="S825" s="39"/>
      <c r="T825" s="39"/>
      <c r="U825" s="39"/>
      <c r="V825" s="39"/>
      <c r="W825" s="39"/>
      <c r="X825" s="39"/>
      <c r="Y825" s="39"/>
      <c r="Z825" s="39"/>
      <c r="AA825" s="39"/>
      <c r="AB825" s="39"/>
    </row>
    <row r="826">
      <c r="A826" s="1"/>
      <c r="B826" s="36"/>
      <c r="C826" s="36"/>
      <c r="D826" s="36"/>
      <c r="E826" s="36"/>
      <c r="F826" s="36"/>
      <c r="G826" s="36"/>
      <c r="H826" s="37"/>
      <c r="I826" s="36"/>
      <c r="J826" s="38"/>
      <c r="K826" s="38"/>
      <c r="L826" s="39"/>
      <c r="M826" s="39"/>
      <c r="N826" s="39"/>
      <c r="O826" s="39"/>
      <c r="P826" s="39"/>
      <c r="Q826" s="39"/>
      <c r="R826" s="39"/>
      <c r="S826" s="39"/>
      <c r="T826" s="39"/>
      <c r="U826" s="39"/>
      <c r="V826" s="39"/>
      <c r="W826" s="39"/>
      <c r="X826" s="39"/>
      <c r="Y826" s="39"/>
      <c r="Z826" s="39"/>
      <c r="AA826" s="39"/>
      <c r="AB826" s="39"/>
    </row>
    <row r="827">
      <c r="A827" s="1"/>
      <c r="B827" s="36"/>
      <c r="C827" s="36"/>
      <c r="D827" s="36"/>
      <c r="E827" s="36"/>
      <c r="F827" s="36"/>
      <c r="G827" s="36"/>
      <c r="H827" s="37"/>
      <c r="I827" s="36"/>
      <c r="J827" s="38"/>
      <c r="K827" s="38"/>
      <c r="L827" s="39"/>
      <c r="M827" s="39"/>
      <c r="N827" s="39"/>
      <c r="O827" s="39"/>
      <c r="P827" s="39"/>
      <c r="Q827" s="39"/>
      <c r="R827" s="39"/>
      <c r="S827" s="39"/>
      <c r="T827" s="39"/>
      <c r="U827" s="39"/>
      <c r="V827" s="39"/>
      <c r="W827" s="39"/>
      <c r="X827" s="39"/>
      <c r="Y827" s="39"/>
      <c r="Z827" s="39"/>
      <c r="AA827" s="39"/>
      <c r="AB827" s="39"/>
    </row>
    <row r="828">
      <c r="A828" s="1"/>
      <c r="B828" s="36"/>
      <c r="C828" s="36"/>
      <c r="D828" s="36"/>
      <c r="E828" s="36"/>
      <c r="F828" s="36"/>
      <c r="G828" s="36"/>
      <c r="H828" s="37"/>
      <c r="I828" s="36"/>
      <c r="J828" s="38"/>
      <c r="K828" s="38"/>
      <c r="L828" s="39"/>
      <c r="M828" s="39"/>
      <c r="N828" s="39"/>
      <c r="O828" s="39"/>
      <c r="P828" s="39"/>
      <c r="Q828" s="39"/>
      <c r="R828" s="39"/>
      <c r="S828" s="39"/>
      <c r="T828" s="39"/>
      <c r="U828" s="39"/>
      <c r="V828" s="39"/>
      <c r="W828" s="39"/>
      <c r="X828" s="39"/>
      <c r="Y828" s="39"/>
      <c r="Z828" s="39"/>
      <c r="AA828" s="39"/>
      <c r="AB828" s="39"/>
    </row>
    <row r="829">
      <c r="A829" s="1"/>
      <c r="B829" s="36"/>
      <c r="C829" s="36"/>
      <c r="D829" s="36"/>
      <c r="E829" s="36"/>
      <c r="F829" s="36"/>
      <c r="G829" s="36"/>
      <c r="H829" s="37"/>
      <c r="I829" s="36"/>
      <c r="J829" s="38"/>
      <c r="K829" s="38"/>
      <c r="L829" s="39"/>
      <c r="M829" s="39"/>
      <c r="N829" s="39"/>
      <c r="O829" s="39"/>
      <c r="P829" s="39"/>
      <c r="Q829" s="39"/>
      <c r="R829" s="39"/>
      <c r="S829" s="39"/>
      <c r="T829" s="39"/>
      <c r="U829" s="39"/>
      <c r="V829" s="39"/>
      <c r="W829" s="39"/>
      <c r="X829" s="39"/>
      <c r="Y829" s="39"/>
      <c r="Z829" s="39"/>
      <c r="AA829" s="39"/>
      <c r="AB829" s="39"/>
    </row>
    <row r="830">
      <c r="A830" s="1"/>
      <c r="B830" s="36"/>
      <c r="C830" s="36"/>
      <c r="D830" s="36"/>
      <c r="E830" s="36"/>
      <c r="F830" s="36"/>
      <c r="G830" s="36"/>
      <c r="H830" s="37"/>
      <c r="I830" s="36"/>
      <c r="J830" s="38"/>
      <c r="K830" s="38"/>
      <c r="L830" s="39"/>
      <c r="M830" s="39"/>
      <c r="N830" s="39"/>
      <c r="O830" s="39"/>
      <c r="P830" s="39"/>
      <c r="Q830" s="39"/>
      <c r="R830" s="39"/>
      <c r="S830" s="39"/>
      <c r="T830" s="39"/>
      <c r="U830" s="39"/>
      <c r="V830" s="39"/>
      <c r="W830" s="39"/>
      <c r="X830" s="39"/>
      <c r="Y830" s="39"/>
      <c r="Z830" s="39"/>
      <c r="AA830" s="39"/>
      <c r="AB830" s="39"/>
    </row>
    <row r="831">
      <c r="A831" s="1"/>
      <c r="B831" s="36"/>
      <c r="C831" s="36"/>
      <c r="D831" s="36"/>
      <c r="E831" s="36"/>
      <c r="F831" s="36"/>
      <c r="G831" s="36"/>
      <c r="H831" s="37"/>
      <c r="I831" s="36"/>
      <c r="J831" s="38"/>
      <c r="K831" s="38"/>
      <c r="L831" s="39"/>
      <c r="M831" s="39"/>
      <c r="N831" s="39"/>
      <c r="O831" s="39"/>
      <c r="P831" s="39"/>
      <c r="Q831" s="39"/>
      <c r="R831" s="39"/>
      <c r="S831" s="39"/>
      <c r="T831" s="39"/>
      <c r="U831" s="39"/>
      <c r="V831" s="39"/>
      <c r="W831" s="39"/>
      <c r="X831" s="39"/>
      <c r="Y831" s="39"/>
      <c r="Z831" s="39"/>
      <c r="AA831" s="39"/>
      <c r="AB831" s="39"/>
    </row>
    <row r="832">
      <c r="A832" s="1"/>
      <c r="B832" s="36"/>
      <c r="C832" s="36"/>
      <c r="D832" s="36"/>
      <c r="E832" s="36"/>
      <c r="F832" s="36"/>
      <c r="G832" s="36"/>
      <c r="H832" s="37"/>
      <c r="I832" s="36"/>
      <c r="J832" s="38"/>
      <c r="K832" s="38"/>
      <c r="L832" s="39"/>
      <c r="M832" s="39"/>
      <c r="N832" s="39"/>
      <c r="O832" s="39"/>
      <c r="P832" s="39"/>
      <c r="Q832" s="39"/>
      <c r="R832" s="39"/>
      <c r="S832" s="39"/>
      <c r="T832" s="39"/>
      <c r="U832" s="39"/>
      <c r="V832" s="39"/>
      <c r="W832" s="39"/>
      <c r="X832" s="39"/>
      <c r="Y832" s="39"/>
      <c r="Z832" s="39"/>
      <c r="AA832" s="39"/>
      <c r="AB832" s="39"/>
    </row>
    <row r="833">
      <c r="A833" s="1"/>
      <c r="B833" s="36"/>
      <c r="C833" s="36"/>
      <c r="D833" s="36"/>
      <c r="E833" s="36"/>
      <c r="F833" s="36"/>
      <c r="G833" s="36"/>
      <c r="H833" s="37"/>
      <c r="I833" s="36"/>
      <c r="J833" s="38"/>
      <c r="K833" s="38"/>
      <c r="L833" s="39"/>
      <c r="M833" s="39"/>
      <c r="N833" s="39"/>
      <c r="O833" s="39"/>
      <c r="P833" s="39"/>
      <c r="Q833" s="39"/>
      <c r="R833" s="39"/>
      <c r="S833" s="39"/>
      <c r="T833" s="39"/>
      <c r="U833" s="39"/>
      <c r="V833" s="39"/>
      <c r="W833" s="39"/>
      <c r="X833" s="39"/>
      <c r="Y833" s="39"/>
      <c r="Z833" s="39"/>
      <c r="AA833" s="39"/>
      <c r="AB833" s="39"/>
    </row>
    <row r="834">
      <c r="A834" s="1"/>
      <c r="B834" s="36"/>
      <c r="C834" s="36"/>
      <c r="D834" s="36"/>
      <c r="E834" s="36"/>
      <c r="F834" s="36"/>
      <c r="G834" s="36"/>
      <c r="H834" s="37"/>
      <c r="I834" s="36"/>
      <c r="J834" s="38"/>
      <c r="K834" s="38"/>
      <c r="L834" s="39"/>
      <c r="M834" s="39"/>
      <c r="N834" s="39"/>
      <c r="O834" s="39"/>
      <c r="P834" s="39"/>
      <c r="Q834" s="39"/>
      <c r="R834" s="39"/>
      <c r="S834" s="39"/>
      <c r="T834" s="39"/>
      <c r="U834" s="39"/>
      <c r="V834" s="39"/>
      <c r="W834" s="39"/>
      <c r="X834" s="39"/>
      <c r="Y834" s="39"/>
      <c r="Z834" s="39"/>
      <c r="AA834" s="39"/>
      <c r="AB834" s="39"/>
    </row>
    <row r="835">
      <c r="A835" s="1"/>
      <c r="B835" s="36"/>
      <c r="C835" s="36"/>
      <c r="D835" s="36"/>
      <c r="E835" s="36"/>
      <c r="F835" s="36"/>
      <c r="G835" s="36"/>
      <c r="H835" s="37"/>
      <c r="I835" s="36"/>
      <c r="J835" s="38"/>
      <c r="K835" s="38"/>
      <c r="L835" s="39"/>
      <c r="M835" s="39"/>
      <c r="N835" s="39"/>
      <c r="O835" s="39"/>
      <c r="P835" s="39"/>
      <c r="Q835" s="39"/>
      <c r="R835" s="39"/>
      <c r="S835" s="39"/>
      <c r="T835" s="39"/>
      <c r="U835" s="39"/>
      <c r="V835" s="39"/>
      <c r="W835" s="39"/>
      <c r="X835" s="39"/>
      <c r="Y835" s="39"/>
      <c r="Z835" s="39"/>
      <c r="AA835" s="39"/>
      <c r="AB835" s="39"/>
    </row>
    <row r="836">
      <c r="A836" s="1"/>
      <c r="B836" s="36"/>
      <c r="C836" s="36"/>
      <c r="D836" s="36"/>
      <c r="E836" s="36"/>
      <c r="F836" s="36"/>
      <c r="G836" s="36"/>
      <c r="H836" s="37"/>
      <c r="I836" s="36"/>
      <c r="J836" s="38"/>
      <c r="K836" s="38"/>
      <c r="L836" s="39"/>
      <c r="M836" s="39"/>
      <c r="N836" s="39"/>
      <c r="O836" s="39"/>
      <c r="P836" s="39"/>
      <c r="Q836" s="39"/>
      <c r="R836" s="39"/>
      <c r="S836" s="39"/>
      <c r="T836" s="39"/>
      <c r="U836" s="39"/>
      <c r="V836" s="39"/>
      <c r="W836" s="39"/>
      <c r="X836" s="39"/>
      <c r="Y836" s="39"/>
      <c r="Z836" s="39"/>
      <c r="AA836" s="39"/>
      <c r="AB836" s="39"/>
    </row>
    <row r="837">
      <c r="A837" s="1"/>
      <c r="B837" s="36"/>
      <c r="C837" s="36"/>
      <c r="D837" s="36"/>
      <c r="E837" s="36"/>
      <c r="F837" s="36"/>
      <c r="G837" s="36"/>
      <c r="H837" s="37"/>
      <c r="I837" s="36"/>
      <c r="J837" s="38"/>
      <c r="K837" s="38"/>
      <c r="L837" s="39"/>
      <c r="M837" s="39"/>
      <c r="N837" s="39"/>
      <c r="O837" s="39"/>
      <c r="P837" s="39"/>
      <c r="Q837" s="39"/>
      <c r="R837" s="39"/>
      <c r="S837" s="39"/>
      <c r="T837" s="39"/>
      <c r="U837" s="39"/>
      <c r="V837" s="39"/>
      <c r="W837" s="39"/>
      <c r="X837" s="39"/>
      <c r="Y837" s="39"/>
      <c r="Z837" s="39"/>
      <c r="AA837" s="39"/>
      <c r="AB837" s="39"/>
    </row>
    <row r="838">
      <c r="A838" s="1"/>
      <c r="B838" s="36"/>
      <c r="C838" s="36"/>
      <c r="D838" s="36"/>
      <c r="E838" s="36"/>
      <c r="F838" s="36"/>
      <c r="G838" s="36"/>
      <c r="H838" s="37"/>
      <c r="I838" s="36"/>
      <c r="J838" s="38"/>
      <c r="K838" s="38"/>
      <c r="L838" s="39"/>
      <c r="M838" s="39"/>
      <c r="N838" s="39"/>
      <c r="O838" s="39"/>
      <c r="P838" s="39"/>
      <c r="Q838" s="39"/>
      <c r="R838" s="39"/>
      <c r="S838" s="39"/>
      <c r="T838" s="39"/>
      <c r="U838" s="39"/>
      <c r="V838" s="39"/>
      <c r="W838" s="39"/>
      <c r="X838" s="39"/>
      <c r="Y838" s="39"/>
      <c r="Z838" s="39"/>
      <c r="AA838" s="39"/>
      <c r="AB838" s="39"/>
    </row>
    <row r="839">
      <c r="A839" s="1"/>
      <c r="B839" s="36"/>
      <c r="C839" s="36"/>
      <c r="D839" s="36"/>
      <c r="E839" s="36"/>
      <c r="F839" s="36"/>
      <c r="G839" s="36"/>
      <c r="H839" s="37"/>
      <c r="I839" s="36"/>
      <c r="J839" s="38"/>
      <c r="K839" s="38"/>
      <c r="L839" s="39"/>
      <c r="M839" s="39"/>
      <c r="N839" s="39"/>
      <c r="O839" s="39"/>
      <c r="P839" s="39"/>
      <c r="Q839" s="39"/>
      <c r="R839" s="39"/>
      <c r="S839" s="39"/>
      <c r="T839" s="39"/>
      <c r="U839" s="39"/>
      <c r="V839" s="39"/>
      <c r="W839" s="39"/>
      <c r="X839" s="39"/>
      <c r="Y839" s="39"/>
      <c r="Z839" s="39"/>
      <c r="AA839" s="39"/>
      <c r="AB839" s="39"/>
    </row>
    <row r="840">
      <c r="A840" s="1"/>
      <c r="B840" s="36"/>
      <c r="C840" s="36"/>
      <c r="D840" s="36"/>
      <c r="E840" s="36"/>
      <c r="F840" s="36"/>
      <c r="G840" s="36"/>
      <c r="H840" s="37"/>
      <c r="I840" s="36"/>
      <c r="J840" s="38"/>
      <c r="K840" s="38"/>
      <c r="L840" s="39"/>
      <c r="M840" s="39"/>
      <c r="N840" s="39"/>
      <c r="O840" s="39"/>
      <c r="P840" s="39"/>
      <c r="Q840" s="39"/>
      <c r="R840" s="39"/>
      <c r="S840" s="39"/>
      <c r="T840" s="39"/>
      <c r="U840" s="39"/>
      <c r="V840" s="39"/>
      <c r="W840" s="39"/>
      <c r="X840" s="39"/>
      <c r="Y840" s="39"/>
      <c r="Z840" s="39"/>
      <c r="AA840" s="39"/>
      <c r="AB840" s="39"/>
    </row>
    <row r="841">
      <c r="A841" s="1"/>
      <c r="B841" s="36"/>
      <c r="C841" s="36"/>
      <c r="D841" s="36"/>
      <c r="E841" s="36"/>
      <c r="F841" s="36"/>
      <c r="G841" s="36"/>
      <c r="H841" s="37"/>
      <c r="I841" s="36"/>
      <c r="J841" s="38"/>
      <c r="K841" s="38"/>
      <c r="L841" s="39"/>
      <c r="M841" s="39"/>
      <c r="N841" s="39"/>
      <c r="O841" s="39"/>
      <c r="P841" s="39"/>
      <c r="Q841" s="39"/>
      <c r="R841" s="39"/>
      <c r="S841" s="39"/>
      <c r="T841" s="39"/>
      <c r="U841" s="39"/>
      <c r="V841" s="39"/>
      <c r="W841" s="39"/>
      <c r="X841" s="39"/>
      <c r="Y841" s="39"/>
      <c r="Z841" s="39"/>
      <c r="AA841" s="39"/>
      <c r="AB841" s="39"/>
    </row>
    <row r="842">
      <c r="A842" s="1"/>
      <c r="B842" s="36"/>
      <c r="C842" s="36"/>
      <c r="D842" s="36"/>
      <c r="E842" s="36"/>
      <c r="F842" s="36"/>
      <c r="G842" s="36"/>
      <c r="H842" s="37"/>
      <c r="I842" s="36"/>
      <c r="J842" s="38"/>
      <c r="K842" s="38"/>
      <c r="L842" s="39"/>
      <c r="M842" s="39"/>
      <c r="N842" s="39"/>
      <c r="O842" s="39"/>
      <c r="P842" s="39"/>
      <c r="Q842" s="39"/>
      <c r="R842" s="39"/>
      <c r="S842" s="39"/>
      <c r="T842" s="39"/>
      <c r="U842" s="39"/>
      <c r="V842" s="39"/>
      <c r="W842" s="39"/>
      <c r="X842" s="39"/>
      <c r="Y842" s="39"/>
      <c r="Z842" s="39"/>
      <c r="AA842" s="39"/>
      <c r="AB842" s="39"/>
    </row>
    <row r="843">
      <c r="A843" s="1"/>
      <c r="B843" s="36"/>
      <c r="C843" s="36"/>
      <c r="D843" s="36"/>
      <c r="E843" s="36"/>
      <c r="F843" s="36"/>
      <c r="G843" s="36"/>
      <c r="H843" s="37"/>
      <c r="I843" s="36"/>
      <c r="J843" s="38"/>
      <c r="K843" s="38"/>
      <c r="L843" s="39"/>
      <c r="M843" s="39"/>
      <c r="N843" s="39"/>
      <c r="O843" s="39"/>
      <c r="P843" s="39"/>
      <c r="Q843" s="39"/>
      <c r="R843" s="39"/>
      <c r="S843" s="39"/>
      <c r="T843" s="39"/>
      <c r="U843" s="39"/>
      <c r="V843" s="39"/>
      <c r="W843" s="39"/>
      <c r="X843" s="39"/>
      <c r="Y843" s="39"/>
      <c r="Z843" s="39"/>
      <c r="AA843" s="39"/>
      <c r="AB843" s="39"/>
    </row>
    <row r="844">
      <c r="A844" s="1"/>
      <c r="B844" s="36"/>
      <c r="C844" s="36"/>
      <c r="D844" s="36"/>
      <c r="E844" s="36"/>
      <c r="F844" s="36"/>
      <c r="G844" s="36"/>
      <c r="H844" s="37"/>
      <c r="I844" s="36"/>
      <c r="J844" s="38"/>
      <c r="K844" s="38"/>
      <c r="L844" s="39"/>
      <c r="M844" s="39"/>
      <c r="N844" s="39"/>
      <c r="O844" s="39"/>
      <c r="P844" s="39"/>
      <c r="Q844" s="39"/>
      <c r="R844" s="39"/>
      <c r="S844" s="39"/>
      <c r="T844" s="39"/>
      <c r="U844" s="39"/>
      <c r="V844" s="39"/>
      <c r="W844" s="39"/>
      <c r="X844" s="39"/>
      <c r="Y844" s="39"/>
      <c r="Z844" s="39"/>
      <c r="AA844" s="39"/>
      <c r="AB844" s="39"/>
    </row>
    <row r="845">
      <c r="A845" s="1"/>
      <c r="B845" s="36"/>
      <c r="C845" s="36"/>
      <c r="D845" s="36"/>
      <c r="E845" s="36"/>
      <c r="F845" s="36"/>
      <c r="G845" s="36"/>
      <c r="H845" s="37"/>
      <c r="I845" s="36"/>
      <c r="J845" s="38"/>
      <c r="K845" s="38"/>
      <c r="L845" s="39"/>
      <c r="M845" s="39"/>
      <c r="N845" s="39"/>
      <c r="O845" s="39"/>
      <c r="P845" s="39"/>
      <c r="Q845" s="39"/>
      <c r="R845" s="39"/>
      <c r="S845" s="39"/>
      <c r="T845" s="39"/>
      <c r="U845" s="39"/>
      <c r="V845" s="39"/>
      <c r="W845" s="39"/>
      <c r="X845" s="39"/>
      <c r="Y845" s="39"/>
      <c r="Z845" s="39"/>
      <c r="AA845" s="39"/>
      <c r="AB845" s="39"/>
    </row>
    <row r="846">
      <c r="A846" s="1"/>
      <c r="B846" s="36"/>
      <c r="C846" s="36"/>
      <c r="D846" s="36"/>
      <c r="E846" s="36"/>
      <c r="F846" s="36"/>
      <c r="G846" s="36"/>
      <c r="H846" s="37"/>
      <c r="I846" s="36"/>
      <c r="J846" s="38"/>
      <c r="K846" s="38"/>
      <c r="L846" s="39"/>
      <c r="M846" s="39"/>
      <c r="N846" s="39"/>
      <c r="O846" s="39"/>
      <c r="P846" s="39"/>
      <c r="Q846" s="39"/>
      <c r="R846" s="39"/>
      <c r="S846" s="39"/>
      <c r="T846" s="39"/>
      <c r="U846" s="39"/>
      <c r="V846" s="39"/>
      <c r="W846" s="39"/>
      <c r="X846" s="39"/>
      <c r="Y846" s="39"/>
      <c r="Z846" s="39"/>
      <c r="AA846" s="39"/>
      <c r="AB846" s="39"/>
    </row>
    <row r="847">
      <c r="A847" s="1"/>
      <c r="B847" s="36"/>
      <c r="C847" s="36"/>
      <c r="D847" s="36"/>
      <c r="E847" s="36"/>
      <c r="F847" s="36"/>
      <c r="G847" s="36"/>
      <c r="H847" s="37"/>
      <c r="I847" s="36"/>
      <c r="J847" s="38"/>
      <c r="K847" s="38"/>
      <c r="L847" s="39"/>
      <c r="M847" s="39"/>
      <c r="N847" s="39"/>
      <c r="O847" s="39"/>
      <c r="P847" s="39"/>
      <c r="Q847" s="39"/>
      <c r="R847" s="39"/>
      <c r="S847" s="39"/>
      <c r="T847" s="39"/>
      <c r="U847" s="39"/>
      <c r="V847" s="39"/>
      <c r="W847" s="39"/>
      <c r="X847" s="39"/>
      <c r="Y847" s="39"/>
      <c r="Z847" s="39"/>
      <c r="AA847" s="39"/>
      <c r="AB847" s="39"/>
    </row>
    <row r="848">
      <c r="A848" s="1"/>
      <c r="B848" s="36"/>
      <c r="C848" s="36"/>
      <c r="D848" s="36"/>
      <c r="E848" s="36"/>
      <c r="F848" s="36"/>
      <c r="G848" s="36"/>
      <c r="H848" s="37"/>
      <c r="I848" s="36"/>
      <c r="J848" s="38"/>
      <c r="K848" s="38"/>
      <c r="L848" s="39"/>
      <c r="M848" s="39"/>
      <c r="N848" s="39"/>
      <c r="O848" s="39"/>
      <c r="P848" s="39"/>
      <c r="Q848" s="39"/>
      <c r="R848" s="39"/>
      <c r="S848" s="39"/>
      <c r="T848" s="39"/>
      <c r="U848" s="39"/>
      <c r="V848" s="39"/>
      <c r="W848" s="39"/>
      <c r="X848" s="39"/>
      <c r="Y848" s="39"/>
      <c r="Z848" s="39"/>
      <c r="AA848" s="39"/>
      <c r="AB848" s="39"/>
    </row>
    <row r="849">
      <c r="A849" s="1"/>
      <c r="B849" s="36"/>
      <c r="C849" s="36"/>
      <c r="D849" s="36"/>
      <c r="E849" s="36"/>
      <c r="F849" s="36"/>
      <c r="G849" s="36"/>
      <c r="H849" s="37"/>
      <c r="I849" s="36"/>
      <c r="J849" s="38"/>
      <c r="K849" s="38"/>
      <c r="L849" s="39"/>
      <c r="M849" s="39"/>
      <c r="N849" s="39"/>
      <c r="O849" s="39"/>
      <c r="P849" s="39"/>
      <c r="Q849" s="39"/>
      <c r="R849" s="39"/>
      <c r="S849" s="39"/>
      <c r="T849" s="39"/>
      <c r="U849" s="39"/>
      <c r="V849" s="39"/>
      <c r="W849" s="39"/>
      <c r="X849" s="39"/>
      <c r="Y849" s="39"/>
      <c r="Z849" s="39"/>
      <c r="AA849" s="39"/>
      <c r="AB849" s="39"/>
    </row>
    <row r="850">
      <c r="A850" s="1"/>
      <c r="B850" s="36"/>
      <c r="C850" s="36"/>
      <c r="D850" s="36"/>
      <c r="E850" s="36"/>
      <c r="F850" s="36"/>
      <c r="G850" s="36"/>
      <c r="H850" s="37"/>
      <c r="I850" s="36"/>
      <c r="J850" s="38"/>
      <c r="K850" s="38"/>
      <c r="L850" s="39"/>
      <c r="M850" s="39"/>
      <c r="N850" s="39"/>
      <c r="O850" s="39"/>
      <c r="P850" s="39"/>
      <c r="Q850" s="39"/>
      <c r="R850" s="39"/>
      <c r="S850" s="39"/>
      <c r="T850" s="39"/>
      <c r="U850" s="39"/>
      <c r="V850" s="39"/>
      <c r="W850" s="39"/>
      <c r="X850" s="39"/>
      <c r="Y850" s="39"/>
      <c r="Z850" s="39"/>
      <c r="AA850" s="39"/>
      <c r="AB850" s="39"/>
    </row>
    <row r="851">
      <c r="A851" s="1"/>
      <c r="B851" s="36"/>
      <c r="C851" s="36"/>
      <c r="D851" s="36"/>
      <c r="E851" s="36"/>
      <c r="F851" s="36"/>
      <c r="G851" s="36"/>
      <c r="H851" s="37"/>
      <c r="I851" s="36"/>
      <c r="J851" s="38"/>
      <c r="K851" s="38"/>
      <c r="L851" s="39"/>
      <c r="M851" s="39"/>
      <c r="N851" s="39"/>
      <c r="O851" s="39"/>
      <c r="P851" s="39"/>
      <c r="Q851" s="39"/>
      <c r="R851" s="39"/>
      <c r="S851" s="39"/>
      <c r="T851" s="39"/>
      <c r="U851" s="39"/>
      <c r="V851" s="39"/>
      <c r="W851" s="39"/>
      <c r="X851" s="39"/>
      <c r="Y851" s="39"/>
      <c r="Z851" s="39"/>
      <c r="AA851" s="39"/>
      <c r="AB851" s="39"/>
    </row>
    <row r="852">
      <c r="A852" s="1"/>
      <c r="B852" s="36"/>
      <c r="C852" s="36"/>
      <c r="D852" s="36"/>
      <c r="E852" s="36"/>
      <c r="F852" s="36"/>
      <c r="G852" s="36"/>
      <c r="H852" s="37"/>
      <c r="I852" s="36"/>
      <c r="J852" s="38"/>
      <c r="K852" s="38"/>
      <c r="L852" s="39"/>
      <c r="M852" s="39"/>
      <c r="N852" s="39"/>
      <c r="O852" s="39"/>
      <c r="P852" s="39"/>
      <c r="Q852" s="39"/>
      <c r="R852" s="39"/>
      <c r="S852" s="39"/>
      <c r="T852" s="39"/>
      <c r="U852" s="39"/>
      <c r="V852" s="39"/>
      <c r="W852" s="39"/>
      <c r="X852" s="39"/>
      <c r="Y852" s="39"/>
      <c r="Z852" s="39"/>
      <c r="AA852" s="39"/>
      <c r="AB852" s="39"/>
    </row>
    <row r="853">
      <c r="A853" s="1"/>
      <c r="B853" s="36"/>
      <c r="C853" s="36"/>
      <c r="D853" s="36"/>
      <c r="E853" s="36"/>
      <c r="F853" s="36"/>
      <c r="G853" s="36"/>
      <c r="H853" s="37"/>
      <c r="I853" s="36"/>
      <c r="J853" s="38"/>
      <c r="K853" s="38"/>
      <c r="L853" s="39"/>
      <c r="M853" s="39"/>
      <c r="N853" s="39"/>
      <c r="O853" s="39"/>
      <c r="P853" s="39"/>
      <c r="Q853" s="39"/>
      <c r="R853" s="39"/>
      <c r="S853" s="39"/>
      <c r="T853" s="39"/>
      <c r="U853" s="39"/>
      <c r="V853" s="39"/>
      <c r="W853" s="39"/>
      <c r="X853" s="39"/>
      <c r="Y853" s="39"/>
      <c r="Z853" s="39"/>
      <c r="AA853" s="39"/>
      <c r="AB853" s="39"/>
    </row>
    <row r="854">
      <c r="A854" s="1"/>
      <c r="B854" s="36"/>
      <c r="C854" s="36"/>
      <c r="D854" s="36"/>
      <c r="E854" s="36"/>
      <c r="F854" s="36"/>
      <c r="G854" s="36"/>
      <c r="H854" s="37"/>
      <c r="I854" s="36"/>
      <c r="J854" s="38"/>
      <c r="K854" s="38"/>
      <c r="L854" s="39"/>
      <c r="M854" s="39"/>
      <c r="N854" s="39"/>
      <c r="O854" s="39"/>
      <c r="P854" s="39"/>
      <c r="Q854" s="39"/>
      <c r="R854" s="39"/>
      <c r="S854" s="39"/>
      <c r="T854" s="39"/>
      <c r="U854" s="39"/>
      <c r="V854" s="39"/>
      <c r="W854" s="39"/>
      <c r="X854" s="39"/>
      <c r="Y854" s="39"/>
      <c r="Z854" s="39"/>
      <c r="AA854" s="39"/>
      <c r="AB854" s="39"/>
    </row>
    <row r="855">
      <c r="A855" s="1"/>
      <c r="B855" s="36"/>
      <c r="C855" s="36"/>
      <c r="D855" s="36"/>
      <c r="E855" s="36"/>
      <c r="F855" s="36"/>
      <c r="G855" s="36"/>
      <c r="H855" s="37"/>
      <c r="I855" s="36"/>
      <c r="J855" s="38"/>
      <c r="K855" s="38"/>
      <c r="L855" s="39"/>
      <c r="M855" s="39"/>
      <c r="N855" s="39"/>
      <c r="O855" s="39"/>
      <c r="P855" s="39"/>
      <c r="Q855" s="39"/>
      <c r="R855" s="39"/>
      <c r="S855" s="39"/>
      <c r="T855" s="39"/>
      <c r="U855" s="39"/>
      <c r="V855" s="39"/>
      <c r="W855" s="39"/>
      <c r="X855" s="39"/>
      <c r="Y855" s="39"/>
      <c r="Z855" s="39"/>
      <c r="AA855" s="39"/>
      <c r="AB855" s="39"/>
    </row>
    <row r="856">
      <c r="A856" s="1"/>
      <c r="B856" s="36"/>
      <c r="C856" s="36"/>
      <c r="D856" s="36"/>
      <c r="E856" s="36"/>
      <c r="F856" s="36"/>
      <c r="G856" s="36"/>
      <c r="H856" s="37"/>
      <c r="I856" s="36"/>
      <c r="J856" s="38"/>
      <c r="K856" s="38"/>
      <c r="L856" s="39"/>
      <c r="M856" s="39"/>
      <c r="N856" s="39"/>
      <c r="O856" s="39"/>
      <c r="P856" s="39"/>
      <c r="Q856" s="39"/>
      <c r="R856" s="39"/>
      <c r="S856" s="39"/>
      <c r="T856" s="39"/>
      <c r="U856" s="39"/>
      <c r="V856" s="39"/>
      <c r="W856" s="39"/>
      <c r="X856" s="39"/>
      <c r="Y856" s="39"/>
      <c r="Z856" s="39"/>
      <c r="AA856" s="39"/>
      <c r="AB856" s="39"/>
    </row>
    <row r="857">
      <c r="A857" s="1"/>
      <c r="B857" s="36"/>
      <c r="C857" s="36"/>
      <c r="D857" s="36"/>
      <c r="E857" s="36"/>
      <c r="F857" s="36"/>
      <c r="G857" s="36"/>
      <c r="H857" s="37"/>
      <c r="I857" s="36"/>
      <c r="J857" s="38"/>
      <c r="K857" s="38"/>
      <c r="L857" s="39"/>
      <c r="M857" s="39"/>
      <c r="N857" s="39"/>
      <c r="O857" s="39"/>
      <c r="P857" s="39"/>
      <c r="Q857" s="39"/>
      <c r="R857" s="39"/>
      <c r="S857" s="39"/>
      <c r="T857" s="39"/>
      <c r="U857" s="39"/>
      <c r="V857" s="39"/>
      <c r="W857" s="39"/>
      <c r="X857" s="39"/>
      <c r="Y857" s="39"/>
      <c r="Z857" s="39"/>
      <c r="AA857" s="39"/>
      <c r="AB857" s="39"/>
    </row>
    <row r="858">
      <c r="A858" s="1"/>
      <c r="B858" s="36"/>
      <c r="C858" s="36"/>
      <c r="D858" s="36"/>
      <c r="E858" s="36"/>
      <c r="F858" s="36"/>
      <c r="G858" s="36"/>
      <c r="H858" s="37"/>
      <c r="I858" s="36"/>
      <c r="J858" s="38"/>
      <c r="K858" s="38"/>
      <c r="L858" s="39"/>
      <c r="M858" s="39"/>
      <c r="N858" s="39"/>
      <c r="O858" s="39"/>
      <c r="P858" s="39"/>
      <c r="Q858" s="39"/>
      <c r="R858" s="39"/>
      <c r="S858" s="39"/>
      <c r="T858" s="39"/>
      <c r="U858" s="39"/>
      <c r="V858" s="39"/>
      <c r="W858" s="39"/>
      <c r="X858" s="39"/>
      <c r="Y858" s="39"/>
      <c r="Z858" s="39"/>
      <c r="AA858" s="39"/>
      <c r="AB858" s="39"/>
    </row>
    <row r="859">
      <c r="A859" s="1"/>
      <c r="B859" s="36"/>
      <c r="C859" s="36"/>
      <c r="D859" s="36"/>
      <c r="E859" s="36"/>
      <c r="F859" s="36"/>
      <c r="G859" s="36"/>
      <c r="H859" s="37"/>
      <c r="I859" s="36"/>
      <c r="J859" s="38"/>
      <c r="K859" s="38"/>
      <c r="L859" s="39"/>
      <c r="M859" s="39"/>
      <c r="N859" s="39"/>
      <c r="O859" s="39"/>
      <c r="P859" s="39"/>
      <c r="Q859" s="39"/>
      <c r="R859" s="39"/>
      <c r="S859" s="39"/>
      <c r="T859" s="39"/>
      <c r="U859" s="39"/>
      <c r="V859" s="39"/>
      <c r="W859" s="39"/>
      <c r="X859" s="39"/>
      <c r="Y859" s="39"/>
      <c r="Z859" s="39"/>
      <c r="AA859" s="39"/>
      <c r="AB859" s="39"/>
    </row>
    <row r="860">
      <c r="A860" s="1"/>
      <c r="B860" s="36"/>
      <c r="C860" s="36"/>
      <c r="D860" s="36"/>
      <c r="E860" s="36"/>
      <c r="F860" s="36"/>
      <c r="G860" s="36"/>
      <c r="H860" s="37"/>
      <c r="I860" s="36"/>
      <c r="J860" s="38"/>
      <c r="K860" s="38"/>
      <c r="L860" s="39"/>
      <c r="M860" s="39"/>
      <c r="N860" s="39"/>
      <c r="O860" s="39"/>
      <c r="P860" s="39"/>
      <c r="Q860" s="39"/>
      <c r="R860" s="39"/>
      <c r="S860" s="39"/>
      <c r="T860" s="39"/>
      <c r="U860" s="39"/>
      <c r="V860" s="39"/>
      <c r="W860" s="39"/>
      <c r="X860" s="39"/>
      <c r="Y860" s="39"/>
      <c r="Z860" s="39"/>
      <c r="AA860" s="39"/>
      <c r="AB860" s="39"/>
    </row>
    <row r="861">
      <c r="A861" s="1"/>
      <c r="B861" s="36"/>
      <c r="C861" s="36"/>
      <c r="D861" s="36"/>
      <c r="E861" s="36"/>
      <c r="F861" s="36"/>
      <c r="G861" s="36"/>
      <c r="H861" s="37"/>
      <c r="I861" s="36"/>
      <c r="J861" s="38"/>
      <c r="K861" s="38"/>
      <c r="L861" s="39"/>
      <c r="M861" s="39"/>
      <c r="N861" s="39"/>
      <c r="O861" s="39"/>
      <c r="P861" s="39"/>
      <c r="Q861" s="39"/>
      <c r="R861" s="39"/>
      <c r="S861" s="39"/>
      <c r="T861" s="39"/>
      <c r="U861" s="39"/>
      <c r="V861" s="39"/>
      <c r="W861" s="39"/>
      <c r="X861" s="39"/>
      <c r="Y861" s="39"/>
      <c r="Z861" s="39"/>
      <c r="AA861" s="39"/>
      <c r="AB861" s="39"/>
    </row>
    <row r="862">
      <c r="A862" s="1"/>
      <c r="B862" s="36"/>
      <c r="C862" s="36"/>
      <c r="D862" s="36"/>
      <c r="E862" s="36"/>
      <c r="F862" s="36"/>
      <c r="G862" s="36"/>
      <c r="H862" s="37"/>
      <c r="I862" s="36"/>
      <c r="J862" s="38"/>
      <c r="K862" s="38"/>
      <c r="L862" s="39"/>
      <c r="M862" s="39"/>
      <c r="N862" s="39"/>
      <c r="O862" s="39"/>
      <c r="P862" s="39"/>
      <c r="Q862" s="39"/>
      <c r="R862" s="39"/>
      <c r="S862" s="39"/>
      <c r="T862" s="39"/>
      <c r="U862" s="39"/>
      <c r="V862" s="39"/>
      <c r="W862" s="39"/>
      <c r="X862" s="39"/>
      <c r="Y862" s="39"/>
      <c r="Z862" s="39"/>
      <c r="AA862" s="39"/>
      <c r="AB862" s="39"/>
    </row>
    <row r="863">
      <c r="A863" s="1"/>
      <c r="B863" s="36"/>
      <c r="C863" s="36"/>
      <c r="D863" s="36"/>
      <c r="E863" s="36"/>
      <c r="F863" s="36"/>
      <c r="G863" s="36"/>
      <c r="H863" s="37"/>
      <c r="I863" s="36"/>
      <c r="J863" s="38"/>
      <c r="K863" s="38"/>
      <c r="L863" s="39"/>
      <c r="M863" s="39"/>
      <c r="N863" s="39"/>
      <c r="O863" s="39"/>
      <c r="P863" s="39"/>
      <c r="Q863" s="39"/>
      <c r="R863" s="39"/>
      <c r="S863" s="39"/>
      <c r="T863" s="39"/>
      <c r="U863" s="39"/>
      <c r="V863" s="39"/>
      <c r="W863" s="39"/>
      <c r="X863" s="39"/>
      <c r="Y863" s="39"/>
      <c r="Z863" s="39"/>
      <c r="AA863" s="39"/>
      <c r="AB863" s="39"/>
    </row>
    <row r="864">
      <c r="A864" s="1"/>
      <c r="B864" s="36"/>
      <c r="C864" s="36"/>
      <c r="D864" s="36"/>
      <c r="E864" s="36"/>
      <c r="F864" s="36"/>
      <c r="G864" s="36"/>
      <c r="H864" s="37"/>
      <c r="I864" s="36"/>
      <c r="J864" s="38"/>
      <c r="K864" s="38"/>
      <c r="L864" s="39"/>
      <c r="M864" s="39"/>
      <c r="N864" s="39"/>
      <c r="O864" s="39"/>
      <c r="P864" s="39"/>
      <c r="Q864" s="39"/>
      <c r="R864" s="39"/>
      <c r="S864" s="39"/>
      <c r="T864" s="39"/>
      <c r="U864" s="39"/>
      <c r="V864" s="39"/>
      <c r="W864" s="39"/>
      <c r="X864" s="39"/>
      <c r="Y864" s="39"/>
      <c r="Z864" s="39"/>
      <c r="AA864" s="39"/>
      <c r="AB864" s="39"/>
    </row>
    <row r="865">
      <c r="A865" s="1"/>
      <c r="B865" s="36"/>
      <c r="C865" s="36"/>
      <c r="D865" s="36"/>
      <c r="E865" s="36"/>
      <c r="F865" s="36"/>
      <c r="G865" s="36"/>
      <c r="H865" s="37"/>
      <c r="I865" s="36"/>
      <c r="J865" s="38"/>
      <c r="K865" s="38"/>
      <c r="L865" s="39"/>
      <c r="M865" s="39"/>
      <c r="N865" s="39"/>
      <c r="O865" s="39"/>
      <c r="P865" s="39"/>
      <c r="Q865" s="39"/>
      <c r="R865" s="39"/>
      <c r="S865" s="39"/>
      <c r="T865" s="39"/>
      <c r="U865" s="39"/>
      <c r="V865" s="39"/>
      <c r="W865" s="39"/>
      <c r="X865" s="39"/>
      <c r="Y865" s="39"/>
      <c r="Z865" s="39"/>
      <c r="AA865" s="39"/>
      <c r="AB865" s="39"/>
    </row>
    <row r="866">
      <c r="A866" s="1"/>
      <c r="B866" s="36"/>
      <c r="C866" s="36"/>
      <c r="D866" s="36"/>
      <c r="E866" s="36"/>
      <c r="F866" s="36"/>
      <c r="G866" s="36"/>
      <c r="H866" s="37"/>
      <c r="I866" s="36"/>
      <c r="J866" s="38"/>
      <c r="K866" s="38"/>
      <c r="L866" s="39"/>
      <c r="M866" s="39"/>
      <c r="N866" s="39"/>
      <c r="O866" s="39"/>
      <c r="P866" s="39"/>
      <c r="Q866" s="39"/>
      <c r="R866" s="39"/>
      <c r="S866" s="39"/>
      <c r="T866" s="39"/>
      <c r="U866" s="39"/>
      <c r="V866" s="39"/>
      <c r="W866" s="39"/>
      <c r="X866" s="39"/>
      <c r="Y866" s="39"/>
      <c r="Z866" s="39"/>
      <c r="AA866" s="39"/>
      <c r="AB866" s="39"/>
    </row>
    <row r="867">
      <c r="A867" s="1"/>
      <c r="B867" s="36"/>
      <c r="C867" s="36"/>
      <c r="D867" s="36"/>
      <c r="E867" s="36"/>
      <c r="F867" s="36"/>
      <c r="G867" s="36"/>
      <c r="H867" s="37"/>
      <c r="I867" s="36"/>
      <c r="J867" s="38"/>
      <c r="K867" s="38"/>
      <c r="L867" s="39"/>
      <c r="M867" s="39"/>
      <c r="N867" s="39"/>
      <c r="O867" s="39"/>
      <c r="P867" s="39"/>
      <c r="Q867" s="39"/>
      <c r="R867" s="39"/>
      <c r="S867" s="39"/>
      <c r="T867" s="39"/>
      <c r="U867" s="39"/>
      <c r="V867" s="39"/>
      <c r="W867" s="39"/>
      <c r="X867" s="39"/>
      <c r="Y867" s="39"/>
      <c r="Z867" s="39"/>
      <c r="AA867" s="39"/>
      <c r="AB867" s="39"/>
    </row>
    <row r="868">
      <c r="A868" s="1"/>
      <c r="B868" s="36"/>
      <c r="C868" s="36"/>
      <c r="D868" s="36"/>
      <c r="E868" s="36"/>
      <c r="F868" s="36"/>
      <c r="G868" s="36"/>
      <c r="H868" s="37"/>
      <c r="I868" s="36"/>
      <c r="J868" s="38"/>
      <c r="K868" s="38"/>
      <c r="L868" s="39"/>
      <c r="M868" s="39"/>
      <c r="N868" s="39"/>
      <c r="O868" s="39"/>
      <c r="P868" s="39"/>
      <c r="Q868" s="39"/>
      <c r="R868" s="39"/>
      <c r="S868" s="39"/>
      <c r="T868" s="39"/>
      <c r="U868" s="39"/>
      <c r="V868" s="39"/>
      <c r="W868" s="39"/>
      <c r="X868" s="39"/>
      <c r="Y868" s="39"/>
      <c r="Z868" s="39"/>
      <c r="AA868" s="39"/>
      <c r="AB868" s="39"/>
    </row>
    <row r="869">
      <c r="A869" s="1"/>
      <c r="B869" s="36"/>
      <c r="C869" s="36"/>
      <c r="D869" s="36"/>
      <c r="E869" s="36"/>
      <c r="F869" s="36"/>
      <c r="G869" s="36"/>
      <c r="H869" s="37"/>
      <c r="I869" s="36"/>
      <c r="J869" s="38"/>
      <c r="K869" s="38"/>
      <c r="L869" s="39"/>
      <c r="M869" s="39"/>
      <c r="N869" s="39"/>
      <c r="O869" s="39"/>
      <c r="P869" s="39"/>
      <c r="Q869" s="39"/>
      <c r="R869" s="39"/>
      <c r="S869" s="39"/>
      <c r="T869" s="39"/>
      <c r="U869" s="39"/>
      <c r="V869" s="39"/>
      <c r="W869" s="39"/>
      <c r="X869" s="39"/>
      <c r="Y869" s="39"/>
      <c r="Z869" s="39"/>
      <c r="AA869" s="39"/>
      <c r="AB869" s="39"/>
    </row>
    <row r="870">
      <c r="A870" s="1"/>
      <c r="B870" s="36"/>
      <c r="C870" s="36"/>
      <c r="D870" s="36"/>
      <c r="E870" s="36"/>
      <c r="F870" s="36"/>
      <c r="G870" s="36"/>
      <c r="H870" s="37"/>
      <c r="I870" s="36"/>
      <c r="J870" s="38"/>
      <c r="K870" s="38"/>
      <c r="L870" s="39"/>
      <c r="M870" s="39"/>
      <c r="N870" s="39"/>
      <c r="O870" s="39"/>
      <c r="P870" s="39"/>
      <c r="Q870" s="39"/>
      <c r="R870" s="39"/>
      <c r="S870" s="39"/>
      <c r="T870" s="39"/>
      <c r="U870" s="39"/>
      <c r="V870" s="39"/>
      <c r="W870" s="39"/>
      <c r="X870" s="39"/>
      <c r="Y870" s="39"/>
      <c r="Z870" s="39"/>
      <c r="AA870" s="39"/>
      <c r="AB870" s="39"/>
    </row>
    <row r="871">
      <c r="A871" s="1"/>
      <c r="B871" s="36"/>
      <c r="C871" s="36"/>
      <c r="D871" s="36"/>
      <c r="E871" s="36"/>
      <c r="F871" s="36"/>
      <c r="G871" s="36"/>
      <c r="H871" s="37"/>
      <c r="I871" s="36"/>
      <c r="J871" s="38"/>
      <c r="K871" s="38"/>
      <c r="L871" s="39"/>
      <c r="M871" s="39"/>
      <c r="N871" s="39"/>
      <c r="O871" s="39"/>
      <c r="P871" s="39"/>
      <c r="Q871" s="39"/>
      <c r="R871" s="39"/>
      <c r="S871" s="39"/>
      <c r="T871" s="39"/>
      <c r="U871" s="39"/>
      <c r="V871" s="39"/>
      <c r="W871" s="39"/>
      <c r="X871" s="39"/>
      <c r="Y871" s="39"/>
      <c r="Z871" s="39"/>
      <c r="AA871" s="39"/>
      <c r="AB871" s="39"/>
    </row>
    <row r="872">
      <c r="A872" s="1"/>
      <c r="B872" s="36"/>
      <c r="C872" s="36"/>
      <c r="D872" s="36"/>
      <c r="E872" s="36"/>
      <c r="F872" s="36"/>
      <c r="G872" s="36"/>
      <c r="H872" s="37"/>
      <c r="I872" s="36"/>
      <c r="J872" s="38"/>
      <c r="K872" s="38"/>
      <c r="L872" s="39"/>
      <c r="M872" s="39"/>
      <c r="N872" s="39"/>
      <c r="O872" s="39"/>
      <c r="P872" s="39"/>
      <c r="Q872" s="39"/>
      <c r="R872" s="39"/>
      <c r="S872" s="39"/>
      <c r="T872" s="39"/>
      <c r="U872" s="39"/>
      <c r="V872" s="39"/>
      <c r="W872" s="39"/>
      <c r="X872" s="39"/>
      <c r="Y872" s="39"/>
      <c r="Z872" s="39"/>
      <c r="AA872" s="39"/>
      <c r="AB872" s="39"/>
    </row>
    <row r="873">
      <c r="A873" s="1"/>
      <c r="B873" s="36"/>
      <c r="C873" s="36"/>
      <c r="D873" s="36"/>
      <c r="E873" s="36"/>
      <c r="F873" s="36"/>
      <c r="G873" s="36"/>
      <c r="H873" s="37"/>
      <c r="I873" s="36"/>
      <c r="J873" s="38"/>
      <c r="K873" s="38"/>
      <c r="L873" s="39"/>
      <c r="M873" s="39"/>
      <c r="N873" s="39"/>
      <c r="O873" s="39"/>
      <c r="P873" s="39"/>
      <c r="Q873" s="39"/>
      <c r="R873" s="39"/>
      <c r="S873" s="39"/>
      <c r="T873" s="39"/>
      <c r="U873" s="39"/>
      <c r="V873" s="39"/>
      <c r="W873" s="39"/>
      <c r="X873" s="39"/>
      <c r="Y873" s="39"/>
      <c r="Z873" s="39"/>
      <c r="AA873" s="39"/>
      <c r="AB873" s="39"/>
    </row>
    <row r="874">
      <c r="A874" s="1"/>
      <c r="B874" s="36"/>
      <c r="C874" s="36"/>
      <c r="D874" s="36"/>
      <c r="E874" s="36"/>
      <c r="F874" s="36"/>
      <c r="G874" s="36"/>
      <c r="H874" s="37"/>
      <c r="I874" s="36"/>
      <c r="J874" s="38"/>
      <c r="K874" s="38"/>
      <c r="L874" s="39"/>
      <c r="M874" s="39"/>
      <c r="N874" s="39"/>
      <c r="O874" s="39"/>
      <c r="P874" s="39"/>
      <c r="Q874" s="39"/>
      <c r="R874" s="39"/>
      <c r="S874" s="39"/>
      <c r="T874" s="39"/>
      <c r="U874" s="39"/>
      <c r="V874" s="39"/>
      <c r="W874" s="39"/>
      <c r="X874" s="39"/>
      <c r="Y874" s="39"/>
      <c r="Z874" s="39"/>
      <c r="AA874" s="39"/>
      <c r="AB874" s="39"/>
    </row>
    <row r="875">
      <c r="A875" s="1"/>
      <c r="B875" s="36"/>
      <c r="C875" s="36"/>
      <c r="D875" s="36"/>
      <c r="E875" s="36"/>
      <c r="F875" s="36"/>
      <c r="G875" s="36"/>
      <c r="H875" s="37"/>
      <c r="I875" s="36"/>
      <c r="J875" s="38"/>
      <c r="K875" s="38"/>
      <c r="L875" s="39"/>
      <c r="M875" s="39"/>
      <c r="N875" s="39"/>
      <c r="O875" s="39"/>
      <c r="P875" s="39"/>
      <c r="Q875" s="39"/>
      <c r="R875" s="39"/>
      <c r="S875" s="39"/>
      <c r="T875" s="39"/>
      <c r="U875" s="39"/>
      <c r="V875" s="39"/>
      <c r="W875" s="39"/>
      <c r="X875" s="39"/>
      <c r="Y875" s="39"/>
      <c r="Z875" s="39"/>
      <c r="AA875" s="39"/>
      <c r="AB875" s="39"/>
    </row>
    <row r="876">
      <c r="A876" s="1"/>
      <c r="B876" s="36"/>
      <c r="C876" s="36"/>
      <c r="D876" s="36"/>
      <c r="E876" s="36"/>
      <c r="F876" s="36"/>
      <c r="G876" s="36"/>
      <c r="H876" s="37"/>
      <c r="I876" s="36"/>
      <c r="J876" s="38"/>
      <c r="K876" s="38"/>
      <c r="L876" s="39"/>
      <c r="M876" s="39"/>
      <c r="N876" s="39"/>
      <c r="O876" s="39"/>
      <c r="P876" s="39"/>
      <c r="Q876" s="39"/>
      <c r="R876" s="39"/>
      <c r="S876" s="39"/>
      <c r="T876" s="39"/>
      <c r="U876" s="39"/>
      <c r="V876" s="39"/>
      <c r="W876" s="39"/>
      <c r="X876" s="39"/>
      <c r="Y876" s="39"/>
      <c r="Z876" s="39"/>
      <c r="AA876" s="39"/>
      <c r="AB876" s="39"/>
    </row>
    <row r="877">
      <c r="A877" s="1"/>
      <c r="B877" s="36"/>
      <c r="C877" s="36"/>
      <c r="D877" s="36"/>
      <c r="E877" s="36"/>
      <c r="F877" s="36"/>
      <c r="G877" s="36"/>
      <c r="H877" s="37"/>
      <c r="I877" s="36"/>
      <c r="J877" s="38"/>
      <c r="K877" s="38"/>
      <c r="L877" s="39"/>
      <c r="M877" s="39"/>
      <c r="N877" s="39"/>
      <c r="O877" s="39"/>
      <c r="P877" s="39"/>
      <c r="Q877" s="39"/>
      <c r="R877" s="39"/>
      <c r="S877" s="39"/>
      <c r="T877" s="39"/>
      <c r="U877" s="39"/>
      <c r="V877" s="39"/>
      <c r="W877" s="39"/>
      <c r="X877" s="39"/>
      <c r="Y877" s="39"/>
      <c r="Z877" s="39"/>
      <c r="AA877" s="39"/>
      <c r="AB877" s="39"/>
    </row>
    <row r="878">
      <c r="A878" s="1"/>
      <c r="B878" s="36"/>
      <c r="C878" s="36"/>
      <c r="D878" s="36"/>
      <c r="E878" s="36"/>
      <c r="F878" s="36"/>
      <c r="G878" s="36"/>
      <c r="H878" s="37"/>
      <c r="I878" s="36"/>
      <c r="J878" s="38"/>
      <c r="K878" s="38"/>
      <c r="L878" s="39"/>
      <c r="M878" s="39"/>
      <c r="N878" s="39"/>
      <c r="O878" s="39"/>
      <c r="P878" s="39"/>
      <c r="Q878" s="39"/>
      <c r="R878" s="39"/>
      <c r="S878" s="39"/>
      <c r="T878" s="39"/>
      <c r="U878" s="39"/>
      <c r="V878" s="39"/>
      <c r="W878" s="39"/>
      <c r="X878" s="39"/>
      <c r="Y878" s="39"/>
      <c r="Z878" s="39"/>
      <c r="AA878" s="39"/>
      <c r="AB878" s="39"/>
    </row>
    <row r="879">
      <c r="A879" s="1"/>
      <c r="B879" s="36"/>
      <c r="C879" s="36"/>
      <c r="D879" s="36"/>
      <c r="E879" s="36"/>
      <c r="F879" s="36"/>
      <c r="G879" s="36"/>
      <c r="H879" s="37"/>
      <c r="I879" s="36"/>
      <c r="J879" s="38"/>
      <c r="K879" s="38"/>
      <c r="L879" s="39"/>
      <c r="M879" s="39"/>
      <c r="N879" s="39"/>
      <c r="O879" s="39"/>
      <c r="P879" s="39"/>
      <c r="Q879" s="39"/>
      <c r="R879" s="39"/>
      <c r="S879" s="39"/>
      <c r="T879" s="39"/>
      <c r="U879" s="39"/>
      <c r="V879" s="39"/>
      <c r="W879" s="39"/>
      <c r="X879" s="39"/>
      <c r="Y879" s="39"/>
      <c r="Z879" s="39"/>
      <c r="AA879" s="39"/>
      <c r="AB879" s="39"/>
    </row>
    <row r="880">
      <c r="A880" s="1"/>
      <c r="B880" s="36"/>
      <c r="C880" s="36"/>
      <c r="D880" s="36"/>
      <c r="E880" s="36"/>
      <c r="F880" s="36"/>
      <c r="G880" s="36"/>
      <c r="H880" s="37"/>
      <c r="I880" s="36"/>
      <c r="J880" s="38"/>
      <c r="K880" s="38"/>
      <c r="L880" s="39"/>
      <c r="M880" s="39"/>
      <c r="N880" s="39"/>
      <c r="O880" s="39"/>
      <c r="P880" s="39"/>
      <c r="Q880" s="39"/>
      <c r="R880" s="39"/>
      <c r="S880" s="39"/>
      <c r="T880" s="39"/>
      <c r="U880" s="39"/>
      <c r="V880" s="39"/>
      <c r="W880" s="39"/>
      <c r="X880" s="39"/>
      <c r="Y880" s="39"/>
      <c r="Z880" s="39"/>
      <c r="AA880" s="39"/>
      <c r="AB880" s="39"/>
    </row>
    <row r="881">
      <c r="A881" s="1"/>
      <c r="B881" s="36"/>
      <c r="C881" s="36"/>
      <c r="D881" s="36"/>
      <c r="E881" s="36"/>
      <c r="F881" s="36"/>
      <c r="G881" s="36"/>
      <c r="H881" s="37"/>
      <c r="I881" s="36"/>
      <c r="J881" s="38"/>
      <c r="K881" s="38"/>
      <c r="L881" s="39"/>
      <c r="M881" s="39"/>
      <c r="N881" s="39"/>
      <c r="O881" s="39"/>
      <c r="P881" s="39"/>
      <c r="Q881" s="39"/>
      <c r="R881" s="39"/>
      <c r="S881" s="39"/>
      <c r="T881" s="39"/>
      <c r="U881" s="39"/>
      <c r="V881" s="39"/>
      <c r="W881" s="39"/>
      <c r="X881" s="39"/>
      <c r="Y881" s="39"/>
      <c r="Z881" s="39"/>
      <c r="AA881" s="39"/>
      <c r="AB881" s="39"/>
    </row>
    <row r="882">
      <c r="A882" s="1"/>
      <c r="B882" s="36"/>
      <c r="C882" s="36"/>
      <c r="D882" s="36"/>
      <c r="E882" s="36"/>
      <c r="F882" s="36"/>
      <c r="G882" s="36"/>
      <c r="H882" s="37"/>
      <c r="I882" s="36"/>
      <c r="J882" s="38"/>
      <c r="K882" s="38"/>
      <c r="L882" s="39"/>
      <c r="M882" s="39"/>
      <c r="N882" s="39"/>
      <c r="O882" s="39"/>
      <c r="P882" s="39"/>
      <c r="Q882" s="39"/>
      <c r="R882" s="39"/>
      <c r="S882" s="39"/>
      <c r="T882" s="39"/>
      <c r="U882" s="39"/>
      <c r="V882" s="39"/>
      <c r="W882" s="39"/>
      <c r="X882" s="39"/>
      <c r="Y882" s="39"/>
      <c r="Z882" s="39"/>
      <c r="AA882" s="39"/>
      <c r="AB882" s="39"/>
    </row>
    <row r="883">
      <c r="A883" s="1"/>
      <c r="B883" s="36"/>
      <c r="C883" s="36"/>
      <c r="D883" s="36"/>
      <c r="E883" s="36"/>
      <c r="F883" s="36"/>
      <c r="G883" s="36"/>
      <c r="H883" s="37"/>
      <c r="I883" s="36"/>
      <c r="J883" s="38"/>
      <c r="K883" s="38"/>
      <c r="L883" s="39"/>
      <c r="M883" s="39"/>
      <c r="N883" s="39"/>
      <c r="O883" s="39"/>
      <c r="P883" s="39"/>
      <c r="Q883" s="39"/>
      <c r="R883" s="39"/>
      <c r="S883" s="39"/>
      <c r="T883" s="39"/>
      <c r="U883" s="39"/>
      <c r="V883" s="39"/>
      <c r="W883" s="39"/>
      <c r="X883" s="39"/>
      <c r="Y883" s="39"/>
      <c r="Z883" s="39"/>
      <c r="AA883" s="39"/>
      <c r="AB883" s="39"/>
    </row>
    <row r="884">
      <c r="A884" s="1"/>
      <c r="B884" s="36"/>
      <c r="C884" s="36"/>
      <c r="D884" s="36"/>
      <c r="E884" s="36"/>
      <c r="F884" s="36"/>
      <c r="G884" s="36"/>
      <c r="H884" s="37"/>
      <c r="I884" s="36"/>
      <c r="J884" s="38"/>
      <c r="K884" s="38"/>
      <c r="L884" s="39"/>
      <c r="M884" s="39"/>
      <c r="N884" s="39"/>
      <c r="O884" s="39"/>
      <c r="P884" s="39"/>
      <c r="Q884" s="39"/>
      <c r="R884" s="39"/>
      <c r="S884" s="39"/>
      <c r="T884" s="39"/>
      <c r="U884" s="39"/>
      <c r="V884" s="39"/>
      <c r="W884" s="39"/>
      <c r="X884" s="39"/>
      <c r="Y884" s="39"/>
      <c r="Z884" s="39"/>
      <c r="AA884" s="39"/>
      <c r="AB884" s="39"/>
    </row>
    <row r="885">
      <c r="A885" s="1"/>
      <c r="B885" s="36"/>
      <c r="C885" s="36"/>
      <c r="D885" s="36"/>
      <c r="E885" s="36"/>
      <c r="F885" s="36"/>
      <c r="G885" s="36"/>
      <c r="H885" s="37"/>
      <c r="I885" s="36"/>
      <c r="J885" s="38"/>
      <c r="K885" s="38"/>
      <c r="L885" s="39"/>
      <c r="M885" s="39"/>
      <c r="N885" s="39"/>
      <c r="O885" s="39"/>
      <c r="P885" s="39"/>
      <c r="Q885" s="39"/>
      <c r="R885" s="39"/>
      <c r="S885" s="39"/>
      <c r="T885" s="39"/>
      <c r="U885" s="39"/>
      <c r="V885" s="39"/>
      <c r="W885" s="39"/>
      <c r="X885" s="39"/>
      <c r="Y885" s="39"/>
      <c r="Z885" s="39"/>
      <c r="AA885" s="39"/>
      <c r="AB885" s="39"/>
    </row>
    <row r="886">
      <c r="A886" s="1"/>
      <c r="B886" s="36"/>
      <c r="C886" s="36"/>
      <c r="D886" s="36"/>
      <c r="E886" s="36"/>
      <c r="F886" s="36"/>
      <c r="G886" s="36"/>
      <c r="H886" s="37"/>
      <c r="I886" s="36"/>
      <c r="J886" s="38"/>
      <c r="K886" s="38"/>
      <c r="L886" s="39"/>
      <c r="M886" s="39"/>
      <c r="N886" s="39"/>
      <c r="O886" s="39"/>
      <c r="P886" s="39"/>
      <c r="Q886" s="39"/>
      <c r="R886" s="39"/>
      <c r="S886" s="39"/>
      <c r="T886" s="39"/>
      <c r="U886" s="39"/>
      <c r="V886" s="39"/>
      <c r="W886" s="39"/>
      <c r="X886" s="39"/>
      <c r="Y886" s="39"/>
      <c r="Z886" s="39"/>
      <c r="AA886" s="39"/>
      <c r="AB886" s="39"/>
    </row>
    <row r="887">
      <c r="A887" s="1"/>
      <c r="B887" s="36"/>
      <c r="C887" s="36"/>
      <c r="D887" s="36"/>
      <c r="E887" s="36"/>
      <c r="F887" s="36"/>
      <c r="G887" s="36"/>
      <c r="H887" s="37"/>
      <c r="I887" s="36"/>
      <c r="J887" s="38"/>
      <c r="K887" s="38"/>
      <c r="L887" s="39"/>
      <c r="M887" s="39"/>
      <c r="N887" s="39"/>
      <c r="O887" s="39"/>
      <c r="P887" s="39"/>
      <c r="Q887" s="39"/>
      <c r="R887" s="39"/>
      <c r="S887" s="39"/>
      <c r="T887" s="39"/>
      <c r="U887" s="39"/>
      <c r="V887" s="39"/>
      <c r="W887" s="39"/>
      <c r="X887" s="39"/>
      <c r="Y887" s="39"/>
      <c r="Z887" s="39"/>
      <c r="AA887" s="39"/>
      <c r="AB887" s="39"/>
    </row>
    <row r="888">
      <c r="A888" s="1"/>
      <c r="B888" s="36"/>
      <c r="C888" s="36"/>
      <c r="D888" s="36"/>
      <c r="E888" s="36"/>
      <c r="F888" s="36"/>
      <c r="G888" s="36"/>
      <c r="H888" s="37"/>
      <c r="I888" s="36"/>
      <c r="J888" s="38"/>
      <c r="K888" s="38"/>
      <c r="L888" s="39"/>
      <c r="M888" s="39"/>
      <c r="N888" s="39"/>
      <c r="O888" s="39"/>
      <c r="P888" s="39"/>
      <c r="Q888" s="39"/>
      <c r="R888" s="39"/>
      <c r="S888" s="39"/>
      <c r="T888" s="39"/>
      <c r="U888" s="39"/>
      <c r="V888" s="39"/>
      <c r="W888" s="39"/>
      <c r="X888" s="39"/>
      <c r="Y888" s="39"/>
      <c r="Z888" s="39"/>
      <c r="AA888" s="39"/>
      <c r="AB888" s="39"/>
    </row>
    <row r="889">
      <c r="A889" s="1"/>
      <c r="B889" s="36"/>
      <c r="C889" s="36"/>
      <c r="D889" s="36"/>
      <c r="E889" s="36"/>
      <c r="F889" s="36"/>
      <c r="G889" s="36"/>
      <c r="H889" s="37"/>
      <c r="I889" s="36"/>
      <c r="J889" s="38"/>
      <c r="K889" s="38"/>
      <c r="L889" s="39"/>
      <c r="M889" s="39"/>
      <c r="N889" s="39"/>
      <c r="O889" s="39"/>
      <c r="P889" s="39"/>
      <c r="Q889" s="39"/>
      <c r="R889" s="39"/>
      <c r="S889" s="39"/>
      <c r="T889" s="39"/>
      <c r="U889" s="39"/>
      <c r="V889" s="39"/>
      <c r="W889" s="39"/>
      <c r="X889" s="39"/>
      <c r="Y889" s="39"/>
      <c r="Z889" s="39"/>
      <c r="AA889" s="39"/>
      <c r="AB889" s="39"/>
    </row>
    <row r="890">
      <c r="A890" s="1"/>
      <c r="B890" s="36"/>
      <c r="C890" s="36"/>
      <c r="D890" s="36"/>
      <c r="E890" s="36"/>
      <c r="F890" s="36"/>
      <c r="G890" s="36"/>
      <c r="H890" s="37"/>
      <c r="I890" s="36"/>
      <c r="J890" s="38"/>
      <c r="K890" s="38"/>
      <c r="L890" s="39"/>
      <c r="M890" s="39"/>
      <c r="N890" s="39"/>
      <c r="O890" s="39"/>
      <c r="P890" s="39"/>
      <c r="Q890" s="39"/>
      <c r="R890" s="39"/>
      <c r="S890" s="39"/>
      <c r="T890" s="39"/>
      <c r="U890" s="39"/>
      <c r="V890" s="39"/>
      <c r="W890" s="39"/>
      <c r="X890" s="39"/>
      <c r="Y890" s="39"/>
      <c r="Z890" s="39"/>
      <c r="AA890" s="39"/>
      <c r="AB890" s="39"/>
    </row>
    <row r="891">
      <c r="A891" s="1"/>
      <c r="B891" s="36"/>
      <c r="C891" s="36"/>
      <c r="D891" s="36"/>
      <c r="E891" s="36"/>
      <c r="F891" s="36"/>
      <c r="G891" s="36"/>
      <c r="H891" s="37"/>
      <c r="I891" s="36"/>
      <c r="J891" s="38"/>
      <c r="K891" s="38"/>
      <c r="L891" s="39"/>
      <c r="M891" s="39"/>
      <c r="N891" s="39"/>
      <c r="O891" s="39"/>
      <c r="P891" s="39"/>
      <c r="Q891" s="39"/>
      <c r="R891" s="39"/>
      <c r="S891" s="39"/>
      <c r="T891" s="39"/>
      <c r="U891" s="39"/>
      <c r="V891" s="39"/>
      <c r="W891" s="39"/>
      <c r="X891" s="39"/>
      <c r="Y891" s="39"/>
      <c r="Z891" s="39"/>
      <c r="AA891" s="39"/>
      <c r="AB891" s="39"/>
    </row>
    <row r="892">
      <c r="A892" s="1"/>
      <c r="B892" s="36"/>
      <c r="C892" s="36"/>
      <c r="D892" s="36"/>
      <c r="E892" s="36"/>
      <c r="F892" s="36"/>
      <c r="G892" s="36"/>
      <c r="H892" s="37"/>
      <c r="I892" s="36"/>
      <c r="J892" s="38"/>
      <c r="K892" s="38"/>
      <c r="L892" s="39"/>
      <c r="M892" s="39"/>
      <c r="N892" s="39"/>
      <c r="O892" s="39"/>
      <c r="P892" s="39"/>
      <c r="Q892" s="39"/>
      <c r="R892" s="39"/>
      <c r="S892" s="39"/>
      <c r="T892" s="39"/>
      <c r="U892" s="39"/>
      <c r="V892" s="39"/>
      <c r="W892" s="39"/>
      <c r="X892" s="39"/>
      <c r="Y892" s="39"/>
      <c r="Z892" s="39"/>
      <c r="AA892" s="39"/>
      <c r="AB892" s="39"/>
    </row>
    <row r="893">
      <c r="A893" s="1"/>
      <c r="B893" s="36"/>
      <c r="C893" s="36"/>
      <c r="D893" s="36"/>
      <c r="E893" s="36"/>
      <c r="F893" s="36"/>
      <c r="G893" s="36"/>
      <c r="H893" s="37"/>
      <c r="I893" s="36"/>
      <c r="J893" s="38"/>
      <c r="K893" s="38"/>
      <c r="L893" s="39"/>
      <c r="M893" s="39"/>
      <c r="N893" s="39"/>
      <c r="O893" s="39"/>
      <c r="P893" s="39"/>
      <c r="Q893" s="39"/>
      <c r="R893" s="39"/>
      <c r="S893" s="39"/>
      <c r="T893" s="39"/>
      <c r="U893" s="39"/>
      <c r="V893" s="39"/>
      <c r="W893" s="39"/>
      <c r="X893" s="39"/>
      <c r="Y893" s="39"/>
      <c r="Z893" s="39"/>
      <c r="AA893" s="39"/>
      <c r="AB893" s="39"/>
    </row>
    <row r="894">
      <c r="A894" s="1"/>
      <c r="B894" s="36"/>
      <c r="C894" s="36"/>
      <c r="D894" s="36"/>
      <c r="E894" s="36"/>
      <c r="F894" s="36"/>
      <c r="G894" s="36"/>
      <c r="H894" s="37"/>
      <c r="I894" s="36"/>
      <c r="J894" s="38"/>
      <c r="K894" s="38"/>
      <c r="L894" s="39"/>
      <c r="M894" s="39"/>
      <c r="N894" s="39"/>
      <c r="O894" s="39"/>
      <c r="P894" s="39"/>
      <c r="Q894" s="39"/>
      <c r="R894" s="39"/>
      <c r="S894" s="39"/>
      <c r="T894" s="39"/>
      <c r="U894" s="39"/>
      <c r="V894" s="39"/>
      <c r="W894" s="39"/>
      <c r="X894" s="39"/>
      <c r="Y894" s="39"/>
      <c r="Z894" s="39"/>
      <c r="AA894" s="39"/>
      <c r="AB894" s="39"/>
    </row>
    <row r="895">
      <c r="A895" s="1"/>
      <c r="B895" s="36"/>
      <c r="C895" s="36"/>
      <c r="D895" s="36"/>
      <c r="E895" s="36"/>
      <c r="F895" s="36"/>
      <c r="G895" s="36"/>
      <c r="H895" s="37"/>
      <c r="I895" s="36"/>
      <c r="J895" s="38"/>
      <c r="K895" s="38"/>
      <c r="L895" s="39"/>
      <c r="M895" s="39"/>
      <c r="N895" s="39"/>
      <c r="O895" s="39"/>
      <c r="P895" s="39"/>
      <c r="Q895" s="39"/>
      <c r="R895" s="39"/>
      <c r="S895" s="39"/>
      <c r="T895" s="39"/>
      <c r="U895" s="39"/>
      <c r="V895" s="39"/>
      <c r="W895" s="39"/>
      <c r="X895" s="39"/>
      <c r="Y895" s="39"/>
      <c r="Z895" s="39"/>
      <c r="AA895" s="39"/>
      <c r="AB895" s="39"/>
    </row>
    <row r="896">
      <c r="A896" s="1"/>
      <c r="B896" s="36"/>
      <c r="C896" s="36"/>
      <c r="D896" s="36"/>
      <c r="E896" s="36"/>
      <c r="F896" s="36"/>
      <c r="G896" s="36"/>
      <c r="H896" s="37"/>
      <c r="I896" s="36"/>
      <c r="J896" s="38"/>
      <c r="K896" s="38"/>
      <c r="L896" s="39"/>
      <c r="M896" s="39"/>
      <c r="N896" s="39"/>
      <c r="O896" s="39"/>
      <c r="P896" s="39"/>
      <c r="Q896" s="39"/>
      <c r="R896" s="39"/>
      <c r="S896" s="39"/>
      <c r="T896" s="39"/>
      <c r="U896" s="39"/>
      <c r="V896" s="39"/>
      <c r="W896" s="39"/>
      <c r="X896" s="39"/>
      <c r="Y896" s="39"/>
      <c r="Z896" s="39"/>
      <c r="AA896" s="39"/>
      <c r="AB896" s="39"/>
    </row>
    <row r="897">
      <c r="A897" s="1"/>
      <c r="B897" s="36"/>
      <c r="C897" s="36"/>
      <c r="D897" s="36"/>
      <c r="E897" s="36"/>
      <c r="F897" s="36"/>
      <c r="G897" s="36"/>
      <c r="H897" s="37"/>
      <c r="I897" s="36"/>
      <c r="J897" s="38"/>
      <c r="K897" s="38"/>
      <c r="L897" s="39"/>
      <c r="M897" s="39"/>
      <c r="N897" s="39"/>
      <c r="O897" s="39"/>
      <c r="P897" s="39"/>
      <c r="Q897" s="39"/>
      <c r="R897" s="39"/>
      <c r="S897" s="39"/>
      <c r="T897" s="39"/>
      <c r="U897" s="39"/>
      <c r="V897" s="39"/>
      <c r="W897" s="39"/>
      <c r="X897" s="39"/>
      <c r="Y897" s="39"/>
      <c r="Z897" s="39"/>
      <c r="AA897" s="39"/>
      <c r="AB897" s="39"/>
    </row>
    <row r="898">
      <c r="A898" s="1"/>
      <c r="B898" s="36"/>
      <c r="C898" s="36"/>
      <c r="D898" s="36"/>
      <c r="E898" s="36"/>
      <c r="F898" s="36"/>
      <c r="G898" s="36"/>
      <c r="H898" s="37"/>
      <c r="I898" s="36"/>
      <c r="J898" s="38"/>
      <c r="K898" s="38"/>
      <c r="L898" s="39"/>
      <c r="M898" s="39"/>
      <c r="N898" s="39"/>
      <c r="O898" s="39"/>
      <c r="P898" s="39"/>
      <c r="Q898" s="39"/>
      <c r="R898" s="39"/>
      <c r="S898" s="39"/>
      <c r="T898" s="39"/>
      <c r="U898" s="39"/>
      <c r="V898" s="39"/>
      <c r="W898" s="39"/>
      <c r="X898" s="39"/>
      <c r="Y898" s="39"/>
      <c r="Z898" s="39"/>
      <c r="AA898" s="39"/>
      <c r="AB898" s="39"/>
    </row>
    <row r="899">
      <c r="A899" s="1"/>
      <c r="B899" s="36"/>
      <c r="C899" s="36"/>
      <c r="D899" s="36"/>
      <c r="E899" s="36"/>
      <c r="F899" s="36"/>
      <c r="G899" s="36"/>
      <c r="H899" s="37"/>
      <c r="I899" s="36"/>
      <c r="J899" s="38"/>
      <c r="K899" s="38"/>
      <c r="L899" s="39"/>
      <c r="M899" s="39"/>
      <c r="N899" s="39"/>
      <c r="O899" s="39"/>
      <c r="P899" s="39"/>
      <c r="Q899" s="39"/>
      <c r="R899" s="39"/>
      <c r="S899" s="39"/>
      <c r="T899" s="39"/>
      <c r="U899" s="39"/>
      <c r="V899" s="39"/>
      <c r="W899" s="39"/>
      <c r="X899" s="39"/>
      <c r="Y899" s="39"/>
      <c r="Z899" s="39"/>
      <c r="AA899" s="39"/>
      <c r="AB899" s="39"/>
    </row>
    <row r="900">
      <c r="A900" s="1"/>
      <c r="B900" s="36"/>
      <c r="C900" s="36"/>
      <c r="D900" s="36"/>
      <c r="E900" s="36"/>
      <c r="F900" s="36"/>
      <c r="G900" s="36"/>
      <c r="H900" s="37"/>
      <c r="I900" s="36"/>
      <c r="J900" s="38"/>
      <c r="K900" s="38"/>
      <c r="L900" s="39"/>
      <c r="M900" s="39"/>
      <c r="N900" s="39"/>
      <c r="O900" s="39"/>
      <c r="P900" s="39"/>
      <c r="Q900" s="39"/>
      <c r="R900" s="39"/>
      <c r="S900" s="39"/>
      <c r="T900" s="39"/>
      <c r="U900" s="39"/>
      <c r="V900" s="39"/>
      <c r="W900" s="39"/>
      <c r="X900" s="39"/>
      <c r="Y900" s="39"/>
      <c r="Z900" s="39"/>
      <c r="AA900" s="39"/>
      <c r="AB900" s="39"/>
    </row>
    <row r="901">
      <c r="A901" s="1"/>
      <c r="B901" s="36"/>
      <c r="C901" s="36"/>
      <c r="D901" s="36"/>
      <c r="E901" s="36"/>
      <c r="F901" s="36"/>
      <c r="G901" s="36"/>
      <c r="H901" s="37"/>
      <c r="I901" s="36"/>
      <c r="J901" s="38"/>
      <c r="K901" s="38"/>
      <c r="L901" s="39"/>
      <c r="M901" s="39"/>
      <c r="N901" s="39"/>
      <c r="O901" s="39"/>
      <c r="P901" s="39"/>
      <c r="Q901" s="39"/>
      <c r="R901" s="39"/>
      <c r="S901" s="39"/>
      <c r="T901" s="39"/>
      <c r="U901" s="39"/>
      <c r="V901" s="39"/>
      <c r="W901" s="39"/>
      <c r="X901" s="39"/>
      <c r="Y901" s="39"/>
      <c r="Z901" s="39"/>
      <c r="AA901" s="39"/>
      <c r="AB901" s="39"/>
    </row>
    <row r="902">
      <c r="A902" s="1"/>
      <c r="B902" s="36"/>
      <c r="C902" s="36"/>
      <c r="D902" s="36"/>
      <c r="E902" s="36"/>
      <c r="F902" s="36"/>
      <c r="G902" s="36"/>
      <c r="H902" s="37"/>
      <c r="I902" s="36"/>
      <c r="J902" s="38"/>
      <c r="K902" s="38"/>
      <c r="L902" s="39"/>
      <c r="M902" s="39"/>
      <c r="N902" s="39"/>
      <c r="O902" s="39"/>
      <c r="P902" s="39"/>
      <c r="Q902" s="39"/>
      <c r="R902" s="39"/>
      <c r="S902" s="39"/>
      <c r="T902" s="39"/>
      <c r="U902" s="39"/>
      <c r="V902" s="39"/>
      <c r="W902" s="39"/>
      <c r="X902" s="39"/>
      <c r="Y902" s="39"/>
      <c r="Z902" s="39"/>
      <c r="AA902" s="39"/>
      <c r="AB902" s="39"/>
    </row>
    <row r="903">
      <c r="A903" s="1"/>
      <c r="B903" s="36"/>
      <c r="C903" s="36"/>
      <c r="D903" s="36"/>
      <c r="E903" s="36"/>
      <c r="F903" s="36"/>
      <c r="G903" s="36"/>
      <c r="H903" s="37"/>
      <c r="I903" s="36"/>
      <c r="J903" s="38"/>
      <c r="K903" s="38"/>
      <c r="L903" s="39"/>
      <c r="M903" s="39"/>
      <c r="N903" s="39"/>
      <c r="O903" s="39"/>
      <c r="P903" s="39"/>
      <c r="Q903" s="39"/>
      <c r="R903" s="39"/>
      <c r="S903" s="39"/>
      <c r="T903" s="39"/>
      <c r="U903" s="39"/>
      <c r="V903" s="39"/>
      <c r="W903" s="39"/>
      <c r="X903" s="39"/>
      <c r="Y903" s="39"/>
      <c r="Z903" s="39"/>
      <c r="AA903" s="39"/>
      <c r="AB903" s="39"/>
    </row>
    <row r="904">
      <c r="A904" s="1"/>
      <c r="B904" s="36"/>
      <c r="C904" s="36"/>
      <c r="D904" s="36"/>
      <c r="E904" s="36"/>
      <c r="F904" s="36"/>
      <c r="G904" s="36"/>
      <c r="H904" s="37"/>
      <c r="I904" s="36"/>
      <c r="J904" s="38"/>
      <c r="K904" s="38"/>
      <c r="L904" s="39"/>
      <c r="M904" s="39"/>
      <c r="N904" s="39"/>
      <c r="O904" s="39"/>
      <c r="P904" s="39"/>
      <c r="Q904" s="39"/>
      <c r="R904" s="39"/>
      <c r="S904" s="39"/>
      <c r="T904" s="39"/>
      <c r="U904" s="39"/>
      <c r="V904" s="39"/>
      <c r="W904" s="39"/>
      <c r="X904" s="39"/>
      <c r="Y904" s="39"/>
      <c r="Z904" s="39"/>
      <c r="AA904" s="39"/>
      <c r="AB904" s="39"/>
    </row>
    <row r="905">
      <c r="A905" s="1"/>
      <c r="B905" s="36"/>
      <c r="C905" s="36"/>
      <c r="D905" s="36"/>
      <c r="E905" s="36"/>
      <c r="F905" s="36"/>
      <c r="G905" s="36"/>
      <c r="H905" s="37"/>
      <c r="I905" s="36"/>
      <c r="J905" s="38"/>
      <c r="K905" s="38"/>
      <c r="L905" s="39"/>
      <c r="M905" s="39"/>
      <c r="N905" s="39"/>
      <c r="O905" s="39"/>
      <c r="P905" s="39"/>
      <c r="Q905" s="39"/>
      <c r="R905" s="39"/>
      <c r="S905" s="39"/>
      <c r="T905" s="39"/>
      <c r="U905" s="39"/>
      <c r="V905" s="39"/>
      <c r="W905" s="39"/>
      <c r="X905" s="39"/>
      <c r="Y905" s="39"/>
      <c r="Z905" s="39"/>
      <c r="AA905" s="39"/>
      <c r="AB905" s="39"/>
    </row>
    <row r="906">
      <c r="A906" s="1"/>
      <c r="B906" s="36"/>
      <c r="C906" s="36"/>
      <c r="D906" s="36"/>
      <c r="E906" s="36"/>
      <c r="F906" s="36"/>
      <c r="G906" s="36"/>
      <c r="H906" s="37"/>
      <c r="I906" s="36"/>
      <c r="J906" s="38"/>
      <c r="K906" s="38"/>
      <c r="L906" s="39"/>
      <c r="M906" s="39"/>
      <c r="N906" s="39"/>
      <c r="O906" s="39"/>
      <c r="P906" s="39"/>
      <c r="Q906" s="39"/>
      <c r="R906" s="39"/>
      <c r="S906" s="39"/>
      <c r="T906" s="39"/>
      <c r="U906" s="39"/>
      <c r="V906" s="39"/>
      <c r="W906" s="39"/>
      <c r="X906" s="39"/>
      <c r="Y906" s="39"/>
      <c r="Z906" s="39"/>
      <c r="AA906" s="39"/>
      <c r="AB906" s="39"/>
    </row>
    <row r="907">
      <c r="A907" s="1"/>
      <c r="B907" s="36"/>
      <c r="C907" s="36"/>
      <c r="D907" s="36"/>
      <c r="E907" s="36"/>
      <c r="F907" s="36"/>
      <c r="G907" s="36"/>
      <c r="H907" s="37"/>
      <c r="I907" s="36"/>
      <c r="J907" s="38"/>
      <c r="K907" s="38"/>
      <c r="L907" s="39"/>
      <c r="M907" s="39"/>
      <c r="N907" s="39"/>
      <c r="O907" s="39"/>
      <c r="P907" s="39"/>
      <c r="Q907" s="39"/>
      <c r="R907" s="39"/>
      <c r="S907" s="39"/>
      <c r="T907" s="39"/>
      <c r="U907" s="39"/>
      <c r="V907" s="39"/>
      <c r="W907" s="39"/>
      <c r="X907" s="39"/>
      <c r="Y907" s="39"/>
      <c r="Z907" s="39"/>
      <c r="AA907" s="39"/>
      <c r="AB907" s="39"/>
    </row>
    <row r="908">
      <c r="A908" s="1"/>
      <c r="B908" s="36"/>
      <c r="C908" s="36"/>
      <c r="D908" s="36"/>
      <c r="E908" s="36"/>
      <c r="F908" s="36"/>
      <c r="G908" s="36"/>
      <c r="H908" s="37"/>
      <c r="I908" s="36"/>
      <c r="J908" s="38"/>
      <c r="K908" s="38"/>
      <c r="L908" s="39"/>
      <c r="M908" s="39"/>
      <c r="N908" s="39"/>
      <c r="O908" s="39"/>
      <c r="P908" s="39"/>
      <c r="Q908" s="39"/>
      <c r="R908" s="39"/>
      <c r="S908" s="39"/>
      <c r="T908" s="39"/>
      <c r="U908" s="39"/>
      <c r="V908" s="39"/>
      <c r="W908" s="39"/>
      <c r="X908" s="39"/>
      <c r="Y908" s="39"/>
      <c r="Z908" s="39"/>
      <c r="AA908" s="39"/>
      <c r="AB908" s="39"/>
    </row>
    <row r="909">
      <c r="A909" s="1"/>
      <c r="B909" s="36"/>
      <c r="C909" s="36"/>
      <c r="D909" s="36"/>
      <c r="E909" s="36"/>
      <c r="F909" s="36"/>
      <c r="G909" s="36"/>
      <c r="H909" s="37"/>
      <c r="I909" s="36"/>
      <c r="J909" s="38"/>
      <c r="K909" s="38"/>
      <c r="L909" s="39"/>
      <c r="M909" s="39"/>
      <c r="N909" s="39"/>
      <c r="O909" s="39"/>
      <c r="P909" s="39"/>
      <c r="Q909" s="39"/>
      <c r="R909" s="39"/>
      <c r="S909" s="39"/>
      <c r="T909" s="39"/>
      <c r="U909" s="39"/>
      <c r="V909" s="39"/>
      <c r="W909" s="39"/>
      <c r="X909" s="39"/>
      <c r="Y909" s="39"/>
      <c r="Z909" s="39"/>
      <c r="AA909" s="39"/>
      <c r="AB909" s="39"/>
    </row>
    <row r="910">
      <c r="A910" s="1"/>
      <c r="B910" s="36"/>
      <c r="C910" s="36"/>
      <c r="D910" s="36"/>
      <c r="E910" s="36"/>
      <c r="F910" s="36"/>
      <c r="G910" s="36"/>
      <c r="H910" s="37"/>
      <c r="I910" s="36"/>
      <c r="J910" s="38"/>
      <c r="K910" s="38"/>
      <c r="L910" s="39"/>
      <c r="M910" s="39"/>
      <c r="N910" s="39"/>
      <c r="O910" s="39"/>
      <c r="P910" s="39"/>
      <c r="Q910" s="39"/>
      <c r="R910" s="39"/>
      <c r="S910" s="39"/>
      <c r="T910" s="39"/>
      <c r="U910" s="39"/>
      <c r="V910" s="39"/>
      <c r="W910" s="39"/>
      <c r="X910" s="39"/>
      <c r="Y910" s="39"/>
      <c r="Z910" s="39"/>
      <c r="AA910" s="39"/>
      <c r="AB910" s="39"/>
    </row>
    <row r="911">
      <c r="A911" s="1"/>
      <c r="B911" s="36"/>
      <c r="C911" s="36"/>
      <c r="D911" s="36"/>
      <c r="E911" s="36"/>
      <c r="F911" s="36"/>
      <c r="G911" s="36"/>
      <c r="H911" s="37"/>
      <c r="I911" s="36"/>
      <c r="J911" s="38"/>
      <c r="K911" s="38"/>
      <c r="L911" s="39"/>
      <c r="M911" s="39"/>
      <c r="N911" s="39"/>
      <c r="O911" s="39"/>
      <c r="P911" s="39"/>
      <c r="Q911" s="39"/>
      <c r="R911" s="39"/>
      <c r="S911" s="39"/>
      <c r="T911" s="39"/>
      <c r="U911" s="39"/>
      <c r="V911" s="39"/>
      <c r="W911" s="39"/>
      <c r="X911" s="39"/>
      <c r="Y911" s="39"/>
      <c r="Z911" s="39"/>
      <c r="AA911" s="39"/>
      <c r="AB911" s="39"/>
    </row>
    <row r="912">
      <c r="A912" s="1"/>
      <c r="B912" s="36"/>
      <c r="C912" s="36"/>
      <c r="D912" s="36"/>
      <c r="E912" s="36"/>
      <c r="F912" s="36"/>
      <c r="G912" s="36"/>
      <c r="H912" s="37"/>
      <c r="I912" s="36"/>
      <c r="J912" s="38"/>
      <c r="K912" s="38"/>
      <c r="L912" s="39"/>
      <c r="M912" s="39"/>
      <c r="N912" s="39"/>
      <c r="O912" s="39"/>
      <c r="P912" s="39"/>
      <c r="Q912" s="39"/>
      <c r="R912" s="39"/>
      <c r="S912" s="39"/>
      <c r="T912" s="39"/>
      <c r="U912" s="39"/>
      <c r="V912" s="39"/>
      <c r="W912" s="39"/>
      <c r="X912" s="39"/>
      <c r="Y912" s="39"/>
      <c r="Z912" s="39"/>
      <c r="AA912" s="39"/>
      <c r="AB912" s="39"/>
    </row>
    <row r="913">
      <c r="A913" s="1"/>
      <c r="B913" s="36"/>
      <c r="C913" s="36"/>
      <c r="D913" s="36"/>
      <c r="E913" s="36"/>
      <c r="F913" s="36"/>
      <c r="G913" s="36"/>
      <c r="H913" s="37"/>
      <c r="I913" s="36"/>
      <c r="J913" s="38"/>
      <c r="K913" s="38"/>
      <c r="L913" s="39"/>
      <c r="M913" s="39"/>
      <c r="N913" s="39"/>
      <c r="O913" s="39"/>
      <c r="P913" s="39"/>
      <c r="Q913" s="39"/>
      <c r="R913" s="39"/>
      <c r="S913" s="39"/>
      <c r="T913" s="39"/>
      <c r="U913" s="39"/>
      <c r="V913" s="39"/>
      <c r="W913" s="39"/>
      <c r="X913" s="39"/>
      <c r="Y913" s="39"/>
      <c r="Z913" s="39"/>
      <c r="AA913" s="39"/>
      <c r="AB913" s="39"/>
    </row>
    <row r="914">
      <c r="A914" s="1"/>
      <c r="B914" s="36"/>
      <c r="C914" s="36"/>
      <c r="D914" s="36"/>
      <c r="E914" s="36"/>
      <c r="F914" s="36"/>
      <c r="G914" s="36"/>
      <c r="H914" s="37"/>
      <c r="I914" s="36"/>
      <c r="J914" s="38"/>
      <c r="K914" s="38"/>
      <c r="L914" s="39"/>
      <c r="M914" s="39"/>
      <c r="N914" s="39"/>
      <c r="O914" s="39"/>
      <c r="P914" s="39"/>
      <c r="Q914" s="39"/>
      <c r="R914" s="39"/>
      <c r="S914" s="39"/>
      <c r="T914" s="39"/>
      <c r="U914" s="39"/>
      <c r="V914" s="39"/>
      <c r="W914" s="39"/>
      <c r="X914" s="39"/>
      <c r="Y914" s="39"/>
      <c r="Z914" s="39"/>
      <c r="AA914" s="39"/>
      <c r="AB914" s="39"/>
    </row>
    <row r="915">
      <c r="A915" s="1"/>
      <c r="B915" s="36"/>
      <c r="C915" s="36"/>
      <c r="D915" s="36"/>
      <c r="E915" s="36"/>
      <c r="F915" s="36"/>
      <c r="G915" s="36"/>
      <c r="H915" s="37"/>
      <c r="I915" s="36"/>
      <c r="J915" s="38"/>
      <c r="K915" s="38"/>
      <c r="L915" s="39"/>
      <c r="M915" s="39"/>
      <c r="N915" s="39"/>
      <c r="O915" s="39"/>
      <c r="P915" s="39"/>
      <c r="Q915" s="39"/>
      <c r="R915" s="39"/>
      <c r="S915" s="39"/>
      <c r="T915" s="39"/>
      <c r="U915" s="39"/>
      <c r="V915" s="39"/>
      <c r="W915" s="39"/>
      <c r="X915" s="39"/>
      <c r="Y915" s="39"/>
      <c r="Z915" s="39"/>
      <c r="AA915" s="39"/>
      <c r="AB915" s="39"/>
    </row>
    <row r="916">
      <c r="A916" s="1"/>
      <c r="B916" s="36"/>
      <c r="C916" s="36"/>
      <c r="D916" s="36"/>
      <c r="E916" s="36"/>
      <c r="F916" s="36"/>
      <c r="G916" s="36"/>
      <c r="H916" s="37"/>
      <c r="I916" s="36"/>
      <c r="J916" s="38"/>
      <c r="K916" s="38"/>
      <c r="L916" s="39"/>
      <c r="M916" s="39"/>
      <c r="N916" s="39"/>
      <c r="O916" s="39"/>
      <c r="P916" s="39"/>
      <c r="Q916" s="39"/>
      <c r="R916" s="39"/>
      <c r="S916" s="39"/>
      <c r="T916" s="39"/>
      <c r="U916" s="39"/>
      <c r="V916" s="39"/>
      <c r="W916" s="39"/>
      <c r="X916" s="39"/>
      <c r="Y916" s="39"/>
      <c r="Z916" s="39"/>
      <c r="AA916" s="39"/>
      <c r="AB916" s="39"/>
    </row>
    <row r="917">
      <c r="A917" s="1"/>
      <c r="B917" s="36"/>
      <c r="C917" s="36"/>
      <c r="D917" s="36"/>
      <c r="E917" s="36"/>
      <c r="F917" s="36"/>
      <c r="G917" s="36"/>
      <c r="H917" s="37"/>
      <c r="I917" s="36"/>
      <c r="J917" s="38"/>
      <c r="K917" s="38"/>
      <c r="L917" s="39"/>
      <c r="M917" s="39"/>
      <c r="N917" s="39"/>
      <c r="O917" s="39"/>
      <c r="P917" s="39"/>
      <c r="Q917" s="39"/>
      <c r="R917" s="39"/>
      <c r="S917" s="39"/>
      <c r="T917" s="39"/>
      <c r="U917" s="39"/>
      <c r="V917" s="39"/>
      <c r="W917" s="39"/>
      <c r="X917" s="39"/>
      <c r="Y917" s="39"/>
      <c r="Z917" s="39"/>
      <c r="AA917" s="39"/>
      <c r="AB917" s="39"/>
    </row>
    <row r="918">
      <c r="A918" s="1"/>
      <c r="B918" s="36"/>
      <c r="C918" s="36"/>
      <c r="D918" s="36"/>
      <c r="E918" s="36"/>
      <c r="F918" s="36"/>
      <c r="G918" s="36"/>
      <c r="H918" s="37"/>
      <c r="I918" s="36"/>
      <c r="J918" s="38"/>
      <c r="K918" s="38"/>
      <c r="L918" s="39"/>
      <c r="M918" s="39"/>
      <c r="N918" s="39"/>
      <c r="O918" s="39"/>
      <c r="P918" s="39"/>
      <c r="Q918" s="39"/>
      <c r="R918" s="39"/>
      <c r="S918" s="39"/>
      <c r="T918" s="39"/>
      <c r="U918" s="39"/>
      <c r="V918" s="39"/>
      <c r="W918" s="39"/>
      <c r="X918" s="39"/>
      <c r="Y918" s="39"/>
      <c r="Z918" s="39"/>
      <c r="AA918" s="39"/>
      <c r="AB918" s="39"/>
    </row>
    <row r="919">
      <c r="A919" s="1"/>
      <c r="B919" s="36"/>
      <c r="C919" s="36"/>
      <c r="D919" s="36"/>
      <c r="E919" s="36"/>
      <c r="F919" s="36"/>
      <c r="G919" s="36"/>
      <c r="H919" s="37"/>
      <c r="I919" s="36"/>
      <c r="J919" s="38"/>
      <c r="K919" s="38"/>
      <c r="L919" s="39"/>
      <c r="M919" s="39"/>
      <c r="N919" s="39"/>
      <c r="O919" s="39"/>
      <c r="P919" s="39"/>
      <c r="Q919" s="39"/>
      <c r="R919" s="39"/>
      <c r="S919" s="39"/>
      <c r="T919" s="39"/>
      <c r="U919" s="39"/>
      <c r="V919" s="39"/>
      <c r="W919" s="39"/>
      <c r="X919" s="39"/>
      <c r="Y919" s="39"/>
      <c r="Z919" s="39"/>
      <c r="AA919" s="39"/>
      <c r="AB919" s="39"/>
    </row>
    <row r="920">
      <c r="A920" s="1"/>
      <c r="B920" s="36"/>
      <c r="C920" s="36"/>
      <c r="D920" s="36"/>
      <c r="E920" s="36"/>
      <c r="F920" s="36"/>
      <c r="G920" s="36"/>
      <c r="H920" s="37"/>
      <c r="I920" s="36"/>
      <c r="J920" s="38"/>
      <c r="K920" s="38"/>
      <c r="L920" s="39"/>
      <c r="M920" s="39"/>
      <c r="N920" s="39"/>
      <c r="O920" s="39"/>
      <c r="P920" s="39"/>
      <c r="Q920" s="39"/>
      <c r="R920" s="39"/>
      <c r="S920" s="39"/>
      <c r="T920" s="39"/>
      <c r="U920" s="39"/>
      <c r="V920" s="39"/>
      <c r="W920" s="39"/>
      <c r="X920" s="39"/>
      <c r="Y920" s="39"/>
      <c r="Z920" s="39"/>
      <c r="AA920" s="39"/>
      <c r="AB920" s="39"/>
    </row>
    <row r="921">
      <c r="A921" s="1"/>
      <c r="B921" s="36"/>
      <c r="C921" s="36"/>
      <c r="D921" s="36"/>
      <c r="E921" s="36"/>
      <c r="F921" s="36"/>
      <c r="G921" s="36"/>
      <c r="H921" s="37"/>
      <c r="I921" s="36"/>
      <c r="J921" s="38"/>
      <c r="K921" s="38"/>
      <c r="L921" s="39"/>
      <c r="M921" s="39"/>
      <c r="N921" s="39"/>
      <c r="O921" s="39"/>
      <c r="P921" s="39"/>
      <c r="Q921" s="39"/>
      <c r="R921" s="39"/>
      <c r="S921" s="39"/>
      <c r="T921" s="39"/>
      <c r="U921" s="39"/>
      <c r="V921" s="39"/>
      <c r="W921" s="39"/>
      <c r="X921" s="39"/>
      <c r="Y921" s="39"/>
      <c r="Z921" s="39"/>
      <c r="AA921" s="39"/>
      <c r="AB921" s="39"/>
    </row>
    <row r="922">
      <c r="A922" s="1"/>
      <c r="B922" s="36"/>
      <c r="C922" s="36"/>
      <c r="D922" s="36"/>
      <c r="E922" s="36"/>
      <c r="F922" s="36"/>
      <c r="G922" s="36"/>
      <c r="H922" s="37"/>
      <c r="I922" s="36"/>
      <c r="J922" s="38"/>
      <c r="K922" s="38"/>
      <c r="L922" s="39"/>
      <c r="M922" s="39"/>
      <c r="N922" s="39"/>
      <c r="O922" s="39"/>
      <c r="P922" s="39"/>
      <c r="Q922" s="39"/>
      <c r="R922" s="39"/>
      <c r="S922" s="39"/>
      <c r="T922" s="39"/>
      <c r="U922" s="39"/>
      <c r="V922" s="39"/>
      <c r="W922" s="39"/>
      <c r="X922" s="39"/>
      <c r="Y922" s="39"/>
      <c r="Z922" s="39"/>
      <c r="AA922" s="39"/>
      <c r="AB922" s="39"/>
    </row>
    <row r="923">
      <c r="A923" s="1"/>
      <c r="B923" s="36"/>
      <c r="C923" s="36"/>
      <c r="D923" s="36"/>
      <c r="E923" s="36"/>
      <c r="F923" s="36"/>
      <c r="G923" s="36"/>
      <c r="H923" s="37"/>
      <c r="I923" s="36"/>
      <c r="J923" s="38"/>
      <c r="K923" s="38"/>
      <c r="L923" s="39"/>
      <c r="M923" s="39"/>
      <c r="N923" s="39"/>
      <c r="O923" s="39"/>
      <c r="P923" s="39"/>
      <c r="Q923" s="39"/>
      <c r="R923" s="39"/>
      <c r="S923" s="39"/>
      <c r="T923" s="39"/>
      <c r="U923" s="39"/>
      <c r="V923" s="39"/>
      <c r="W923" s="39"/>
      <c r="X923" s="39"/>
      <c r="Y923" s="39"/>
      <c r="Z923" s="39"/>
      <c r="AA923" s="39"/>
      <c r="AB923" s="39"/>
    </row>
    <row r="924">
      <c r="A924" s="1"/>
      <c r="B924" s="36"/>
      <c r="C924" s="36"/>
      <c r="D924" s="36"/>
      <c r="E924" s="36"/>
      <c r="F924" s="36"/>
      <c r="G924" s="36"/>
      <c r="H924" s="37"/>
      <c r="I924" s="36"/>
      <c r="J924" s="38"/>
      <c r="K924" s="38"/>
      <c r="L924" s="39"/>
      <c r="M924" s="39"/>
      <c r="N924" s="39"/>
      <c r="O924" s="39"/>
      <c r="P924" s="39"/>
      <c r="Q924" s="39"/>
      <c r="R924" s="39"/>
      <c r="S924" s="39"/>
      <c r="T924" s="39"/>
      <c r="U924" s="39"/>
      <c r="V924" s="39"/>
      <c r="W924" s="39"/>
      <c r="X924" s="39"/>
      <c r="Y924" s="39"/>
      <c r="Z924" s="39"/>
      <c r="AA924" s="39"/>
      <c r="AB924" s="39"/>
    </row>
    <row r="925">
      <c r="A925" s="1"/>
      <c r="B925" s="36"/>
      <c r="C925" s="36"/>
      <c r="D925" s="36"/>
      <c r="E925" s="36"/>
      <c r="F925" s="36"/>
      <c r="G925" s="36"/>
      <c r="H925" s="37"/>
      <c r="I925" s="36"/>
      <c r="J925" s="38"/>
      <c r="K925" s="38"/>
      <c r="L925" s="39"/>
      <c r="M925" s="39"/>
      <c r="N925" s="39"/>
      <c r="O925" s="39"/>
      <c r="P925" s="39"/>
      <c r="Q925" s="39"/>
      <c r="R925" s="39"/>
      <c r="S925" s="39"/>
      <c r="T925" s="39"/>
      <c r="U925" s="39"/>
      <c r="V925" s="39"/>
      <c r="W925" s="39"/>
      <c r="X925" s="39"/>
      <c r="Y925" s="39"/>
      <c r="Z925" s="39"/>
      <c r="AA925" s="39"/>
      <c r="AB925" s="39"/>
    </row>
    <row r="926">
      <c r="A926" s="1"/>
      <c r="B926" s="36"/>
      <c r="C926" s="36"/>
      <c r="D926" s="36"/>
      <c r="E926" s="36"/>
      <c r="F926" s="36"/>
      <c r="G926" s="36"/>
      <c r="H926" s="37"/>
      <c r="I926" s="36"/>
      <c r="J926" s="38"/>
      <c r="K926" s="38"/>
      <c r="L926" s="39"/>
      <c r="M926" s="39"/>
      <c r="N926" s="39"/>
      <c r="O926" s="39"/>
      <c r="P926" s="39"/>
      <c r="Q926" s="39"/>
      <c r="R926" s="39"/>
      <c r="S926" s="39"/>
      <c r="T926" s="39"/>
      <c r="U926" s="39"/>
      <c r="V926" s="39"/>
      <c r="W926" s="39"/>
      <c r="X926" s="39"/>
      <c r="Y926" s="39"/>
      <c r="Z926" s="39"/>
      <c r="AA926" s="39"/>
      <c r="AB926" s="39"/>
    </row>
    <row r="927">
      <c r="A927" s="1"/>
      <c r="B927" s="36"/>
      <c r="C927" s="36"/>
      <c r="D927" s="36"/>
      <c r="E927" s="36"/>
      <c r="F927" s="36"/>
      <c r="G927" s="36"/>
      <c r="H927" s="37"/>
      <c r="I927" s="36"/>
      <c r="J927" s="38"/>
      <c r="K927" s="38"/>
      <c r="L927" s="39"/>
      <c r="M927" s="39"/>
      <c r="N927" s="39"/>
      <c r="O927" s="39"/>
      <c r="P927" s="39"/>
      <c r="Q927" s="39"/>
      <c r="R927" s="39"/>
      <c r="S927" s="39"/>
      <c r="T927" s="39"/>
      <c r="U927" s="39"/>
      <c r="V927" s="39"/>
      <c r="W927" s="39"/>
      <c r="X927" s="39"/>
      <c r="Y927" s="39"/>
      <c r="Z927" s="39"/>
      <c r="AA927" s="39"/>
      <c r="AB927" s="39"/>
    </row>
    <row r="928">
      <c r="A928" s="1"/>
      <c r="B928" s="36"/>
      <c r="C928" s="36"/>
      <c r="D928" s="36"/>
      <c r="E928" s="36"/>
      <c r="F928" s="36"/>
      <c r="G928" s="36"/>
      <c r="H928" s="37"/>
      <c r="I928" s="36"/>
      <c r="J928" s="38"/>
      <c r="K928" s="38"/>
      <c r="L928" s="39"/>
      <c r="M928" s="39"/>
      <c r="N928" s="39"/>
      <c r="O928" s="39"/>
      <c r="P928" s="39"/>
      <c r="Q928" s="39"/>
      <c r="R928" s="39"/>
      <c r="S928" s="39"/>
      <c r="T928" s="39"/>
      <c r="U928" s="39"/>
      <c r="V928" s="39"/>
      <c r="W928" s="39"/>
      <c r="X928" s="39"/>
      <c r="Y928" s="39"/>
      <c r="Z928" s="39"/>
      <c r="AA928" s="39"/>
      <c r="AB928" s="39"/>
    </row>
    <row r="929">
      <c r="A929" s="1"/>
      <c r="B929" s="36"/>
      <c r="C929" s="36"/>
      <c r="D929" s="36"/>
      <c r="E929" s="36"/>
      <c r="F929" s="36"/>
      <c r="G929" s="36"/>
      <c r="H929" s="37"/>
      <c r="I929" s="36"/>
      <c r="J929" s="38"/>
      <c r="K929" s="38"/>
      <c r="L929" s="39"/>
      <c r="M929" s="39"/>
      <c r="N929" s="39"/>
      <c r="O929" s="39"/>
      <c r="P929" s="39"/>
      <c r="Q929" s="39"/>
      <c r="R929" s="39"/>
      <c r="S929" s="39"/>
      <c r="T929" s="39"/>
      <c r="U929" s="39"/>
      <c r="V929" s="39"/>
      <c r="W929" s="39"/>
      <c r="X929" s="39"/>
      <c r="Y929" s="39"/>
      <c r="Z929" s="39"/>
      <c r="AA929" s="39"/>
      <c r="AB929" s="39"/>
    </row>
    <row r="930">
      <c r="A930" s="1"/>
      <c r="B930" s="36"/>
      <c r="C930" s="36"/>
      <c r="D930" s="36"/>
      <c r="E930" s="36"/>
      <c r="F930" s="36"/>
      <c r="G930" s="36"/>
      <c r="H930" s="37"/>
      <c r="I930" s="36"/>
      <c r="J930" s="38"/>
      <c r="K930" s="38"/>
      <c r="L930" s="39"/>
      <c r="M930" s="39"/>
      <c r="N930" s="39"/>
      <c r="O930" s="39"/>
      <c r="P930" s="39"/>
      <c r="Q930" s="39"/>
      <c r="R930" s="39"/>
      <c r="S930" s="39"/>
      <c r="T930" s="39"/>
      <c r="U930" s="39"/>
      <c r="V930" s="39"/>
      <c r="W930" s="39"/>
      <c r="X930" s="39"/>
      <c r="Y930" s="39"/>
      <c r="Z930" s="39"/>
      <c r="AA930" s="39"/>
      <c r="AB930" s="39"/>
    </row>
    <row r="931">
      <c r="A931" s="1"/>
      <c r="B931" s="36"/>
      <c r="C931" s="36"/>
      <c r="D931" s="36"/>
      <c r="E931" s="36"/>
      <c r="F931" s="36"/>
      <c r="G931" s="36"/>
      <c r="H931" s="37"/>
      <c r="I931" s="36"/>
      <c r="J931" s="38"/>
      <c r="K931" s="38"/>
      <c r="L931" s="39"/>
      <c r="M931" s="39"/>
      <c r="N931" s="39"/>
      <c r="O931" s="39"/>
      <c r="P931" s="39"/>
      <c r="Q931" s="39"/>
      <c r="R931" s="39"/>
      <c r="S931" s="39"/>
      <c r="T931" s="39"/>
      <c r="U931" s="39"/>
      <c r="V931" s="39"/>
      <c r="W931" s="39"/>
      <c r="X931" s="39"/>
      <c r="Y931" s="39"/>
      <c r="Z931" s="39"/>
      <c r="AA931" s="39"/>
      <c r="AB931" s="39"/>
    </row>
    <row r="932">
      <c r="A932" s="1"/>
      <c r="B932" s="36"/>
      <c r="C932" s="36"/>
      <c r="D932" s="36"/>
      <c r="E932" s="36"/>
      <c r="F932" s="36"/>
      <c r="G932" s="36"/>
      <c r="H932" s="37"/>
      <c r="I932" s="36"/>
      <c r="J932" s="38"/>
      <c r="K932" s="38"/>
      <c r="L932" s="39"/>
      <c r="M932" s="39"/>
      <c r="N932" s="39"/>
      <c r="O932" s="39"/>
      <c r="P932" s="39"/>
      <c r="Q932" s="39"/>
      <c r="R932" s="39"/>
      <c r="S932" s="39"/>
      <c r="T932" s="39"/>
      <c r="U932" s="39"/>
      <c r="V932" s="39"/>
      <c r="W932" s="39"/>
      <c r="X932" s="39"/>
      <c r="Y932" s="39"/>
      <c r="Z932" s="39"/>
      <c r="AA932" s="39"/>
      <c r="AB932" s="39"/>
    </row>
    <row r="933">
      <c r="A933" s="1"/>
      <c r="B933" s="36"/>
      <c r="C933" s="36"/>
      <c r="D933" s="36"/>
      <c r="E933" s="36"/>
      <c r="F933" s="36"/>
      <c r="G933" s="36"/>
      <c r="H933" s="37"/>
      <c r="I933" s="36"/>
      <c r="J933" s="38"/>
      <c r="K933" s="38"/>
      <c r="L933" s="39"/>
      <c r="M933" s="39"/>
      <c r="N933" s="39"/>
      <c r="O933" s="39"/>
      <c r="P933" s="39"/>
      <c r="Q933" s="39"/>
      <c r="R933" s="39"/>
      <c r="S933" s="39"/>
      <c r="T933" s="39"/>
      <c r="U933" s="39"/>
      <c r="V933" s="39"/>
      <c r="W933" s="39"/>
      <c r="X933" s="39"/>
      <c r="Y933" s="39"/>
      <c r="Z933" s="39"/>
      <c r="AA933" s="39"/>
      <c r="AB933" s="39"/>
    </row>
    <row r="934">
      <c r="A934" s="1"/>
      <c r="B934" s="36"/>
      <c r="C934" s="36"/>
      <c r="D934" s="36"/>
      <c r="E934" s="36"/>
      <c r="F934" s="36"/>
      <c r="G934" s="36"/>
      <c r="H934" s="37"/>
      <c r="I934" s="36"/>
      <c r="J934" s="38"/>
      <c r="K934" s="38"/>
      <c r="L934" s="39"/>
      <c r="M934" s="39"/>
      <c r="N934" s="39"/>
      <c r="O934" s="39"/>
      <c r="P934" s="39"/>
      <c r="Q934" s="39"/>
      <c r="R934" s="39"/>
      <c r="S934" s="39"/>
      <c r="T934" s="39"/>
      <c r="U934" s="39"/>
      <c r="V934" s="39"/>
      <c r="W934" s="39"/>
      <c r="X934" s="39"/>
      <c r="Y934" s="39"/>
      <c r="Z934" s="39"/>
      <c r="AA934" s="39"/>
      <c r="AB934" s="39"/>
    </row>
    <row r="935">
      <c r="A935" s="1"/>
      <c r="B935" s="36"/>
      <c r="C935" s="36"/>
      <c r="D935" s="36"/>
      <c r="E935" s="36"/>
      <c r="F935" s="36"/>
      <c r="G935" s="36"/>
      <c r="H935" s="37"/>
      <c r="I935" s="36"/>
      <c r="J935" s="38"/>
      <c r="K935" s="38"/>
      <c r="L935" s="39"/>
      <c r="M935" s="39"/>
      <c r="N935" s="39"/>
      <c r="O935" s="39"/>
      <c r="P935" s="39"/>
      <c r="Q935" s="39"/>
      <c r="R935" s="39"/>
      <c r="S935" s="39"/>
      <c r="T935" s="39"/>
      <c r="U935" s="39"/>
      <c r="V935" s="39"/>
      <c r="W935" s="39"/>
      <c r="X935" s="39"/>
      <c r="Y935" s="39"/>
      <c r="Z935" s="39"/>
      <c r="AA935" s="39"/>
      <c r="AB935" s="39"/>
    </row>
    <row r="936">
      <c r="A936" s="1"/>
      <c r="B936" s="36"/>
      <c r="C936" s="36"/>
      <c r="D936" s="36"/>
      <c r="E936" s="36"/>
      <c r="F936" s="36"/>
      <c r="G936" s="36"/>
      <c r="H936" s="37"/>
      <c r="I936" s="36"/>
      <c r="J936" s="38"/>
      <c r="K936" s="38"/>
      <c r="L936" s="39"/>
      <c r="M936" s="39"/>
      <c r="N936" s="39"/>
      <c r="O936" s="39"/>
      <c r="P936" s="39"/>
      <c r="Q936" s="39"/>
      <c r="R936" s="39"/>
      <c r="S936" s="39"/>
      <c r="T936" s="39"/>
      <c r="U936" s="39"/>
      <c r="V936" s="39"/>
      <c r="W936" s="39"/>
      <c r="X936" s="39"/>
      <c r="Y936" s="39"/>
      <c r="Z936" s="39"/>
      <c r="AA936" s="39"/>
      <c r="AB936" s="39"/>
    </row>
    <row r="937">
      <c r="A937" s="1"/>
      <c r="B937" s="36"/>
      <c r="C937" s="36"/>
      <c r="D937" s="36"/>
      <c r="E937" s="36"/>
      <c r="F937" s="36"/>
      <c r="G937" s="36"/>
      <c r="H937" s="37"/>
      <c r="I937" s="36"/>
      <c r="J937" s="38"/>
      <c r="K937" s="38"/>
      <c r="L937" s="39"/>
      <c r="M937" s="39"/>
      <c r="N937" s="39"/>
      <c r="O937" s="39"/>
      <c r="P937" s="39"/>
      <c r="Q937" s="39"/>
      <c r="R937" s="39"/>
      <c r="S937" s="39"/>
      <c r="T937" s="39"/>
      <c r="U937" s="39"/>
      <c r="V937" s="39"/>
      <c r="W937" s="39"/>
      <c r="X937" s="39"/>
      <c r="Y937" s="39"/>
      <c r="Z937" s="39"/>
      <c r="AA937" s="39"/>
      <c r="AB937" s="39"/>
    </row>
    <row r="938">
      <c r="A938" s="1"/>
      <c r="B938" s="36"/>
      <c r="C938" s="36"/>
      <c r="D938" s="36"/>
      <c r="E938" s="36"/>
      <c r="F938" s="36"/>
      <c r="G938" s="36"/>
      <c r="H938" s="37"/>
      <c r="I938" s="36"/>
      <c r="J938" s="38"/>
      <c r="K938" s="38"/>
      <c r="L938" s="39"/>
      <c r="M938" s="39"/>
      <c r="N938" s="39"/>
      <c r="O938" s="39"/>
      <c r="P938" s="39"/>
      <c r="Q938" s="39"/>
      <c r="R938" s="39"/>
      <c r="S938" s="39"/>
      <c r="T938" s="39"/>
      <c r="U938" s="39"/>
      <c r="V938" s="39"/>
      <c r="W938" s="39"/>
      <c r="X938" s="39"/>
      <c r="Y938" s="39"/>
      <c r="Z938" s="39"/>
      <c r="AA938" s="39"/>
      <c r="AB938" s="39"/>
    </row>
    <row r="939">
      <c r="A939" s="1"/>
      <c r="B939" s="36"/>
      <c r="C939" s="36"/>
      <c r="D939" s="36"/>
      <c r="E939" s="36"/>
      <c r="F939" s="36"/>
      <c r="G939" s="36"/>
      <c r="H939" s="37"/>
      <c r="I939" s="36"/>
      <c r="J939" s="38"/>
      <c r="K939" s="38"/>
      <c r="L939" s="39"/>
      <c r="M939" s="39"/>
      <c r="N939" s="39"/>
      <c r="O939" s="39"/>
      <c r="P939" s="39"/>
      <c r="Q939" s="39"/>
      <c r="R939" s="39"/>
      <c r="S939" s="39"/>
      <c r="T939" s="39"/>
      <c r="U939" s="39"/>
      <c r="V939" s="39"/>
      <c r="W939" s="39"/>
      <c r="X939" s="39"/>
      <c r="Y939" s="39"/>
      <c r="Z939" s="39"/>
      <c r="AA939" s="39"/>
      <c r="AB939" s="39"/>
    </row>
    <row r="940">
      <c r="A940" s="1"/>
      <c r="B940" s="36"/>
      <c r="C940" s="36"/>
      <c r="D940" s="36"/>
      <c r="E940" s="36"/>
      <c r="F940" s="36"/>
      <c r="G940" s="36"/>
      <c r="H940" s="37"/>
      <c r="I940" s="36"/>
      <c r="J940" s="38"/>
      <c r="K940" s="38"/>
      <c r="L940" s="39"/>
      <c r="M940" s="39"/>
      <c r="N940" s="39"/>
      <c r="O940" s="39"/>
      <c r="P940" s="39"/>
      <c r="Q940" s="39"/>
      <c r="R940" s="39"/>
      <c r="S940" s="39"/>
      <c r="T940" s="39"/>
      <c r="U940" s="39"/>
      <c r="V940" s="39"/>
      <c r="W940" s="39"/>
      <c r="X940" s="39"/>
      <c r="Y940" s="39"/>
      <c r="Z940" s="39"/>
      <c r="AA940" s="39"/>
      <c r="AB940" s="39"/>
    </row>
    <row r="941">
      <c r="A941" s="1"/>
      <c r="B941" s="36"/>
      <c r="C941" s="36"/>
      <c r="D941" s="36"/>
      <c r="E941" s="36"/>
      <c r="F941" s="36"/>
      <c r="G941" s="36"/>
      <c r="H941" s="37"/>
      <c r="I941" s="36"/>
      <c r="J941" s="38"/>
      <c r="K941" s="38"/>
      <c r="L941" s="39"/>
      <c r="M941" s="39"/>
      <c r="N941" s="39"/>
      <c r="O941" s="39"/>
      <c r="P941" s="39"/>
      <c r="Q941" s="39"/>
      <c r="R941" s="39"/>
      <c r="S941" s="39"/>
      <c r="T941" s="39"/>
      <c r="U941" s="39"/>
      <c r="V941" s="39"/>
      <c r="W941" s="39"/>
      <c r="X941" s="39"/>
      <c r="Y941" s="39"/>
      <c r="Z941" s="39"/>
      <c r="AA941" s="39"/>
      <c r="AB941" s="39"/>
    </row>
    <row r="942">
      <c r="A942" s="1"/>
      <c r="B942" s="36"/>
      <c r="C942" s="36"/>
      <c r="D942" s="36"/>
      <c r="E942" s="36"/>
      <c r="F942" s="36"/>
      <c r="G942" s="36"/>
      <c r="H942" s="37"/>
      <c r="I942" s="36"/>
      <c r="J942" s="38"/>
      <c r="K942" s="38"/>
      <c r="L942" s="39"/>
      <c r="M942" s="39"/>
      <c r="N942" s="39"/>
      <c r="O942" s="39"/>
      <c r="P942" s="39"/>
      <c r="Q942" s="39"/>
      <c r="R942" s="39"/>
      <c r="S942" s="39"/>
      <c r="T942" s="39"/>
      <c r="U942" s="39"/>
      <c r="V942" s="39"/>
      <c r="W942" s="39"/>
      <c r="X942" s="39"/>
      <c r="Y942" s="39"/>
      <c r="Z942" s="39"/>
      <c r="AA942" s="39"/>
      <c r="AB942" s="39"/>
    </row>
    <row r="943">
      <c r="A943" s="1"/>
      <c r="B943" s="36"/>
      <c r="C943" s="36"/>
      <c r="D943" s="36"/>
      <c r="E943" s="36"/>
      <c r="F943" s="36"/>
      <c r="G943" s="36"/>
      <c r="H943" s="37"/>
      <c r="I943" s="36"/>
      <c r="J943" s="38"/>
      <c r="K943" s="38"/>
      <c r="L943" s="39"/>
      <c r="M943" s="39"/>
      <c r="N943" s="39"/>
      <c r="O943" s="39"/>
      <c r="P943" s="39"/>
      <c r="Q943" s="39"/>
      <c r="R943" s="39"/>
      <c r="S943" s="39"/>
      <c r="T943" s="39"/>
      <c r="U943" s="39"/>
      <c r="V943" s="39"/>
      <c r="W943" s="39"/>
      <c r="X943" s="39"/>
      <c r="Y943" s="39"/>
      <c r="Z943" s="39"/>
      <c r="AA943" s="39"/>
      <c r="AB943" s="39"/>
    </row>
    <row r="944">
      <c r="A944" s="1"/>
      <c r="B944" s="36"/>
      <c r="C944" s="36"/>
      <c r="D944" s="36"/>
      <c r="E944" s="36"/>
      <c r="F944" s="36"/>
      <c r="G944" s="36"/>
      <c r="H944" s="37"/>
      <c r="I944" s="36"/>
      <c r="J944" s="38"/>
      <c r="K944" s="38"/>
      <c r="L944" s="39"/>
      <c r="M944" s="39"/>
      <c r="N944" s="39"/>
      <c r="O944" s="39"/>
      <c r="P944" s="39"/>
      <c r="Q944" s="39"/>
      <c r="R944" s="39"/>
      <c r="S944" s="39"/>
      <c r="T944" s="39"/>
      <c r="U944" s="39"/>
      <c r="V944" s="39"/>
      <c r="W944" s="39"/>
      <c r="X944" s="39"/>
      <c r="Y944" s="39"/>
      <c r="Z944" s="39"/>
      <c r="AA944" s="39"/>
      <c r="AB944" s="39"/>
    </row>
    <row r="945">
      <c r="A945" s="1"/>
      <c r="B945" s="36"/>
      <c r="C945" s="36"/>
      <c r="D945" s="36"/>
      <c r="E945" s="36"/>
      <c r="F945" s="36"/>
      <c r="G945" s="36"/>
      <c r="H945" s="37"/>
      <c r="I945" s="36"/>
      <c r="J945" s="38"/>
      <c r="K945" s="38"/>
      <c r="L945" s="39"/>
      <c r="M945" s="39"/>
      <c r="N945" s="39"/>
      <c r="O945" s="39"/>
      <c r="P945" s="39"/>
      <c r="Q945" s="39"/>
      <c r="R945" s="39"/>
      <c r="S945" s="39"/>
      <c r="T945" s="39"/>
      <c r="U945" s="39"/>
      <c r="V945" s="39"/>
      <c r="W945" s="39"/>
      <c r="X945" s="39"/>
      <c r="Y945" s="39"/>
      <c r="Z945" s="39"/>
      <c r="AA945" s="39"/>
      <c r="AB945" s="39"/>
    </row>
    <row r="946">
      <c r="A946" s="1"/>
      <c r="B946" s="36"/>
      <c r="C946" s="36"/>
      <c r="D946" s="36"/>
      <c r="E946" s="36"/>
      <c r="F946" s="36"/>
      <c r="G946" s="36"/>
      <c r="H946" s="37"/>
      <c r="I946" s="36"/>
      <c r="J946" s="38"/>
      <c r="K946" s="38"/>
      <c r="L946" s="39"/>
      <c r="M946" s="39"/>
      <c r="N946" s="39"/>
      <c r="O946" s="39"/>
      <c r="P946" s="39"/>
      <c r="Q946" s="39"/>
      <c r="R946" s="39"/>
      <c r="S946" s="39"/>
      <c r="T946" s="39"/>
      <c r="U946" s="39"/>
      <c r="V946" s="39"/>
      <c r="W946" s="39"/>
      <c r="X946" s="39"/>
      <c r="Y946" s="39"/>
      <c r="Z946" s="39"/>
      <c r="AA946" s="39"/>
      <c r="AB946" s="39"/>
    </row>
    <row r="947">
      <c r="A947" s="1"/>
      <c r="B947" s="36"/>
      <c r="C947" s="36"/>
      <c r="D947" s="36"/>
      <c r="E947" s="36"/>
      <c r="F947" s="36"/>
      <c r="G947" s="36"/>
      <c r="H947" s="37"/>
      <c r="I947" s="36"/>
      <c r="J947" s="38"/>
      <c r="K947" s="38"/>
      <c r="L947" s="39"/>
      <c r="M947" s="39"/>
      <c r="N947" s="39"/>
      <c r="O947" s="39"/>
      <c r="P947" s="39"/>
      <c r="Q947" s="39"/>
      <c r="R947" s="39"/>
      <c r="S947" s="39"/>
      <c r="T947" s="39"/>
      <c r="U947" s="39"/>
      <c r="V947" s="39"/>
      <c r="W947" s="39"/>
      <c r="X947" s="39"/>
      <c r="Y947" s="39"/>
      <c r="Z947" s="39"/>
      <c r="AA947" s="39"/>
      <c r="AB947" s="39"/>
    </row>
    <row r="948">
      <c r="A948" s="1"/>
      <c r="B948" s="36"/>
      <c r="C948" s="36"/>
      <c r="D948" s="36"/>
      <c r="E948" s="36"/>
      <c r="F948" s="36"/>
      <c r="G948" s="36"/>
      <c r="H948" s="37"/>
      <c r="I948" s="36"/>
      <c r="J948" s="38"/>
      <c r="K948" s="38"/>
      <c r="L948" s="39"/>
      <c r="M948" s="39"/>
      <c r="N948" s="39"/>
      <c r="O948" s="39"/>
      <c r="P948" s="39"/>
      <c r="Q948" s="39"/>
      <c r="R948" s="39"/>
      <c r="S948" s="39"/>
      <c r="T948" s="39"/>
      <c r="U948" s="39"/>
      <c r="V948" s="39"/>
      <c r="W948" s="39"/>
      <c r="X948" s="39"/>
      <c r="Y948" s="39"/>
      <c r="Z948" s="39"/>
      <c r="AA948" s="39"/>
      <c r="AB948" s="39"/>
    </row>
    <row r="949">
      <c r="A949" s="1"/>
      <c r="B949" s="36"/>
      <c r="C949" s="36"/>
      <c r="D949" s="36"/>
      <c r="E949" s="36"/>
      <c r="F949" s="36"/>
      <c r="G949" s="36"/>
      <c r="H949" s="37"/>
      <c r="I949" s="36"/>
      <c r="J949" s="38"/>
      <c r="K949" s="38"/>
      <c r="L949" s="39"/>
      <c r="M949" s="39"/>
      <c r="N949" s="39"/>
      <c r="O949" s="39"/>
      <c r="P949" s="39"/>
      <c r="Q949" s="39"/>
      <c r="R949" s="39"/>
      <c r="S949" s="39"/>
      <c r="T949" s="39"/>
      <c r="U949" s="39"/>
      <c r="V949" s="39"/>
      <c r="W949" s="39"/>
      <c r="X949" s="39"/>
      <c r="Y949" s="39"/>
      <c r="Z949" s="39"/>
      <c r="AA949" s="39"/>
      <c r="AB949" s="39"/>
    </row>
    <row r="950">
      <c r="A950" s="1"/>
      <c r="B950" s="36"/>
      <c r="C950" s="36"/>
      <c r="D950" s="36"/>
      <c r="E950" s="36"/>
      <c r="F950" s="36"/>
      <c r="G950" s="36"/>
      <c r="H950" s="37"/>
      <c r="I950" s="36"/>
      <c r="J950" s="38"/>
      <c r="K950" s="38"/>
      <c r="L950" s="39"/>
      <c r="M950" s="39"/>
      <c r="N950" s="39"/>
      <c r="O950" s="39"/>
      <c r="P950" s="39"/>
      <c r="Q950" s="39"/>
      <c r="R950" s="39"/>
      <c r="S950" s="39"/>
      <c r="T950" s="39"/>
      <c r="U950" s="39"/>
      <c r="V950" s="39"/>
      <c r="W950" s="39"/>
      <c r="X950" s="39"/>
      <c r="Y950" s="39"/>
      <c r="Z950" s="39"/>
      <c r="AA950" s="39"/>
      <c r="AB950" s="39"/>
    </row>
    <row r="951">
      <c r="A951" s="1"/>
      <c r="B951" s="36"/>
      <c r="C951" s="36"/>
      <c r="D951" s="36"/>
      <c r="E951" s="36"/>
      <c r="F951" s="36"/>
      <c r="G951" s="36"/>
      <c r="H951" s="37"/>
      <c r="I951" s="36"/>
      <c r="J951" s="38"/>
      <c r="K951" s="38"/>
      <c r="L951" s="39"/>
      <c r="M951" s="39"/>
      <c r="N951" s="39"/>
      <c r="O951" s="39"/>
      <c r="P951" s="39"/>
      <c r="Q951" s="39"/>
      <c r="R951" s="39"/>
      <c r="S951" s="39"/>
      <c r="T951" s="39"/>
      <c r="U951" s="39"/>
      <c r="V951" s="39"/>
      <c r="W951" s="39"/>
      <c r="X951" s="39"/>
      <c r="Y951" s="39"/>
      <c r="Z951" s="39"/>
      <c r="AA951" s="39"/>
      <c r="AB951" s="39"/>
    </row>
    <row r="952">
      <c r="A952" s="1"/>
      <c r="B952" s="36"/>
      <c r="C952" s="36"/>
      <c r="D952" s="36"/>
      <c r="E952" s="36"/>
      <c r="F952" s="36"/>
      <c r="G952" s="36"/>
      <c r="H952" s="37"/>
      <c r="I952" s="36"/>
      <c r="J952" s="38"/>
      <c r="K952" s="38"/>
      <c r="L952" s="39"/>
      <c r="M952" s="39"/>
      <c r="N952" s="39"/>
      <c r="O952" s="39"/>
      <c r="P952" s="39"/>
      <c r="Q952" s="39"/>
      <c r="R952" s="39"/>
      <c r="S952" s="39"/>
      <c r="T952" s="39"/>
      <c r="U952" s="39"/>
      <c r="V952" s="39"/>
      <c r="W952" s="39"/>
      <c r="X952" s="39"/>
      <c r="Y952" s="39"/>
      <c r="Z952" s="39"/>
      <c r="AA952" s="39"/>
      <c r="AB952" s="39"/>
    </row>
    <row r="953">
      <c r="A953" s="1"/>
      <c r="B953" s="36"/>
      <c r="C953" s="36"/>
      <c r="D953" s="36"/>
      <c r="E953" s="36"/>
      <c r="F953" s="36"/>
      <c r="G953" s="36"/>
      <c r="H953" s="37"/>
      <c r="I953" s="36"/>
      <c r="J953" s="38"/>
      <c r="K953" s="38"/>
      <c r="L953" s="39"/>
      <c r="M953" s="39"/>
      <c r="N953" s="39"/>
      <c r="O953" s="39"/>
      <c r="P953" s="39"/>
      <c r="Q953" s="39"/>
      <c r="R953" s="39"/>
      <c r="S953" s="39"/>
      <c r="T953" s="39"/>
      <c r="U953" s="39"/>
      <c r="V953" s="39"/>
      <c r="W953" s="39"/>
      <c r="X953" s="39"/>
      <c r="Y953" s="39"/>
      <c r="Z953" s="39"/>
      <c r="AA953" s="39"/>
      <c r="AB953" s="39"/>
    </row>
    <row r="954">
      <c r="A954" s="1"/>
      <c r="B954" s="36"/>
      <c r="C954" s="36"/>
      <c r="D954" s="36"/>
      <c r="E954" s="36"/>
      <c r="F954" s="36"/>
      <c r="G954" s="36"/>
      <c r="H954" s="37"/>
      <c r="I954" s="36"/>
      <c r="J954" s="38"/>
      <c r="K954" s="38"/>
      <c r="L954" s="39"/>
      <c r="M954" s="39"/>
      <c r="N954" s="39"/>
      <c r="O954" s="39"/>
      <c r="P954" s="39"/>
      <c r="Q954" s="39"/>
      <c r="R954" s="39"/>
      <c r="S954" s="39"/>
      <c r="T954" s="39"/>
      <c r="U954" s="39"/>
      <c r="V954" s="39"/>
      <c r="W954" s="39"/>
      <c r="X954" s="39"/>
      <c r="Y954" s="39"/>
      <c r="Z954" s="39"/>
      <c r="AA954" s="39"/>
      <c r="AB954" s="39"/>
    </row>
    <row r="955">
      <c r="A955" s="1"/>
      <c r="B955" s="36"/>
      <c r="C955" s="36"/>
      <c r="D955" s="36"/>
      <c r="E955" s="36"/>
      <c r="F955" s="36"/>
      <c r="G955" s="36"/>
      <c r="H955" s="37"/>
      <c r="I955" s="36"/>
      <c r="J955" s="38"/>
      <c r="K955" s="38"/>
      <c r="L955" s="39"/>
      <c r="M955" s="39"/>
      <c r="N955" s="39"/>
      <c r="O955" s="39"/>
      <c r="P955" s="39"/>
      <c r="Q955" s="39"/>
      <c r="R955" s="39"/>
      <c r="S955" s="39"/>
      <c r="T955" s="39"/>
      <c r="U955" s="39"/>
      <c r="V955" s="39"/>
      <c r="W955" s="39"/>
      <c r="X955" s="39"/>
      <c r="Y955" s="39"/>
      <c r="Z955" s="39"/>
      <c r="AA955" s="39"/>
      <c r="AB955" s="39"/>
    </row>
    <row r="956">
      <c r="A956" s="1"/>
      <c r="B956" s="36"/>
      <c r="C956" s="36"/>
      <c r="D956" s="36"/>
      <c r="E956" s="36"/>
      <c r="F956" s="36"/>
      <c r="G956" s="36"/>
      <c r="H956" s="37"/>
      <c r="I956" s="36"/>
      <c r="J956" s="38"/>
      <c r="K956" s="38"/>
      <c r="L956" s="39"/>
      <c r="M956" s="39"/>
      <c r="N956" s="39"/>
      <c r="O956" s="39"/>
      <c r="P956" s="39"/>
      <c r="Q956" s="39"/>
      <c r="R956" s="39"/>
      <c r="S956" s="39"/>
      <c r="T956" s="39"/>
      <c r="U956" s="39"/>
      <c r="V956" s="39"/>
      <c r="W956" s="39"/>
      <c r="X956" s="39"/>
      <c r="Y956" s="39"/>
      <c r="Z956" s="39"/>
      <c r="AA956" s="39"/>
      <c r="AB956" s="39"/>
    </row>
    <row r="957">
      <c r="A957" s="1"/>
      <c r="B957" s="36"/>
      <c r="C957" s="36"/>
      <c r="D957" s="36"/>
      <c r="E957" s="36"/>
      <c r="F957" s="36"/>
      <c r="G957" s="36"/>
      <c r="H957" s="37"/>
      <c r="I957" s="36"/>
      <c r="J957" s="38"/>
      <c r="K957" s="38"/>
      <c r="L957" s="39"/>
      <c r="M957" s="39"/>
      <c r="N957" s="39"/>
      <c r="O957" s="39"/>
      <c r="P957" s="39"/>
      <c r="Q957" s="39"/>
      <c r="R957" s="39"/>
      <c r="S957" s="39"/>
      <c r="T957" s="39"/>
      <c r="U957" s="39"/>
      <c r="V957" s="39"/>
      <c r="W957" s="39"/>
      <c r="X957" s="39"/>
      <c r="Y957" s="39"/>
      <c r="Z957" s="39"/>
      <c r="AA957" s="39"/>
      <c r="AB957" s="39"/>
    </row>
    <row r="958">
      <c r="A958" s="1"/>
      <c r="B958" s="36"/>
      <c r="C958" s="36"/>
      <c r="D958" s="36"/>
      <c r="E958" s="36"/>
      <c r="F958" s="36"/>
      <c r="G958" s="36"/>
      <c r="H958" s="37"/>
      <c r="I958" s="36"/>
      <c r="J958" s="38"/>
      <c r="K958" s="38"/>
      <c r="L958" s="39"/>
      <c r="M958" s="39"/>
      <c r="N958" s="39"/>
      <c r="O958" s="39"/>
      <c r="P958" s="39"/>
      <c r="Q958" s="39"/>
      <c r="R958" s="39"/>
      <c r="S958" s="39"/>
      <c r="T958" s="39"/>
      <c r="U958" s="39"/>
      <c r="V958" s="39"/>
      <c r="W958" s="39"/>
      <c r="X958" s="39"/>
      <c r="Y958" s="39"/>
      <c r="Z958" s="39"/>
      <c r="AA958" s="39"/>
      <c r="AB958" s="39"/>
    </row>
    <row r="959">
      <c r="A959" s="1"/>
      <c r="B959" s="36"/>
      <c r="C959" s="36"/>
      <c r="D959" s="36"/>
      <c r="E959" s="36"/>
      <c r="F959" s="36"/>
      <c r="G959" s="36"/>
      <c r="H959" s="37"/>
      <c r="I959" s="36"/>
      <c r="J959" s="38"/>
      <c r="K959" s="38"/>
      <c r="L959" s="39"/>
      <c r="M959" s="39"/>
      <c r="N959" s="39"/>
      <c r="O959" s="39"/>
      <c r="P959" s="39"/>
      <c r="Q959" s="39"/>
      <c r="R959" s="39"/>
      <c r="S959" s="39"/>
      <c r="T959" s="39"/>
      <c r="U959" s="39"/>
      <c r="V959" s="39"/>
      <c r="W959" s="39"/>
      <c r="X959" s="39"/>
      <c r="Y959" s="39"/>
      <c r="Z959" s="39"/>
      <c r="AA959" s="39"/>
      <c r="AB959" s="39"/>
    </row>
    <row r="960">
      <c r="A960" s="1"/>
      <c r="B960" s="36"/>
      <c r="C960" s="36"/>
      <c r="D960" s="36"/>
      <c r="E960" s="36"/>
      <c r="F960" s="36"/>
      <c r="G960" s="36"/>
      <c r="H960" s="37"/>
      <c r="I960" s="36"/>
      <c r="J960" s="38"/>
      <c r="K960" s="38"/>
      <c r="L960" s="39"/>
      <c r="M960" s="39"/>
      <c r="N960" s="39"/>
      <c r="O960" s="39"/>
      <c r="P960" s="39"/>
      <c r="Q960" s="39"/>
      <c r="R960" s="39"/>
      <c r="S960" s="39"/>
      <c r="T960" s="39"/>
      <c r="U960" s="39"/>
      <c r="V960" s="39"/>
      <c r="W960" s="39"/>
      <c r="X960" s="39"/>
      <c r="Y960" s="39"/>
      <c r="Z960" s="39"/>
      <c r="AA960" s="39"/>
      <c r="AB960" s="39"/>
    </row>
    <row r="961">
      <c r="A961" s="1"/>
      <c r="B961" s="36"/>
      <c r="C961" s="36"/>
      <c r="D961" s="36"/>
      <c r="E961" s="36"/>
      <c r="F961" s="36"/>
      <c r="G961" s="36"/>
      <c r="H961" s="37"/>
      <c r="I961" s="36"/>
      <c r="J961" s="38"/>
      <c r="K961" s="38"/>
      <c r="L961" s="39"/>
      <c r="M961" s="39"/>
      <c r="N961" s="39"/>
      <c r="O961" s="39"/>
      <c r="P961" s="39"/>
      <c r="Q961" s="39"/>
      <c r="R961" s="39"/>
      <c r="S961" s="39"/>
      <c r="T961" s="39"/>
      <c r="U961" s="39"/>
      <c r="V961" s="39"/>
      <c r="W961" s="39"/>
      <c r="X961" s="39"/>
      <c r="Y961" s="39"/>
      <c r="Z961" s="39"/>
      <c r="AA961" s="39"/>
      <c r="AB961" s="39"/>
    </row>
    <row r="962">
      <c r="A962" s="1"/>
      <c r="B962" s="36"/>
      <c r="C962" s="36"/>
      <c r="D962" s="36"/>
      <c r="E962" s="36"/>
      <c r="F962" s="36"/>
      <c r="G962" s="36"/>
      <c r="H962" s="37"/>
      <c r="I962" s="36"/>
      <c r="J962" s="38"/>
      <c r="K962" s="38"/>
      <c r="L962" s="39"/>
      <c r="M962" s="39"/>
      <c r="N962" s="39"/>
      <c r="O962" s="39"/>
      <c r="P962" s="39"/>
      <c r="Q962" s="39"/>
      <c r="R962" s="39"/>
      <c r="S962" s="39"/>
      <c r="T962" s="39"/>
      <c r="U962" s="39"/>
      <c r="V962" s="39"/>
      <c r="W962" s="39"/>
      <c r="X962" s="39"/>
      <c r="Y962" s="39"/>
      <c r="Z962" s="39"/>
      <c r="AA962" s="39"/>
      <c r="AB962" s="39"/>
    </row>
    <row r="963">
      <c r="A963" s="1"/>
      <c r="B963" s="36"/>
      <c r="C963" s="36"/>
      <c r="D963" s="36"/>
      <c r="E963" s="36"/>
      <c r="F963" s="36"/>
      <c r="G963" s="36"/>
      <c r="H963" s="37"/>
      <c r="I963" s="36"/>
      <c r="J963" s="38"/>
      <c r="K963" s="38"/>
      <c r="L963" s="39"/>
      <c r="M963" s="39"/>
      <c r="N963" s="39"/>
      <c r="O963" s="39"/>
      <c r="P963" s="39"/>
      <c r="Q963" s="39"/>
      <c r="R963" s="39"/>
      <c r="S963" s="39"/>
      <c r="T963" s="39"/>
      <c r="U963" s="39"/>
      <c r="V963" s="39"/>
      <c r="W963" s="39"/>
      <c r="X963" s="39"/>
      <c r="Y963" s="39"/>
      <c r="Z963" s="39"/>
      <c r="AA963" s="39"/>
      <c r="AB963" s="39"/>
    </row>
    <row r="964">
      <c r="A964" s="1"/>
      <c r="B964" s="36"/>
      <c r="C964" s="36"/>
      <c r="D964" s="36"/>
      <c r="E964" s="36"/>
      <c r="F964" s="36"/>
      <c r="G964" s="36"/>
      <c r="H964" s="37"/>
      <c r="I964" s="36"/>
      <c r="J964" s="38"/>
      <c r="K964" s="38"/>
      <c r="L964" s="39"/>
      <c r="M964" s="39"/>
      <c r="N964" s="39"/>
      <c r="O964" s="39"/>
      <c r="P964" s="39"/>
      <c r="Q964" s="39"/>
      <c r="R964" s="39"/>
      <c r="S964" s="39"/>
      <c r="T964" s="39"/>
      <c r="U964" s="39"/>
      <c r="V964" s="39"/>
      <c r="W964" s="39"/>
      <c r="X964" s="39"/>
      <c r="Y964" s="39"/>
      <c r="Z964" s="39"/>
      <c r="AA964" s="39"/>
      <c r="AB964" s="39"/>
    </row>
    <row r="965">
      <c r="A965" s="1"/>
      <c r="B965" s="36"/>
      <c r="C965" s="36"/>
      <c r="D965" s="36"/>
      <c r="E965" s="36"/>
      <c r="F965" s="36"/>
      <c r="G965" s="36"/>
      <c r="H965" s="37"/>
      <c r="I965" s="36"/>
      <c r="J965" s="38"/>
      <c r="K965" s="38"/>
      <c r="L965" s="39"/>
      <c r="M965" s="39"/>
      <c r="N965" s="39"/>
      <c r="O965" s="39"/>
      <c r="P965" s="39"/>
      <c r="Q965" s="39"/>
      <c r="R965" s="39"/>
      <c r="S965" s="39"/>
      <c r="T965" s="39"/>
      <c r="U965" s="39"/>
      <c r="V965" s="39"/>
      <c r="W965" s="39"/>
      <c r="X965" s="39"/>
      <c r="Y965" s="39"/>
      <c r="Z965" s="39"/>
      <c r="AA965" s="39"/>
      <c r="AB965" s="39"/>
    </row>
    <row r="966">
      <c r="A966" s="1"/>
      <c r="B966" s="36"/>
      <c r="C966" s="36"/>
      <c r="D966" s="36"/>
      <c r="E966" s="36"/>
      <c r="F966" s="36"/>
      <c r="G966" s="36"/>
      <c r="H966" s="37"/>
      <c r="I966" s="36"/>
      <c r="J966" s="38"/>
      <c r="K966" s="38"/>
      <c r="L966" s="39"/>
      <c r="M966" s="39"/>
      <c r="N966" s="39"/>
      <c r="O966" s="39"/>
      <c r="P966" s="39"/>
      <c r="Q966" s="39"/>
      <c r="R966" s="39"/>
      <c r="S966" s="39"/>
      <c r="T966" s="39"/>
      <c r="U966" s="39"/>
      <c r="V966" s="39"/>
      <c r="W966" s="39"/>
      <c r="X966" s="39"/>
      <c r="Y966" s="39"/>
      <c r="Z966" s="39"/>
      <c r="AA966" s="39"/>
      <c r="AB966" s="39"/>
    </row>
    <row r="967">
      <c r="A967" s="1"/>
      <c r="B967" s="36"/>
      <c r="C967" s="36"/>
      <c r="D967" s="36"/>
      <c r="E967" s="36"/>
      <c r="F967" s="36"/>
      <c r="G967" s="36"/>
      <c r="H967" s="37"/>
      <c r="I967" s="36"/>
      <c r="J967" s="38"/>
      <c r="K967" s="38"/>
      <c r="L967" s="39"/>
      <c r="M967" s="39"/>
      <c r="N967" s="39"/>
      <c r="O967" s="39"/>
      <c r="P967" s="39"/>
      <c r="Q967" s="39"/>
      <c r="R967" s="39"/>
      <c r="S967" s="39"/>
      <c r="T967" s="39"/>
      <c r="U967" s="39"/>
      <c r="V967" s="39"/>
      <c r="W967" s="39"/>
      <c r="X967" s="39"/>
      <c r="Y967" s="39"/>
      <c r="Z967" s="39"/>
      <c r="AA967" s="39"/>
      <c r="AB967" s="39"/>
    </row>
    <row r="968">
      <c r="A968" s="1"/>
      <c r="B968" s="36"/>
      <c r="C968" s="36"/>
      <c r="D968" s="36"/>
      <c r="E968" s="36"/>
      <c r="F968" s="36"/>
      <c r="G968" s="36"/>
      <c r="H968" s="37"/>
      <c r="I968" s="36"/>
      <c r="J968" s="38"/>
      <c r="K968" s="38"/>
      <c r="L968" s="39"/>
      <c r="M968" s="39"/>
      <c r="N968" s="39"/>
      <c r="O968" s="39"/>
      <c r="P968" s="39"/>
      <c r="Q968" s="39"/>
      <c r="R968" s="39"/>
      <c r="S968" s="39"/>
      <c r="T968" s="39"/>
      <c r="U968" s="39"/>
      <c r="V968" s="39"/>
      <c r="W968" s="39"/>
      <c r="X968" s="39"/>
      <c r="Y968" s="39"/>
      <c r="Z968" s="39"/>
      <c r="AA968" s="39"/>
      <c r="AB968" s="39"/>
    </row>
    <row r="969">
      <c r="A969" s="1"/>
      <c r="B969" s="36"/>
      <c r="C969" s="36"/>
      <c r="D969" s="36"/>
      <c r="E969" s="36"/>
      <c r="F969" s="36"/>
      <c r="G969" s="36"/>
      <c r="H969" s="37"/>
      <c r="I969" s="36"/>
      <c r="J969" s="38"/>
      <c r="K969" s="38"/>
      <c r="L969" s="39"/>
      <c r="M969" s="39"/>
      <c r="N969" s="39"/>
      <c r="O969" s="39"/>
      <c r="P969" s="39"/>
      <c r="Q969" s="39"/>
      <c r="R969" s="39"/>
      <c r="S969" s="39"/>
      <c r="T969" s="39"/>
      <c r="U969" s="39"/>
      <c r="V969" s="39"/>
      <c r="W969" s="39"/>
      <c r="X969" s="39"/>
      <c r="Y969" s="39"/>
      <c r="Z969" s="39"/>
      <c r="AA969" s="39"/>
      <c r="AB969" s="39"/>
    </row>
    <row r="970">
      <c r="A970" s="1"/>
      <c r="B970" s="36"/>
      <c r="C970" s="36"/>
      <c r="D970" s="36"/>
      <c r="E970" s="36"/>
      <c r="F970" s="36"/>
      <c r="G970" s="36"/>
      <c r="H970" s="37"/>
      <c r="I970" s="36"/>
      <c r="J970" s="38"/>
      <c r="K970" s="38"/>
      <c r="L970" s="39"/>
      <c r="M970" s="39"/>
      <c r="N970" s="39"/>
      <c r="O970" s="39"/>
      <c r="P970" s="39"/>
      <c r="Q970" s="39"/>
      <c r="R970" s="39"/>
      <c r="S970" s="39"/>
      <c r="T970" s="39"/>
      <c r="U970" s="39"/>
      <c r="V970" s="39"/>
      <c r="W970" s="39"/>
      <c r="X970" s="39"/>
      <c r="Y970" s="39"/>
      <c r="Z970" s="39"/>
      <c r="AA970" s="39"/>
      <c r="AB970" s="39"/>
    </row>
    <row r="971">
      <c r="A971" s="1"/>
      <c r="B971" s="36"/>
      <c r="C971" s="36"/>
      <c r="D971" s="36"/>
      <c r="E971" s="36"/>
      <c r="F971" s="36"/>
      <c r="G971" s="36"/>
      <c r="H971" s="37"/>
      <c r="I971" s="36"/>
      <c r="J971" s="38"/>
      <c r="K971" s="38"/>
      <c r="L971" s="39"/>
      <c r="M971" s="39"/>
      <c r="N971" s="39"/>
      <c r="O971" s="39"/>
      <c r="P971" s="39"/>
      <c r="Q971" s="39"/>
      <c r="R971" s="39"/>
      <c r="S971" s="39"/>
      <c r="T971" s="39"/>
      <c r="U971" s="39"/>
      <c r="V971" s="39"/>
      <c r="W971" s="39"/>
      <c r="X971" s="39"/>
      <c r="Y971" s="39"/>
      <c r="Z971" s="39"/>
      <c r="AA971" s="39"/>
      <c r="AB971" s="39"/>
    </row>
    <row r="972">
      <c r="A972" s="1"/>
      <c r="B972" s="36"/>
      <c r="C972" s="36"/>
      <c r="D972" s="36"/>
      <c r="E972" s="36"/>
      <c r="F972" s="36"/>
      <c r="G972" s="36"/>
      <c r="H972" s="37"/>
      <c r="I972" s="36"/>
      <c r="J972" s="38"/>
      <c r="K972" s="38"/>
      <c r="L972" s="39"/>
      <c r="M972" s="39"/>
      <c r="N972" s="39"/>
      <c r="O972" s="39"/>
      <c r="P972" s="39"/>
      <c r="Q972" s="39"/>
      <c r="R972" s="39"/>
      <c r="S972" s="39"/>
      <c r="T972" s="39"/>
      <c r="U972" s="39"/>
      <c r="V972" s="39"/>
      <c r="W972" s="39"/>
      <c r="X972" s="39"/>
      <c r="Y972" s="39"/>
      <c r="Z972" s="39"/>
      <c r="AA972" s="39"/>
      <c r="AB972" s="39"/>
    </row>
    <row r="973">
      <c r="A973" s="1"/>
      <c r="B973" s="36"/>
      <c r="C973" s="36"/>
      <c r="D973" s="36"/>
      <c r="E973" s="36"/>
      <c r="F973" s="36"/>
      <c r="G973" s="36"/>
      <c r="H973" s="37"/>
      <c r="I973" s="36"/>
      <c r="J973" s="38"/>
      <c r="K973" s="38"/>
      <c r="L973" s="39"/>
      <c r="M973" s="39"/>
      <c r="N973" s="39"/>
      <c r="O973" s="39"/>
      <c r="P973" s="39"/>
      <c r="Q973" s="39"/>
      <c r="R973" s="39"/>
      <c r="S973" s="39"/>
      <c r="T973" s="39"/>
      <c r="U973" s="39"/>
      <c r="V973" s="39"/>
      <c r="W973" s="39"/>
      <c r="X973" s="39"/>
      <c r="Y973" s="39"/>
      <c r="Z973" s="39"/>
      <c r="AA973" s="39"/>
      <c r="AB973" s="39"/>
    </row>
    <row r="974">
      <c r="A974" s="1"/>
      <c r="B974" s="36"/>
      <c r="C974" s="36"/>
      <c r="D974" s="36"/>
      <c r="E974" s="36"/>
      <c r="F974" s="36"/>
      <c r="G974" s="36"/>
      <c r="H974" s="37"/>
      <c r="I974" s="36"/>
      <c r="J974" s="38"/>
      <c r="K974" s="38"/>
      <c r="L974" s="39"/>
      <c r="M974" s="39"/>
      <c r="N974" s="39"/>
      <c r="O974" s="39"/>
      <c r="P974" s="39"/>
      <c r="Q974" s="39"/>
      <c r="R974" s="39"/>
      <c r="S974" s="39"/>
      <c r="T974" s="39"/>
      <c r="U974" s="39"/>
      <c r="V974" s="39"/>
      <c r="W974" s="39"/>
      <c r="X974" s="39"/>
      <c r="Y974" s="39"/>
      <c r="Z974" s="39"/>
      <c r="AA974" s="39"/>
      <c r="AB974" s="39"/>
    </row>
    <row r="975">
      <c r="A975" s="1"/>
      <c r="B975" s="36"/>
      <c r="C975" s="36"/>
      <c r="D975" s="36"/>
      <c r="E975" s="36"/>
      <c r="F975" s="36"/>
      <c r="G975" s="36"/>
      <c r="H975" s="37"/>
      <c r="I975" s="36"/>
      <c r="J975" s="38"/>
      <c r="K975" s="38"/>
      <c r="L975" s="39"/>
      <c r="M975" s="39"/>
      <c r="N975" s="39"/>
      <c r="O975" s="39"/>
      <c r="P975" s="39"/>
      <c r="Q975" s="39"/>
      <c r="R975" s="39"/>
      <c r="S975" s="39"/>
      <c r="T975" s="39"/>
      <c r="U975" s="39"/>
      <c r="V975" s="39"/>
      <c r="W975" s="39"/>
      <c r="X975" s="39"/>
      <c r="Y975" s="39"/>
      <c r="Z975" s="39"/>
      <c r="AA975" s="39"/>
      <c r="AB975" s="39"/>
    </row>
    <row r="976">
      <c r="A976" s="1"/>
      <c r="B976" s="36"/>
      <c r="C976" s="36"/>
      <c r="D976" s="36"/>
      <c r="E976" s="36"/>
      <c r="F976" s="36"/>
      <c r="G976" s="36"/>
      <c r="H976" s="37"/>
      <c r="I976" s="36"/>
      <c r="J976" s="38"/>
      <c r="K976" s="38"/>
      <c r="L976" s="39"/>
      <c r="M976" s="39"/>
      <c r="N976" s="39"/>
      <c r="O976" s="39"/>
      <c r="P976" s="39"/>
      <c r="Q976" s="39"/>
      <c r="R976" s="39"/>
      <c r="S976" s="39"/>
      <c r="T976" s="39"/>
      <c r="U976" s="39"/>
      <c r="V976" s="39"/>
      <c r="W976" s="39"/>
      <c r="X976" s="39"/>
      <c r="Y976" s="39"/>
      <c r="Z976" s="39"/>
      <c r="AA976" s="39"/>
      <c r="AB976" s="39"/>
    </row>
    <row r="977">
      <c r="A977" s="1"/>
      <c r="B977" s="36"/>
      <c r="C977" s="36"/>
      <c r="D977" s="36"/>
      <c r="E977" s="36"/>
      <c r="F977" s="36"/>
      <c r="G977" s="36"/>
      <c r="H977" s="37"/>
      <c r="I977" s="36"/>
      <c r="J977" s="38"/>
      <c r="K977" s="38"/>
      <c r="L977" s="39"/>
      <c r="M977" s="39"/>
      <c r="N977" s="39"/>
      <c r="O977" s="39"/>
      <c r="P977" s="39"/>
      <c r="Q977" s="39"/>
      <c r="R977" s="39"/>
      <c r="S977" s="39"/>
      <c r="T977" s="39"/>
      <c r="U977" s="39"/>
      <c r="V977" s="39"/>
      <c r="W977" s="39"/>
      <c r="X977" s="39"/>
      <c r="Y977" s="39"/>
      <c r="Z977" s="39"/>
      <c r="AA977" s="39"/>
      <c r="AB977" s="39"/>
    </row>
    <row r="978">
      <c r="A978" s="1"/>
      <c r="B978" s="36"/>
      <c r="C978" s="36"/>
      <c r="D978" s="36"/>
      <c r="E978" s="36"/>
      <c r="F978" s="36"/>
      <c r="G978" s="36"/>
      <c r="H978" s="37"/>
      <c r="I978" s="36"/>
      <c r="J978" s="38"/>
      <c r="K978" s="38"/>
      <c r="L978" s="39"/>
      <c r="M978" s="39"/>
      <c r="N978" s="39"/>
      <c r="O978" s="39"/>
      <c r="P978" s="39"/>
      <c r="Q978" s="39"/>
      <c r="R978" s="39"/>
      <c r="S978" s="39"/>
      <c r="T978" s="39"/>
      <c r="U978" s="39"/>
      <c r="V978" s="39"/>
      <c r="W978" s="39"/>
      <c r="X978" s="39"/>
      <c r="Y978" s="39"/>
      <c r="Z978" s="39"/>
      <c r="AA978" s="39"/>
      <c r="AB978" s="39"/>
    </row>
    <row r="979">
      <c r="A979" s="1"/>
      <c r="B979" s="36"/>
      <c r="C979" s="36"/>
      <c r="D979" s="36"/>
      <c r="E979" s="36"/>
      <c r="F979" s="36"/>
      <c r="G979" s="36"/>
      <c r="H979" s="37"/>
      <c r="I979" s="36"/>
      <c r="J979" s="38"/>
      <c r="K979" s="38"/>
      <c r="L979" s="39"/>
      <c r="M979" s="39"/>
      <c r="N979" s="39"/>
      <c r="O979" s="39"/>
      <c r="P979" s="39"/>
      <c r="Q979" s="39"/>
      <c r="R979" s="39"/>
      <c r="S979" s="39"/>
      <c r="T979" s="39"/>
      <c r="U979" s="39"/>
      <c r="V979" s="39"/>
      <c r="W979" s="39"/>
      <c r="X979" s="39"/>
      <c r="Y979" s="39"/>
      <c r="Z979" s="39"/>
      <c r="AA979" s="39"/>
      <c r="AB979" s="39"/>
    </row>
    <row r="980">
      <c r="A980" s="1"/>
      <c r="B980" s="36"/>
      <c r="C980" s="36"/>
      <c r="D980" s="36"/>
      <c r="E980" s="36"/>
      <c r="F980" s="36"/>
      <c r="G980" s="36"/>
      <c r="H980" s="37"/>
      <c r="I980" s="36"/>
      <c r="J980" s="38"/>
      <c r="K980" s="38"/>
      <c r="L980" s="39"/>
      <c r="M980" s="39"/>
      <c r="N980" s="39"/>
      <c r="O980" s="39"/>
      <c r="P980" s="39"/>
      <c r="Q980" s="39"/>
      <c r="R980" s="39"/>
      <c r="S980" s="39"/>
      <c r="T980" s="39"/>
      <c r="U980" s="39"/>
      <c r="V980" s="39"/>
      <c r="W980" s="39"/>
      <c r="X980" s="39"/>
      <c r="Y980" s="39"/>
      <c r="Z980" s="39"/>
      <c r="AA980" s="39"/>
      <c r="AB980" s="39"/>
    </row>
    <row r="981">
      <c r="A981" s="1"/>
      <c r="B981" s="36"/>
      <c r="C981" s="36"/>
      <c r="D981" s="36"/>
      <c r="E981" s="36"/>
      <c r="F981" s="36"/>
      <c r="G981" s="36"/>
      <c r="H981" s="37"/>
      <c r="I981" s="36"/>
      <c r="J981" s="38"/>
      <c r="K981" s="38"/>
      <c r="L981" s="39"/>
      <c r="M981" s="39"/>
      <c r="N981" s="39"/>
      <c r="O981" s="39"/>
      <c r="P981" s="39"/>
      <c r="Q981" s="39"/>
      <c r="R981" s="39"/>
      <c r="S981" s="39"/>
      <c r="T981" s="39"/>
      <c r="U981" s="39"/>
      <c r="V981" s="39"/>
      <c r="W981" s="39"/>
      <c r="X981" s="39"/>
      <c r="Y981" s="39"/>
      <c r="Z981" s="39"/>
      <c r="AA981" s="39"/>
      <c r="AB981" s="39"/>
    </row>
    <row r="982">
      <c r="A982" s="1"/>
      <c r="B982" s="36"/>
      <c r="C982" s="36"/>
      <c r="D982" s="36"/>
      <c r="E982" s="36"/>
      <c r="F982" s="36"/>
      <c r="G982" s="36"/>
      <c r="H982" s="37"/>
      <c r="I982" s="36"/>
      <c r="J982" s="38"/>
      <c r="K982" s="38"/>
      <c r="L982" s="39"/>
      <c r="M982" s="39"/>
      <c r="N982" s="39"/>
      <c r="O982" s="39"/>
      <c r="P982" s="39"/>
      <c r="Q982" s="39"/>
      <c r="R982" s="39"/>
      <c r="S982" s="39"/>
      <c r="T982" s="39"/>
      <c r="U982" s="39"/>
      <c r="V982" s="39"/>
      <c r="W982" s="39"/>
      <c r="X982" s="39"/>
      <c r="Y982" s="39"/>
      <c r="Z982" s="39"/>
      <c r="AA982" s="39"/>
      <c r="AB982" s="39"/>
    </row>
    <row r="983">
      <c r="A983" s="1"/>
      <c r="B983" s="36"/>
      <c r="C983" s="36"/>
      <c r="D983" s="36"/>
      <c r="E983" s="36"/>
      <c r="F983" s="36"/>
      <c r="G983" s="36"/>
      <c r="H983" s="37"/>
      <c r="I983" s="36"/>
      <c r="J983" s="38"/>
      <c r="K983" s="38"/>
      <c r="L983" s="39"/>
      <c r="M983" s="39"/>
      <c r="N983" s="39"/>
      <c r="O983" s="39"/>
      <c r="P983" s="39"/>
      <c r="Q983" s="39"/>
      <c r="R983" s="39"/>
      <c r="S983" s="39"/>
      <c r="T983" s="39"/>
      <c r="U983" s="39"/>
      <c r="V983" s="39"/>
      <c r="W983" s="39"/>
      <c r="X983" s="39"/>
      <c r="Y983" s="39"/>
      <c r="Z983" s="39"/>
      <c r="AA983" s="39"/>
      <c r="AB983" s="39"/>
    </row>
    <row r="984">
      <c r="A984" s="1"/>
      <c r="B984" s="36"/>
      <c r="C984" s="36"/>
      <c r="D984" s="36"/>
      <c r="E984" s="36"/>
      <c r="F984" s="36"/>
      <c r="G984" s="36"/>
      <c r="H984" s="37"/>
      <c r="I984" s="36"/>
      <c r="J984" s="38"/>
      <c r="K984" s="38"/>
      <c r="L984" s="39"/>
      <c r="M984" s="39"/>
      <c r="N984" s="39"/>
      <c r="O984" s="39"/>
      <c r="P984" s="39"/>
      <c r="Q984" s="39"/>
      <c r="R984" s="39"/>
      <c r="S984" s="39"/>
      <c r="T984" s="39"/>
      <c r="U984" s="39"/>
      <c r="V984" s="39"/>
      <c r="W984" s="39"/>
      <c r="X984" s="39"/>
      <c r="Y984" s="39"/>
      <c r="Z984" s="39"/>
      <c r="AA984" s="39"/>
      <c r="AB984" s="39"/>
    </row>
    <row r="985">
      <c r="A985" s="1"/>
      <c r="B985" s="36"/>
      <c r="C985" s="36"/>
      <c r="D985" s="36"/>
      <c r="E985" s="36"/>
      <c r="F985" s="36"/>
      <c r="G985" s="36"/>
      <c r="H985" s="37"/>
      <c r="I985" s="36"/>
      <c r="J985" s="38"/>
      <c r="K985" s="38"/>
      <c r="L985" s="39"/>
      <c r="M985" s="39"/>
      <c r="N985" s="39"/>
      <c r="O985" s="39"/>
      <c r="P985" s="39"/>
      <c r="Q985" s="39"/>
      <c r="R985" s="39"/>
      <c r="S985" s="39"/>
      <c r="T985" s="39"/>
      <c r="U985" s="39"/>
      <c r="V985" s="39"/>
      <c r="W985" s="39"/>
      <c r="X985" s="39"/>
      <c r="Y985" s="39"/>
      <c r="Z985" s="39"/>
      <c r="AA985" s="39"/>
      <c r="AB985" s="39"/>
    </row>
    <row r="986">
      <c r="A986" s="1"/>
      <c r="B986" s="36"/>
      <c r="C986" s="36"/>
      <c r="D986" s="36"/>
      <c r="E986" s="36"/>
      <c r="F986" s="36"/>
      <c r="G986" s="36"/>
      <c r="H986" s="37"/>
      <c r="I986" s="36"/>
      <c r="J986" s="38"/>
      <c r="K986" s="38"/>
      <c r="L986" s="39"/>
      <c r="M986" s="39"/>
      <c r="N986" s="39"/>
      <c r="O986" s="39"/>
      <c r="P986" s="39"/>
      <c r="Q986" s="39"/>
      <c r="R986" s="39"/>
      <c r="S986" s="39"/>
      <c r="T986" s="39"/>
      <c r="U986" s="39"/>
      <c r="V986" s="39"/>
      <c r="W986" s="39"/>
      <c r="X986" s="39"/>
      <c r="Y986" s="39"/>
      <c r="Z986" s="39"/>
      <c r="AA986" s="39"/>
      <c r="AB986" s="39"/>
    </row>
    <row r="987">
      <c r="A987" s="1"/>
      <c r="B987" s="36"/>
      <c r="C987" s="36"/>
      <c r="D987" s="36"/>
      <c r="E987" s="36"/>
      <c r="F987" s="36"/>
      <c r="G987" s="36"/>
      <c r="H987" s="37"/>
      <c r="I987" s="36"/>
      <c r="J987" s="38"/>
      <c r="K987" s="38"/>
      <c r="L987" s="39"/>
      <c r="M987" s="39"/>
      <c r="N987" s="39"/>
      <c r="O987" s="39"/>
      <c r="P987" s="39"/>
      <c r="Q987" s="39"/>
      <c r="R987" s="39"/>
      <c r="S987" s="39"/>
      <c r="T987" s="39"/>
      <c r="U987" s="39"/>
      <c r="V987" s="39"/>
      <c r="W987" s="39"/>
      <c r="X987" s="39"/>
      <c r="Y987" s="39"/>
      <c r="Z987" s="39"/>
      <c r="AA987" s="39"/>
      <c r="AB987" s="39"/>
    </row>
    <row r="988">
      <c r="A988" s="1"/>
      <c r="B988" s="36"/>
      <c r="C988" s="36"/>
      <c r="D988" s="36"/>
      <c r="E988" s="36"/>
      <c r="F988" s="36"/>
      <c r="G988" s="36"/>
      <c r="H988" s="37"/>
      <c r="I988" s="36"/>
      <c r="J988" s="38"/>
      <c r="K988" s="38"/>
      <c r="L988" s="39"/>
      <c r="M988" s="39"/>
      <c r="N988" s="39"/>
      <c r="O988" s="39"/>
      <c r="P988" s="39"/>
      <c r="Q988" s="39"/>
      <c r="R988" s="39"/>
      <c r="S988" s="39"/>
      <c r="T988" s="39"/>
      <c r="U988" s="39"/>
      <c r="V988" s="39"/>
      <c r="W988" s="39"/>
      <c r="X988" s="39"/>
      <c r="Y988" s="39"/>
      <c r="Z988" s="39"/>
      <c r="AA988" s="39"/>
      <c r="AB988" s="39"/>
    </row>
    <row r="989">
      <c r="A989" s="1"/>
      <c r="B989" s="36"/>
      <c r="C989" s="36"/>
      <c r="D989" s="36"/>
      <c r="E989" s="36"/>
      <c r="F989" s="36"/>
      <c r="G989" s="36"/>
      <c r="H989" s="37"/>
      <c r="I989" s="36"/>
      <c r="J989" s="38"/>
      <c r="K989" s="38"/>
      <c r="L989" s="39"/>
      <c r="M989" s="39"/>
      <c r="N989" s="39"/>
      <c r="O989" s="39"/>
      <c r="P989" s="39"/>
      <c r="Q989" s="39"/>
      <c r="R989" s="39"/>
      <c r="S989" s="39"/>
      <c r="T989" s="39"/>
      <c r="U989" s="39"/>
      <c r="V989" s="39"/>
      <c r="W989" s="39"/>
      <c r="X989" s="39"/>
      <c r="Y989" s="39"/>
      <c r="Z989" s="39"/>
      <c r="AA989" s="39"/>
      <c r="AB989" s="39"/>
    </row>
    <row r="990">
      <c r="A990" s="1"/>
      <c r="B990" s="36"/>
      <c r="C990" s="36"/>
      <c r="D990" s="36"/>
      <c r="E990" s="36"/>
      <c r="F990" s="36"/>
      <c r="G990" s="36"/>
      <c r="H990" s="37"/>
      <c r="I990" s="36"/>
      <c r="J990" s="38"/>
      <c r="K990" s="38"/>
      <c r="L990" s="39"/>
      <c r="M990" s="39"/>
      <c r="N990" s="39"/>
      <c r="O990" s="39"/>
      <c r="P990" s="39"/>
      <c r="Q990" s="39"/>
      <c r="R990" s="39"/>
      <c r="S990" s="39"/>
      <c r="T990" s="39"/>
      <c r="U990" s="39"/>
      <c r="V990" s="39"/>
      <c r="W990" s="39"/>
      <c r="X990" s="39"/>
      <c r="Y990" s="39"/>
      <c r="Z990" s="39"/>
      <c r="AA990" s="39"/>
      <c r="AB990" s="39"/>
    </row>
    <row r="991">
      <c r="A991" s="1"/>
      <c r="B991" s="36"/>
      <c r="C991" s="36"/>
      <c r="D991" s="36"/>
      <c r="E991" s="36"/>
      <c r="F991" s="36"/>
      <c r="G991" s="36"/>
      <c r="H991" s="37"/>
      <c r="I991" s="36"/>
      <c r="J991" s="38"/>
      <c r="K991" s="38"/>
      <c r="L991" s="39"/>
      <c r="M991" s="39"/>
      <c r="N991" s="39"/>
      <c r="O991" s="39"/>
      <c r="P991" s="39"/>
      <c r="Q991" s="39"/>
      <c r="R991" s="39"/>
      <c r="S991" s="39"/>
      <c r="T991" s="39"/>
      <c r="U991" s="39"/>
      <c r="V991" s="39"/>
      <c r="W991" s="39"/>
      <c r="X991" s="39"/>
      <c r="Y991" s="39"/>
      <c r="Z991" s="39"/>
      <c r="AA991" s="39"/>
      <c r="AB991" s="39"/>
    </row>
    <row r="992">
      <c r="A992" s="1"/>
      <c r="B992" s="36"/>
      <c r="C992" s="36"/>
      <c r="D992" s="36"/>
      <c r="E992" s="36"/>
      <c r="F992" s="36"/>
      <c r="G992" s="36"/>
      <c r="H992" s="37"/>
      <c r="I992" s="36"/>
      <c r="J992" s="38"/>
      <c r="K992" s="38"/>
      <c r="L992" s="39"/>
      <c r="M992" s="39"/>
      <c r="N992" s="39"/>
      <c r="O992" s="39"/>
      <c r="P992" s="39"/>
      <c r="Q992" s="39"/>
      <c r="R992" s="39"/>
      <c r="S992" s="39"/>
      <c r="T992" s="39"/>
      <c r="U992" s="39"/>
      <c r="V992" s="39"/>
      <c r="W992" s="39"/>
      <c r="X992" s="39"/>
      <c r="Y992" s="39"/>
      <c r="Z992" s="39"/>
      <c r="AA992" s="39"/>
      <c r="AB992" s="39"/>
    </row>
    <row r="993">
      <c r="A993" s="1"/>
      <c r="B993" s="36"/>
      <c r="C993" s="36"/>
      <c r="D993" s="36"/>
      <c r="E993" s="36"/>
      <c r="F993" s="36"/>
      <c r="G993" s="36"/>
      <c r="H993" s="37"/>
      <c r="I993" s="36"/>
      <c r="J993" s="38"/>
      <c r="K993" s="38"/>
      <c r="L993" s="39"/>
      <c r="M993" s="39"/>
      <c r="N993" s="39"/>
      <c r="O993" s="39"/>
      <c r="P993" s="39"/>
      <c r="Q993" s="39"/>
      <c r="R993" s="39"/>
      <c r="S993" s="39"/>
      <c r="T993" s="39"/>
      <c r="U993" s="39"/>
      <c r="V993" s="39"/>
      <c r="W993" s="39"/>
      <c r="X993" s="39"/>
      <c r="Y993" s="39"/>
      <c r="Z993" s="39"/>
      <c r="AA993" s="39"/>
      <c r="AB993" s="39"/>
    </row>
    <row r="994">
      <c r="A994" s="1"/>
      <c r="B994" s="36"/>
      <c r="C994" s="36"/>
      <c r="D994" s="36"/>
      <c r="E994" s="36"/>
      <c r="F994" s="36"/>
      <c r="G994" s="36"/>
      <c r="H994" s="37"/>
      <c r="I994" s="36"/>
      <c r="J994" s="38"/>
      <c r="K994" s="38"/>
      <c r="L994" s="39"/>
      <c r="M994" s="39"/>
      <c r="N994" s="39"/>
      <c r="O994" s="39"/>
      <c r="P994" s="39"/>
      <c r="Q994" s="39"/>
      <c r="R994" s="39"/>
      <c r="S994" s="39"/>
      <c r="T994" s="39"/>
      <c r="U994" s="39"/>
      <c r="V994" s="39"/>
      <c r="W994" s="39"/>
      <c r="X994" s="39"/>
      <c r="Y994" s="39"/>
      <c r="Z994" s="39"/>
      <c r="AA994" s="39"/>
      <c r="AB994" s="39"/>
    </row>
    <row r="995">
      <c r="A995" s="1"/>
      <c r="B995" s="36"/>
      <c r="C995" s="36"/>
      <c r="D995" s="36"/>
      <c r="E995" s="36"/>
      <c r="F995" s="36"/>
      <c r="G995" s="36"/>
      <c r="H995" s="37"/>
      <c r="I995" s="36"/>
      <c r="J995" s="38"/>
      <c r="K995" s="38"/>
      <c r="L995" s="39"/>
      <c r="M995" s="39"/>
      <c r="N995" s="39"/>
      <c r="O995" s="39"/>
      <c r="P995" s="39"/>
      <c r="Q995" s="39"/>
      <c r="R995" s="39"/>
      <c r="S995" s="39"/>
      <c r="T995" s="39"/>
      <c r="U995" s="39"/>
      <c r="V995" s="39"/>
      <c r="W995" s="39"/>
      <c r="X995" s="39"/>
      <c r="Y995" s="39"/>
      <c r="Z995" s="39"/>
      <c r="AA995" s="39"/>
      <c r="AB995" s="39"/>
    </row>
    <row r="996">
      <c r="A996" s="1"/>
      <c r="B996" s="36"/>
      <c r="C996" s="36"/>
      <c r="D996" s="36"/>
      <c r="E996" s="36"/>
      <c r="F996" s="36"/>
      <c r="G996" s="36"/>
      <c r="H996" s="37"/>
      <c r="I996" s="36"/>
      <c r="J996" s="38"/>
      <c r="K996" s="38"/>
      <c r="L996" s="39"/>
      <c r="M996" s="39"/>
      <c r="N996" s="39"/>
      <c r="O996" s="39"/>
      <c r="P996" s="39"/>
      <c r="Q996" s="39"/>
      <c r="R996" s="39"/>
      <c r="S996" s="39"/>
      <c r="T996" s="39"/>
      <c r="U996" s="39"/>
      <c r="V996" s="39"/>
      <c r="W996" s="39"/>
      <c r="X996" s="39"/>
      <c r="Y996" s="39"/>
      <c r="Z996" s="39"/>
      <c r="AA996" s="39"/>
      <c r="AB996" s="39"/>
    </row>
    <row r="997">
      <c r="A997" s="1"/>
      <c r="B997" s="36"/>
      <c r="C997" s="36"/>
      <c r="D997" s="36"/>
      <c r="E997" s="36"/>
      <c r="F997" s="36"/>
      <c r="G997" s="36"/>
      <c r="H997" s="37"/>
      <c r="I997" s="36"/>
      <c r="J997" s="38"/>
      <c r="K997" s="38"/>
      <c r="L997" s="39"/>
      <c r="M997" s="39"/>
      <c r="N997" s="39"/>
      <c r="O997" s="39"/>
      <c r="P997" s="39"/>
      <c r="Q997" s="39"/>
      <c r="R997" s="39"/>
      <c r="S997" s="39"/>
      <c r="T997" s="39"/>
      <c r="U997" s="39"/>
      <c r="V997" s="39"/>
      <c r="W997" s="39"/>
      <c r="X997" s="39"/>
      <c r="Y997" s="39"/>
      <c r="Z997" s="39"/>
      <c r="AA997" s="39"/>
      <c r="AB997" s="39"/>
    </row>
    <row r="998">
      <c r="A998" s="1"/>
      <c r="B998" s="36"/>
      <c r="C998" s="36"/>
      <c r="D998" s="36"/>
      <c r="E998" s="36"/>
      <c r="F998" s="36"/>
      <c r="G998" s="36"/>
      <c r="H998" s="37"/>
      <c r="I998" s="36"/>
      <c r="J998" s="38"/>
      <c r="K998" s="38"/>
      <c r="L998" s="39"/>
      <c r="M998" s="39"/>
      <c r="N998" s="39"/>
      <c r="O998" s="39"/>
      <c r="P998" s="39"/>
      <c r="Q998" s="39"/>
      <c r="R998" s="39"/>
      <c r="S998" s="39"/>
      <c r="T998" s="39"/>
      <c r="U998" s="39"/>
      <c r="V998" s="39"/>
      <c r="W998" s="39"/>
      <c r="X998" s="39"/>
      <c r="Y998" s="39"/>
      <c r="Z998" s="39"/>
      <c r="AA998" s="39"/>
      <c r="AB998" s="39"/>
    </row>
    <row r="999">
      <c r="A999" s="1"/>
      <c r="B999" s="36"/>
      <c r="C999" s="36"/>
      <c r="D999" s="36"/>
      <c r="E999" s="36"/>
      <c r="F999" s="36"/>
      <c r="G999" s="36"/>
      <c r="H999" s="37"/>
      <c r="I999" s="36"/>
      <c r="J999" s="38"/>
      <c r="K999" s="38"/>
      <c r="L999" s="39"/>
      <c r="M999" s="39"/>
      <c r="N999" s="39"/>
      <c r="O999" s="39"/>
      <c r="P999" s="39"/>
      <c r="Q999" s="39"/>
      <c r="R999" s="39"/>
      <c r="S999" s="39"/>
      <c r="T999" s="39"/>
      <c r="U999" s="39"/>
      <c r="V999" s="39"/>
      <c r="W999" s="39"/>
      <c r="X999" s="39"/>
      <c r="Y999" s="39"/>
      <c r="Z999" s="39"/>
      <c r="AA999" s="39"/>
      <c r="AB999" s="39"/>
    </row>
    <row r="1000">
      <c r="A1000" s="1"/>
      <c r="B1000" s="36"/>
      <c r="C1000" s="36"/>
      <c r="D1000" s="36"/>
      <c r="E1000" s="36"/>
      <c r="F1000" s="36"/>
      <c r="G1000" s="36"/>
      <c r="H1000" s="37"/>
      <c r="I1000" s="36"/>
      <c r="J1000" s="38"/>
      <c r="K1000" s="38"/>
      <c r="L1000" s="39"/>
      <c r="M1000" s="39"/>
      <c r="N1000" s="39"/>
      <c r="O1000" s="39"/>
      <c r="P1000" s="39"/>
      <c r="Q1000" s="39"/>
      <c r="R1000" s="39"/>
      <c r="S1000" s="39"/>
      <c r="T1000" s="39"/>
      <c r="U1000" s="39"/>
      <c r="V1000" s="39"/>
      <c r="W1000" s="39"/>
      <c r="X1000" s="39"/>
      <c r="Y1000" s="39"/>
      <c r="Z1000" s="39"/>
      <c r="AA1000" s="39"/>
      <c r="AB1000" s="39"/>
    </row>
    <row r="1001">
      <c r="A1001" s="1"/>
      <c r="B1001" s="36"/>
      <c r="C1001" s="36"/>
      <c r="D1001" s="36"/>
      <c r="E1001" s="36"/>
      <c r="F1001" s="36"/>
      <c r="G1001" s="36"/>
      <c r="H1001" s="37"/>
      <c r="I1001" s="36"/>
      <c r="J1001" s="38"/>
      <c r="K1001" s="38"/>
      <c r="L1001" s="39"/>
      <c r="M1001" s="39"/>
      <c r="N1001" s="39"/>
      <c r="O1001" s="39"/>
      <c r="P1001" s="39"/>
      <c r="Q1001" s="39"/>
      <c r="R1001" s="39"/>
      <c r="S1001" s="39"/>
      <c r="T1001" s="39"/>
      <c r="U1001" s="39"/>
      <c r="V1001" s="39"/>
      <c r="W1001" s="39"/>
      <c r="X1001" s="39"/>
      <c r="Y1001" s="39"/>
      <c r="Z1001" s="39"/>
      <c r="AA1001" s="39"/>
      <c r="AB1001" s="39"/>
    </row>
    <row r="1002">
      <c r="A1002" s="1"/>
      <c r="B1002" s="36"/>
      <c r="C1002" s="36"/>
      <c r="D1002" s="36"/>
      <c r="E1002" s="36"/>
      <c r="F1002" s="36"/>
      <c r="G1002" s="36"/>
      <c r="H1002" s="37"/>
      <c r="I1002" s="36"/>
      <c r="J1002" s="38"/>
      <c r="K1002" s="38"/>
      <c r="L1002" s="39"/>
      <c r="M1002" s="39"/>
      <c r="N1002" s="39"/>
      <c r="O1002" s="39"/>
      <c r="P1002" s="39"/>
      <c r="Q1002" s="39"/>
      <c r="R1002" s="39"/>
      <c r="S1002" s="39"/>
      <c r="T1002" s="39"/>
      <c r="U1002" s="39"/>
      <c r="V1002" s="39"/>
      <c r="W1002" s="39"/>
      <c r="X1002" s="39"/>
      <c r="Y1002" s="39"/>
      <c r="Z1002" s="39"/>
      <c r="AA1002" s="39"/>
      <c r="AB1002" s="39"/>
    </row>
    <row r="1003">
      <c r="A1003" s="1"/>
      <c r="B1003" s="36"/>
      <c r="C1003" s="36"/>
      <c r="D1003" s="36"/>
      <c r="E1003" s="36"/>
      <c r="F1003" s="36"/>
      <c r="G1003" s="36"/>
      <c r="H1003" s="37"/>
      <c r="I1003" s="36"/>
      <c r="J1003" s="38"/>
      <c r="K1003" s="38"/>
      <c r="L1003" s="39"/>
      <c r="M1003" s="39"/>
      <c r="N1003" s="39"/>
      <c r="O1003" s="39"/>
      <c r="P1003" s="39"/>
      <c r="Q1003" s="39"/>
      <c r="R1003" s="39"/>
      <c r="S1003" s="39"/>
      <c r="T1003" s="39"/>
      <c r="U1003" s="39"/>
      <c r="V1003" s="39"/>
      <c r="W1003" s="39"/>
      <c r="X1003" s="39"/>
      <c r="Y1003" s="39"/>
      <c r="Z1003" s="39"/>
      <c r="AA1003" s="39"/>
      <c r="AB1003" s="39"/>
    </row>
    <row r="1004">
      <c r="A1004" s="1"/>
      <c r="B1004" s="36"/>
      <c r="C1004" s="36"/>
      <c r="D1004" s="36"/>
      <c r="E1004" s="36"/>
      <c r="F1004" s="36"/>
      <c r="G1004" s="36"/>
      <c r="H1004" s="37"/>
      <c r="I1004" s="36"/>
      <c r="J1004" s="38"/>
      <c r="K1004" s="38"/>
      <c r="L1004" s="39"/>
      <c r="M1004" s="39"/>
      <c r="N1004" s="39"/>
      <c r="O1004" s="39"/>
      <c r="P1004" s="39"/>
      <c r="Q1004" s="39"/>
      <c r="R1004" s="39"/>
      <c r="S1004" s="39"/>
      <c r="T1004" s="39"/>
      <c r="U1004" s="39"/>
      <c r="V1004" s="39"/>
      <c r="W1004" s="39"/>
      <c r="X1004" s="39"/>
      <c r="Y1004" s="39"/>
      <c r="Z1004" s="39"/>
      <c r="AA1004" s="39"/>
      <c r="AB1004" s="39"/>
    </row>
    <row r="1005">
      <c r="A1005" s="1"/>
      <c r="B1005" s="36"/>
      <c r="C1005" s="36"/>
      <c r="D1005" s="36"/>
      <c r="E1005" s="36"/>
      <c r="F1005" s="36"/>
      <c r="G1005" s="36"/>
      <c r="H1005" s="37"/>
      <c r="I1005" s="36"/>
      <c r="J1005" s="38"/>
      <c r="K1005" s="38"/>
      <c r="L1005" s="39"/>
      <c r="M1005" s="39"/>
      <c r="N1005" s="39"/>
      <c r="O1005" s="39"/>
      <c r="P1005" s="39"/>
      <c r="Q1005" s="39"/>
      <c r="R1005" s="39"/>
      <c r="S1005" s="39"/>
      <c r="T1005" s="39"/>
      <c r="U1005" s="39"/>
      <c r="V1005" s="39"/>
      <c r="W1005" s="39"/>
      <c r="X1005" s="39"/>
      <c r="Y1005" s="39"/>
      <c r="Z1005" s="39"/>
      <c r="AA1005" s="39"/>
      <c r="AB1005" s="39"/>
    </row>
    <row r="1006">
      <c r="A1006" s="1"/>
      <c r="B1006" s="36"/>
      <c r="C1006" s="36"/>
      <c r="D1006" s="36"/>
      <c r="E1006" s="36"/>
      <c r="F1006" s="36"/>
      <c r="G1006" s="36"/>
      <c r="H1006" s="37"/>
      <c r="I1006" s="36"/>
      <c r="J1006" s="38"/>
      <c r="K1006" s="38"/>
      <c r="L1006" s="39"/>
      <c r="M1006" s="39"/>
      <c r="N1006" s="39"/>
      <c r="O1006" s="39"/>
      <c r="P1006" s="39"/>
      <c r="Q1006" s="39"/>
      <c r="R1006" s="39"/>
      <c r="S1006" s="39"/>
      <c r="T1006" s="39"/>
      <c r="U1006" s="39"/>
      <c r="V1006" s="39"/>
      <c r="W1006" s="39"/>
      <c r="X1006" s="39"/>
      <c r="Y1006" s="39"/>
      <c r="Z1006" s="39"/>
      <c r="AA1006" s="39"/>
      <c r="AB1006" s="39"/>
    </row>
    <row r="1007">
      <c r="A1007" s="1"/>
      <c r="B1007" s="36"/>
      <c r="C1007" s="36"/>
      <c r="D1007" s="36"/>
      <c r="E1007" s="36"/>
      <c r="F1007" s="36"/>
      <c r="G1007" s="36"/>
      <c r="H1007" s="37"/>
      <c r="I1007" s="36"/>
      <c r="J1007" s="38"/>
      <c r="K1007" s="38"/>
      <c r="L1007" s="39"/>
      <c r="M1007" s="39"/>
      <c r="N1007" s="39"/>
      <c r="O1007" s="39"/>
      <c r="P1007" s="39"/>
      <c r="Q1007" s="39"/>
      <c r="R1007" s="39"/>
      <c r="S1007" s="39"/>
      <c r="T1007" s="39"/>
      <c r="U1007" s="39"/>
      <c r="V1007" s="39"/>
      <c r="W1007" s="39"/>
      <c r="X1007" s="39"/>
      <c r="Y1007" s="39"/>
      <c r="Z1007" s="39"/>
      <c r="AA1007" s="39"/>
      <c r="AB1007" s="39"/>
    </row>
    <row r="1008">
      <c r="A1008" s="1"/>
      <c r="B1008" s="36"/>
      <c r="C1008" s="36"/>
      <c r="D1008" s="36"/>
      <c r="E1008" s="36"/>
      <c r="F1008" s="36"/>
      <c r="G1008" s="36"/>
      <c r="H1008" s="37"/>
      <c r="I1008" s="36"/>
      <c r="J1008" s="38"/>
      <c r="K1008" s="38"/>
      <c r="L1008" s="39"/>
      <c r="M1008" s="39"/>
      <c r="N1008" s="39"/>
      <c r="O1008" s="39"/>
      <c r="P1008" s="39"/>
      <c r="Q1008" s="39"/>
      <c r="R1008" s="39"/>
      <c r="S1008" s="39"/>
      <c r="T1008" s="39"/>
      <c r="U1008" s="39"/>
      <c r="V1008" s="39"/>
      <c r="W1008" s="39"/>
      <c r="X1008" s="39"/>
      <c r="Y1008" s="39"/>
      <c r="Z1008" s="39"/>
      <c r="AA1008" s="39"/>
      <c r="AB1008" s="39"/>
    </row>
    <row r="1009">
      <c r="A1009" s="1"/>
      <c r="B1009" s="36"/>
      <c r="C1009" s="36"/>
      <c r="D1009" s="36"/>
      <c r="E1009" s="36"/>
      <c r="F1009" s="36"/>
      <c r="G1009" s="36"/>
      <c r="H1009" s="37"/>
      <c r="I1009" s="36"/>
      <c r="J1009" s="38"/>
      <c r="K1009" s="38"/>
      <c r="L1009" s="39"/>
      <c r="M1009" s="39"/>
      <c r="N1009" s="39"/>
      <c r="O1009" s="39"/>
      <c r="P1009" s="39"/>
      <c r="Q1009" s="39"/>
      <c r="R1009" s="39"/>
      <c r="S1009" s="39"/>
      <c r="T1009" s="39"/>
      <c r="U1009" s="39"/>
      <c r="V1009" s="39"/>
      <c r="W1009" s="39"/>
      <c r="X1009" s="39"/>
      <c r="Y1009" s="39"/>
      <c r="Z1009" s="39"/>
      <c r="AA1009" s="39"/>
      <c r="AB1009" s="39"/>
    </row>
    <row r="1010">
      <c r="A1010" s="1"/>
      <c r="B1010" s="36"/>
      <c r="C1010" s="36"/>
      <c r="D1010" s="36"/>
      <c r="E1010" s="36"/>
      <c r="F1010" s="36"/>
      <c r="G1010" s="36"/>
      <c r="H1010" s="37"/>
      <c r="I1010" s="36"/>
      <c r="J1010" s="38"/>
      <c r="K1010" s="38"/>
      <c r="L1010" s="39"/>
      <c r="M1010" s="39"/>
      <c r="N1010" s="39"/>
      <c r="O1010" s="39"/>
      <c r="P1010" s="39"/>
      <c r="Q1010" s="39"/>
      <c r="R1010" s="39"/>
      <c r="S1010" s="39"/>
      <c r="T1010" s="39"/>
      <c r="U1010" s="39"/>
      <c r="V1010" s="39"/>
      <c r="W1010" s="39"/>
      <c r="X1010" s="39"/>
      <c r="Y1010" s="39"/>
      <c r="Z1010" s="39"/>
      <c r="AA1010" s="39"/>
      <c r="AB1010" s="39"/>
    </row>
    <row r="1011">
      <c r="A1011" s="1"/>
      <c r="B1011" s="36"/>
      <c r="C1011" s="36"/>
      <c r="D1011" s="36"/>
      <c r="E1011" s="36"/>
      <c r="F1011" s="36"/>
      <c r="G1011" s="36"/>
      <c r="H1011" s="37"/>
      <c r="I1011" s="36"/>
      <c r="J1011" s="38"/>
      <c r="K1011" s="38"/>
      <c r="L1011" s="39"/>
      <c r="M1011" s="39"/>
      <c r="N1011" s="39"/>
      <c r="O1011" s="39"/>
      <c r="P1011" s="39"/>
      <c r="Q1011" s="39"/>
      <c r="R1011" s="39"/>
      <c r="S1011" s="39"/>
      <c r="T1011" s="39"/>
      <c r="U1011" s="39"/>
      <c r="V1011" s="39"/>
      <c r="W1011" s="39"/>
      <c r="X1011" s="39"/>
      <c r="Y1011" s="39"/>
      <c r="Z1011" s="39"/>
      <c r="AA1011" s="39"/>
      <c r="AB1011" s="39"/>
    </row>
    <row r="1012">
      <c r="A1012" s="1"/>
      <c r="B1012" s="36"/>
      <c r="C1012" s="36"/>
      <c r="D1012" s="36"/>
      <c r="E1012" s="36"/>
      <c r="F1012" s="36"/>
      <c r="G1012" s="36"/>
      <c r="H1012" s="37"/>
      <c r="I1012" s="36"/>
      <c r="J1012" s="38"/>
      <c r="K1012" s="38"/>
      <c r="L1012" s="39"/>
      <c r="M1012" s="39"/>
      <c r="N1012" s="39"/>
      <c r="O1012" s="39"/>
      <c r="P1012" s="39"/>
      <c r="Q1012" s="39"/>
      <c r="R1012" s="39"/>
      <c r="S1012" s="39"/>
      <c r="T1012" s="39"/>
      <c r="U1012" s="39"/>
      <c r="V1012" s="39"/>
      <c r="W1012" s="39"/>
      <c r="X1012" s="39"/>
      <c r="Y1012" s="39"/>
      <c r="Z1012" s="39"/>
      <c r="AA1012" s="39"/>
      <c r="AB1012" s="39"/>
    </row>
    <row r="1013">
      <c r="A1013" s="1"/>
      <c r="B1013" s="36"/>
      <c r="C1013" s="36"/>
      <c r="D1013" s="36"/>
      <c r="E1013" s="36"/>
      <c r="F1013" s="36"/>
      <c r="G1013" s="36"/>
      <c r="H1013" s="37"/>
      <c r="I1013" s="36"/>
      <c r="J1013" s="38"/>
      <c r="K1013" s="38"/>
      <c r="L1013" s="39"/>
      <c r="M1013" s="39"/>
      <c r="N1013" s="39"/>
      <c r="O1013" s="39"/>
      <c r="P1013" s="39"/>
      <c r="Q1013" s="39"/>
      <c r="R1013" s="39"/>
      <c r="S1013" s="39"/>
      <c r="T1013" s="39"/>
      <c r="U1013" s="39"/>
      <c r="V1013" s="39"/>
      <c r="W1013" s="39"/>
      <c r="X1013" s="39"/>
      <c r="Y1013" s="39"/>
      <c r="Z1013" s="39"/>
      <c r="AA1013" s="39"/>
      <c r="AB1013" s="39"/>
    </row>
    <row r="1014">
      <c r="A1014" s="1"/>
      <c r="B1014" s="36"/>
      <c r="C1014" s="36"/>
      <c r="D1014" s="36"/>
      <c r="E1014" s="36"/>
      <c r="F1014" s="36"/>
      <c r="G1014" s="36"/>
      <c r="H1014" s="37"/>
      <c r="I1014" s="36"/>
      <c r="J1014" s="38"/>
      <c r="K1014" s="38"/>
      <c r="L1014" s="39"/>
      <c r="M1014" s="39"/>
      <c r="N1014" s="39"/>
      <c r="O1014" s="39"/>
      <c r="P1014" s="39"/>
      <c r="Q1014" s="39"/>
      <c r="R1014" s="39"/>
      <c r="S1014" s="39"/>
      <c r="T1014" s="39"/>
      <c r="U1014" s="39"/>
      <c r="V1014" s="39"/>
      <c r="W1014" s="39"/>
      <c r="X1014" s="39"/>
      <c r="Y1014" s="39"/>
      <c r="Z1014" s="39"/>
      <c r="AA1014" s="39"/>
      <c r="AB1014" s="39"/>
    </row>
    <row r="1015">
      <c r="A1015" s="1"/>
      <c r="B1015" s="36"/>
      <c r="C1015" s="36"/>
      <c r="D1015" s="36"/>
      <c r="E1015" s="36"/>
      <c r="F1015" s="36"/>
      <c r="G1015" s="36"/>
      <c r="H1015" s="37"/>
      <c r="I1015" s="36"/>
      <c r="J1015" s="38"/>
      <c r="K1015" s="38"/>
      <c r="L1015" s="39"/>
      <c r="M1015" s="39"/>
      <c r="N1015" s="39"/>
      <c r="O1015" s="39"/>
      <c r="P1015" s="39"/>
      <c r="Q1015" s="39"/>
      <c r="R1015" s="39"/>
      <c r="S1015" s="39"/>
      <c r="T1015" s="39"/>
      <c r="U1015" s="39"/>
      <c r="V1015" s="39"/>
      <c r="W1015" s="39"/>
      <c r="X1015" s="39"/>
      <c r="Y1015" s="39"/>
      <c r="Z1015" s="39"/>
      <c r="AA1015" s="39"/>
      <c r="AB1015" s="39"/>
    </row>
    <row r="1016">
      <c r="A1016" s="1"/>
      <c r="B1016" s="36"/>
      <c r="C1016" s="36"/>
      <c r="D1016" s="36"/>
      <c r="E1016" s="36"/>
      <c r="F1016" s="36"/>
      <c r="G1016" s="36"/>
      <c r="H1016" s="37"/>
      <c r="I1016" s="36"/>
      <c r="J1016" s="38"/>
      <c r="K1016" s="38"/>
      <c r="L1016" s="39"/>
      <c r="M1016" s="39"/>
      <c r="N1016" s="39"/>
      <c r="O1016" s="39"/>
      <c r="P1016" s="39"/>
      <c r="Q1016" s="39"/>
      <c r="R1016" s="39"/>
      <c r="S1016" s="39"/>
      <c r="T1016" s="39"/>
      <c r="U1016" s="39"/>
      <c r="V1016" s="39"/>
      <c r="W1016" s="39"/>
      <c r="X1016" s="39"/>
      <c r="Y1016" s="39"/>
      <c r="Z1016" s="39"/>
      <c r="AA1016" s="39"/>
      <c r="AB1016" s="39"/>
    </row>
    <row r="1017">
      <c r="A1017" s="1"/>
      <c r="B1017" s="36"/>
      <c r="C1017" s="36"/>
      <c r="D1017" s="36"/>
      <c r="E1017" s="36"/>
      <c r="F1017" s="36"/>
      <c r="G1017" s="36"/>
      <c r="H1017" s="37"/>
      <c r="I1017" s="36"/>
      <c r="J1017" s="38"/>
      <c r="K1017" s="38"/>
      <c r="L1017" s="39"/>
      <c r="M1017" s="39"/>
      <c r="N1017" s="39"/>
      <c r="O1017" s="39"/>
      <c r="P1017" s="39"/>
      <c r="Q1017" s="39"/>
      <c r="R1017" s="39"/>
      <c r="S1017" s="39"/>
      <c r="T1017" s="39"/>
      <c r="U1017" s="39"/>
      <c r="V1017" s="39"/>
      <c r="W1017" s="39"/>
      <c r="X1017" s="39"/>
      <c r="Y1017" s="39"/>
      <c r="Z1017" s="39"/>
      <c r="AA1017" s="39"/>
      <c r="AB1017" s="39"/>
    </row>
    <row r="1018">
      <c r="A1018" s="1"/>
      <c r="B1018" s="36"/>
      <c r="C1018" s="36"/>
      <c r="D1018" s="36"/>
      <c r="E1018" s="36"/>
      <c r="F1018" s="36"/>
      <c r="G1018" s="36"/>
      <c r="H1018" s="37"/>
      <c r="I1018" s="36"/>
      <c r="J1018" s="38"/>
      <c r="K1018" s="38"/>
      <c r="L1018" s="39"/>
      <c r="M1018" s="39"/>
      <c r="N1018" s="39"/>
      <c r="O1018" s="39"/>
      <c r="P1018" s="39"/>
      <c r="Q1018" s="39"/>
      <c r="R1018" s="39"/>
      <c r="S1018" s="39"/>
      <c r="T1018" s="39"/>
      <c r="U1018" s="39"/>
      <c r="V1018" s="39"/>
      <c r="W1018" s="39"/>
      <c r="X1018" s="39"/>
      <c r="Y1018" s="39"/>
      <c r="Z1018" s="39"/>
      <c r="AA1018" s="39"/>
      <c r="AB1018" s="39"/>
    </row>
    <row r="1019">
      <c r="A1019" s="1"/>
      <c r="B1019" s="36"/>
      <c r="C1019" s="36"/>
      <c r="D1019" s="36"/>
      <c r="E1019" s="36"/>
      <c r="F1019" s="36"/>
      <c r="G1019" s="36"/>
      <c r="H1019" s="37"/>
      <c r="I1019" s="36"/>
      <c r="J1019" s="38"/>
      <c r="K1019" s="38"/>
      <c r="L1019" s="39"/>
      <c r="M1019" s="39"/>
      <c r="N1019" s="39"/>
      <c r="O1019" s="39"/>
      <c r="P1019" s="39"/>
      <c r="Q1019" s="39"/>
      <c r="R1019" s="39"/>
      <c r="S1019" s="39"/>
      <c r="T1019" s="39"/>
      <c r="U1019" s="39"/>
      <c r="V1019" s="39"/>
      <c r="W1019" s="39"/>
      <c r="X1019" s="39"/>
      <c r="Y1019" s="39"/>
      <c r="Z1019" s="39"/>
      <c r="AA1019" s="39"/>
      <c r="AB1019" s="39"/>
    </row>
    <row r="1020">
      <c r="A1020" s="1"/>
      <c r="B1020" s="36"/>
      <c r="C1020" s="36"/>
      <c r="D1020" s="36"/>
      <c r="E1020" s="36"/>
      <c r="F1020" s="36"/>
      <c r="G1020" s="36"/>
      <c r="H1020" s="37"/>
      <c r="I1020" s="36"/>
      <c r="J1020" s="38"/>
      <c r="K1020" s="38"/>
      <c r="L1020" s="39"/>
      <c r="M1020" s="39"/>
      <c r="N1020" s="39"/>
      <c r="O1020" s="39"/>
      <c r="P1020" s="39"/>
      <c r="Q1020" s="39"/>
      <c r="R1020" s="39"/>
      <c r="S1020" s="39"/>
      <c r="T1020" s="39"/>
      <c r="U1020" s="39"/>
      <c r="V1020" s="39"/>
      <c r="W1020" s="39"/>
      <c r="X1020" s="39"/>
      <c r="Y1020" s="39"/>
      <c r="Z1020" s="39"/>
      <c r="AA1020" s="39"/>
      <c r="AB1020" s="39"/>
    </row>
    <row r="1021">
      <c r="A1021" s="1"/>
      <c r="B1021" s="36"/>
      <c r="C1021" s="36"/>
      <c r="D1021" s="36"/>
      <c r="E1021" s="36"/>
      <c r="F1021" s="36"/>
      <c r="G1021" s="36"/>
      <c r="H1021" s="37"/>
      <c r="I1021" s="36"/>
      <c r="J1021" s="38"/>
      <c r="K1021" s="38"/>
      <c r="L1021" s="39"/>
      <c r="M1021" s="39"/>
      <c r="N1021" s="39"/>
      <c r="O1021" s="39"/>
      <c r="P1021" s="39"/>
      <c r="Q1021" s="39"/>
      <c r="R1021" s="39"/>
      <c r="S1021" s="39"/>
      <c r="T1021" s="39"/>
      <c r="U1021" s="39"/>
      <c r="V1021" s="39"/>
      <c r="W1021" s="39"/>
      <c r="X1021" s="39"/>
      <c r="Y1021" s="39"/>
      <c r="Z1021" s="39"/>
      <c r="AA1021" s="39"/>
      <c r="AB1021" s="39"/>
    </row>
    <row r="1022">
      <c r="A1022" s="1"/>
      <c r="B1022" s="36"/>
      <c r="C1022" s="36"/>
      <c r="D1022" s="36"/>
      <c r="E1022" s="36"/>
      <c r="F1022" s="36"/>
      <c r="G1022" s="36"/>
      <c r="H1022" s="37"/>
      <c r="I1022" s="36"/>
      <c r="J1022" s="38"/>
      <c r="K1022" s="38"/>
      <c r="L1022" s="39"/>
      <c r="M1022" s="39"/>
      <c r="N1022" s="39"/>
      <c r="O1022" s="39"/>
      <c r="P1022" s="39"/>
      <c r="Q1022" s="39"/>
      <c r="R1022" s="39"/>
      <c r="S1022" s="39"/>
      <c r="T1022" s="39"/>
      <c r="U1022" s="39"/>
      <c r="V1022" s="39"/>
      <c r="W1022" s="39"/>
      <c r="X1022" s="39"/>
      <c r="Y1022" s="39"/>
      <c r="Z1022" s="39"/>
      <c r="AA1022" s="39"/>
      <c r="AB1022" s="39"/>
    </row>
    <row r="1023">
      <c r="A1023" s="1"/>
      <c r="B1023" s="36"/>
      <c r="C1023" s="36"/>
      <c r="D1023" s="36"/>
      <c r="E1023" s="36"/>
      <c r="F1023" s="36"/>
      <c r="G1023" s="36"/>
      <c r="H1023" s="37"/>
      <c r="I1023" s="36"/>
      <c r="J1023" s="38"/>
      <c r="K1023" s="38"/>
      <c r="L1023" s="39"/>
      <c r="M1023" s="39"/>
      <c r="N1023" s="39"/>
      <c r="O1023" s="39"/>
      <c r="P1023" s="39"/>
      <c r="Q1023" s="39"/>
      <c r="R1023" s="39"/>
      <c r="S1023" s="39"/>
      <c r="T1023" s="39"/>
      <c r="U1023" s="39"/>
      <c r="V1023" s="39"/>
      <c r="W1023" s="39"/>
      <c r="X1023" s="39"/>
      <c r="Y1023" s="39"/>
      <c r="Z1023" s="39"/>
      <c r="AA1023" s="39"/>
      <c r="AB1023" s="39"/>
    </row>
    <row r="1024">
      <c r="A1024" s="1"/>
      <c r="B1024" s="36"/>
      <c r="C1024" s="36"/>
      <c r="D1024" s="36"/>
      <c r="E1024" s="36"/>
      <c r="F1024" s="36"/>
      <c r="G1024" s="36"/>
      <c r="H1024" s="37"/>
      <c r="I1024" s="36"/>
      <c r="J1024" s="38"/>
      <c r="K1024" s="38"/>
      <c r="L1024" s="39"/>
      <c r="M1024" s="39"/>
      <c r="N1024" s="39"/>
      <c r="O1024" s="39"/>
      <c r="P1024" s="39"/>
      <c r="Q1024" s="39"/>
      <c r="R1024" s="39"/>
      <c r="S1024" s="39"/>
      <c r="T1024" s="39"/>
      <c r="U1024" s="39"/>
      <c r="V1024" s="39"/>
      <c r="W1024" s="39"/>
      <c r="X1024" s="39"/>
      <c r="Y1024" s="39"/>
      <c r="Z1024" s="39"/>
      <c r="AA1024" s="39"/>
      <c r="AB1024" s="39"/>
    </row>
    <row r="1025">
      <c r="A1025" s="1"/>
      <c r="B1025" s="36"/>
      <c r="C1025" s="36"/>
      <c r="D1025" s="36"/>
      <c r="E1025" s="36"/>
      <c r="F1025" s="36"/>
      <c r="G1025" s="36"/>
      <c r="H1025" s="37"/>
      <c r="I1025" s="36"/>
      <c r="J1025" s="38"/>
      <c r="K1025" s="38"/>
      <c r="L1025" s="39"/>
      <c r="M1025" s="39"/>
      <c r="N1025" s="39"/>
      <c r="O1025" s="39"/>
      <c r="P1025" s="39"/>
      <c r="Q1025" s="39"/>
      <c r="R1025" s="39"/>
      <c r="S1025" s="39"/>
      <c r="T1025" s="39"/>
      <c r="U1025" s="39"/>
      <c r="V1025" s="39"/>
      <c r="W1025" s="39"/>
      <c r="X1025" s="39"/>
      <c r="Y1025" s="39"/>
      <c r="Z1025" s="39"/>
      <c r="AA1025" s="39"/>
      <c r="AB1025" s="39"/>
    </row>
    <row r="1026">
      <c r="A1026" s="1"/>
      <c r="B1026" s="36"/>
      <c r="C1026" s="36"/>
      <c r="D1026" s="36"/>
      <c r="E1026" s="36"/>
      <c r="F1026" s="36"/>
      <c r="G1026" s="36"/>
      <c r="H1026" s="37"/>
      <c r="I1026" s="36"/>
      <c r="J1026" s="38"/>
      <c r="K1026" s="38"/>
      <c r="L1026" s="39"/>
      <c r="M1026" s="39"/>
      <c r="N1026" s="39"/>
      <c r="O1026" s="39"/>
      <c r="P1026" s="39"/>
      <c r="Q1026" s="39"/>
      <c r="R1026" s="39"/>
      <c r="S1026" s="39"/>
      <c r="T1026" s="39"/>
      <c r="U1026" s="39"/>
      <c r="V1026" s="39"/>
      <c r="W1026" s="39"/>
      <c r="X1026" s="39"/>
      <c r="Y1026" s="39"/>
      <c r="Z1026" s="39"/>
      <c r="AA1026" s="39"/>
      <c r="AB1026" s="39"/>
    </row>
    <row r="1027">
      <c r="A1027" s="1"/>
      <c r="B1027" s="36"/>
      <c r="C1027" s="36"/>
      <c r="D1027" s="36"/>
      <c r="E1027" s="36"/>
      <c r="F1027" s="36"/>
      <c r="G1027" s="36"/>
      <c r="H1027" s="37"/>
      <c r="I1027" s="36"/>
      <c r="J1027" s="38"/>
      <c r="K1027" s="38"/>
      <c r="L1027" s="39"/>
      <c r="M1027" s="39"/>
      <c r="N1027" s="39"/>
      <c r="O1027" s="39"/>
      <c r="P1027" s="39"/>
      <c r="Q1027" s="39"/>
      <c r="R1027" s="39"/>
      <c r="S1027" s="39"/>
      <c r="T1027" s="39"/>
      <c r="U1027" s="39"/>
      <c r="V1027" s="39"/>
      <c r="W1027" s="39"/>
      <c r="X1027" s="39"/>
      <c r="Y1027" s="39"/>
      <c r="Z1027" s="39"/>
      <c r="AA1027" s="39"/>
      <c r="AB1027" s="39"/>
    </row>
    <row r="1028">
      <c r="A1028" s="1"/>
      <c r="B1028" s="36"/>
      <c r="C1028" s="36"/>
      <c r="D1028" s="36"/>
      <c r="E1028" s="36"/>
      <c r="F1028" s="36"/>
      <c r="G1028" s="36"/>
      <c r="H1028" s="37"/>
      <c r="I1028" s="36"/>
      <c r="J1028" s="38"/>
      <c r="K1028" s="38"/>
      <c r="L1028" s="39"/>
      <c r="M1028" s="39"/>
      <c r="N1028" s="39"/>
      <c r="O1028" s="39"/>
      <c r="P1028" s="39"/>
      <c r="Q1028" s="39"/>
      <c r="R1028" s="39"/>
      <c r="S1028" s="39"/>
      <c r="T1028" s="39"/>
      <c r="U1028" s="39"/>
      <c r="V1028" s="39"/>
      <c r="W1028" s="39"/>
      <c r="X1028" s="39"/>
      <c r="Y1028" s="39"/>
      <c r="Z1028" s="39"/>
      <c r="AA1028" s="39"/>
      <c r="AB1028" s="39"/>
    </row>
    <row r="1029">
      <c r="A1029" s="1"/>
      <c r="B1029" s="36"/>
      <c r="C1029" s="36"/>
      <c r="D1029" s="36"/>
      <c r="E1029" s="36"/>
      <c r="F1029" s="36"/>
      <c r="G1029" s="36"/>
      <c r="H1029" s="37"/>
      <c r="I1029" s="36"/>
      <c r="J1029" s="38"/>
      <c r="K1029" s="38"/>
      <c r="L1029" s="39"/>
      <c r="M1029" s="39"/>
      <c r="N1029" s="39"/>
      <c r="O1029" s="39"/>
      <c r="P1029" s="39"/>
      <c r="Q1029" s="39"/>
      <c r="R1029" s="39"/>
      <c r="S1029" s="39"/>
      <c r="T1029" s="39"/>
      <c r="U1029" s="39"/>
      <c r="V1029" s="39"/>
      <c r="W1029" s="39"/>
      <c r="X1029" s="39"/>
      <c r="Y1029" s="39"/>
      <c r="Z1029" s="39"/>
      <c r="AA1029" s="39"/>
      <c r="AB1029" s="39"/>
    </row>
    <row r="1030">
      <c r="A1030" s="1"/>
      <c r="B1030" s="36"/>
      <c r="C1030" s="36"/>
      <c r="D1030" s="36"/>
      <c r="E1030" s="36"/>
      <c r="F1030" s="36"/>
      <c r="G1030" s="36"/>
      <c r="H1030" s="37"/>
      <c r="I1030" s="36"/>
      <c r="J1030" s="38"/>
      <c r="K1030" s="38"/>
      <c r="L1030" s="39"/>
      <c r="M1030" s="39"/>
      <c r="N1030" s="39"/>
      <c r="O1030" s="39"/>
      <c r="P1030" s="39"/>
      <c r="Q1030" s="39"/>
      <c r="R1030" s="39"/>
      <c r="S1030" s="39"/>
      <c r="T1030" s="39"/>
      <c r="U1030" s="39"/>
      <c r="V1030" s="39"/>
      <c r="W1030" s="39"/>
      <c r="X1030" s="39"/>
      <c r="Y1030" s="39"/>
      <c r="Z1030" s="39"/>
      <c r="AA1030" s="39"/>
      <c r="AB1030" s="39"/>
    </row>
    <row r="1031">
      <c r="A1031" s="1"/>
      <c r="B1031" s="36"/>
      <c r="C1031" s="36"/>
      <c r="D1031" s="36"/>
      <c r="E1031" s="36"/>
      <c r="F1031" s="36"/>
      <c r="G1031" s="36"/>
      <c r="H1031" s="37"/>
      <c r="I1031" s="36"/>
      <c r="J1031" s="38"/>
      <c r="K1031" s="38"/>
      <c r="L1031" s="39"/>
      <c r="M1031" s="39"/>
      <c r="N1031" s="39"/>
      <c r="O1031" s="39"/>
      <c r="P1031" s="39"/>
      <c r="Q1031" s="39"/>
      <c r="R1031" s="39"/>
      <c r="S1031" s="39"/>
      <c r="T1031" s="39"/>
      <c r="U1031" s="39"/>
      <c r="V1031" s="39"/>
      <c r="W1031" s="39"/>
      <c r="X1031" s="39"/>
      <c r="Y1031" s="39"/>
      <c r="Z1031" s="39"/>
      <c r="AA1031" s="39"/>
      <c r="AB1031" s="39"/>
    </row>
    <row r="1032">
      <c r="A1032" s="1"/>
      <c r="B1032" s="36"/>
      <c r="C1032" s="36"/>
      <c r="D1032" s="36"/>
      <c r="E1032" s="36"/>
      <c r="F1032" s="36"/>
      <c r="G1032" s="36"/>
      <c r="H1032" s="37"/>
      <c r="I1032" s="36"/>
      <c r="J1032" s="38"/>
      <c r="K1032" s="38"/>
      <c r="L1032" s="39"/>
      <c r="M1032" s="39"/>
      <c r="N1032" s="39"/>
      <c r="O1032" s="39"/>
      <c r="P1032" s="39"/>
      <c r="Q1032" s="39"/>
      <c r="R1032" s="39"/>
      <c r="S1032" s="39"/>
      <c r="T1032" s="39"/>
      <c r="U1032" s="39"/>
      <c r="V1032" s="39"/>
      <c r="W1032" s="39"/>
      <c r="X1032" s="39"/>
      <c r="Y1032" s="39"/>
      <c r="Z1032" s="39"/>
      <c r="AA1032" s="39"/>
      <c r="AB1032" s="39"/>
    </row>
    <row r="1033">
      <c r="A1033" s="1"/>
      <c r="B1033" s="36"/>
      <c r="C1033" s="36"/>
      <c r="D1033" s="36"/>
      <c r="E1033" s="36"/>
      <c r="F1033" s="36"/>
      <c r="G1033" s="36"/>
      <c r="H1033" s="37"/>
      <c r="I1033" s="36"/>
      <c r="J1033" s="38"/>
      <c r="K1033" s="38"/>
      <c r="L1033" s="39"/>
      <c r="M1033" s="39"/>
      <c r="N1033" s="39"/>
      <c r="O1033" s="39"/>
      <c r="P1033" s="39"/>
      <c r="Q1033" s="39"/>
      <c r="R1033" s="39"/>
      <c r="S1033" s="39"/>
      <c r="T1033" s="39"/>
      <c r="U1033" s="39"/>
      <c r="V1033" s="39"/>
      <c r="W1033" s="39"/>
      <c r="X1033" s="39"/>
      <c r="Y1033" s="39"/>
      <c r="Z1033" s="39"/>
      <c r="AA1033" s="39"/>
      <c r="AB1033" s="39"/>
    </row>
    <row r="1034">
      <c r="A1034" s="1"/>
      <c r="B1034" s="36"/>
      <c r="C1034" s="36"/>
      <c r="D1034" s="36"/>
      <c r="E1034" s="36"/>
      <c r="F1034" s="36"/>
      <c r="G1034" s="36"/>
      <c r="H1034" s="37"/>
      <c r="I1034" s="36"/>
      <c r="J1034" s="38"/>
      <c r="K1034" s="38"/>
      <c r="L1034" s="39"/>
      <c r="M1034" s="39"/>
      <c r="N1034" s="39"/>
      <c r="O1034" s="39"/>
      <c r="P1034" s="39"/>
      <c r="Q1034" s="39"/>
      <c r="R1034" s="39"/>
      <c r="S1034" s="39"/>
      <c r="T1034" s="39"/>
      <c r="U1034" s="39"/>
      <c r="V1034" s="39"/>
      <c r="W1034" s="39"/>
      <c r="X1034" s="39"/>
      <c r="Y1034" s="39"/>
      <c r="Z1034" s="39"/>
      <c r="AA1034" s="39"/>
      <c r="AB1034" s="39"/>
    </row>
    <row r="1035">
      <c r="A1035" s="1"/>
      <c r="B1035" s="36"/>
      <c r="C1035" s="36"/>
      <c r="D1035" s="36"/>
      <c r="E1035" s="36"/>
      <c r="F1035" s="36"/>
      <c r="G1035" s="36"/>
      <c r="H1035" s="37"/>
      <c r="I1035" s="36"/>
      <c r="J1035" s="38"/>
      <c r="K1035" s="38"/>
      <c r="L1035" s="39"/>
      <c r="M1035" s="39"/>
      <c r="N1035" s="39"/>
      <c r="O1035" s="39"/>
      <c r="P1035" s="39"/>
      <c r="Q1035" s="39"/>
      <c r="R1035" s="39"/>
      <c r="S1035" s="39"/>
      <c r="T1035" s="39"/>
      <c r="U1035" s="39"/>
      <c r="V1035" s="39"/>
      <c r="W1035" s="39"/>
      <c r="X1035" s="39"/>
      <c r="Y1035" s="39"/>
      <c r="Z1035" s="39"/>
      <c r="AA1035" s="39"/>
      <c r="AB1035" s="39"/>
    </row>
    <row r="1036">
      <c r="A1036" s="1"/>
      <c r="B1036" s="36"/>
      <c r="C1036" s="36"/>
      <c r="D1036" s="36"/>
      <c r="E1036" s="36"/>
      <c r="F1036" s="36"/>
      <c r="G1036" s="36"/>
      <c r="H1036" s="37"/>
      <c r="I1036" s="36"/>
      <c r="J1036" s="38"/>
      <c r="K1036" s="38"/>
      <c r="L1036" s="39"/>
      <c r="M1036" s="39"/>
      <c r="N1036" s="39"/>
      <c r="O1036" s="39"/>
      <c r="P1036" s="39"/>
      <c r="Q1036" s="39"/>
      <c r="R1036" s="39"/>
      <c r="S1036" s="39"/>
      <c r="T1036" s="39"/>
      <c r="U1036" s="39"/>
      <c r="V1036" s="39"/>
      <c r="W1036" s="39"/>
      <c r="X1036" s="39"/>
      <c r="Y1036" s="39"/>
      <c r="Z1036" s="39"/>
      <c r="AA1036" s="39"/>
      <c r="AB1036" s="39"/>
    </row>
    <row r="1037">
      <c r="A1037" s="1"/>
      <c r="B1037" s="36"/>
      <c r="C1037" s="36"/>
      <c r="D1037" s="36"/>
      <c r="E1037" s="36"/>
      <c r="F1037" s="36"/>
      <c r="G1037" s="36"/>
      <c r="H1037" s="37"/>
      <c r="I1037" s="36"/>
      <c r="J1037" s="38"/>
      <c r="K1037" s="38"/>
      <c r="L1037" s="39"/>
      <c r="M1037" s="39"/>
      <c r="N1037" s="39"/>
      <c r="O1037" s="39"/>
      <c r="P1037" s="39"/>
      <c r="Q1037" s="39"/>
      <c r="R1037" s="39"/>
      <c r="S1037" s="39"/>
      <c r="T1037" s="39"/>
      <c r="U1037" s="39"/>
      <c r="V1037" s="39"/>
      <c r="W1037" s="39"/>
      <c r="X1037" s="39"/>
      <c r="Y1037" s="39"/>
      <c r="Z1037" s="39"/>
      <c r="AA1037" s="39"/>
      <c r="AB1037" s="39"/>
    </row>
    <row r="1038">
      <c r="A1038" s="1"/>
      <c r="B1038" s="36"/>
      <c r="C1038" s="36"/>
      <c r="D1038" s="36"/>
      <c r="E1038" s="36"/>
      <c r="F1038" s="36"/>
      <c r="G1038" s="36"/>
      <c r="H1038" s="37"/>
      <c r="I1038" s="36"/>
      <c r="J1038" s="38"/>
      <c r="K1038" s="38"/>
      <c r="L1038" s="39"/>
      <c r="M1038" s="39"/>
      <c r="N1038" s="39"/>
      <c r="O1038" s="39"/>
      <c r="P1038" s="39"/>
      <c r="Q1038" s="39"/>
      <c r="R1038" s="39"/>
      <c r="S1038" s="39"/>
      <c r="T1038" s="39"/>
      <c r="U1038" s="39"/>
      <c r="V1038" s="39"/>
      <c r="W1038" s="39"/>
      <c r="X1038" s="39"/>
      <c r="Y1038" s="39"/>
      <c r="Z1038" s="39"/>
      <c r="AA1038" s="39"/>
      <c r="AB1038" s="39"/>
    </row>
    <row r="1039">
      <c r="A1039" s="1"/>
      <c r="B1039" s="36"/>
      <c r="C1039" s="36"/>
      <c r="D1039" s="36"/>
      <c r="E1039" s="36"/>
      <c r="F1039" s="36"/>
      <c r="G1039" s="36"/>
      <c r="H1039" s="37"/>
      <c r="I1039" s="36"/>
      <c r="J1039" s="38"/>
      <c r="K1039" s="38"/>
      <c r="L1039" s="39"/>
      <c r="M1039" s="39"/>
      <c r="N1039" s="39"/>
      <c r="O1039" s="39"/>
      <c r="P1039" s="39"/>
      <c r="Q1039" s="39"/>
      <c r="R1039" s="39"/>
      <c r="S1039" s="39"/>
      <c r="T1039" s="39"/>
      <c r="U1039" s="39"/>
      <c r="V1039" s="39"/>
      <c r="W1039" s="39"/>
      <c r="X1039" s="39"/>
      <c r="Y1039" s="39"/>
      <c r="Z1039" s="39"/>
      <c r="AA1039" s="39"/>
      <c r="AB1039" s="39"/>
    </row>
    <row r="1040">
      <c r="A1040" s="1"/>
      <c r="B1040" s="36"/>
      <c r="C1040" s="36"/>
      <c r="D1040" s="36"/>
      <c r="E1040" s="36"/>
      <c r="F1040" s="36"/>
      <c r="G1040" s="36"/>
      <c r="H1040" s="37"/>
      <c r="I1040" s="36"/>
      <c r="J1040" s="38"/>
      <c r="K1040" s="38"/>
      <c r="L1040" s="39"/>
      <c r="M1040" s="39"/>
      <c r="N1040" s="39"/>
      <c r="O1040" s="39"/>
      <c r="P1040" s="39"/>
      <c r="Q1040" s="39"/>
      <c r="R1040" s="39"/>
      <c r="S1040" s="39"/>
      <c r="T1040" s="39"/>
      <c r="U1040" s="39"/>
      <c r="V1040" s="39"/>
      <c r="W1040" s="39"/>
      <c r="X1040" s="39"/>
      <c r="Y1040" s="39"/>
      <c r="Z1040" s="39"/>
      <c r="AA1040" s="39"/>
      <c r="AB1040" s="39"/>
    </row>
    <row r="1041">
      <c r="A1041" s="1"/>
      <c r="B1041" s="36"/>
      <c r="C1041" s="36"/>
      <c r="D1041" s="36"/>
      <c r="E1041" s="36"/>
      <c r="F1041" s="36"/>
      <c r="G1041" s="36"/>
      <c r="H1041" s="37"/>
      <c r="I1041" s="36"/>
      <c r="J1041" s="38"/>
      <c r="K1041" s="38"/>
      <c r="L1041" s="39"/>
      <c r="M1041" s="39"/>
      <c r="N1041" s="39"/>
      <c r="O1041" s="39"/>
      <c r="P1041" s="39"/>
      <c r="Q1041" s="39"/>
      <c r="R1041" s="39"/>
      <c r="S1041" s="39"/>
      <c r="T1041" s="39"/>
      <c r="U1041" s="39"/>
      <c r="V1041" s="39"/>
      <c r="W1041" s="39"/>
      <c r="X1041" s="39"/>
      <c r="Y1041" s="39"/>
      <c r="Z1041" s="39"/>
      <c r="AA1041" s="39"/>
      <c r="AB1041" s="39"/>
    </row>
    <row r="1042">
      <c r="A1042" s="1"/>
      <c r="B1042" s="36"/>
      <c r="C1042" s="36"/>
      <c r="D1042" s="36"/>
      <c r="E1042" s="36"/>
      <c r="F1042" s="36"/>
      <c r="G1042" s="36"/>
      <c r="H1042" s="37"/>
      <c r="I1042" s="36"/>
      <c r="J1042" s="38"/>
      <c r="K1042" s="38"/>
      <c r="L1042" s="39"/>
      <c r="M1042" s="39"/>
      <c r="N1042" s="39"/>
      <c r="O1042" s="39"/>
      <c r="P1042" s="39"/>
      <c r="Q1042" s="39"/>
      <c r="R1042" s="39"/>
      <c r="S1042" s="39"/>
      <c r="T1042" s="39"/>
      <c r="U1042" s="39"/>
      <c r="V1042" s="39"/>
      <c r="W1042" s="39"/>
      <c r="X1042" s="39"/>
      <c r="Y1042" s="39"/>
      <c r="Z1042" s="39"/>
      <c r="AA1042" s="39"/>
      <c r="AB1042" s="39"/>
    </row>
    <row r="1043">
      <c r="A1043" s="1"/>
      <c r="B1043" s="36"/>
      <c r="C1043" s="36"/>
      <c r="D1043" s="36"/>
      <c r="E1043" s="36"/>
      <c r="F1043" s="36"/>
      <c r="G1043" s="36"/>
      <c r="H1043" s="37"/>
      <c r="I1043" s="36"/>
      <c r="J1043" s="38"/>
      <c r="K1043" s="38"/>
      <c r="L1043" s="39"/>
      <c r="M1043" s="39"/>
      <c r="N1043" s="39"/>
      <c r="O1043" s="39"/>
      <c r="P1043" s="39"/>
      <c r="Q1043" s="39"/>
      <c r="R1043" s="39"/>
      <c r="S1043" s="39"/>
      <c r="T1043" s="39"/>
      <c r="U1043" s="39"/>
      <c r="V1043" s="39"/>
      <c r="W1043" s="39"/>
      <c r="X1043" s="39"/>
      <c r="Y1043" s="39"/>
      <c r="Z1043" s="39"/>
      <c r="AA1043" s="39"/>
      <c r="AB1043" s="39"/>
    </row>
    <row r="1044">
      <c r="A1044" s="1"/>
      <c r="B1044" s="36"/>
      <c r="C1044" s="36"/>
      <c r="D1044" s="36"/>
      <c r="E1044" s="36"/>
      <c r="F1044" s="36"/>
      <c r="G1044" s="36"/>
      <c r="H1044" s="37"/>
      <c r="I1044" s="36"/>
      <c r="J1044" s="38"/>
      <c r="K1044" s="38"/>
      <c r="L1044" s="39"/>
      <c r="M1044" s="39"/>
      <c r="N1044" s="39"/>
      <c r="O1044" s="39"/>
      <c r="P1044" s="39"/>
      <c r="Q1044" s="39"/>
      <c r="R1044" s="39"/>
      <c r="S1044" s="39"/>
      <c r="T1044" s="39"/>
      <c r="U1044" s="39"/>
      <c r="V1044" s="39"/>
      <c r="W1044" s="39"/>
      <c r="X1044" s="39"/>
      <c r="Y1044" s="39"/>
      <c r="Z1044" s="39"/>
      <c r="AA1044" s="39"/>
      <c r="AB1044" s="39"/>
    </row>
    <row r="1045">
      <c r="A1045" s="1"/>
      <c r="B1045" s="36"/>
      <c r="C1045" s="36"/>
      <c r="D1045" s="36"/>
      <c r="E1045" s="36"/>
      <c r="F1045" s="36"/>
      <c r="G1045" s="36"/>
      <c r="H1045" s="37"/>
      <c r="I1045" s="36"/>
      <c r="J1045" s="38"/>
      <c r="K1045" s="38"/>
      <c r="L1045" s="39"/>
      <c r="M1045" s="39"/>
      <c r="N1045" s="39"/>
      <c r="O1045" s="39"/>
      <c r="P1045" s="39"/>
      <c r="Q1045" s="39"/>
      <c r="R1045" s="39"/>
      <c r="S1045" s="39"/>
      <c r="T1045" s="39"/>
      <c r="U1045" s="39"/>
      <c r="V1045" s="39"/>
      <c r="W1045" s="39"/>
      <c r="X1045" s="39"/>
      <c r="Y1045" s="39"/>
      <c r="Z1045" s="39"/>
      <c r="AA1045" s="39"/>
      <c r="AB1045" s="39"/>
    </row>
    <row r="1046">
      <c r="A1046" s="1"/>
      <c r="B1046" s="36"/>
      <c r="C1046" s="36"/>
      <c r="D1046" s="36"/>
      <c r="E1046" s="36"/>
      <c r="F1046" s="36"/>
      <c r="G1046" s="36"/>
      <c r="H1046" s="37"/>
      <c r="I1046" s="36"/>
      <c r="J1046" s="38"/>
      <c r="K1046" s="38"/>
      <c r="L1046" s="39"/>
      <c r="M1046" s="39"/>
      <c r="N1046" s="39"/>
      <c r="O1046" s="39"/>
      <c r="P1046" s="39"/>
      <c r="Q1046" s="39"/>
      <c r="R1046" s="39"/>
      <c r="S1046" s="39"/>
      <c r="T1046" s="39"/>
      <c r="U1046" s="39"/>
      <c r="V1046" s="39"/>
      <c r="W1046" s="39"/>
      <c r="X1046" s="39"/>
      <c r="Y1046" s="39"/>
      <c r="Z1046" s="39"/>
      <c r="AA1046" s="39"/>
      <c r="AB1046" s="39"/>
    </row>
    <row r="1047">
      <c r="A1047" s="1"/>
      <c r="B1047" s="36"/>
      <c r="C1047" s="36"/>
      <c r="D1047" s="36"/>
      <c r="E1047" s="36"/>
      <c r="F1047" s="36"/>
      <c r="G1047" s="36"/>
      <c r="H1047" s="37"/>
      <c r="I1047" s="36"/>
      <c r="J1047" s="38"/>
      <c r="K1047" s="38"/>
      <c r="L1047" s="39"/>
      <c r="M1047" s="39"/>
      <c r="N1047" s="39"/>
      <c r="O1047" s="39"/>
      <c r="P1047" s="39"/>
      <c r="Q1047" s="39"/>
      <c r="R1047" s="39"/>
      <c r="S1047" s="39"/>
      <c r="T1047" s="39"/>
      <c r="U1047" s="39"/>
      <c r="V1047" s="39"/>
      <c r="W1047" s="39"/>
      <c r="X1047" s="39"/>
      <c r="Y1047" s="39"/>
      <c r="Z1047" s="39"/>
      <c r="AA1047" s="39"/>
      <c r="AB1047" s="39"/>
    </row>
    <row r="1048">
      <c r="A1048" s="1"/>
      <c r="B1048" s="36"/>
      <c r="C1048" s="36"/>
      <c r="D1048" s="36"/>
      <c r="E1048" s="36"/>
      <c r="F1048" s="36"/>
      <c r="G1048" s="36"/>
      <c r="H1048" s="37"/>
      <c r="I1048" s="36"/>
      <c r="J1048" s="38"/>
      <c r="K1048" s="38"/>
      <c r="L1048" s="39"/>
      <c r="M1048" s="39"/>
      <c r="N1048" s="39"/>
      <c r="O1048" s="39"/>
      <c r="P1048" s="39"/>
      <c r="Q1048" s="39"/>
      <c r="R1048" s="39"/>
      <c r="S1048" s="39"/>
      <c r="T1048" s="39"/>
      <c r="U1048" s="39"/>
      <c r="V1048" s="39"/>
      <c r="W1048" s="39"/>
      <c r="X1048" s="39"/>
      <c r="Y1048" s="39"/>
      <c r="Z1048" s="39"/>
      <c r="AA1048" s="39"/>
      <c r="AB1048" s="39"/>
    </row>
    <row r="1049">
      <c r="A1049" s="1"/>
      <c r="B1049" s="36"/>
      <c r="C1049" s="36"/>
      <c r="D1049" s="36"/>
      <c r="E1049" s="36"/>
      <c r="F1049" s="36"/>
      <c r="G1049" s="36"/>
      <c r="H1049" s="37"/>
      <c r="I1049" s="36"/>
      <c r="J1049" s="38"/>
      <c r="K1049" s="38"/>
      <c r="L1049" s="39"/>
      <c r="M1049" s="39"/>
      <c r="N1049" s="39"/>
      <c r="O1049" s="39"/>
      <c r="P1049" s="39"/>
      <c r="Q1049" s="39"/>
      <c r="R1049" s="39"/>
      <c r="S1049" s="39"/>
      <c r="T1049" s="39"/>
      <c r="U1049" s="39"/>
      <c r="V1049" s="39"/>
      <c r="W1049" s="39"/>
      <c r="X1049" s="39"/>
      <c r="Y1049" s="39"/>
      <c r="Z1049" s="39"/>
      <c r="AA1049" s="39"/>
      <c r="AB1049" s="39"/>
    </row>
    <row r="1050">
      <c r="A1050" s="1"/>
      <c r="B1050" s="36"/>
      <c r="C1050" s="36"/>
      <c r="D1050" s="36"/>
      <c r="E1050" s="36"/>
      <c r="F1050" s="36"/>
      <c r="G1050" s="36"/>
      <c r="H1050" s="37"/>
      <c r="I1050" s="36"/>
      <c r="J1050" s="38"/>
      <c r="K1050" s="38"/>
      <c r="L1050" s="39"/>
      <c r="M1050" s="39"/>
      <c r="N1050" s="39"/>
      <c r="O1050" s="39"/>
      <c r="P1050" s="39"/>
      <c r="Q1050" s="39"/>
      <c r="R1050" s="39"/>
      <c r="S1050" s="39"/>
      <c r="T1050" s="39"/>
      <c r="U1050" s="39"/>
      <c r="V1050" s="39"/>
      <c r="W1050" s="39"/>
      <c r="X1050" s="39"/>
      <c r="Y1050" s="39"/>
      <c r="Z1050" s="39"/>
      <c r="AA1050" s="39"/>
      <c r="AB1050" s="39"/>
    </row>
    <row r="1051">
      <c r="A1051" s="1"/>
      <c r="B1051" s="36"/>
      <c r="C1051" s="36"/>
      <c r="D1051" s="36"/>
      <c r="E1051" s="36"/>
      <c r="F1051" s="36"/>
      <c r="G1051" s="36"/>
      <c r="H1051" s="37"/>
      <c r="I1051" s="36"/>
      <c r="J1051" s="38"/>
      <c r="K1051" s="38"/>
      <c r="L1051" s="39"/>
      <c r="M1051" s="39"/>
      <c r="N1051" s="39"/>
      <c r="O1051" s="39"/>
      <c r="P1051" s="39"/>
      <c r="Q1051" s="39"/>
      <c r="R1051" s="39"/>
      <c r="S1051" s="39"/>
      <c r="T1051" s="39"/>
      <c r="U1051" s="39"/>
      <c r="V1051" s="39"/>
      <c r="W1051" s="39"/>
      <c r="X1051" s="39"/>
      <c r="Y1051" s="39"/>
      <c r="Z1051" s="39"/>
      <c r="AA1051" s="39"/>
      <c r="AB1051" s="39"/>
    </row>
    <row r="1052">
      <c r="A1052" s="1"/>
      <c r="B1052" s="36"/>
      <c r="C1052" s="36"/>
      <c r="D1052" s="36"/>
      <c r="E1052" s="36"/>
      <c r="F1052" s="36"/>
      <c r="G1052" s="36"/>
      <c r="H1052" s="37"/>
      <c r="I1052" s="36"/>
      <c r="J1052" s="38"/>
      <c r="K1052" s="38"/>
      <c r="L1052" s="39"/>
      <c r="M1052" s="39"/>
      <c r="N1052" s="39"/>
      <c r="O1052" s="39"/>
      <c r="P1052" s="39"/>
      <c r="Q1052" s="39"/>
      <c r="R1052" s="39"/>
      <c r="S1052" s="39"/>
      <c r="T1052" s="39"/>
      <c r="U1052" s="39"/>
      <c r="V1052" s="39"/>
      <c r="W1052" s="39"/>
      <c r="X1052" s="39"/>
      <c r="Y1052" s="39"/>
      <c r="Z1052" s="39"/>
      <c r="AA1052" s="39"/>
      <c r="AB1052" s="39"/>
    </row>
    <row r="1053">
      <c r="A1053" s="1"/>
      <c r="B1053" s="36"/>
      <c r="C1053" s="36"/>
      <c r="D1053" s="36"/>
      <c r="E1053" s="36"/>
      <c r="F1053" s="36"/>
      <c r="G1053" s="36"/>
      <c r="H1053" s="37"/>
      <c r="I1053" s="36"/>
      <c r="J1053" s="38"/>
      <c r="K1053" s="38"/>
      <c r="L1053" s="39"/>
      <c r="M1053" s="39"/>
      <c r="N1053" s="39"/>
      <c r="O1053" s="39"/>
      <c r="P1053" s="39"/>
      <c r="Q1053" s="39"/>
      <c r="R1053" s="39"/>
      <c r="S1053" s="39"/>
      <c r="T1053" s="39"/>
      <c r="U1053" s="39"/>
      <c r="V1053" s="39"/>
      <c r="W1053" s="39"/>
      <c r="X1053" s="39"/>
      <c r="Y1053" s="39"/>
      <c r="Z1053" s="39"/>
      <c r="AA1053" s="39"/>
      <c r="AB1053" s="39"/>
    </row>
    <row r="1054">
      <c r="A1054" s="1"/>
      <c r="B1054" s="36"/>
      <c r="C1054" s="36"/>
      <c r="D1054" s="36"/>
      <c r="E1054" s="36"/>
      <c r="F1054" s="36"/>
      <c r="G1054" s="36"/>
      <c r="H1054" s="37"/>
      <c r="I1054" s="36"/>
      <c r="J1054" s="38"/>
      <c r="K1054" s="38"/>
      <c r="L1054" s="39"/>
      <c r="M1054" s="39"/>
      <c r="N1054" s="39"/>
      <c r="O1054" s="39"/>
      <c r="P1054" s="39"/>
      <c r="Q1054" s="39"/>
      <c r="R1054" s="39"/>
      <c r="S1054" s="39"/>
      <c r="T1054" s="39"/>
      <c r="U1054" s="39"/>
      <c r="V1054" s="39"/>
      <c r="W1054" s="39"/>
      <c r="X1054" s="39"/>
      <c r="Y1054" s="39"/>
      <c r="Z1054" s="39"/>
      <c r="AA1054" s="39"/>
      <c r="AB1054" s="39"/>
    </row>
    <row r="1055">
      <c r="A1055" s="1"/>
      <c r="B1055" s="36"/>
      <c r="C1055" s="36"/>
      <c r="D1055" s="36"/>
      <c r="E1055" s="36"/>
      <c r="F1055" s="36"/>
      <c r="G1055" s="36"/>
      <c r="H1055" s="37"/>
      <c r="I1055" s="36"/>
      <c r="J1055" s="38"/>
      <c r="K1055" s="38"/>
      <c r="L1055" s="39"/>
      <c r="M1055" s="39"/>
      <c r="N1055" s="39"/>
      <c r="O1055" s="39"/>
      <c r="P1055" s="39"/>
      <c r="Q1055" s="39"/>
      <c r="R1055" s="39"/>
      <c r="S1055" s="39"/>
      <c r="T1055" s="39"/>
      <c r="U1055" s="39"/>
      <c r="V1055" s="39"/>
      <c r="W1055" s="39"/>
      <c r="X1055" s="39"/>
      <c r="Y1055" s="39"/>
      <c r="Z1055" s="39"/>
      <c r="AA1055" s="39"/>
      <c r="AB1055" s="39"/>
    </row>
    <row r="1056">
      <c r="A1056" s="1"/>
      <c r="B1056" s="36"/>
      <c r="C1056" s="36"/>
      <c r="D1056" s="36"/>
      <c r="E1056" s="36"/>
      <c r="F1056" s="36"/>
      <c r="G1056" s="36"/>
      <c r="H1056" s="37"/>
      <c r="I1056" s="36"/>
      <c r="J1056" s="38"/>
      <c r="K1056" s="38"/>
      <c r="L1056" s="39"/>
      <c r="M1056" s="39"/>
      <c r="N1056" s="39"/>
      <c r="O1056" s="39"/>
      <c r="P1056" s="39"/>
      <c r="Q1056" s="39"/>
      <c r="R1056" s="39"/>
      <c r="S1056" s="39"/>
      <c r="T1056" s="39"/>
      <c r="U1056" s="39"/>
      <c r="V1056" s="39"/>
      <c r="W1056" s="39"/>
      <c r="X1056" s="39"/>
      <c r="Y1056" s="39"/>
      <c r="Z1056" s="39"/>
      <c r="AA1056" s="39"/>
      <c r="AB1056" s="39"/>
    </row>
    <row r="1057">
      <c r="A1057" s="1"/>
      <c r="B1057" s="36"/>
      <c r="C1057" s="36"/>
      <c r="D1057" s="36"/>
      <c r="E1057" s="36"/>
      <c r="F1057" s="36"/>
      <c r="G1057" s="36"/>
      <c r="H1057" s="37"/>
      <c r="I1057" s="36"/>
      <c r="J1057" s="38"/>
      <c r="K1057" s="38"/>
      <c r="L1057" s="39"/>
      <c r="M1057" s="39"/>
      <c r="N1057" s="39"/>
      <c r="O1057" s="39"/>
      <c r="P1057" s="39"/>
      <c r="Q1057" s="39"/>
      <c r="R1057" s="39"/>
      <c r="S1057" s="39"/>
      <c r="T1057" s="39"/>
      <c r="U1057" s="39"/>
      <c r="V1057" s="39"/>
      <c r="W1057" s="39"/>
      <c r="X1057" s="39"/>
      <c r="Y1057" s="39"/>
      <c r="Z1057" s="39"/>
      <c r="AA1057" s="39"/>
      <c r="AB1057" s="39"/>
    </row>
    <row r="1058">
      <c r="A1058" s="1"/>
      <c r="B1058" s="36"/>
      <c r="C1058" s="36"/>
      <c r="D1058" s="36"/>
      <c r="E1058" s="36"/>
      <c r="F1058" s="36"/>
      <c r="G1058" s="36"/>
      <c r="H1058" s="37"/>
      <c r="I1058" s="36"/>
      <c r="J1058" s="38"/>
      <c r="K1058" s="38"/>
      <c r="L1058" s="39"/>
      <c r="M1058" s="39"/>
      <c r="N1058" s="39"/>
      <c r="O1058" s="39"/>
      <c r="P1058" s="39"/>
      <c r="Q1058" s="39"/>
      <c r="R1058" s="39"/>
      <c r="S1058" s="39"/>
      <c r="T1058" s="39"/>
      <c r="U1058" s="39"/>
      <c r="V1058" s="39"/>
      <c r="W1058" s="39"/>
      <c r="X1058" s="39"/>
      <c r="Y1058" s="39"/>
      <c r="Z1058" s="39"/>
      <c r="AA1058" s="39"/>
      <c r="AB1058" s="39"/>
    </row>
    <row r="1059">
      <c r="A1059" s="1"/>
      <c r="B1059" s="36"/>
      <c r="C1059" s="36"/>
      <c r="D1059" s="36"/>
      <c r="E1059" s="36"/>
      <c r="F1059" s="36"/>
      <c r="G1059" s="36"/>
      <c r="H1059" s="37"/>
      <c r="I1059" s="36"/>
      <c r="J1059" s="38"/>
      <c r="K1059" s="38"/>
      <c r="L1059" s="39"/>
      <c r="M1059" s="39"/>
      <c r="N1059" s="39"/>
      <c r="O1059" s="39"/>
      <c r="P1059" s="39"/>
      <c r="Q1059" s="39"/>
      <c r="R1059" s="39"/>
      <c r="S1059" s="39"/>
      <c r="T1059" s="39"/>
      <c r="U1059" s="39"/>
      <c r="V1059" s="39"/>
      <c r="W1059" s="39"/>
      <c r="X1059" s="39"/>
      <c r="Y1059" s="39"/>
      <c r="Z1059" s="39"/>
      <c r="AA1059" s="39"/>
      <c r="AB1059" s="39"/>
    </row>
    <row r="1060">
      <c r="A1060" s="1"/>
      <c r="B1060" s="36"/>
      <c r="C1060" s="36"/>
      <c r="D1060" s="36"/>
      <c r="E1060" s="36"/>
      <c r="F1060" s="36"/>
      <c r="G1060" s="36"/>
      <c r="H1060" s="37"/>
      <c r="I1060" s="36"/>
      <c r="J1060" s="38"/>
      <c r="K1060" s="38"/>
      <c r="L1060" s="39"/>
      <c r="M1060" s="39"/>
      <c r="N1060" s="39"/>
      <c r="O1060" s="39"/>
      <c r="P1060" s="39"/>
      <c r="Q1060" s="39"/>
      <c r="R1060" s="39"/>
      <c r="S1060" s="39"/>
      <c r="T1060" s="39"/>
      <c r="U1060" s="39"/>
      <c r="V1060" s="39"/>
      <c r="W1060" s="39"/>
      <c r="X1060" s="39"/>
      <c r="Y1060" s="39"/>
      <c r="Z1060" s="39"/>
      <c r="AA1060" s="39"/>
      <c r="AB1060" s="39"/>
    </row>
    <row r="1061">
      <c r="A1061" s="1"/>
      <c r="B1061" s="36"/>
      <c r="C1061" s="36"/>
      <c r="D1061" s="36"/>
      <c r="E1061" s="36"/>
      <c r="F1061" s="36"/>
      <c r="G1061" s="36"/>
      <c r="H1061" s="37"/>
      <c r="I1061" s="36"/>
      <c r="J1061" s="38"/>
      <c r="K1061" s="38"/>
      <c r="L1061" s="39"/>
      <c r="M1061" s="39"/>
      <c r="N1061" s="39"/>
      <c r="O1061" s="39"/>
      <c r="P1061" s="39"/>
      <c r="Q1061" s="39"/>
      <c r="R1061" s="39"/>
      <c r="S1061" s="39"/>
      <c r="T1061" s="39"/>
      <c r="U1061" s="39"/>
      <c r="V1061" s="39"/>
      <c r="W1061" s="39"/>
      <c r="X1061" s="39"/>
      <c r="Y1061" s="39"/>
      <c r="Z1061" s="39"/>
      <c r="AA1061" s="39"/>
      <c r="AB1061" s="39"/>
    </row>
    <row r="1062">
      <c r="A1062" s="1"/>
      <c r="B1062" s="36"/>
      <c r="C1062" s="36"/>
      <c r="D1062" s="36"/>
      <c r="E1062" s="36"/>
      <c r="F1062" s="36"/>
      <c r="G1062" s="36"/>
      <c r="H1062" s="37"/>
      <c r="I1062" s="36"/>
      <c r="J1062" s="38"/>
      <c r="K1062" s="38"/>
      <c r="L1062" s="39"/>
      <c r="M1062" s="39"/>
      <c r="N1062" s="39"/>
      <c r="O1062" s="39"/>
      <c r="P1062" s="39"/>
      <c r="Q1062" s="39"/>
      <c r="R1062" s="39"/>
      <c r="S1062" s="39"/>
      <c r="T1062" s="39"/>
      <c r="U1062" s="39"/>
      <c r="V1062" s="39"/>
      <c r="W1062" s="39"/>
      <c r="X1062" s="39"/>
      <c r="Y1062" s="39"/>
      <c r="Z1062" s="39"/>
      <c r="AA1062" s="39"/>
      <c r="AB1062" s="39"/>
    </row>
    <row r="1063">
      <c r="A1063" s="1"/>
      <c r="B1063" s="36"/>
      <c r="C1063" s="36"/>
      <c r="D1063" s="36"/>
      <c r="E1063" s="36"/>
      <c r="F1063" s="36"/>
      <c r="G1063" s="36"/>
      <c r="H1063" s="37"/>
      <c r="I1063" s="36"/>
      <c r="J1063" s="38"/>
      <c r="K1063" s="38"/>
      <c r="L1063" s="39"/>
      <c r="M1063" s="39"/>
      <c r="N1063" s="39"/>
      <c r="O1063" s="39"/>
      <c r="P1063" s="39"/>
      <c r="Q1063" s="39"/>
      <c r="R1063" s="39"/>
      <c r="S1063" s="39"/>
      <c r="T1063" s="39"/>
      <c r="U1063" s="39"/>
      <c r="V1063" s="39"/>
      <c r="W1063" s="39"/>
      <c r="X1063" s="39"/>
      <c r="Y1063" s="39"/>
      <c r="Z1063" s="39"/>
      <c r="AA1063" s="39"/>
      <c r="AB1063" s="39"/>
    </row>
    <row r="1064">
      <c r="A1064" s="1"/>
      <c r="B1064" s="36"/>
      <c r="C1064" s="36"/>
      <c r="D1064" s="36"/>
      <c r="E1064" s="36"/>
      <c r="F1064" s="36"/>
      <c r="G1064" s="36"/>
      <c r="H1064" s="37"/>
      <c r="I1064" s="36"/>
      <c r="J1064" s="38"/>
      <c r="K1064" s="38"/>
      <c r="L1064" s="39"/>
      <c r="M1064" s="39"/>
      <c r="N1064" s="39"/>
      <c r="O1064" s="39"/>
      <c r="P1064" s="39"/>
      <c r="Q1064" s="39"/>
      <c r="R1064" s="39"/>
      <c r="S1064" s="39"/>
      <c r="T1064" s="39"/>
      <c r="U1064" s="39"/>
      <c r="V1064" s="39"/>
      <c r="W1064" s="39"/>
      <c r="X1064" s="39"/>
      <c r="Y1064" s="39"/>
      <c r="Z1064" s="39"/>
      <c r="AA1064" s="39"/>
      <c r="AB1064" s="39"/>
    </row>
    <row r="1065">
      <c r="A1065" s="1"/>
      <c r="B1065" s="36"/>
      <c r="C1065" s="36"/>
      <c r="D1065" s="36"/>
      <c r="E1065" s="36"/>
      <c r="F1065" s="36"/>
      <c r="G1065" s="36"/>
      <c r="H1065" s="37"/>
      <c r="I1065" s="36"/>
      <c r="J1065" s="38"/>
      <c r="K1065" s="38"/>
      <c r="L1065" s="39"/>
      <c r="M1065" s="39"/>
      <c r="N1065" s="39"/>
      <c r="O1065" s="39"/>
      <c r="P1065" s="39"/>
      <c r="Q1065" s="39"/>
      <c r="R1065" s="39"/>
      <c r="S1065" s="39"/>
      <c r="T1065" s="39"/>
      <c r="U1065" s="39"/>
      <c r="V1065" s="39"/>
      <c r="W1065" s="39"/>
      <c r="X1065" s="39"/>
      <c r="Y1065" s="39"/>
      <c r="Z1065" s="39"/>
      <c r="AA1065" s="39"/>
      <c r="AB1065" s="39"/>
    </row>
    <row r="1066">
      <c r="A1066" s="1"/>
      <c r="B1066" s="36"/>
      <c r="C1066" s="36"/>
      <c r="D1066" s="36"/>
      <c r="E1066" s="36"/>
      <c r="F1066" s="36"/>
      <c r="G1066" s="36"/>
      <c r="H1066" s="37"/>
      <c r="I1066" s="36"/>
      <c r="J1066" s="38"/>
      <c r="K1066" s="38"/>
      <c r="L1066" s="39"/>
      <c r="M1066" s="39"/>
      <c r="N1066" s="39"/>
      <c r="O1066" s="39"/>
      <c r="P1066" s="39"/>
      <c r="Q1066" s="39"/>
      <c r="R1066" s="39"/>
      <c r="S1066" s="39"/>
      <c r="T1066" s="39"/>
      <c r="U1066" s="39"/>
      <c r="V1066" s="39"/>
      <c r="W1066" s="39"/>
      <c r="X1066" s="39"/>
      <c r="Y1066" s="39"/>
      <c r="Z1066" s="39"/>
      <c r="AA1066" s="39"/>
      <c r="AB1066" s="39"/>
    </row>
    <row r="1067">
      <c r="A1067" s="1"/>
      <c r="B1067" s="36"/>
      <c r="C1067" s="36"/>
      <c r="D1067" s="36"/>
      <c r="E1067" s="36"/>
      <c r="F1067" s="36"/>
      <c r="G1067" s="36"/>
      <c r="H1067" s="37"/>
      <c r="I1067" s="36"/>
      <c r="J1067" s="38"/>
      <c r="K1067" s="38"/>
      <c r="L1067" s="39"/>
      <c r="M1067" s="39"/>
      <c r="N1067" s="39"/>
      <c r="O1067" s="39"/>
      <c r="P1067" s="39"/>
      <c r="Q1067" s="39"/>
      <c r="R1067" s="39"/>
      <c r="S1067" s="39"/>
      <c r="T1067" s="39"/>
      <c r="U1067" s="39"/>
      <c r="V1067" s="39"/>
      <c r="W1067" s="39"/>
      <c r="X1067" s="39"/>
      <c r="Y1067" s="39"/>
      <c r="Z1067" s="39"/>
      <c r="AA1067" s="39"/>
      <c r="AB1067" s="39"/>
    </row>
    <row r="1068">
      <c r="A1068" s="1"/>
      <c r="B1068" s="36"/>
      <c r="C1068" s="36"/>
      <c r="D1068" s="36"/>
      <c r="E1068" s="36"/>
      <c r="F1068" s="36"/>
      <c r="G1068" s="36"/>
      <c r="H1068" s="37"/>
      <c r="I1068" s="36"/>
      <c r="J1068" s="38"/>
      <c r="K1068" s="38"/>
      <c r="L1068" s="39"/>
      <c r="M1068" s="39"/>
      <c r="N1068" s="39"/>
      <c r="O1068" s="39"/>
      <c r="P1068" s="39"/>
      <c r="Q1068" s="39"/>
      <c r="R1068" s="39"/>
      <c r="S1068" s="39"/>
      <c r="T1068" s="39"/>
      <c r="U1068" s="39"/>
      <c r="V1068" s="39"/>
      <c r="W1068" s="39"/>
      <c r="X1068" s="39"/>
      <c r="Y1068" s="39"/>
      <c r="Z1068" s="39"/>
      <c r="AA1068" s="39"/>
      <c r="AB1068" s="39"/>
    </row>
    <row r="1069">
      <c r="A1069" s="1"/>
      <c r="B1069" s="36"/>
      <c r="C1069" s="36"/>
      <c r="D1069" s="36"/>
      <c r="E1069" s="36"/>
      <c r="F1069" s="36"/>
      <c r="G1069" s="36"/>
      <c r="H1069" s="37"/>
      <c r="I1069" s="36"/>
      <c r="J1069" s="38"/>
      <c r="K1069" s="38"/>
      <c r="L1069" s="39"/>
      <c r="M1069" s="39"/>
      <c r="N1069" s="39"/>
      <c r="O1069" s="39"/>
      <c r="P1069" s="39"/>
      <c r="Q1069" s="39"/>
      <c r="R1069" s="39"/>
      <c r="S1069" s="39"/>
      <c r="T1069" s="39"/>
      <c r="U1069" s="39"/>
      <c r="V1069" s="39"/>
      <c r="W1069" s="39"/>
      <c r="X1069" s="39"/>
      <c r="Y1069" s="39"/>
      <c r="Z1069" s="39"/>
      <c r="AA1069" s="39"/>
      <c r="AB1069" s="39"/>
    </row>
    <row r="1070">
      <c r="A1070" s="1"/>
      <c r="B1070" s="36"/>
      <c r="C1070" s="36"/>
      <c r="D1070" s="36"/>
      <c r="E1070" s="36"/>
      <c r="F1070" s="36"/>
      <c r="G1070" s="36"/>
      <c r="H1070" s="37"/>
      <c r="I1070" s="36"/>
      <c r="J1070" s="38"/>
      <c r="K1070" s="38"/>
      <c r="L1070" s="39"/>
      <c r="M1070" s="39"/>
      <c r="N1070" s="39"/>
      <c r="O1070" s="39"/>
      <c r="P1070" s="39"/>
      <c r="Q1070" s="39"/>
      <c r="R1070" s="39"/>
      <c r="S1070" s="39"/>
      <c r="T1070" s="39"/>
      <c r="U1070" s="39"/>
      <c r="V1070" s="39"/>
      <c r="W1070" s="39"/>
      <c r="X1070" s="39"/>
      <c r="Y1070" s="39"/>
      <c r="Z1070" s="39"/>
      <c r="AA1070" s="39"/>
      <c r="AB1070" s="39"/>
    </row>
    <row r="1071">
      <c r="A1071" s="1"/>
      <c r="B1071" s="36"/>
      <c r="C1071" s="36"/>
      <c r="D1071" s="36"/>
      <c r="E1071" s="36"/>
      <c r="F1071" s="36"/>
      <c r="G1071" s="36"/>
      <c r="H1071" s="37"/>
      <c r="I1071" s="36"/>
      <c r="J1071" s="38"/>
      <c r="K1071" s="38"/>
      <c r="L1071" s="39"/>
      <c r="M1071" s="39"/>
      <c r="N1071" s="39"/>
      <c r="O1071" s="39"/>
      <c r="P1071" s="39"/>
      <c r="Q1071" s="39"/>
      <c r="R1071" s="39"/>
      <c r="S1071" s="39"/>
      <c r="T1071" s="39"/>
      <c r="U1071" s="39"/>
      <c r="V1071" s="39"/>
      <c r="W1071" s="39"/>
      <c r="X1071" s="39"/>
      <c r="Y1071" s="39"/>
      <c r="Z1071" s="39"/>
      <c r="AA1071" s="39"/>
      <c r="AB1071" s="39"/>
    </row>
    <row r="1072">
      <c r="A1072" s="1"/>
      <c r="B1072" s="36"/>
      <c r="C1072" s="36"/>
      <c r="D1072" s="36"/>
      <c r="E1072" s="36"/>
      <c r="F1072" s="36"/>
      <c r="G1072" s="36"/>
      <c r="H1072" s="37"/>
      <c r="I1072" s="36"/>
      <c r="J1072" s="38"/>
      <c r="K1072" s="38"/>
      <c r="L1072" s="39"/>
      <c r="M1072" s="39"/>
      <c r="N1072" s="39"/>
      <c r="O1072" s="39"/>
      <c r="P1072" s="39"/>
      <c r="Q1072" s="39"/>
      <c r="R1072" s="39"/>
      <c r="S1072" s="39"/>
      <c r="T1072" s="39"/>
      <c r="U1072" s="39"/>
      <c r="V1072" s="39"/>
      <c r="W1072" s="39"/>
      <c r="X1072" s="39"/>
      <c r="Y1072" s="39"/>
      <c r="Z1072" s="39"/>
      <c r="AA1072" s="39"/>
      <c r="AB1072" s="39"/>
    </row>
    <row r="1073">
      <c r="A1073" s="1"/>
      <c r="B1073" s="36"/>
      <c r="C1073" s="36"/>
      <c r="D1073" s="36"/>
      <c r="E1073" s="36"/>
      <c r="F1073" s="36"/>
      <c r="G1073" s="36"/>
      <c r="H1073" s="37"/>
      <c r="I1073" s="36"/>
      <c r="J1073" s="38"/>
      <c r="K1073" s="38"/>
      <c r="L1073" s="39"/>
      <c r="M1073" s="39"/>
      <c r="N1073" s="39"/>
      <c r="O1073" s="39"/>
      <c r="P1073" s="39"/>
      <c r="Q1073" s="39"/>
      <c r="R1073" s="39"/>
      <c r="S1073" s="39"/>
      <c r="T1073" s="39"/>
      <c r="U1073" s="39"/>
      <c r="V1073" s="39"/>
      <c r="W1073" s="39"/>
      <c r="X1073" s="39"/>
      <c r="Y1073" s="39"/>
      <c r="Z1073" s="39"/>
      <c r="AA1073" s="39"/>
      <c r="AB1073" s="39"/>
    </row>
    <row r="1074">
      <c r="A1074" s="1"/>
      <c r="B1074" s="36"/>
      <c r="C1074" s="36"/>
      <c r="D1074" s="36"/>
      <c r="E1074" s="36"/>
      <c r="F1074" s="36"/>
      <c r="G1074" s="36"/>
      <c r="H1074" s="37"/>
      <c r="I1074" s="36"/>
      <c r="J1074" s="38"/>
      <c r="K1074" s="38"/>
      <c r="L1074" s="39"/>
      <c r="M1074" s="39"/>
      <c r="N1074" s="39"/>
      <c r="O1074" s="39"/>
      <c r="P1074" s="39"/>
      <c r="Q1074" s="39"/>
      <c r="R1074" s="39"/>
      <c r="S1074" s="39"/>
      <c r="T1074" s="39"/>
      <c r="U1074" s="39"/>
      <c r="V1074" s="39"/>
      <c r="W1074" s="39"/>
      <c r="X1074" s="39"/>
      <c r="Y1074" s="39"/>
      <c r="Z1074" s="39"/>
      <c r="AA1074" s="39"/>
      <c r="AB1074" s="39"/>
    </row>
    <row r="1075">
      <c r="A1075" s="1"/>
      <c r="B1075" s="36"/>
      <c r="C1075" s="36"/>
      <c r="D1075" s="36"/>
      <c r="E1075" s="36"/>
      <c r="F1075" s="36"/>
      <c r="G1075" s="36"/>
      <c r="H1075" s="37"/>
      <c r="I1075" s="36"/>
      <c r="J1075" s="38"/>
      <c r="K1075" s="38"/>
      <c r="L1075" s="39"/>
      <c r="M1075" s="39"/>
      <c r="N1075" s="39"/>
      <c r="O1075" s="39"/>
      <c r="P1075" s="39"/>
      <c r="Q1075" s="39"/>
      <c r="R1075" s="39"/>
      <c r="S1075" s="39"/>
      <c r="T1075" s="39"/>
      <c r="U1075" s="39"/>
      <c r="V1075" s="39"/>
      <c r="W1075" s="39"/>
      <c r="X1075" s="39"/>
      <c r="Y1075" s="39"/>
      <c r="Z1075" s="39"/>
      <c r="AA1075" s="39"/>
      <c r="AB1075" s="39"/>
    </row>
    <row r="1076">
      <c r="A1076" s="1"/>
      <c r="B1076" s="36"/>
      <c r="C1076" s="36"/>
      <c r="D1076" s="36"/>
      <c r="E1076" s="36"/>
      <c r="F1076" s="36"/>
      <c r="G1076" s="36"/>
      <c r="H1076" s="37"/>
      <c r="I1076" s="36"/>
      <c r="J1076" s="38"/>
      <c r="K1076" s="38"/>
      <c r="L1076" s="39"/>
      <c r="M1076" s="39"/>
      <c r="N1076" s="39"/>
      <c r="O1076" s="39"/>
      <c r="P1076" s="39"/>
      <c r="Q1076" s="39"/>
      <c r="R1076" s="39"/>
      <c r="S1076" s="39"/>
      <c r="T1076" s="39"/>
      <c r="U1076" s="39"/>
      <c r="V1076" s="39"/>
      <c r="W1076" s="39"/>
      <c r="X1076" s="39"/>
      <c r="Y1076" s="39"/>
      <c r="Z1076" s="39"/>
      <c r="AA1076" s="39"/>
      <c r="AB1076" s="39"/>
    </row>
    <row r="1077">
      <c r="A1077" s="1"/>
      <c r="B1077" s="36"/>
      <c r="C1077" s="36"/>
      <c r="D1077" s="36"/>
      <c r="E1077" s="36"/>
      <c r="F1077" s="36"/>
      <c r="G1077" s="36"/>
      <c r="H1077" s="37"/>
      <c r="I1077" s="36"/>
      <c r="J1077" s="38"/>
      <c r="K1077" s="38"/>
      <c r="L1077" s="39"/>
      <c r="M1077" s="39"/>
      <c r="N1077" s="39"/>
      <c r="O1077" s="39"/>
      <c r="P1077" s="39"/>
      <c r="Q1077" s="39"/>
      <c r="R1077" s="39"/>
      <c r="S1077" s="39"/>
      <c r="T1077" s="39"/>
      <c r="U1077" s="39"/>
      <c r="V1077" s="39"/>
      <c r="W1077" s="39"/>
      <c r="X1077" s="39"/>
      <c r="Y1077" s="39"/>
      <c r="Z1077" s="39"/>
      <c r="AA1077" s="39"/>
      <c r="AB1077" s="39"/>
    </row>
    <row r="1078">
      <c r="A1078" s="1"/>
      <c r="B1078" s="36"/>
      <c r="C1078" s="36"/>
      <c r="D1078" s="36"/>
      <c r="E1078" s="36"/>
      <c r="F1078" s="36"/>
      <c r="G1078" s="36"/>
      <c r="H1078" s="37"/>
      <c r="I1078" s="36"/>
      <c r="J1078" s="38"/>
      <c r="K1078" s="38"/>
      <c r="L1078" s="39"/>
      <c r="M1078" s="39"/>
      <c r="N1078" s="39"/>
      <c r="O1078" s="39"/>
      <c r="P1078" s="39"/>
      <c r="Q1078" s="39"/>
      <c r="R1078" s="39"/>
      <c r="S1078" s="39"/>
      <c r="T1078" s="39"/>
      <c r="U1078" s="39"/>
      <c r="V1078" s="39"/>
      <c r="W1078" s="39"/>
      <c r="X1078" s="39"/>
      <c r="Y1078" s="39"/>
      <c r="Z1078" s="39"/>
      <c r="AA1078" s="39"/>
      <c r="AB1078" s="39"/>
    </row>
    <row r="1079">
      <c r="A1079" s="1"/>
      <c r="B1079" s="36"/>
      <c r="C1079" s="36"/>
      <c r="D1079" s="36"/>
      <c r="E1079" s="36"/>
      <c r="F1079" s="36"/>
      <c r="G1079" s="36"/>
      <c r="H1079" s="37"/>
      <c r="I1079" s="36"/>
      <c r="J1079" s="38"/>
      <c r="K1079" s="38"/>
      <c r="L1079" s="39"/>
      <c r="M1079" s="39"/>
      <c r="N1079" s="39"/>
      <c r="O1079" s="39"/>
      <c r="P1079" s="39"/>
      <c r="Q1079" s="39"/>
      <c r="R1079" s="39"/>
      <c r="S1079" s="39"/>
      <c r="T1079" s="39"/>
      <c r="U1079" s="39"/>
      <c r="V1079" s="39"/>
      <c r="W1079" s="39"/>
      <c r="X1079" s="39"/>
      <c r="Y1079" s="39"/>
      <c r="Z1079" s="39"/>
      <c r="AA1079" s="39"/>
      <c r="AB1079" s="39"/>
    </row>
    <row r="1080">
      <c r="A1080" s="1"/>
      <c r="B1080" s="36"/>
      <c r="C1080" s="36"/>
      <c r="D1080" s="36"/>
      <c r="E1080" s="36"/>
      <c r="F1080" s="36"/>
      <c r="G1080" s="36"/>
      <c r="H1080" s="37"/>
      <c r="I1080" s="36"/>
      <c r="J1080" s="38"/>
      <c r="K1080" s="38"/>
      <c r="L1080" s="39"/>
      <c r="M1080" s="39"/>
      <c r="N1080" s="39"/>
      <c r="O1080" s="39"/>
      <c r="P1080" s="39"/>
      <c r="Q1080" s="39"/>
      <c r="R1080" s="39"/>
      <c r="S1080" s="39"/>
      <c r="T1080" s="39"/>
      <c r="U1080" s="39"/>
      <c r="V1080" s="39"/>
      <c r="W1080" s="39"/>
      <c r="X1080" s="39"/>
      <c r="Y1080" s="39"/>
      <c r="Z1080" s="39"/>
      <c r="AA1080" s="39"/>
      <c r="AB1080" s="39"/>
    </row>
    <row r="1081">
      <c r="A1081" s="1"/>
      <c r="B1081" s="36"/>
      <c r="C1081" s="36"/>
      <c r="D1081" s="36"/>
      <c r="E1081" s="36"/>
      <c r="F1081" s="36"/>
      <c r="G1081" s="36"/>
      <c r="H1081" s="37"/>
      <c r="I1081" s="36"/>
      <c r="J1081" s="38"/>
      <c r="K1081" s="38"/>
      <c r="L1081" s="39"/>
      <c r="M1081" s="39"/>
      <c r="N1081" s="39"/>
      <c r="O1081" s="39"/>
      <c r="P1081" s="39"/>
      <c r="Q1081" s="39"/>
      <c r="R1081" s="39"/>
      <c r="S1081" s="39"/>
      <c r="T1081" s="39"/>
      <c r="U1081" s="39"/>
      <c r="V1081" s="39"/>
      <c r="W1081" s="39"/>
      <c r="X1081" s="39"/>
      <c r="Y1081" s="39"/>
      <c r="Z1081" s="39"/>
      <c r="AA1081" s="39"/>
      <c r="AB1081" s="39"/>
    </row>
    <row r="1082">
      <c r="A1082" s="1"/>
      <c r="B1082" s="36"/>
      <c r="C1082" s="36"/>
      <c r="D1082" s="36"/>
      <c r="E1082" s="36"/>
      <c r="F1082" s="36"/>
      <c r="G1082" s="36"/>
      <c r="H1082" s="37"/>
      <c r="I1082" s="36"/>
      <c r="J1082" s="38"/>
      <c r="K1082" s="38"/>
      <c r="L1082" s="39"/>
      <c r="M1082" s="39"/>
      <c r="N1082" s="39"/>
      <c r="O1082" s="39"/>
      <c r="P1082" s="39"/>
      <c r="Q1082" s="39"/>
      <c r="R1082" s="39"/>
      <c r="S1082" s="39"/>
      <c r="T1082" s="39"/>
      <c r="U1082" s="39"/>
      <c r="V1082" s="39"/>
      <c r="W1082" s="39"/>
      <c r="X1082" s="39"/>
      <c r="Y1082" s="39"/>
      <c r="Z1082" s="39"/>
      <c r="AA1082" s="39"/>
      <c r="AB1082" s="39"/>
    </row>
    <row r="1083">
      <c r="A1083" s="1"/>
      <c r="B1083" s="36"/>
      <c r="C1083" s="36"/>
      <c r="D1083" s="36"/>
      <c r="E1083" s="36"/>
      <c r="F1083" s="36"/>
      <c r="G1083" s="36"/>
      <c r="H1083" s="37"/>
      <c r="I1083" s="36"/>
      <c r="J1083" s="38"/>
      <c r="K1083" s="38"/>
      <c r="L1083" s="39"/>
      <c r="M1083" s="39"/>
      <c r="N1083" s="39"/>
      <c r="O1083" s="39"/>
      <c r="P1083" s="39"/>
      <c r="Q1083" s="39"/>
      <c r="R1083" s="39"/>
      <c r="S1083" s="39"/>
      <c r="T1083" s="39"/>
      <c r="U1083" s="39"/>
      <c r="V1083" s="39"/>
      <c r="W1083" s="39"/>
      <c r="X1083" s="39"/>
      <c r="Y1083" s="39"/>
      <c r="Z1083" s="39"/>
      <c r="AA1083" s="39"/>
      <c r="AB1083" s="39"/>
    </row>
    <row r="1084">
      <c r="A1084" s="1"/>
      <c r="B1084" s="36"/>
      <c r="C1084" s="36"/>
      <c r="D1084" s="36"/>
      <c r="E1084" s="36"/>
      <c r="F1084" s="36"/>
      <c r="G1084" s="36"/>
      <c r="H1084" s="37"/>
      <c r="I1084" s="36"/>
      <c r="J1084" s="38"/>
      <c r="K1084" s="38"/>
      <c r="L1084" s="39"/>
      <c r="M1084" s="39"/>
      <c r="N1084" s="39"/>
      <c r="O1084" s="39"/>
      <c r="P1084" s="39"/>
      <c r="Q1084" s="39"/>
      <c r="R1084" s="39"/>
      <c r="S1084" s="39"/>
      <c r="T1084" s="39"/>
      <c r="U1084" s="39"/>
      <c r="V1084" s="39"/>
      <c r="W1084" s="39"/>
      <c r="X1084" s="39"/>
      <c r="Y1084" s="39"/>
      <c r="Z1084" s="39"/>
      <c r="AA1084" s="39"/>
      <c r="AB1084" s="39"/>
    </row>
    <row r="1085">
      <c r="A1085" s="1"/>
      <c r="B1085" s="36"/>
      <c r="C1085" s="36"/>
      <c r="D1085" s="36"/>
      <c r="E1085" s="36"/>
      <c r="F1085" s="36"/>
      <c r="G1085" s="36"/>
      <c r="H1085" s="37"/>
      <c r="I1085" s="36"/>
      <c r="J1085" s="38"/>
      <c r="K1085" s="38"/>
      <c r="L1085" s="39"/>
      <c r="M1085" s="39"/>
      <c r="N1085" s="39"/>
      <c r="O1085" s="39"/>
      <c r="P1085" s="39"/>
      <c r="Q1085" s="39"/>
      <c r="R1085" s="39"/>
      <c r="S1085" s="39"/>
      <c r="T1085" s="39"/>
      <c r="U1085" s="39"/>
      <c r="V1085" s="39"/>
      <c r="W1085" s="39"/>
      <c r="X1085" s="39"/>
      <c r="Y1085" s="39"/>
      <c r="Z1085" s="39"/>
      <c r="AA1085" s="39"/>
      <c r="AB1085" s="39"/>
    </row>
    <row r="1086">
      <c r="A1086" s="1"/>
      <c r="B1086" s="36"/>
      <c r="C1086" s="36"/>
      <c r="D1086" s="36"/>
      <c r="E1086" s="36"/>
      <c r="F1086" s="36"/>
      <c r="G1086" s="36"/>
      <c r="H1086" s="37"/>
      <c r="I1086" s="36"/>
      <c r="J1086" s="38"/>
      <c r="K1086" s="38"/>
      <c r="L1086" s="39"/>
      <c r="M1086" s="39"/>
      <c r="N1086" s="39"/>
      <c r="O1086" s="39"/>
      <c r="P1086" s="39"/>
      <c r="Q1086" s="39"/>
      <c r="R1086" s="39"/>
      <c r="S1086" s="39"/>
      <c r="T1086" s="39"/>
      <c r="U1086" s="39"/>
      <c r="V1086" s="39"/>
      <c r="W1086" s="39"/>
      <c r="X1086" s="39"/>
      <c r="Y1086" s="39"/>
      <c r="Z1086" s="39"/>
      <c r="AA1086" s="39"/>
      <c r="AB1086" s="39"/>
    </row>
    <row r="1087">
      <c r="A1087" s="1"/>
      <c r="B1087" s="36"/>
      <c r="C1087" s="36"/>
      <c r="D1087" s="36"/>
      <c r="E1087" s="36"/>
      <c r="F1087" s="36"/>
      <c r="G1087" s="36"/>
      <c r="H1087" s="37"/>
      <c r="I1087" s="36"/>
      <c r="J1087" s="38"/>
      <c r="K1087" s="38"/>
      <c r="L1087" s="39"/>
      <c r="M1087" s="39"/>
      <c r="N1087" s="39"/>
      <c r="O1087" s="39"/>
      <c r="P1087" s="39"/>
      <c r="Q1087" s="39"/>
      <c r="R1087" s="39"/>
      <c r="S1087" s="39"/>
      <c r="T1087" s="39"/>
      <c r="U1087" s="39"/>
      <c r="V1087" s="39"/>
      <c r="W1087" s="39"/>
      <c r="X1087" s="39"/>
      <c r="Y1087" s="39"/>
      <c r="Z1087" s="39"/>
      <c r="AA1087" s="39"/>
      <c r="AB1087" s="39"/>
    </row>
    <row r="1088">
      <c r="A1088" s="1"/>
      <c r="B1088" s="36"/>
      <c r="C1088" s="36"/>
      <c r="D1088" s="36"/>
      <c r="E1088" s="36"/>
      <c r="F1088" s="36"/>
      <c r="G1088" s="36"/>
      <c r="H1088" s="37"/>
      <c r="I1088" s="36"/>
      <c r="J1088" s="38"/>
      <c r="K1088" s="38"/>
      <c r="L1088" s="39"/>
      <c r="M1088" s="39"/>
      <c r="N1088" s="39"/>
      <c r="O1088" s="39"/>
      <c r="P1088" s="39"/>
      <c r="Q1088" s="39"/>
      <c r="R1088" s="39"/>
      <c r="S1088" s="39"/>
      <c r="T1088" s="39"/>
      <c r="U1088" s="39"/>
      <c r="V1088" s="39"/>
      <c r="W1088" s="39"/>
      <c r="X1088" s="39"/>
      <c r="Y1088" s="39"/>
      <c r="Z1088" s="39"/>
      <c r="AA1088" s="39"/>
      <c r="AB1088" s="39"/>
    </row>
    <row r="1089">
      <c r="A1089" s="1"/>
      <c r="B1089" s="36"/>
      <c r="C1089" s="36"/>
      <c r="D1089" s="36"/>
      <c r="E1089" s="36"/>
      <c r="F1089" s="36"/>
      <c r="G1089" s="36"/>
      <c r="H1089" s="37"/>
      <c r="I1089" s="36"/>
      <c r="J1089" s="38"/>
      <c r="K1089" s="38"/>
      <c r="L1089" s="39"/>
      <c r="M1089" s="39"/>
      <c r="N1089" s="39"/>
      <c r="O1089" s="39"/>
      <c r="P1089" s="39"/>
      <c r="Q1089" s="39"/>
      <c r="R1089" s="39"/>
      <c r="S1089" s="39"/>
      <c r="T1089" s="39"/>
      <c r="U1089" s="39"/>
      <c r="V1089" s="39"/>
      <c r="W1089" s="39"/>
      <c r="X1089" s="39"/>
      <c r="Y1089" s="39"/>
      <c r="Z1089" s="39"/>
      <c r="AA1089" s="39"/>
      <c r="AB1089" s="39"/>
    </row>
    <row r="1090">
      <c r="A1090" s="1"/>
      <c r="B1090" s="36"/>
      <c r="C1090" s="36"/>
      <c r="D1090" s="36"/>
      <c r="E1090" s="36"/>
      <c r="F1090" s="36"/>
      <c r="G1090" s="36"/>
      <c r="H1090" s="37"/>
      <c r="I1090" s="36"/>
      <c r="J1090" s="38"/>
      <c r="K1090" s="38"/>
      <c r="L1090" s="39"/>
      <c r="M1090" s="39"/>
      <c r="N1090" s="39"/>
      <c r="O1090" s="39"/>
      <c r="P1090" s="39"/>
      <c r="Q1090" s="39"/>
      <c r="R1090" s="39"/>
      <c r="S1090" s="39"/>
      <c r="T1090" s="39"/>
      <c r="U1090" s="39"/>
      <c r="V1090" s="39"/>
      <c r="W1090" s="39"/>
      <c r="X1090" s="39"/>
      <c r="Y1090" s="39"/>
      <c r="Z1090" s="39"/>
      <c r="AA1090" s="39"/>
      <c r="AB1090" s="39"/>
    </row>
    <row r="1091">
      <c r="A1091" s="1"/>
      <c r="B1091" s="36"/>
      <c r="C1091" s="36"/>
      <c r="D1091" s="36"/>
      <c r="E1091" s="36"/>
      <c r="F1091" s="36"/>
      <c r="G1091" s="36"/>
      <c r="H1091" s="37"/>
      <c r="I1091" s="36"/>
      <c r="J1091" s="38"/>
      <c r="K1091" s="38"/>
      <c r="L1091" s="39"/>
      <c r="M1091" s="39"/>
      <c r="N1091" s="39"/>
      <c r="O1091" s="39"/>
      <c r="P1091" s="39"/>
      <c r="Q1091" s="39"/>
      <c r="R1091" s="39"/>
      <c r="S1091" s="39"/>
      <c r="T1091" s="39"/>
      <c r="U1091" s="39"/>
      <c r="V1091" s="39"/>
      <c r="W1091" s="39"/>
      <c r="X1091" s="39"/>
      <c r="Y1091" s="39"/>
      <c r="Z1091" s="39"/>
      <c r="AA1091" s="39"/>
      <c r="AB1091" s="39"/>
    </row>
    <row r="1092">
      <c r="A1092" s="1"/>
      <c r="B1092" s="36"/>
      <c r="C1092" s="36"/>
      <c r="D1092" s="36"/>
      <c r="E1092" s="36"/>
      <c r="F1092" s="36"/>
      <c r="G1092" s="36"/>
      <c r="H1092" s="37"/>
      <c r="I1092" s="36"/>
      <c r="J1092" s="38"/>
      <c r="K1092" s="38"/>
      <c r="L1092" s="39"/>
      <c r="M1092" s="39"/>
      <c r="N1092" s="39"/>
      <c r="O1092" s="39"/>
      <c r="P1092" s="39"/>
      <c r="Q1092" s="39"/>
      <c r="R1092" s="39"/>
      <c r="S1092" s="39"/>
      <c r="T1092" s="39"/>
      <c r="U1092" s="39"/>
      <c r="V1092" s="39"/>
      <c r="W1092" s="39"/>
      <c r="X1092" s="39"/>
      <c r="Y1092" s="39"/>
      <c r="Z1092" s="39"/>
      <c r="AA1092" s="39"/>
      <c r="AB1092" s="39"/>
    </row>
    <row r="1093">
      <c r="A1093" s="1"/>
      <c r="B1093" s="36"/>
      <c r="C1093" s="36"/>
      <c r="D1093" s="36"/>
      <c r="E1093" s="36"/>
      <c r="F1093" s="36"/>
      <c r="G1093" s="36"/>
      <c r="H1093" s="37"/>
      <c r="I1093" s="36"/>
      <c r="J1093" s="38"/>
      <c r="K1093" s="38"/>
      <c r="L1093" s="39"/>
      <c r="M1093" s="39"/>
      <c r="N1093" s="39"/>
      <c r="O1093" s="39"/>
      <c r="P1093" s="39"/>
      <c r="Q1093" s="39"/>
      <c r="R1093" s="39"/>
      <c r="S1093" s="39"/>
      <c r="T1093" s="39"/>
      <c r="U1093" s="39"/>
      <c r="V1093" s="39"/>
      <c r="W1093" s="39"/>
      <c r="X1093" s="39"/>
      <c r="Y1093" s="39"/>
      <c r="Z1093" s="39"/>
      <c r="AA1093" s="39"/>
      <c r="AB1093" s="39"/>
    </row>
    <row r="1094">
      <c r="A1094" s="1"/>
      <c r="B1094" s="36"/>
      <c r="C1094" s="36"/>
      <c r="D1094" s="36"/>
      <c r="E1094" s="36"/>
      <c r="F1094" s="36"/>
      <c r="G1094" s="36"/>
      <c r="H1094" s="37"/>
      <c r="I1094" s="36"/>
      <c r="J1094" s="38"/>
      <c r="K1094" s="38"/>
      <c r="L1094" s="39"/>
      <c r="M1094" s="39"/>
      <c r="N1094" s="39"/>
      <c r="O1094" s="39"/>
      <c r="P1094" s="39"/>
      <c r="Q1094" s="39"/>
      <c r="R1094" s="39"/>
      <c r="S1094" s="39"/>
      <c r="T1094" s="39"/>
      <c r="U1094" s="39"/>
      <c r="V1094" s="39"/>
      <c r="W1094" s="39"/>
      <c r="X1094" s="39"/>
      <c r="Y1094" s="39"/>
      <c r="Z1094" s="39"/>
      <c r="AA1094" s="39"/>
      <c r="AB1094" s="39"/>
    </row>
    <row r="1095">
      <c r="A1095" s="1"/>
      <c r="B1095" s="36"/>
      <c r="C1095" s="36"/>
      <c r="D1095" s="36"/>
      <c r="E1095" s="36"/>
      <c r="F1095" s="36"/>
      <c r="G1095" s="36"/>
      <c r="H1095" s="37"/>
      <c r="I1095" s="36"/>
      <c r="J1095" s="38"/>
      <c r="K1095" s="38"/>
      <c r="L1095" s="39"/>
      <c r="M1095" s="39"/>
      <c r="N1095" s="39"/>
      <c r="O1095" s="39"/>
      <c r="P1095" s="39"/>
      <c r="Q1095" s="39"/>
      <c r="R1095" s="39"/>
      <c r="S1095" s="39"/>
      <c r="T1095" s="39"/>
      <c r="U1095" s="39"/>
      <c r="V1095" s="39"/>
      <c r="W1095" s="39"/>
      <c r="X1095" s="39"/>
      <c r="Y1095" s="39"/>
      <c r="Z1095" s="39"/>
      <c r="AA1095" s="39"/>
      <c r="AB1095" s="39"/>
    </row>
    <row r="1096">
      <c r="A1096" s="1"/>
      <c r="B1096" s="36"/>
      <c r="C1096" s="36"/>
      <c r="D1096" s="36"/>
      <c r="E1096" s="36"/>
      <c r="F1096" s="36"/>
      <c r="G1096" s="36"/>
      <c r="H1096" s="37"/>
      <c r="I1096" s="36"/>
      <c r="J1096" s="38"/>
      <c r="K1096" s="38"/>
      <c r="L1096" s="39"/>
      <c r="M1096" s="39"/>
      <c r="N1096" s="39"/>
      <c r="O1096" s="39"/>
      <c r="P1096" s="39"/>
      <c r="Q1096" s="39"/>
      <c r="R1096" s="39"/>
      <c r="S1096" s="39"/>
      <c r="T1096" s="39"/>
      <c r="U1096" s="39"/>
      <c r="V1096" s="39"/>
      <c r="W1096" s="39"/>
      <c r="X1096" s="39"/>
      <c r="Y1096" s="39"/>
      <c r="Z1096" s="39"/>
      <c r="AA1096" s="39"/>
      <c r="AB1096" s="39"/>
    </row>
    <row r="1097">
      <c r="A1097" s="1"/>
      <c r="B1097" s="36"/>
      <c r="C1097" s="36"/>
      <c r="D1097" s="36"/>
      <c r="E1097" s="36"/>
      <c r="F1097" s="36"/>
      <c r="G1097" s="36"/>
      <c r="H1097" s="37"/>
      <c r="I1097" s="36"/>
      <c r="J1097" s="38"/>
      <c r="K1097" s="38"/>
      <c r="L1097" s="39"/>
      <c r="M1097" s="39"/>
      <c r="N1097" s="39"/>
      <c r="O1097" s="39"/>
      <c r="P1097" s="39"/>
      <c r="Q1097" s="39"/>
      <c r="R1097" s="39"/>
      <c r="S1097" s="39"/>
      <c r="T1097" s="39"/>
      <c r="U1097" s="39"/>
      <c r="V1097" s="39"/>
      <c r="W1097" s="39"/>
      <c r="X1097" s="39"/>
      <c r="Y1097" s="39"/>
      <c r="Z1097" s="39"/>
      <c r="AA1097" s="39"/>
      <c r="AB1097" s="39"/>
    </row>
    <row r="1098">
      <c r="A1098" s="1"/>
      <c r="B1098" s="36"/>
      <c r="C1098" s="36"/>
      <c r="D1098" s="36"/>
      <c r="E1098" s="36"/>
      <c r="F1098" s="36"/>
      <c r="G1098" s="36"/>
      <c r="H1098" s="37"/>
      <c r="I1098" s="36"/>
      <c r="J1098" s="38"/>
      <c r="K1098" s="38"/>
      <c r="L1098" s="39"/>
      <c r="M1098" s="39"/>
      <c r="N1098" s="39"/>
      <c r="O1098" s="39"/>
      <c r="P1098" s="39"/>
      <c r="Q1098" s="39"/>
      <c r="R1098" s="39"/>
      <c r="S1098" s="39"/>
      <c r="T1098" s="39"/>
      <c r="U1098" s="39"/>
      <c r="V1098" s="39"/>
      <c r="W1098" s="39"/>
      <c r="X1098" s="39"/>
      <c r="Y1098" s="39"/>
      <c r="Z1098" s="39"/>
      <c r="AA1098" s="39"/>
      <c r="AB1098" s="39"/>
    </row>
    <row r="1099">
      <c r="A1099" s="1"/>
      <c r="B1099" s="36"/>
      <c r="C1099" s="36"/>
      <c r="D1099" s="36"/>
      <c r="E1099" s="36"/>
      <c r="F1099" s="36"/>
      <c r="G1099" s="36"/>
      <c r="H1099" s="37"/>
      <c r="I1099" s="36"/>
      <c r="J1099" s="38"/>
      <c r="K1099" s="38"/>
      <c r="L1099" s="39"/>
      <c r="M1099" s="39"/>
      <c r="N1099" s="39"/>
      <c r="O1099" s="39"/>
      <c r="P1099" s="39"/>
      <c r="Q1099" s="39"/>
      <c r="R1099" s="39"/>
      <c r="S1099" s="39"/>
      <c r="T1099" s="39"/>
      <c r="U1099" s="39"/>
      <c r="V1099" s="39"/>
      <c r="W1099" s="39"/>
      <c r="X1099" s="39"/>
      <c r="Y1099" s="39"/>
      <c r="Z1099" s="39"/>
      <c r="AA1099" s="39"/>
      <c r="AB1099" s="39"/>
    </row>
    <row r="1100">
      <c r="A1100" s="1"/>
      <c r="B1100" s="36"/>
      <c r="C1100" s="36"/>
      <c r="D1100" s="36"/>
      <c r="E1100" s="36"/>
      <c r="F1100" s="36"/>
      <c r="G1100" s="36"/>
      <c r="H1100" s="37"/>
      <c r="I1100" s="36"/>
      <c r="J1100" s="38"/>
      <c r="K1100" s="38"/>
      <c r="L1100" s="39"/>
      <c r="M1100" s="39"/>
      <c r="N1100" s="39"/>
      <c r="O1100" s="39"/>
      <c r="P1100" s="39"/>
      <c r="Q1100" s="39"/>
      <c r="R1100" s="39"/>
      <c r="S1100" s="39"/>
      <c r="T1100" s="39"/>
      <c r="U1100" s="39"/>
      <c r="V1100" s="39"/>
      <c r="W1100" s="39"/>
      <c r="X1100" s="39"/>
      <c r="Y1100" s="39"/>
      <c r="Z1100" s="39"/>
      <c r="AA1100" s="39"/>
      <c r="AB1100" s="39"/>
    </row>
    <row r="1101">
      <c r="A1101" s="1"/>
      <c r="B1101" s="36"/>
      <c r="C1101" s="36"/>
      <c r="D1101" s="36"/>
      <c r="E1101" s="36"/>
      <c r="F1101" s="36"/>
      <c r="G1101" s="36"/>
      <c r="H1101" s="37"/>
      <c r="I1101" s="36"/>
      <c r="J1101" s="38"/>
      <c r="K1101" s="38"/>
      <c r="L1101" s="39"/>
      <c r="M1101" s="39"/>
      <c r="N1101" s="39"/>
      <c r="O1101" s="39"/>
      <c r="P1101" s="39"/>
      <c r="Q1101" s="39"/>
      <c r="R1101" s="39"/>
      <c r="S1101" s="39"/>
      <c r="T1101" s="39"/>
      <c r="U1101" s="39"/>
      <c r="V1101" s="39"/>
      <c r="W1101" s="39"/>
      <c r="X1101" s="39"/>
      <c r="Y1101" s="39"/>
      <c r="Z1101" s="39"/>
      <c r="AA1101" s="39"/>
      <c r="AB1101" s="39"/>
    </row>
    <row r="1102">
      <c r="A1102" s="1"/>
      <c r="B1102" s="36"/>
      <c r="C1102" s="36"/>
      <c r="D1102" s="36"/>
      <c r="E1102" s="36"/>
      <c r="F1102" s="36"/>
      <c r="G1102" s="36"/>
      <c r="H1102" s="37"/>
      <c r="I1102" s="36"/>
      <c r="J1102" s="38"/>
      <c r="K1102" s="38"/>
      <c r="L1102" s="39"/>
      <c r="M1102" s="39"/>
      <c r="N1102" s="39"/>
      <c r="O1102" s="39"/>
      <c r="P1102" s="39"/>
      <c r="Q1102" s="39"/>
      <c r="R1102" s="39"/>
      <c r="S1102" s="39"/>
      <c r="T1102" s="39"/>
      <c r="U1102" s="39"/>
      <c r="V1102" s="39"/>
      <c r="W1102" s="39"/>
      <c r="X1102" s="39"/>
      <c r="Y1102" s="39"/>
      <c r="Z1102" s="39"/>
      <c r="AA1102" s="39"/>
      <c r="AB1102" s="39"/>
    </row>
    <row r="1103">
      <c r="A1103" s="1"/>
      <c r="B1103" s="36"/>
      <c r="C1103" s="36"/>
      <c r="D1103" s="36"/>
      <c r="E1103" s="36"/>
      <c r="F1103" s="36"/>
      <c r="G1103" s="36"/>
      <c r="H1103" s="37"/>
      <c r="I1103" s="36"/>
      <c r="J1103" s="38"/>
      <c r="K1103" s="38"/>
      <c r="L1103" s="39"/>
      <c r="M1103" s="39"/>
      <c r="N1103" s="39"/>
      <c r="O1103" s="39"/>
      <c r="P1103" s="39"/>
      <c r="Q1103" s="39"/>
      <c r="R1103" s="39"/>
      <c r="S1103" s="39"/>
      <c r="T1103" s="39"/>
      <c r="U1103" s="39"/>
      <c r="V1103" s="39"/>
      <c r="W1103" s="39"/>
      <c r="X1103" s="39"/>
      <c r="Y1103" s="39"/>
      <c r="Z1103" s="39"/>
      <c r="AA1103" s="39"/>
      <c r="AB1103" s="39"/>
    </row>
    <row r="1104">
      <c r="A1104" s="1"/>
      <c r="B1104" s="36"/>
      <c r="C1104" s="36"/>
      <c r="D1104" s="36"/>
      <c r="E1104" s="36"/>
      <c r="F1104" s="36"/>
      <c r="G1104" s="36"/>
      <c r="H1104" s="37"/>
      <c r="I1104" s="36"/>
      <c r="J1104" s="38"/>
      <c r="K1104" s="38"/>
      <c r="L1104" s="39"/>
      <c r="M1104" s="39"/>
      <c r="N1104" s="39"/>
      <c r="O1104" s="39"/>
      <c r="P1104" s="39"/>
      <c r="Q1104" s="39"/>
      <c r="R1104" s="39"/>
      <c r="S1104" s="39"/>
      <c r="T1104" s="39"/>
      <c r="U1104" s="39"/>
      <c r="V1104" s="39"/>
      <c r="W1104" s="39"/>
      <c r="X1104" s="39"/>
      <c r="Y1104" s="39"/>
      <c r="Z1104" s="39"/>
      <c r="AA1104" s="39"/>
      <c r="AB1104" s="39"/>
    </row>
    <row r="1105">
      <c r="A1105" s="1"/>
      <c r="B1105" s="36"/>
      <c r="C1105" s="36"/>
      <c r="D1105" s="36"/>
      <c r="E1105" s="36"/>
      <c r="F1105" s="36"/>
      <c r="G1105" s="36"/>
      <c r="H1105" s="37"/>
      <c r="I1105" s="36"/>
      <c r="J1105" s="38"/>
      <c r="K1105" s="38"/>
      <c r="L1105" s="39"/>
      <c r="M1105" s="39"/>
      <c r="N1105" s="39"/>
      <c r="O1105" s="39"/>
      <c r="P1105" s="39"/>
      <c r="Q1105" s="39"/>
      <c r="R1105" s="39"/>
      <c r="S1105" s="39"/>
      <c r="T1105" s="39"/>
      <c r="U1105" s="39"/>
      <c r="V1105" s="39"/>
      <c r="W1105" s="39"/>
      <c r="X1105" s="39"/>
      <c r="Y1105" s="39"/>
      <c r="Z1105" s="39"/>
      <c r="AA1105" s="39"/>
      <c r="AB1105" s="39"/>
    </row>
    <row r="1106">
      <c r="A1106" s="1"/>
      <c r="B1106" s="36"/>
      <c r="C1106" s="36"/>
      <c r="D1106" s="36"/>
      <c r="E1106" s="36"/>
      <c r="F1106" s="36"/>
      <c r="G1106" s="36"/>
      <c r="H1106" s="37"/>
      <c r="I1106" s="36"/>
      <c r="J1106" s="38"/>
      <c r="K1106" s="38"/>
      <c r="L1106" s="39"/>
      <c r="M1106" s="39"/>
      <c r="N1106" s="39"/>
      <c r="O1106" s="39"/>
      <c r="P1106" s="39"/>
      <c r="Q1106" s="39"/>
      <c r="R1106" s="39"/>
      <c r="S1106" s="39"/>
      <c r="T1106" s="39"/>
      <c r="U1106" s="39"/>
      <c r="V1106" s="39"/>
      <c r="W1106" s="39"/>
      <c r="X1106" s="39"/>
      <c r="Y1106" s="39"/>
      <c r="Z1106" s="39"/>
      <c r="AA1106" s="39"/>
      <c r="AB1106" s="39"/>
    </row>
    <row r="1107">
      <c r="A1107" s="1"/>
      <c r="B1107" s="36"/>
      <c r="C1107" s="36"/>
      <c r="D1107" s="36"/>
      <c r="E1107" s="36"/>
      <c r="F1107" s="36"/>
      <c r="G1107" s="36"/>
      <c r="H1107" s="37"/>
      <c r="I1107" s="36"/>
      <c r="J1107" s="38"/>
      <c r="K1107" s="38"/>
      <c r="L1107" s="39"/>
      <c r="M1107" s="39"/>
      <c r="N1107" s="39"/>
      <c r="O1107" s="39"/>
      <c r="P1107" s="39"/>
      <c r="Q1107" s="39"/>
      <c r="R1107" s="39"/>
      <c r="S1107" s="39"/>
      <c r="T1107" s="39"/>
      <c r="U1107" s="39"/>
      <c r="V1107" s="39"/>
      <c r="W1107" s="39"/>
      <c r="X1107" s="39"/>
      <c r="Y1107" s="39"/>
      <c r="Z1107" s="39"/>
      <c r="AA1107" s="39"/>
      <c r="AB1107" s="39"/>
    </row>
    <row r="1108">
      <c r="A1108" s="1"/>
      <c r="B1108" s="36"/>
      <c r="C1108" s="36"/>
      <c r="D1108" s="36"/>
      <c r="E1108" s="36"/>
      <c r="F1108" s="36"/>
      <c r="G1108" s="36"/>
      <c r="H1108" s="37"/>
      <c r="I1108" s="36"/>
      <c r="J1108" s="38"/>
      <c r="K1108" s="38"/>
      <c r="L1108" s="39"/>
      <c r="M1108" s="39"/>
      <c r="N1108" s="39"/>
      <c r="O1108" s="39"/>
      <c r="P1108" s="39"/>
      <c r="Q1108" s="39"/>
      <c r="R1108" s="39"/>
      <c r="S1108" s="39"/>
      <c r="T1108" s="39"/>
      <c r="U1108" s="39"/>
      <c r="V1108" s="39"/>
      <c r="W1108" s="39"/>
      <c r="X1108" s="39"/>
      <c r="Y1108" s="39"/>
      <c r="Z1108" s="39"/>
      <c r="AA1108" s="39"/>
      <c r="AB1108" s="39"/>
    </row>
    <row r="1109">
      <c r="A1109" s="1"/>
      <c r="B1109" s="36"/>
      <c r="C1109" s="36"/>
      <c r="D1109" s="36"/>
      <c r="E1109" s="36"/>
      <c r="F1109" s="36"/>
      <c r="G1109" s="36"/>
      <c r="H1109" s="37"/>
      <c r="I1109" s="36"/>
      <c r="J1109" s="38"/>
      <c r="K1109" s="38"/>
      <c r="L1109" s="39"/>
      <c r="M1109" s="39"/>
      <c r="N1109" s="39"/>
      <c r="O1109" s="39"/>
      <c r="P1109" s="39"/>
      <c r="Q1109" s="39"/>
      <c r="R1109" s="39"/>
      <c r="S1109" s="39"/>
      <c r="T1109" s="39"/>
      <c r="U1109" s="39"/>
      <c r="V1109" s="39"/>
      <c r="W1109" s="39"/>
      <c r="X1109" s="39"/>
      <c r="Y1109" s="39"/>
      <c r="Z1109" s="39"/>
      <c r="AA1109" s="39"/>
      <c r="AB1109" s="39"/>
    </row>
    <row r="1110">
      <c r="A1110" s="1"/>
      <c r="B1110" s="36"/>
      <c r="C1110" s="36"/>
      <c r="D1110" s="36"/>
      <c r="E1110" s="36"/>
      <c r="F1110" s="36"/>
      <c r="G1110" s="36"/>
      <c r="H1110" s="37"/>
      <c r="I1110" s="36"/>
      <c r="J1110" s="38"/>
      <c r="K1110" s="38"/>
      <c r="L1110" s="39"/>
      <c r="M1110" s="39"/>
      <c r="N1110" s="39"/>
      <c r="O1110" s="39"/>
      <c r="P1110" s="39"/>
      <c r="Q1110" s="39"/>
      <c r="R1110" s="39"/>
      <c r="S1110" s="39"/>
      <c r="T1110" s="39"/>
      <c r="U1110" s="39"/>
      <c r="V1110" s="39"/>
      <c r="W1110" s="39"/>
      <c r="X1110" s="39"/>
      <c r="Y1110" s="39"/>
      <c r="Z1110" s="39"/>
      <c r="AA1110" s="39"/>
      <c r="AB1110" s="39"/>
    </row>
    <row r="1111">
      <c r="A1111" s="1"/>
      <c r="B1111" s="36"/>
      <c r="C1111" s="36"/>
      <c r="D1111" s="36"/>
      <c r="E1111" s="36"/>
      <c r="F1111" s="36"/>
      <c r="G1111" s="36"/>
      <c r="H1111" s="37"/>
      <c r="I1111" s="36"/>
      <c r="J1111" s="38"/>
      <c r="K1111" s="38"/>
      <c r="L1111" s="39"/>
      <c r="M1111" s="39"/>
      <c r="N1111" s="39"/>
      <c r="O1111" s="39"/>
      <c r="P1111" s="39"/>
      <c r="Q1111" s="39"/>
      <c r="R1111" s="39"/>
      <c r="S1111" s="39"/>
      <c r="T1111" s="39"/>
      <c r="U1111" s="39"/>
      <c r="V1111" s="39"/>
      <c r="W1111" s="39"/>
      <c r="X1111" s="39"/>
      <c r="Y1111" s="39"/>
      <c r="Z1111" s="39"/>
      <c r="AA1111" s="39"/>
      <c r="AB1111" s="39"/>
    </row>
    <row r="1112">
      <c r="A1112" s="1"/>
      <c r="B1112" s="36"/>
      <c r="C1112" s="36"/>
      <c r="D1112" s="36"/>
      <c r="E1112" s="36"/>
      <c r="F1112" s="36"/>
      <c r="G1112" s="36"/>
      <c r="H1112" s="37"/>
      <c r="I1112" s="36"/>
      <c r="J1112" s="38"/>
      <c r="K1112" s="38"/>
      <c r="L1112" s="39"/>
      <c r="M1112" s="39"/>
      <c r="N1112" s="39"/>
      <c r="O1112" s="39"/>
      <c r="P1112" s="39"/>
      <c r="Q1112" s="39"/>
      <c r="R1112" s="39"/>
      <c r="S1112" s="39"/>
      <c r="T1112" s="39"/>
      <c r="U1112" s="39"/>
      <c r="V1112" s="39"/>
      <c r="W1112" s="39"/>
      <c r="X1112" s="39"/>
      <c r="Y1112" s="39"/>
      <c r="Z1112" s="39"/>
      <c r="AA1112" s="39"/>
      <c r="AB1112" s="39"/>
    </row>
    <row r="1113">
      <c r="A1113" s="1"/>
      <c r="B1113" s="36"/>
      <c r="C1113" s="36"/>
      <c r="D1113" s="36"/>
      <c r="E1113" s="36"/>
      <c r="F1113" s="36"/>
      <c r="G1113" s="36"/>
      <c r="H1113" s="37"/>
      <c r="I1113" s="36"/>
      <c r="J1113" s="38"/>
      <c r="K1113" s="38"/>
      <c r="L1113" s="39"/>
      <c r="M1113" s="39"/>
      <c r="N1113" s="39"/>
      <c r="O1113" s="39"/>
      <c r="P1113" s="39"/>
      <c r="Q1113" s="39"/>
      <c r="R1113" s="39"/>
      <c r="S1113" s="39"/>
      <c r="T1113" s="39"/>
      <c r="U1113" s="39"/>
      <c r="V1113" s="39"/>
      <c r="W1113" s="39"/>
      <c r="X1113" s="39"/>
      <c r="Y1113" s="39"/>
      <c r="Z1113" s="39"/>
      <c r="AA1113" s="39"/>
      <c r="AB1113" s="39"/>
    </row>
    <row r="1114">
      <c r="A1114" s="1"/>
      <c r="B1114" s="36"/>
      <c r="C1114" s="36"/>
      <c r="D1114" s="36"/>
      <c r="E1114" s="36"/>
      <c r="F1114" s="36"/>
      <c r="G1114" s="36"/>
      <c r="H1114" s="37"/>
      <c r="I1114" s="36"/>
      <c r="J1114" s="38"/>
      <c r="K1114" s="38"/>
      <c r="L1114" s="39"/>
      <c r="M1114" s="39"/>
      <c r="N1114" s="39"/>
      <c r="O1114" s="39"/>
      <c r="P1114" s="39"/>
      <c r="Q1114" s="39"/>
      <c r="R1114" s="39"/>
      <c r="S1114" s="39"/>
      <c r="T1114" s="39"/>
      <c r="U1114" s="39"/>
      <c r="V1114" s="39"/>
      <c r="W1114" s="39"/>
      <c r="X1114" s="39"/>
      <c r="Y1114" s="39"/>
      <c r="Z1114" s="39"/>
      <c r="AA1114" s="39"/>
      <c r="AB1114" s="39"/>
    </row>
    <row r="1115">
      <c r="A1115" s="1"/>
      <c r="B1115" s="36"/>
      <c r="C1115" s="36"/>
      <c r="D1115" s="36"/>
      <c r="E1115" s="36"/>
      <c r="F1115" s="36"/>
      <c r="G1115" s="36"/>
      <c r="H1115" s="37"/>
      <c r="I1115" s="36"/>
      <c r="J1115" s="38"/>
      <c r="K1115" s="38"/>
      <c r="L1115" s="39"/>
      <c r="M1115" s="39"/>
      <c r="N1115" s="39"/>
      <c r="O1115" s="39"/>
      <c r="P1115" s="39"/>
      <c r="Q1115" s="39"/>
      <c r="R1115" s="39"/>
      <c r="S1115" s="39"/>
      <c r="T1115" s="39"/>
      <c r="U1115" s="39"/>
      <c r="V1115" s="39"/>
      <c r="W1115" s="39"/>
      <c r="X1115" s="39"/>
      <c r="Y1115" s="39"/>
      <c r="Z1115" s="39"/>
      <c r="AA1115" s="39"/>
      <c r="AB1115" s="39"/>
    </row>
    <row r="1116">
      <c r="A1116" s="1"/>
      <c r="B1116" s="36"/>
      <c r="C1116" s="36"/>
      <c r="D1116" s="36"/>
      <c r="E1116" s="36"/>
      <c r="F1116" s="36"/>
      <c r="G1116" s="36"/>
      <c r="H1116" s="37"/>
      <c r="I1116" s="36"/>
      <c r="J1116" s="38"/>
      <c r="K1116" s="38"/>
      <c r="L1116" s="39"/>
      <c r="M1116" s="39"/>
      <c r="N1116" s="39"/>
      <c r="O1116" s="39"/>
      <c r="P1116" s="39"/>
      <c r="Q1116" s="39"/>
      <c r="R1116" s="39"/>
      <c r="S1116" s="39"/>
      <c r="T1116" s="39"/>
      <c r="U1116" s="39"/>
      <c r="V1116" s="39"/>
      <c r="W1116" s="39"/>
      <c r="X1116" s="39"/>
      <c r="Y1116" s="39"/>
      <c r="Z1116" s="39"/>
      <c r="AA1116" s="39"/>
      <c r="AB1116" s="39"/>
    </row>
    <row r="1117">
      <c r="A1117" s="1"/>
      <c r="B1117" s="36"/>
      <c r="C1117" s="36"/>
      <c r="D1117" s="36"/>
      <c r="E1117" s="36"/>
      <c r="F1117" s="36"/>
      <c r="G1117" s="36"/>
      <c r="H1117" s="37"/>
      <c r="I1117" s="36"/>
      <c r="J1117" s="38"/>
      <c r="K1117" s="38"/>
      <c r="L1117" s="39"/>
      <c r="M1117" s="39"/>
      <c r="N1117" s="39"/>
      <c r="O1117" s="39"/>
      <c r="P1117" s="39"/>
      <c r="Q1117" s="39"/>
      <c r="R1117" s="39"/>
      <c r="S1117" s="39"/>
      <c r="T1117" s="39"/>
      <c r="U1117" s="39"/>
      <c r="V1117" s="39"/>
      <c r="W1117" s="39"/>
      <c r="X1117" s="39"/>
      <c r="Y1117" s="39"/>
      <c r="Z1117" s="39"/>
      <c r="AA1117" s="39"/>
      <c r="AB1117" s="39"/>
    </row>
    <row r="1118">
      <c r="A1118" s="1"/>
      <c r="B1118" s="36"/>
      <c r="C1118" s="36"/>
      <c r="D1118" s="36"/>
      <c r="E1118" s="36"/>
      <c r="F1118" s="36"/>
      <c r="G1118" s="36"/>
      <c r="H1118" s="37"/>
      <c r="I1118" s="36"/>
      <c r="J1118" s="38"/>
      <c r="K1118" s="38"/>
      <c r="L1118" s="39"/>
      <c r="M1118" s="39"/>
      <c r="N1118" s="39"/>
      <c r="O1118" s="39"/>
      <c r="P1118" s="39"/>
      <c r="Q1118" s="39"/>
      <c r="R1118" s="39"/>
      <c r="S1118" s="39"/>
      <c r="T1118" s="39"/>
      <c r="U1118" s="39"/>
      <c r="V1118" s="39"/>
      <c r="W1118" s="39"/>
      <c r="X1118" s="39"/>
      <c r="Y1118" s="39"/>
      <c r="Z1118" s="39"/>
      <c r="AA1118" s="39"/>
      <c r="AB1118" s="39"/>
    </row>
    <row r="1119">
      <c r="A1119" s="1"/>
      <c r="B1119" s="36"/>
      <c r="C1119" s="36"/>
      <c r="D1119" s="36"/>
      <c r="E1119" s="36"/>
      <c r="F1119" s="36"/>
      <c r="G1119" s="36"/>
      <c r="H1119" s="37"/>
      <c r="I1119" s="36"/>
      <c r="J1119" s="38"/>
      <c r="K1119" s="38"/>
      <c r="L1119" s="39"/>
      <c r="M1119" s="39"/>
      <c r="N1119" s="39"/>
      <c r="O1119" s="39"/>
      <c r="P1119" s="39"/>
      <c r="Q1119" s="39"/>
      <c r="R1119" s="39"/>
      <c r="S1119" s="39"/>
      <c r="T1119" s="39"/>
      <c r="U1119" s="39"/>
      <c r="V1119" s="39"/>
      <c r="W1119" s="39"/>
      <c r="X1119" s="39"/>
      <c r="Y1119" s="39"/>
      <c r="Z1119" s="39"/>
      <c r="AA1119" s="39"/>
      <c r="AB1119" s="39"/>
    </row>
    <row r="1120">
      <c r="A1120" s="1"/>
      <c r="B1120" s="36"/>
      <c r="C1120" s="36"/>
      <c r="D1120" s="36"/>
      <c r="E1120" s="36"/>
      <c r="F1120" s="36"/>
      <c r="G1120" s="36"/>
      <c r="H1120" s="37"/>
      <c r="I1120" s="36"/>
      <c r="J1120" s="38"/>
      <c r="K1120" s="38"/>
      <c r="L1120" s="39"/>
      <c r="M1120" s="39"/>
      <c r="N1120" s="39"/>
      <c r="O1120" s="39"/>
      <c r="P1120" s="39"/>
      <c r="Q1120" s="39"/>
      <c r="R1120" s="39"/>
      <c r="S1120" s="39"/>
      <c r="T1120" s="39"/>
      <c r="U1120" s="39"/>
      <c r="V1120" s="39"/>
      <c r="W1120" s="39"/>
      <c r="X1120" s="39"/>
      <c r="Y1120" s="39"/>
      <c r="Z1120" s="39"/>
      <c r="AA1120" s="39"/>
      <c r="AB1120" s="39"/>
    </row>
    <row r="1121">
      <c r="A1121" s="1"/>
      <c r="B1121" s="36"/>
      <c r="C1121" s="36"/>
      <c r="D1121" s="36"/>
      <c r="E1121" s="36"/>
      <c r="F1121" s="36"/>
      <c r="G1121" s="36"/>
      <c r="H1121" s="37"/>
      <c r="I1121" s="36"/>
      <c r="J1121" s="38"/>
      <c r="K1121" s="38"/>
      <c r="L1121" s="39"/>
      <c r="M1121" s="39"/>
      <c r="N1121" s="39"/>
      <c r="O1121" s="39"/>
      <c r="P1121" s="39"/>
      <c r="Q1121" s="39"/>
      <c r="R1121" s="39"/>
      <c r="S1121" s="39"/>
      <c r="T1121" s="39"/>
      <c r="U1121" s="39"/>
      <c r="V1121" s="39"/>
      <c r="W1121" s="39"/>
      <c r="X1121" s="39"/>
      <c r="Y1121" s="39"/>
      <c r="Z1121" s="39"/>
      <c r="AA1121" s="39"/>
      <c r="AB1121" s="39"/>
    </row>
    <row r="1122">
      <c r="A1122" s="1"/>
      <c r="B1122" s="36"/>
      <c r="C1122" s="36"/>
      <c r="D1122" s="36"/>
      <c r="E1122" s="36"/>
      <c r="F1122" s="36"/>
      <c r="G1122" s="36"/>
      <c r="H1122" s="37"/>
      <c r="I1122" s="36"/>
      <c r="J1122" s="38"/>
      <c r="K1122" s="38"/>
      <c r="L1122" s="39"/>
      <c r="M1122" s="39"/>
      <c r="N1122" s="39"/>
      <c r="O1122" s="39"/>
      <c r="P1122" s="39"/>
      <c r="Q1122" s="39"/>
      <c r="R1122" s="39"/>
      <c r="S1122" s="39"/>
      <c r="T1122" s="39"/>
      <c r="U1122" s="39"/>
      <c r="V1122" s="39"/>
      <c r="W1122" s="39"/>
      <c r="X1122" s="39"/>
      <c r="Y1122" s="39"/>
      <c r="Z1122" s="39"/>
      <c r="AA1122" s="39"/>
      <c r="AB1122" s="39"/>
    </row>
    <row r="1123">
      <c r="A1123" s="1"/>
      <c r="B1123" s="36"/>
      <c r="C1123" s="36"/>
      <c r="D1123" s="36"/>
      <c r="E1123" s="36"/>
      <c r="F1123" s="36"/>
      <c r="G1123" s="36"/>
      <c r="H1123" s="37"/>
      <c r="I1123" s="36"/>
      <c r="J1123" s="38"/>
      <c r="K1123" s="38"/>
      <c r="L1123" s="39"/>
      <c r="M1123" s="39"/>
      <c r="N1123" s="39"/>
      <c r="O1123" s="39"/>
      <c r="P1123" s="39"/>
      <c r="Q1123" s="39"/>
      <c r="R1123" s="39"/>
      <c r="S1123" s="39"/>
      <c r="T1123" s="39"/>
      <c r="U1123" s="39"/>
      <c r="V1123" s="39"/>
      <c r="W1123" s="39"/>
      <c r="X1123" s="39"/>
      <c r="Y1123" s="39"/>
      <c r="Z1123" s="39"/>
      <c r="AA1123" s="39"/>
      <c r="AB1123" s="39"/>
    </row>
    <row r="1124">
      <c r="A1124" s="1"/>
      <c r="B1124" s="36"/>
      <c r="C1124" s="36"/>
      <c r="D1124" s="36"/>
      <c r="E1124" s="36"/>
      <c r="F1124" s="36"/>
      <c r="G1124" s="36"/>
      <c r="H1124" s="37"/>
      <c r="I1124" s="36"/>
      <c r="J1124" s="38"/>
      <c r="K1124" s="38"/>
      <c r="L1124" s="39"/>
      <c r="M1124" s="39"/>
      <c r="N1124" s="39"/>
      <c r="O1124" s="39"/>
      <c r="P1124" s="39"/>
      <c r="Q1124" s="39"/>
      <c r="R1124" s="39"/>
      <c r="S1124" s="39"/>
      <c r="T1124" s="39"/>
      <c r="U1124" s="39"/>
      <c r="V1124" s="39"/>
      <c r="W1124" s="39"/>
      <c r="X1124" s="39"/>
      <c r="Y1124" s="39"/>
      <c r="Z1124" s="39"/>
      <c r="AA1124" s="39"/>
      <c r="AB1124" s="39"/>
    </row>
    <row r="1125">
      <c r="A1125" s="1"/>
      <c r="B1125" s="36"/>
      <c r="C1125" s="36"/>
      <c r="D1125" s="36"/>
      <c r="E1125" s="36"/>
      <c r="F1125" s="36"/>
      <c r="G1125" s="36"/>
      <c r="H1125" s="37"/>
      <c r="I1125" s="36"/>
      <c r="J1125" s="38"/>
      <c r="K1125" s="38"/>
      <c r="L1125" s="39"/>
      <c r="M1125" s="39"/>
      <c r="N1125" s="39"/>
      <c r="O1125" s="39"/>
      <c r="P1125" s="39"/>
      <c r="Q1125" s="39"/>
      <c r="R1125" s="39"/>
      <c r="S1125" s="39"/>
      <c r="T1125" s="39"/>
      <c r="U1125" s="39"/>
      <c r="V1125" s="39"/>
      <c r="W1125" s="39"/>
      <c r="X1125" s="39"/>
      <c r="Y1125" s="39"/>
      <c r="Z1125" s="39"/>
      <c r="AA1125" s="39"/>
      <c r="AB1125" s="39"/>
    </row>
    <row r="1126">
      <c r="A1126" s="1"/>
      <c r="B1126" s="36"/>
      <c r="C1126" s="36"/>
      <c r="D1126" s="36"/>
      <c r="E1126" s="36"/>
      <c r="F1126" s="36"/>
      <c r="G1126" s="36"/>
      <c r="H1126" s="37"/>
      <c r="I1126" s="36"/>
      <c r="J1126" s="38"/>
      <c r="K1126" s="38"/>
      <c r="L1126" s="39"/>
      <c r="M1126" s="39"/>
      <c r="N1126" s="39"/>
      <c r="O1126" s="39"/>
      <c r="P1126" s="39"/>
      <c r="Q1126" s="39"/>
      <c r="R1126" s="39"/>
      <c r="S1126" s="39"/>
      <c r="T1126" s="39"/>
      <c r="U1126" s="39"/>
      <c r="V1126" s="39"/>
      <c r="W1126" s="39"/>
      <c r="X1126" s="39"/>
      <c r="Y1126" s="39"/>
      <c r="Z1126" s="39"/>
      <c r="AA1126" s="39"/>
      <c r="AB1126" s="39"/>
    </row>
    <row r="1127">
      <c r="A1127" s="1"/>
      <c r="B1127" s="36"/>
      <c r="C1127" s="36"/>
      <c r="D1127" s="36"/>
      <c r="E1127" s="36"/>
      <c r="F1127" s="36"/>
      <c r="G1127" s="36"/>
      <c r="H1127" s="37"/>
      <c r="I1127" s="36"/>
      <c r="J1127" s="38"/>
      <c r="K1127" s="38"/>
      <c r="L1127" s="39"/>
      <c r="M1127" s="39"/>
      <c r="N1127" s="39"/>
      <c r="O1127" s="39"/>
      <c r="P1127" s="39"/>
      <c r="Q1127" s="39"/>
      <c r="R1127" s="39"/>
      <c r="S1127" s="39"/>
      <c r="T1127" s="39"/>
      <c r="U1127" s="39"/>
      <c r="V1127" s="39"/>
      <c r="W1127" s="39"/>
      <c r="X1127" s="39"/>
      <c r="Y1127" s="39"/>
      <c r="Z1127" s="39"/>
      <c r="AA1127" s="39"/>
      <c r="AB1127" s="39"/>
    </row>
    <row r="1128">
      <c r="A1128" s="1"/>
      <c r="B1128" s="36"/>
      <c r="C1128" s="36"/>
      <c r="D1128" s="36"/>
      <c r="E1128" s="36"/>
      <c r="F1128" s="36"/>
      <c r="G1128" s="36"/>
      <c r="H1128" s="37"/>
      <c r="I1128" s="36"/>
      <c r="J1128" s="38"/>
      <c r="K1128" s="38"/>
      <c r="L1128" s="39"/>
      <c r="M1128" s="39"/>
      <c r="N1128" s="39"/>
      <c r="O1128" s="39"/>
      <c r="P1128" s="39"/>
      <c r="Q1128" s="39"/>
      <c r="R1128" s="39"/>
      <c r="S1128" s="39"/>
      <c r="T1128" s="39"/>
      <c r="U1128" s="39"/>
      <c r="V1128" s="39"/>
      <c r="W1128" s="39"/>
      <c r="X1128" s="39"/>
      <c r="Y1128" s="39"/>
      <c r="Z1128" s="39"/>
      <c r="AA1128" s="39"/>
      <c r="AB1128" s="39"/>
    </row>
    <row r="1129">
      <c r="A1129" s="1"/>
      <c r="B1129" s="36"/>
      <c r="C1129" s="36"/>
      <c r="D1129" s="36"/>
      <c r="E1129" s="36"/>
      <c r="F1129" s="36"/>
      <c r="G1129" s="36"/>
      <c r="H1129" s="37"/>
      <c r="I1129" s="36"/>
      <c r="J1129" s="38"/>
      <c r="K1129" s="38"/>
      <c r="L1129" s="39"/>
      <c r="M1129" s="39"/>
      <c r="N1129" s="39"/>
      <c r="O1129" s="39"/>
      <c r="P1129" s="39"/>
      <c r="Q1129" s="39"/>
      <c r="R1129" s="39"/>
      <c r="S1129" s="39"/>
      <c r="T1129" s="39"/>
      <c r="U1129" s="39"/>
      <c r="V1129" s="39"/>
      <c r="W1129" s="39"/>
      <c r="X1129" s="39"/>
      <c r="Y1129" s="39"/>
      <c r="Z1129" s="39"/>
      <c r="AA1129" s="39"/>
      <c r="AB1129" s="39"/>
    </row>
    <row r="1130">
      <c r="A1130" s="1"/>
      <c r="B1130" s="36"/>
      <c r="C1130" s="36"/>
      <c r="D1130" s="36"/>
      <c r="E1130" s="36"/>
      <c r="F1130" s="36"/>
      <c r="G1130" s="36"/>
      <c r="H1130" s="37"/>
      <c r="I1130" s="36"/>
      <c r="J1130" s="38"/>
      <c r="K1130" s="38"/>
      <c r="L1130" s="39"/>
      <c r="M1130" s="39"/>
      <c r="N1130" s="39"/>
      <c r="O1130" s="39"/>
      <c r="P1130" s="39"/>
      <c r="Q1130" s="39"/>
      <c r="R1130" s="39"/>
      <c r="S1130" s="39"/>
      <c r="T1130" s="39"/>
      <c r="U1130" s="39"/>
      <c r="V1130" s="39"/>
      <c r="W1130" s="39"/>
      <c r="X1130" s="39"/>
      <c r="Y1130" s="39"/>
      <c r="Z1130" s="39"/>
      <c r="AA1130" s="39"/>
      <c r="AB1130" s="39"/>
    </row>
    <row r="1131">
      <c r="A1131" s="1"/>
      <c r="B1131" s="36"/>
      <c r="C1131" s="36"/>
      <c r="D1131" s="36"/>
      <c r="E1131" s="36"/>
      <c r="F1131" s="36"/>
      <c r="G1131" s="36"/>
      <c r="H1131" s="37"/>
      <c r="I1131" s="36"/>
      <c r="J1131" s="38"/>
      <c r="K1131" s="38"/>
      <c r="L1131" s="39"/>
      <c r="M1131" s="39"/>
      <c r="N1131" s="39"/>
      <c r="O1131" s="39"/>
      <c r="P1131" s="39"/>
      <c r="Q1131" s="39"/>
      <c r="R1131" s="39"/>
      <c r="S1131" s="39"/>
      <c r="T1131" s="39"/>
      <c r="U1131" s="39"/>
      <c r="V1131" s="39"/>
      <c r="W1131" s="39"/>
      <c r="X1131" s="39"/>
      <c r="Y1131" s="39"/>
      <c r="Z1131" s="39"/>
      <c r="AA1131" s="39"/>
      <c r="AB1131" s="39"/>
    </row>
    <row r="1132">
      <c r="A1132" s="1"/>
      <c r="B1132" s="36"/>
      <c r="C1132" s="36"/>
      <c r="D1132" s="36"/>
      <c r="E1132" s="36"/>
      <c r="F1132" s="36"/>
      <c r="G1132" s="36"/>
      <c r="H1132" s="37"/>
      <c r="I1132" s="36"/>
      <c r="J1132" s="38"/>
      <c r="K1132" s="38"/>
      <c r="L1132" s="39"/>
      <c r="M1132" s="39"/>
      <c r="N1132" s="39"/>
      <c r="O1132" s="39"/>
      <c r="P1132" s="39"/>
      <c r="Q1132" s="39"/>
      <c r="R1132" s="39"/>
      <c r="S1132" s="39"/>
      <c r="T1132" s="39"/>
      <c r="U1132" s="39"/>
      <c r="V1132" s="39"/>
      <c r="W1132" s="39"/>
      <c r="X1132" s="39"/>
      <c r="Y1132" s="39"/>
      <c r="Z1132" s="39"/>
      <c r="AA1132" s="39"/>
      <c r="AB1132" s="39"/>
    </row>
    <row r="1133">
      <c r="A1133" s="1"/>
      <c r="B1133" s="36"/>
      <c r="C1133" s="36"/>
      <c r="D1133" s="36"/>
      <c r="E1133" s="36"/>
      <c r="F1133" s="36"/>
      <c r="G1133" s="36"/>
      <c r="H1133" s="37"/>
      <c r="I1133" s="36"/>
      <c r="J1133" s="38"/>
      <c r="K1133" s="38"/>
      <c r="L1133" s="39"/>
      <c r="M1133" s="39"/>
      <c r="N1133" s="39"/>
      <c r="O1133" s="39"/>
      <c r="P1133" s="39"/>
      <c r="Q1133" s="39"/>
      <c r="R1133" s="39"/>
      <c r="S1133" s="39"/>
      <c r="T1133" s="39"/>
      <c r="U1133" s="39"/>
      <c r="V1133" s="39"/>
      <c r="W1133" s="39"/>
      <c r="X1133" s="39"/>
      <c r="Y1133" s="39"/>
      <c r="Z1133" s="39"/>
      <c r="AA1133" s="39"/>
      <c r="AB1133" s="39"/>
    </row>
    <row r="1134">
      <c r="A1134" s="1"/>
      <c r="B1134" s="36"/>
      <c r="C1134" s="36"/>
      <c r="D1134" s="36"/>
      <c r="E1134" s="36"/>
      <c r="F1134" s="36"/>
      <c r="G1134" s="36"/>
      <c r="H1134" s="37"/>
      <c r="I1134" s="36"/>
      <c r="J1134" s="38"/>
      <c r="K1134" s="38"/>
      <c r="L1134" s="39"/>
      <c r="M1134" s="39"/>
      <c r="N1134" s="39"/>
      <c r="O1134" s="39"/>
      <c r="P1134" s="39"/>
      <c r="Q1134" s="39"/>
      <c r="R1134" s="39"/>
      <c r="S1134" s="39"/>
      <c r="T1134" s="39"/>
      <c r="U1134" s="39"/>
      <c r="V1134" s="39"/>
      <c r="W1134" s="39"/>
      <c r="X1134" s="39"/>
      <c r="Y1134" s="39"/>
      <c r="Z1134" s="39"/>
      <c r="AA1134" s="39"/>
      <c r="AB1134" s="39"/>
    </row>
    <row r="1135">
      <c r="A1135" s="1"/>
      <c r="B1135" s="36"/>
      <c r="C1135" s="36"/>
      <c r="D1135" s="36"/>
      <c r="E1135" s="36"/>
      <c r="F1135" s="36"/>
      <c r="G1135" s="36"/>
      <c r="H1135" s="37"/>
      <c r="I1135" s="36"/>
      <c r="J1135" s="38"/>
      <c r="K1135" s="38"/>
      <c r="L1135" s="39"/>
      <c r="M1135" s="39"/>
      <c r="N1135" s="39"/>
      <c r="O1135" s="39"/>
      <c r="P1135" s="39"/>
      <c r="Q1135" s="39"/>
      <c r="R1135" s="39"/>
      <c r="S1135" s="39"/>
      <c r="T1135" s="39"/>
      <c r="U1135" s="39"/>
      <c r="V1135" s="39"/>
      <c r="W1135" s="39"/>
      <c r="X1135" s="39"/>
      <c r="Y1135" s="39"/>
      <c r="Z1135" s="39"/>
      <c r="AA1135" s="39"/>
      <c r="AB1135" s="39"/>
    </row>
    <row r="1136">
      <c r="A1136" s="1"/>
      <c r="B1136" s="36"/>
      <c r="C1136" s="36"/>
      <c r="D1136" s="36"/>
      <c r="E1136" s="36"/>
      <c r="F1136" s="36"/>
      <c r="G1136" s="36"/>
      <c r="H1136" s="37"/>
      <c r="I1136" s="36"/>
      <c r="J1136" s="38"/>
      <c r="K1136" s="38"/>
      <c r="L1136" s="39"/>
      <c r="M1136" s="39"/>
      <c r="N1136" s="39"/>
      <c r="O1136" s="39"/>
      <c r="P1136" s="39"/>
      <c r="Q1136" s="39"/>
      <c r="R1136" s="39"/>
      <c r="S1136" s="39"/>
      <c r="T1136" s="39"/>
      <c r="U1136" s="39"/>
      <c r="V1136" s="39"/>
      <c r="W1136" s="39"/>
      <c r="X1136" s="39"/>
      <c r="Y1136" s="39"/>
      <c r="Z1136" s="39"/>
      <c r="AA1136" s="39"/>
      <c r="AB1136" s="39"/>
    </row>
    <row r="1137">
      <c r="A1137" s="1"/>
      <c r="B1137" s="36"/>
      <c r="C1137" s="36"/>
      <c r="D1137" s="36"/>
      <c r="E1137" s="36"/>
      <c r="F1137" s="36"/>
      <c r="G1137" s="36"/>
      <c r="H1137" s="37"/>
      <c r="I1137" s="36"/>
      <c r="J1137" s="38"/>
      <c r="K1137" s="38"/>
      <c r="L1137" s="39"/>
      <c r="M1137" s="39"/>
      <c r="N1137" s="39"/>
      <c r="O1137" s="39"/>
      <c r="P1137" s="39"/>
      <c r="Q1137" s="39"/>
      <c r="R1137" s="39"/>
      <c r="S1137" s="39"/>
      <c r="T1137" s="39"/>
      <c r="U1137" s="39"/>
      <c r="V1137" s="39"/>
      <c r="W1137" s="39"/>
      <c r="X1137" s="39"/>
      <c r="Y1137" s="39"/>
      <c r="Z1137" s="39"/>
      <c r="AA1137" s="39"/>
      <c r="AB1137" s="39"/>
    </row>
    <row r="1138">
      <c r="A1138" s="1"/>
      <c r="B1138" s="36"/>
      <c r="C1138" s="36"/>
      <c r="D1138" s="36"/>
      <c r="E1138" s="36"/>
      <c r="F1138" s="36"/>
      <c r="G1138" s="36"/>
      <c r="H1138" s="37"/>
      <c r="I1138" s="36"/>
      <c r="J1138" s="38"/>
      <c r="K1138" s="38"/>
      <c r="L1138" s="39"/>
      <c r="M1138" s="39"/>
      <c r="N1138" s="39"/>
      <c r="O1138" s="39"/>
      <c r="P1138" s="39"/>
      <c r="Q1138" s="39"/>
      <c r="R1138" s="39"/>
      <c r="S1138" s="39"/>
      <c r="T1138" s="39"/>
      <c r="U1138" s="39"/>
      <c r="V1138" s="39"/>
      <c r="W1138" s="39"/>
      <c r="X1138" s="39"/>
      <c r="Y1138" s="39"/>
      <c r="Z1138" s="39"/>
      <c r="AA1138" s="39"/>
      <c r="AB1138" s="39"/>
    </row>
    <row r="1139">
      <c r="A1139" s="1"/>
      <c r="B1139" s="36"/>
      <c r="C1139" s="36"/>
      <c r="D1139" s="36"/>
      <c r="E1139" s="36"/>
      <c r="F1139" s="36"/>
      <c r="G1139" s="36"/>
      <c r="H1139" s="37"/>
      <c r="I1139" s="36"/>
      <c r="J1139" s="38"/>
      <c r="K1139" s="38"/>
      <c r="L1139" s="39"/>
      <c r="M1139" s="39"/>
      <c r="N1139" s="39"/>
      <c r="O1139" s="39"/>
      <c r="P1139" s="39"/>
      <c r="Q1139" s="39"/>
      <c r="R1139" s="39"/>
      <c r="S1139" s="39"/>
      <c r="T1139" s="39"/>
      <c r="U1139" s="39"/>
      <c r="V1139" s="39"/>
      <c r="W1139" s="39"/>
      <c r="X1139" s="39"/>
      <c r="Y1139" s="39"/>
      <c r="Z1139" s="39"/>
      <c r="AA1139" s="39"/>
      <c r="AB1139" s="39"/>
    </row>
    <row r="1140">
      <c r="A1140" s="1"/>
      <c r="B1140" s="36"/>
      <c r="C1140" s="36"/>
      <c r="D1140" s="36"/>
      <c r="E1140" s="36"/>
      <c r="F1140" s="36"/>
      <c r="G1140" s="36"/>
      <c r="H1140" s="37"/>
      <c r="I1140" s="36"/>
      <c r="J1140" s="38"/>
      <c r="K1140" s="38"/>
      <c r="L1140" s="39"/>
      <c r="M1140" s="39"/>
      <c r="N1140" s="39"/>
      <c r="O1140" s="39"/>
      <c r="P1140" s="39"/>
      <c r="Q1140" s="39"/>
      <c r="R1140" s="39"/>
      <c r="S1140" s="39"/>
      <c r="T1140" s="39"/>
      <c r="U1140" s="39"/>
      <c r="V1140" s="39"/>
      <c r="W1140" s="39"/>
      <c r="X1140" s="39"/>
      <c r="Y1140" s="39"/>
      <c r="Z1140" s="39"/>
      <c r="AA1140" s="39"/>
      <c r="AB1140" s="39"/>
    </row>
    <row r="1141">
      <c r="A1141" s="1"/>
      <c r="B1141" s="36"/>
      <c r="C1141" s="36"/>
      <c r="D1141" s="36"/>
      <c r="E1141" s="36"/>
      <c r="F1141" s="36"/>
      <c r="G1141" s="36"/>
      <c r="H1141" s="37"/>
      <c r="I1141" s="36"/>
      <c r="J1141" s="38"/>
      <c r="K1141" s="38"/>
      <c r="L1141" s="39"/>
      <c r="M1141" s="39"/>
      <c r="N1141" s="39"/>
      <c r="O1141" s="39"/>
      <c r="P1141" s="39"/>
      <c r="Q1141" s="39"/>
      <c r="R1141" s="39"/>
      <c r="S1141" s="39"/>
      <c r="T1141" s="39"/>
      <c r="U1141" s="39"/>
      <c r="V1141" s="39"/>
      <c r="W1141" s="39"/>
      <c r="X1141" s="39"/>
      <c r="Y1141" s="39"/>
      <c r="Z1141" s="39"/>
      <c r="AA1141" s="39"/>
      <c r="AB1141" s="39"/>
    </row>
    <row r="1142">
      <c r="A1142" s="1"/>
      <c r="B1142" s="36"/>
      <c r="C1142" s="36"/>
      <c r="D1142" s="36"/>
      <c r="E1142" s="36"/>
      <c r="F1142" s="36"/>
      <c r="G1142" s="36"/>
      <c r="H1142" s="37"/>
      <c r="I1142" s="36"/>
      <c r="J1142" s="38"/>
      <c r="K1142" s="38"/>
      <c r="L1142" s="39"/>
      <c r="M1142" s="39"/>
      <c r="N1142" s="39"/>
      <c r="O1142" s="39"/>
      <c r="P1142" s="39"/>
      <c r="Q1142" s="39"/>
      <c r="R1142" s="39"/>
      <c r="S1142" s="39"/>
      <c r="T1142" s="39"/>
      <c r="U1142" s="39"/>
      <c r="V1142" s="39"/>
      <c r="W1142" s="39"/>
      <c r="X1142" s="39"/>
      <c r="Y1142" s="39"/>
      <c r="Z1142" s="39"/>
      <c r="AA1142" s="39"/>
      <c r="AB1142" s="39"/>
    </row>
    <row r="1143">
      <c r="A1143" s="1"/>
      <c r="B1143" s="36"/>
      <c r="C1143" s="36"/>
      <c r="D1143" s="36"/>
      <c r="E1143" s="36"/>
      <c r="F1143" s="36"/>
      <c r="G1143" s="36"/>
      <c r="H1143" s="37"/>
      <c r="I1143" s="36"/>
      <c r="J1143" s="38"/>
      <c r="K1143" s="38"/>
      <c r="L1143" s="39"/>
      <c r="M1143" s="39"/>
      <c r="N1143" s="39"/>
      <c r="O1143" s="39"/>
      <c r="P1143" s="39"/>
      <c r="Q1143" s="39"/>
      <c r="R1143" s="39"/>
      <c r="S1143" s="39"/>
      <c r="T1143" s="39"/>
      <c r="U1143" s="39"/>
      <c r="V1143" s="39"/>
      <c r="W1143" s="39"/>
      <c r="X1143" s="39"/>
      <c r="Y1143" s="39"/>
      <c r="Z1143" s="39"/>
      <c r="AA1143" s="39"/>
      <c r="AB1143" s="39"/>
    </row>
    <row r="1144">
      <c r="A1144" s="1"/>
      <c r="B1144" s="36"/>
      <c r="C1144" s="36"/>
      <c r="D1144" s="36"/>
      <c r="E1144" s="36"/>
      <c r="F1144" s="36"/>
      <c r="G1144" s="36"/>
      <c r="H1144" s="37"/>
      <c r="I1144" s="36"/>
      <c r="J1144" s="38"/>
      <c r="K1144" s="38"/>
      <c r="L1144" s="39"/>
      <c r="M1144" s="39"/>
      <c r="N1144" s="39"/>
      <c r="O1144" s="39"/>
      <c r="P1144" s="39"/>
      <c r="Q1144" s="39"/>
      <c r="R1144" s="39"/>
      <c r="S1144" s="39"/>
      <c r="T1144" s="39"/>
      <c r="U1144" s="39"/>
      <c r="V1144" s="39"/>
      <c r="W1144" s="39"/>
      <c r="X1144" s="39"/>
      <c r="Y1144" s="39"/>
      <c r="Z1144" s="39"/>
      <c r="AA1144" s="39"/>
      <c r="AB1144" s="39"/>
    </row>
    <row r="1145">
      <c r="A1145" s="1"/>
      <c r="B1145" s="36"/>
      <c r="C1145" s="36"/>
      <c r="D1145" s="36"/>
      <c r="E1145" s="36"/>
      <c r="F1145" s="36"/>
      <c r="G1145" s="36"/>
      <c r="H1145" s="37"/>
      <c r="I1145" s="36"/>
      <c r="J1145" s="38"/>
      <c r="K1145" s="38"/>
      <c r="L1145" s="39"/>
      <c r="M1145" s="39"/>
      <c r="N1145" s="39"/>
      <c r="O1145" s="39"/>
      <c r="P1145" s="39"/>
      <c r="Q1145" s="39"/>
      <c r="R1145" s="39"/>
      <c r="S1145" s="39"/>
      <c r="T1145" s="39"/>
      <c r="U1145" s="39"/>
      <c r="V1145" s="39"/>
      <c r="W1145" s="39"/>
      <c r="X1145" s="39"/>
      <c r="Y1145" s="39"/>
      <c r="Z1145" s="39"/>
      <c r="AA1145" s="39"/>
      <c r="AB1145" s="39"/>
    </row>
    <row r="1146">
      <c r="A1146" s="1"/>
      <c r="B1146" s="36"/>
      <c r="C1146" s="36"/>
      <c r="D1146" s="36"/>
      <c r="E1146" s="36"/>
      <c r="F1146" s="36"/>
      <c r="G1146" s="36"/>
      <c r="H1146" s="37"/>
      <c r="I1146" s="36"/>
      <c r="J1146" s="38"/>
      <c r="K1146" s="38"/>
      <c r="L1146" s="39"/>
      <c r="M1146" s="39"/>
      <c r="N1146" s="39"/>
      <c r="O1146" s="39"/>
      <c r="P1146" s="39"/>
      <c r="Q1146" s="39"/>
      <c r="R1146" s="39"/>
      <c r="S1146" s="39"/>
      <c r="T1146" s="39"/>
      <c r="U1146" s="39"/>
      <c r="V1146" s="39"/>
      <c r="W1146" s="39"/>
      <c r="X1146" s="39"/>
      <c r="Y1146" s="39"/>
      <c r="Z1146" s="39"/>
      <c r="AA1146" s="39"/>
      <c r="AB1146" s="39"/>
    </row>
    <row r="1147">
      <c r="A1147" s="1"/>
      <c r="B1147" s="36"/>
      <c r="C1147" s="36"/>
      <c r="D1147" s="36"/>
      <c r="E1147" s="36"/>
      <c r="F1147" s="36"/>
      <c r="G1147" s="36"/>
      <c r="H1147" s="37"/>
      <c r="I1147" s="36"/>
      <c r="J1147" s="38"/>
      <c r="K1147" s="38"/>
      <c r="L1147" s="39"/>
      <c r="M1147" s="39"/>
      <c r="N1147" s="39"/>
      <c r="O1147" s="39"/>
      <c r="P1147" s="39"/>
      <c r="Q1147" s="39"/>
      <c r="R1147" s="39"/>
      <c r="S1147" s="39"/>
      <c r="T1147" s="39"/>
      <c r="U1147" s="39"/>
      <c r="V1147" s="39"/>
      <c r="W1147" s="39"/>
      <c r="X1147" s="39"/>
      <c r="Y1147" s="39"/>
      <c r="Z1147" s="39"/>
      <c r="AA1147" s="39"/>
      <c r="AB1147" s="39"/>
    </row>
    <row r="1148">
      <c r="A1148" s="1"/>
      <c r="B1148" s="36"/>
      <c r="C1148" s="36"/>
      <c r="D1148" s="36"/>
      <c r="E1148" s="36"/>
      <c r="F1148" s="36"/>
      <c r="G1148" s="36"/>
      <c r="H1148" s="37"/>
      <c r="I1148" s="36"/>
      <c r="J1148" s="38"/>
      <c r="K1148" s="38"/>
      <c r="L1148" s="39"/>
      <c r="M1148" s="39"/>
      <c r="N1148" s="39"/>
      <c r="O1148" s="39"/>
      <c r="P1148" s="39"/>
      <c r="Q1148" s="39"/>
      <c r="R1148" s="39"/>
      <c r="S1148" s="39"/>
      <c r="T1148" s="39"/>
      <c r="U1148" s="39"/>
      <c r="V1148" s="39"/>
      <c r="W1148" s="39"/>
      <c r="X1148" s="39"/>
      <c r="Y1148" s="39"/>
      <c r="Z1148" s="39"/>
      <c r="AA1148" s="39"/>
      <c r="AB1148" s="39"/>
    </row>
    <row r="1149">
      <c r="A1149" s="1"/>
      <c r="B1149" s="36"/>
      <c r="C1149" s="36"/>
      <c r="D1149" s="36"/>
      <c r="E1149" s="36"/>
      <c r="F1149" s="36"/>
      <c r="G1149" s="36"/>
      <c r="H1149" s="37"/>
      <c r="I1149" s="36"/>
      <c r="J1149" s="38"/>
      <c r="K1149" s="38"/>
      <c r="L1149" s="39"/>
      <c r="M1149" s="39"/>
      <c r="N1149" s="39"/>
      <c r="O1149" s="39"/>
      <c r="P1149" s="39"/>
      <c r="Q1149" s="39"/>
      <c r="R1149" s="39"/>
      <c r="S1149" s="39"/>
      <c r="T1149" s="39"/>
      <c r="U1149" s="39"/>
      <c r="V1149" s="39"/>
      <c r="W1149" s="39"/>
      <c r="X1149" s="39"/>
      <c r="Y1149" s="39"/>
      <c r="Z1149" s="39"/>
      <c r="AA1149" s="39"/>
      <c r="AB1149" s="39"/>
    </row>
    <row r="1150">
      <c r="A1150" s="1"/>
      <c r="B1150" s="36"/>
      <c r="C1150" s="36"/>
      <c r="D1150" s="36"/>
      <c r="E1150" s="36"/>
      <c r="F1150" s="36"/>
      <c r="G1150" s="36"/>
      <c r="H1150" s="37"/>
      <c r="I1150" s="36"/>
      <c r="J1150" s="38"/>
      <c r="K1150" s="38"/>
      <c r="L1150" s="39"/>
      <c r="M1150" s="39"/>
      <c r="N1150" s="39"/>
      <c r="O1150" s="39"/>
      <c r="P1150" s="39"/>
      <c r="Q1150" s="39"/>
      <c r="R1150" s="39"/>
      <c r="S1150" s="39"/>
      <c r="T1150" s="39"/>
      <c r="U1150" s="39"/>
      <c r="V1150" s="39"/>
      <c r="W1150" s="39"/>
      <c r="X1150" s="39"/>
      <c r="Y1150" s="39"/>
      <c r="Z1150" s="39"/>
      <c r="AA1150" s="39"/>
      <c r="AB1150" s="39"/>
    </row>
    <row r="1151">
      <c r="A1151" s="1"/>
      <c r="B1151" s="36"/>
      <c r="C1151" s="36"/>
      <c r="D1151" s="36"/>
      <c r="E1151" s="36"/>
      <c r="F1151" s="36"/>
      <c r="G1151" s="36"/>
      <c r="H1151" s="37"/>
      <c r="I1151" s="36"/>
      <c r="J1151" s="38"/>
      <c r="K1151" s="38"/>
      <c r="L1151" s="39"/>
      <c r="M1151" s="39"/>
      <c r="N1151" s="39"/>
      <c r="O1151" s="39"/>
      <c r="P1151" s="39"/>
      <c r="Q1151" s="39"/>
      <c r="R1151" s="39"/>
      <c r="S1151" s="39"/>
      <c r="T1151" s="39"/>
      <c r="U1151" s="39"/>
      <c r="V1151" s="39"/>
      <c r="W1151" s="39"/>
      <c r="X1151" s="39"/>
      <c r="Y1151" s="39"/>
      <c r="Z1151" s="39"/>
      <c r="AA1151" s="39"/>
      <c r="AB1151" s="39"/>
    </row>
    <row r="1152">
      <c r="A1152" s="1"/>
      <c r="B1152" s="36"/>
      <c r="C1152" s="36"/>
      <c r="D1152" s="36"/>
      <c r="E1152" s="36"/>
      <c r="F1152" s="36"/>
      <c r="G1152" s="36"/>
      <c r="H1152" s="37"/>
      <c r="I1152" s="36"/>
      <c r="J1152" s="38"/>
      <c r="K1152" s="38"/>
      <c r="L1152" s="39"/>
      <c r="M1152" s="39"/>
      <c r="N1152" s="39"/>
      <c r="O1152" s="39"/>
      <c r="P1152" s="39"/>
      <c r="Q1152" s="39"/>
      <c r="R1152" s="39"/>
      <c r="S1152" s="39"/>
      <c r="T1152" s="39"/>
      <c r="U1152" s="39"/>
      <c r="V1152" s="39"/>
      <c r="W1152" s="39"/>
      <c r="X1152" s="39"/>
      <c r="Y1152" s="39"/>
      <c r="Z1152" s="39"/>
      <c r="AA1152" s="39"/>
      <c r="AB1152" s="39"/>
    </row>
    <row r="1153">
      <c r="A1153" s="1"/>
      <c r="B1153" s="36"/>
      <c r="C1153" s="36"/>
      <c r="D1153" s="36"/>
      <c r="E1153" s="36"/>
      <c r="F1153" s="36"/>
      <c r="G1153" s="36"/>
      <c r="H1153" s="37"/>
      <c r="I1153" s="36"/>
      <c r="J1153" s="38"/>
      <c r="K1153" s="38"/>
      <c r="L1153" s="39"/>
      <c r="M1153" s="39"/>
      <c r="N1153" s="39"/>
      <c r="O1153" s="39"/>
      <c r="P1153" s="39"/>
      <c r="Q1153" s="39"/>
      <c r="R1153" s="39"/>
      <c r="S1153" s="39"/>
      <c r="T1153" s="39"/>
      <c r="U1153" s="39"/>
      <c r="V1153" s="39"/>
      <c r="W1153" s="39"/>
      <c r="X1153" s="39"/>
      <c r="Y1153" s="39"/>
      <c r="Z1153" s="39"/>
      <c r="AA1153" s="39"/>
      <c r="AB1153" s="39"/>
    </row>
    <row r="1154">
      <c r="A1154" s="1"/>
      <c r="B1154" s="36"/>
      <c r="C1154" s="36"/>
      <c r="D1154" s="36"/>
      <c r="E1154" s="36"/>
      <c r="F1154" s="36"/>
      <c r="G1154" s="36"/>
      <c r="H1154" s="37"/>
      <c r="I1154" s="36"/>
      <c r="J1154" s="38"/>
      <c r="K1154" s="38"/>
      <c r="L1154" s="39"/>
      <c r="M1154" s="39"/>
      <c r="N1154" s="39"/>
      <c r="O1154" s="39"/>
      <c r="P1154" s="39"/>
      <c r="Q1154" s="39"/>
      <c r="R1154" s="39"/>
      <c r="S1154" s="39"/>
      <c r="T1154" s="39"/>
      <c r="U1154" s="39"/>
      <c r="V1154" s="39"/>
      <c r="W1154" s="39"/>
      <c r="X1154" s="39"/>
      <c r="Y1154" s="39"/>
      <c r="Z1154" s="39"/>
      <c r="AA1154" s="39"/>
      <c r="AB1154" s="39"/>
    </row>
    <row r="1155">
      <c r="A1155" s="1"/>
      <c r="B1155" s="36"/>
      <c r="C1155" s="36"/>
      <c r="D1155" s="36"/>
      <c r="E1155" s="36"/>
      <c r="F1155" s="36"/>
      <c r="G1155" s="36"/>
      <c r="H1155" s="37"/>
      <c r="I1155" s="36"/>
      <c r="J1155" s="38"/>
      <c r="K1155" s="38"/>
      <c r="L1155" s="39"/>
      <c r="M1155" s="39"/>
      <c r="N1155" s="39"/>
      <c r="O1155" s="39"/>
      <c r="P1155" s="39"/>
      <c r="Q1155" s="39"/>
      <c r="R1155" s="39"/>
      <c r="S1155" s="39"/>
      <c r="T1155" s="39"/>
      <c r="U1155" s="39"/>
      <c r="V1155" s="39"/>
      <c r="W1155" s="39"/>
      <c r="X1155" s="39"/>
      <c r="Y1155" s="39"/>
      <c r="Z1155" s="39"/>
      <c r="AA1155" s="39"/>
      <c r="AB1155" s="39"/>
    </row>
    <row r="1156">
      <c r="A1156" s="1"/>
      <c r="B1156" s="36"/>
      <c r="C1156" s="36"/>
      <c r="D1156" s="36"/>
      <c r="E1156" s="36"/>
      <c r="F1156" s="36"/>
      <c r="G1156" s="36"/>
      <c r="H1156" s="37"/>
      <c r="I1156" s="36"/>
      <c r="J1156" s="38"/>
      <c r="K1156" s="38"/>
      <c r="L1156" s="39"/>
      <c r="M1156" s="39"/>
      <c r="N1156" s="39"/>
      <c r="O1156" s="39"/>
      <c r="P1156" s="39"/>
      <c r="Q1156" s="39"/>
      <c r="R1156" s="39"/>
      <c r="S1156" s="39"/>
      <c r="T1156" s="39"/>
      <c r="U1156" s="39"/>
      <c r="V1156" s="39"/>
      <c r="W1156" s="39"/>
      <c r="X1156" s="39"/>
      <c r="Y1156" s="39"/>
      <c r="Z1156" s="39"/>
      <c r="AA1156" s="39"/>
      <c r="AB1156" s="39"/>
    </row>
    <row r="1157">
      <c r="A1157" s="1"/>
      <c r="B1157" s="36"/>
      <c r="C1157" s="36"/>
      <c r="D1157" s="36"/>
      <c r="E1157" s="36"/>
      <c r="F1157" s="36"/>
      <c r="G1157" s="36"/>
      <c r="H1157" s="37"/>
      <c r="I1157" s="36"/>
      <c r="J1157" s="38"/>
      <c r="K1157" s="38"/>
      <c r="L1157" s="39"/>
      <c r="M1157" s="39"/>
      <c r="N1157" s="39"/>
      <c r="O1157" s="39"/>
      <c r="P1157" s="39"/>
      <c r="Q1157" s="39"/>
      <c r="R1157" s="39"/>
      <c r="S1157" s="39"/>
      <c r="T1157" s="39"/>
      <c r="U1157" s="39"/>
      <c r="V1157" s="39"/>
      <c r="W1157" s="39"/>
      <c r="X1157" s="39"/>
      <c r="Y1157" s="39"/>
      <c r="Z1157" s="39"/>
      <c r="AA1157" s="39"/>
      <c r="AB1157" s="39"/>
    </row>
    <row r="1158">
      <c r="A1158" s="1"/>
      <c r="B1158" s="36"/>
      <c r="C1158" s="36"/>
      <c r="D1158" s="36"/>
      <c r="E1158" s="36"/>
      <c r="F1158" s="36"/>
      <c r="G1158" s="36"/>
      <c r="H1158" s="37"/>
      <c r="I1158" s="36"/>
      <c r="J1158" s="38"/>
      <c r="K1158" s="38"/>
      <c r="L1158" s="39"/>
      <c r="M1158" s="39"/>
      <c r="N1158" s="39"/>
      <c r="O1158" s="39"/>
      <c r="P1158" s="39"/>
      <c r="Q1158" s="39"/>
      <c r="R1158" s="39"/>
      <c r="S1158" s="39"/>
      <c r="T1158" s="39"/>
      <c r="U1158" s="39"/>
      <c r="V1158" s="39"/>
      <c r="W1158" s="39"/>
      <c r="X1158" s="39"/>
      <c r="Y1158" s="39"/>
      <c r="Z1158" s="39"/>
      <c r="AA1158" s="39"/>
      <c r="AB1158" s="39"/>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5.43"/>
    <col customWidth="1" min="2" max="12" width="19.43"/>
  </cols>
  <sheetData>
    <row r="1">
      <c r="A1" s="1"/>
      <c r="B1" s="2"/>
      <c r="C1" s="1"/>
      <c r="D1" s="3" t="s">
        <v>0</v>
      </c>
      <c r="E1" s="1"/>
      <c r="F1" s="1"/>
      <c r="G1" s="1"/>
      <c r="H1" s="4"/>
      <c r="I1" s="1"/>
      <c r="J1" s="5"/>
      <c r="K1" s="5"/>
      <c r="L1" s="6"/>
      <c r="M1" s="6"/>
      <c r="N1" s="6"/>
      <c r="O1" s="6"/>
      <c r="P1" s="6"/>
      <c r="Q1" s="6"/>
      <c r="R1" s="6"/>
      <c r="S1" s="6"/>
      <c r="T1" s="6"/>
      <c r="U1" s="6"/>
      <c r="V1" s="6"/>
      <c r="W1" s="6"/>
      <c r="X1" s="6"/>
      <c r="Y1" s="6"/>
      <c r="Z1" s="6"/>
      <c r="AA1" s="6"/>
      <c r="AB1" s="6"/>
    </row>
    <row r="2">
      <c r="A2" s="1"/>
      <c r="B2" s="7"/>
      <c r="C2" s="1"/>
      <c r="D2" s="8" t="s">
        <v>1</v>
      </c>
      <c r="E2" s="1"/>
      <c r="F2" s="1"/>
      <c r="G2" s="1"/>
      <c r="H2" s="4"/>
      <c r="I2" s="1"/>
      <c r="J2" s="9" t="s">
        <v>2</v>
      </c>
      <c r="K2" s="5"/>
      <c r="L2" s="6"/>
      <c r="M2" s="6"/>
      <c r="N2" s="6"/>
      <c r="O2" s="6"/>
      <c r="P2" s="6"/>
      <c r="Q2" s="6"/>
      <c r="R2" s="6"/>
      <c r="S2" s="6"/>
      <c r="T2" s="6"/>
      <c r="U2" s="6"/>
      <c r="V2" s="6"/>
      <c r="W2" s="6"/>
      <c r="X2" s="6"/>
      <c r="Y2" s="6"/>
      <c r="Z2" s="6"/>
      <c r="AA2" s="6"/>
      <c r="AB2" s="6"/>
    </row>
    <row r="3">
      <c r="A3" s="1"/>
      <c r="B3" s="1"/>
      <c r="C3" s="1"/>
      <c r="D3" s="8" t="s">
        <v>3</v>
      </c>
      <c r="E3" s="1"/>
      <c r="F3" s="1"/>
      <c r="G3" s="1"/>
      <c r="H3" s="4"/>
      <c r="I3" s="1"/>
      <c r="J3" s="9" t="s">
        <v>4</v>
      </c>
      <c r="K3" s="5"/>
      <c r="L3" s="6"/>
      <c r="M3" s="6"/>
      <c r="N3" s="6"/>
      <c r="O3" s="6"/>
      <c r="P3" s="6"/>
      <c r="Q3" s="6"/>
      <c r="R3" s="6"/>
      <c r="S3" s="6"/>
      <c r="T3" s="6"/>
      <c r="U3" s="6"/>
      <c r="V3" s="6"/>
      <c r="W3" s="6"/>
      <c r="X3" s="6"/>
      <c r="Y3" s="6"/>
      <c r="Z3" s="6"/>
      <c r="AA3" s="6"/>
      <c r="AB3" s="6"/>
    </row>
    <row r="4">
      <c r="A4" s="1"/>
      <c r="B4" s="10"/>
      <c r="C4" s="10"/>
      <c r="D4" s="8" t="s">
        <v>5</v>
      </c>
      <c r="E4" s="11"/>
      <c r="F4" s="10"/>
      <c r="G4" s="11"/>
      <c r="H4" s="12"/>
      <c r="I4" s="1"/>
      <c r="J4" s="9"/>
      <c r="K4" s="5"/>
      <c r="L4" s="6"/>
      <c r="M4" s="6"/>
      <c r="N4" s="6"/>
      <c r="O4" s="6"/>
      <c r="P4" s="6"/>
      <c r="Q4" s="6"/>
      <c r="R4" s="6"/>
      <c r="S4" s="6"/>
      <c r="T4" s="6"/>
      <c r="U4" s="6"/>
      <c r="V4" s="6"/>
      <c r="W4" s="6"/>
      <c r="X4" s="6"/>
      <c r="Y4" s="6"/>
      <c r="Z4" s="6"/>
      <c r="AA4" s="6"/>
      <c r="AB4" s="6"/>
    </row>
    <row r="5">
      <c r="A5" s="1"/>
      <c r="B5" s="10"/>
      <c r="C5" s="13"/>
      <c r="D5" s="14" t="s">
        <v>6</v>
      </c>
      <c r="E5" s="15"/>
      <c r="F5" s="10"/>
      <c r="G5" s="11"/>
      <c r="H5" s="12"/>
      <c r="I5" s="1"/>
      <c r="J5" s="9" t="s">
        <v>7</v>
      </c>
      <c r="K5" s="5"/>
      <c r="L5" s="6"/>
      <c r="M5" s="6"/>
      <c r="N5" s="6"/>
      <c r="O5" s="6"/>
      <c r="P5" s="6"/>
      <c r="Q5" s="6"/>
      <c r="R5" s="6"/>
      <c r="S5" s="6"/>
      <c r="T5" s="6"/>
      <c r="U5" s="6"/>
      <c r="V5" s="6"/>
      <c r="W5" s="6"/>
      <c r="X5" s="6"/>
      <c r="Y5" s="6"/>
      <c r="Z5" s="6"/>
      <c r="AA5" s="6"/>
      <c r="AB5" s="6"/>
    </row>
    <row r="6">
      <c r="A6" s="1"/>
      <c r="B6" s="10"/>
      <c r="C6" s="10"/>
      <c r="D6" s="10"/>
      <c r="E6" s="11"/>
      <c r="F6" s="10"/>
      <c r="G6" s="11"/>
      <c r="H6" s="12"/>
      <c r="I6" s="1"/>
      <c r="J6" s="9"/>
      <c r="K6" s="5"/>
      <c r="L6" s="6"/>
      <c r="M6" s="6"/>
      <c r="N6" s="6"/>
      <c r="O6" s="6"/>
      <c r="P6" s="6"/>
      <c r="Q6" s="6"/>
      <c r="R6" s="6"/>
      <c r="S6" s="6"/>
      <c r="T6" s="6"/>
      <c r="U6" s="6"/>
      <c r="V6" s="6"/>
      <c r="W6" s="6"/>
      <c r="X6" s="6"/>
      <c r="Y6" s="6"/>
      <c r="Z6" s="6"/>
      <c r="AA6" s="6"/>
      <c r="AB6" s="6"/>
    </row>
    <row r="7">
      <c r="A7" s="16"/>
      <c r="B7" s="17"/>
      <c r="C7" s="17"/>
      <c r="D7" s="17"/>
      <c r="E7" s="17"/>
      <c r="F7" s="17"/>
      <c r="G7" s="17"/>
      <c r="H7" s="17"/>
      <c r="I7" s="1"/>
      <c r="J7" s="5"/>
      <c r="K7" s="5"/>
      <c r="L7" s="6"/>
      <c r="M7" s="6"/>
      <c r="N7" s="6"/>
      <c r="O7" s="6"/>
      <c r="P7" s="6"/>
      <c r="Q7" s="6"/>
      <c r="R7" s="6"/>
      <c r="S7" s="6"/>
      <c r="T7" s="6"/>
      <c r="U7" s="6"/>
      <c r="V7" s="6"/>
      <c r="W7" s="6"/>
      <c r="X7" s="6"/>
      <c r="Y7" s="6"/>
      <c r="Z7" s="6"/>
      <c r="AA7" s="6"/>
      <c r="AB7" s="6"/>
    </row>
    <row r="8">
      <c r="A8" s="7" t="s">
        <v>8</v>
      </c>
      <c r="B8" s="7" t="s">
        <v>9</v>
      </c>
      <c r="C8" s="7" t="s">
        <v>10</v>
      </c>
      <c r="D8" s="7" t="s">
        <v>11</v>
      </c>
      <c r="E8" s="7" t="s">
        <v>12</v>
      </c>
      <c r="F8" s="7" t="s">
        <v>13</v>
      </c>
      <c r="G8" s="7" t="s">
        <v>14</v>
      </c>
      <c r="H8" s="7" t="s">
        <v>15</v>
      </c>
      <c r="I8" s="7" t="s">
        <v>16</v>
      </c>
      <c r="J8" s="18" t="s">
        <v>17</v>
      </c>
      <c r="K8" s="18" t="s">
        <v>18</v>
      </c>
      <c r="L8" s="19" t="s">
        <v>19</v>
      </c>
      <c r="M8" s="20"/>
      <c r="N8" s="20"/>
      <c r="O8" s="20"/>
      <c r="P8" s="20"/>
      <c r="Q8" s="20"/>
      <c r="R8" s="20"/>
      <c r="S8" s="20"/>
      <c r="T8" s="20"/>
      <c r="U8" s="20"/>
      <c r="V8" s="20"/>
      <c r="W8" s="20"/>
      <c r="X8" s="20"/>
      <c r="Y8" s="20"/>
      <c r="Z8" s="20"/>
      <c r="AA8" s="20"/>
      <c r="AB8" s="20"/>
    </row>
    <row r="9">
      <c r="A9" s="21" t="s">
        <v>355</v>
      </c>
      <c r="B9" s="22" t="s">
        <v>356</v>
      </c>
      <c r="C9" s="23" t="str">
        <f>IFERROR(__xludf.DUMMYFUNCTION("GOOGLETRANSLATE(B9, ""en"", ""fr"")"),"Exp Orb: Melee")</f>
        <v>Exp Orb: Melee</v>
      </c>
      <c r="D9" s="23" t="str">
        <f>IFERROR(__xludf.DUMMYFUNCTION("GOOGLETRANSLATE(B9, ""en"", ""es"")"),"Exp orb: cuerpo a cuerpo")</f>
        <v>Exp orb: cuerpo a cuerpo</v>
      </c>
      <c r="E9" s="23" t="s">
        <v>357</v>
      </c>
      <c r="F9" s="23" t="str">
        <f>IFERROR(__xludf.DUMMYFUNCTION("GOOGLETRANSLATE(B9, ""en"", ""tr"")"),"Exp orb: yakın dövüş")</f>
        <v>Exp orb: yakın dövüş</v>
      </c>
      <c r="G9" s="23" t="str">
        <f>IFERROR(__xludf.DUMMYFUNCTION("GOOGLETRANSLATE(B9, ""en"", ""pt"")"),"EXP Orb: Melee")</f>
        <v>EXP Orb: Melee</v>
      </c>
      <c r="H9" s="24" t="str">
        <f>IFERROR(__xludf.DUMMYFUNCTION("GOOGLETRANSLATE(B9, ""en"", ""de"")"),"EXP-Kugel: Nahkampf")</f>
        <v>EXP-Kugel: Nahkampf</v>
      </c>
      <c r="I9" s="23" t="str">
        <f>IFERROR(__xludf.DUMMYFUNCTION("GOOGLETRANSLATE(B9, ""en"", ""pl"")"),"EXP ORB: WAREE")</f>
        <v>EXP ORB: WAREE</v>
      </c>
      <c r="J9" s="25" t="str">
        <f>IFERROR(__xludf.DUMMYFUNCTION("GOOGLETRANSLATE(B9, ""en"", ""zh"")"),"EXP ORB：MELEE")</f>
        <v>EXP ORB：MELEE</v>
      </c>
      <c r="K9" s="25" t="str">
        <f>IFERROR(__xludf.DUMMYFUNCTION("GOOGLETRANSLATE(B9, ""en"", ""vi"")"),"Exp Orb: Melee")</f>
        <v>Exp Orb: Melee</v>
      </c>
      <c r="L9" s="26" t="str">
        <f>IFERROR(__xludf.DUMMYFUNCTION("GOOGLETRANSLATE(B9, ""en"", ""hr"")"),"Exp orb: gužva")</f>
        <v>Exp orb: gužva</v>
      </c>
      <c r="M9" s="28"/>
      <c r="N9" s="28"/>
      <c r="O9" s="28"/>
      <c r="P9" s="28"/>
      <c r="Q9" s="28"/>
      <c r="R9" s="28"/>
      <c r="S9" s="28"/>
      <c r="T9" s="28"/>
      <c r="U9" s="28"/>
      <c r="V9" s="28"/>
      <c r="W9" s="28"/>
      <c r="X9" s="28"/>
      <c r="Y9" s="28"/>
      <c r="Z9" s="28"/>
      <c r="AA9" s="28"/>
      <c r="AB9" s="28"/>
    </row>
    <row r="10">
      <c r="A10" s="21" t="s">
        <v>358</v>
      </c>
      <c r="B10" s="22" t="s">
        <v>359</v>
      </c>
      <c r="C10" s="23" t="str">
        <f>IFERROR(__xludf.DUMMYFUNCTION("GOOGLETRANSLATE(B10, ""en"", ""fr"")"),"Donne beaucoup de stat de mêlée exp.")</f>
        <v>Donne beaucoup de stat de mêlée exp.</v>
      </c>
      <c r="D10" s="23" t="str">
        <f>IFERROR(__xludf.DUMMYFUNCTION("GOOGLETRANSLATE(B10, ""en"", ""es"")"),"Da una gran cantidad de Melee Stat Exp cuando se usa.")</f>
        <v>Da una gran cantidad de Melee Stat Exp cuando se usa.</v>
      </c>
      <c r="E10" s="23" t="s">
        <v>360</v>
      </c>
      <c r="F10" s="23" t="str">
        <f>IFERROR(__xludf.DUMMYFUNCTION("GOOGLETRANSLATE(B10, ""en"", ""tr"")"),"Kullanıldığında çok fazla Melee Stath Exp verir.")</f>
        <v>Kullanıldığında çok fazla Melee Stath Exp verir.</v>
      </c>
      <c r="G10" s="23" t="str">
        <f>IFERROR(__xludf.DUMMYFUNCTION("GOOGLETRANSLATE(B10, ""en"", ""pt"")"),"Dá um monte de estatismo corpo corpo-corpo quando usado.")</f>
        <v>Dá um monte de estatismo corpo corpo-corpo quando usado.</v>
      </c>
      <c r="H10" s="24" t="str">
        <f>IFERROR(__xludf.DUMMYFUNCTION("GOOGLETRANSLATE(B10, ""en"", ""de"")"),"Gibt viel Nahkampfstat aus, wenn Sie verwendet werden.")</f>
        <v>Gibt viel Nahkampfstat aus, wenn Sie verwendet werden.</v>
      </c>
      <c r="I10" s="23" t="str">
        <f>IFERROR(__xludf.DUMMYFUNCTION("GOOGLETRANSLATE(B10, ""en"", ""pl"")"),"Daje dużo statystyki walki wręcz, gdy jest używany.")</f>
        <v>Daje dużo statystyki walki wręcz, gdy jest używany.</v>
      </c>
      <c r="J10" s="25" t="str">
        <f>IFERROR(__xludf.DUMMYFUNCTION("GOOGLETRANSLATE(B10, ""en"", ""zh"")"),"使用时提供了很多Melee Stat Exp。")</f>
        <v>使用时提供了很多Melee Stat Exp。</v>
      </c>
      <c r="K10" s="25" t="str">
        <f>IFERROR(__xludf.DUMMYFUNCTION("GOOGLETRANSLATE(B10, ""en"", ""vi"")"),"Cho rất nhiều chỉ số cận chiến exp khi sử dụng.")</f>
        <v>Cho rất nhiều chỉ số cận chiến exp khi sử dụng.</v>
      </c>
      <c r="L10" s="26" t="str">
        <f>IFERROR(__xludf.DUMMYFUNCTION("GOOGLETRANSLATE(B10, ""en"", ""hr"")"),"Daje mnogo gužve stat exp kada se koristi.")</f>
        <v>Daje mnogo gužve stat exp kada se koristi.</v>
      </c>
      <c r="M10" s="28"/>
      <c r="N10" s="28"/>
      <c r="O10" s="28"/>
      <c r="P10" s="28"/>
      <c r="Q10" s="28"/>
      <c r="R10" s="28"/>
      <c r="S10" s="28"/>
      <c r="T10" s="28"/>
      <c r="U10" s="28"/>
      <c r="V10" s="28"/>
      <c r="W10" s="28"/>
      <c r="X10" s="28"/>
      <c r="Y10" s="28"/>
      <c r="Z10" s="28"/>
      <c r="AA10" s="28"/>
      <c r="AB10" s="28"/>
    </row>
    <row r="11">
      <c r="A11" s="21" t="s">
        <v>361</v>
      </c>
      <c r="B11" s="22" t="s">
        <v>362</v>
      </c>
      <c r="C11" s="23" t="str">
        <f>IFERROR(__xludf.DUMMYFUNCTION("GOOGLETRANSLATE(B11, ""en"", ""fr"")"),"EXP ORB: allait")</f>
        <v>EXP ORB: allait</v>
      </c>
      <c r="D11" s="23" t="str">
        <f>IFERROR(__xludf.DUMMYFUNCTION("GOOGLETRANSLATE(B11, ""en"", ""es"")"),"Exp orbe: a distancia")</f>
        <v>Exp orbe: a distancia</v>
      </c>
      <c r="E11" s="23" t="s">
        <v>363</v>
      </c>
      <c r="F11" s="23" t="str">
        <f>IFERROR(__xludf.DUMMYFUNCTION("GOOGLETRANSLATE(B11, ""en"", ""tr"")"),"EXP ORB: RANGED")</f>
        <v>EXP ORB: RANGED</v>
      </c>
      <c r="G11" s="23" t="str">
        <f>IFERROR(__xludf.DUMMYFUNCTION("GOOGLETRANSLATE(B11, ""en"", ""pt"")"),"Exp orb: variou")</f>
        <v>Exp orb: variou</v>
      </c>
      <c r="H11" s="24" t="str">
        <f>IFERROR(__xludf.DUMMYFUNCTION("GOOGLETRANSLATE(B11, ""en"", ""de"")"),"EXP-Kugel: reichlich")</f>
        <v>EXP-Kugel: reichlich</v>
      </c>
      <c r="I11" s="23" t="str">
        <f>IFERROR(__xludf.DUMMYFUNCTION("GOOGLETRANSLATE(B11, ""en"", ""pl"")"),"Exp Orb: Dama")</f>
        <v>Exp Orb: Dama</v>
      </c>
      <c r="J11" s="25" t="str">
        <f>IFERROR(__xludf.DUMMYFUNCTION("GOOGLETRANSLATE(B11, ""en"", ""zh"")"),"EXP ORB：远程")</f>
        <v>EXP ORB：远程</v>
      </c>
      <c r="K11" s="25" t="str">
        <f>IFERROR(__xludf.DUMMYFUNCTION("GOOGLETRANSLATE(B11, ""en"", ""vi"")"),"Exp orb: ranged")</f>
        <v>Exp orb: ranged</v>
      </c>
      <c r="L11" s="26" t="str">
        <f>IFERROR(__xludf.DUMMYFUNCTION("GOOGLETRANSLATE(B11, ""en"", ""hr"")"),"Exp Orb: Rashed")</f>
        <v>Exp Orb: Rashed</v>
      </c>
      <c r="M11" s="28"/>
      <c r="N11" s="28"/>
      <c r="O11" s="28"/>
      <c r="P11" s="28"/>
      <c r="Q11" s="28"/>
      <c r="R11" s="28"/>
      <c r="S11" s="28"/>
      <c r="T11" s="28"/>
      <c r="U11" s="28"/>
      <c r="V11" s="28"/>
      <c r="W11" s="28"/>
      <c r="X11" s="28"/>
      <c r="Y11" s="28"/>
      <c r="Z11" s="28"/>
      <c r="AA11" s="28"/>
      <c r="AB11" s="28"/>
    </row>
    <row r="12">
      <c r="A12" s="21" t="s">
        <v>364</v>
      </c>
      <c r="B12" s="22" t="s">
        <v>365</v>
      </c>
      <c r="C12" s="23" t="str">
        <f>IFERROR(__xludf.DUMMYFUNCTION("GOOGLETRANSLATE(B12, ""en"", ""fr"")"),"Donne beaucoup de statistiques à distance lorsqu'il est utilisé.")</f>
        <v>Donne beaucoup de statistiques à distance lorsqu'il est utilisé.</v>
      </c>
      <c r="D12" s="23" t="str">
        <f>IFERROR(__xludf.DUMMYFUNCTION("GOOGLETRANSLATE(B12, ""en"", ""es"")"),"Da una gran cantidad de exposición de estadísticas a distancia cuando se usa.")</f>
        <v>Da una gran cantidad de exposición de estadísticas a distancia cuando se usa.</v>
      </c>
      <c r="E12" s="23" t="s">
        <v>366</v>
      </c>
      <c r="F12" s="23" t="str">
        <f>IFERROR(__xludf.DUMMYFUNCTION("GOOGLETRANSLATE(B12, ""en"", ""tr"")"),"Kullanıldığında çok sayıda değişimli Stath Exp verir.")</f>
        <v>Kullanıldığında çok sayıda değişimli Stath Exp verir.</v>
      </c>
      <c r="G12" s="23" t="str">
        <f>IFERROR(__xludf.DUMMYFUNCTION("GOOGLETRANSLATE(B12, ""en"", ""pt"")"),"Dá um monte de stat exp de grande variação quando usado.")</f>
        <v>Dá um monte de stat exp de grande variação quando usado.</v>
      </c>
      <c r="H12" s="24" t="str">
        <f>IFERROR(__xludf.DUMMYFUNCTION("GOOGLETRANSLATE(B12, ""en"", ""de"")"),"Gibt viel Fernkampfstat aus, wenn Sie verwendet werden.")</f>
        <v>Gibt viel Fernkampfstat aus, wenn Sie verwendet werden.</v>
      </c>
      <c r="I12" s="23" t="str">
        <f>IFERROR(__xludf.DUMMYFUNCTION("GOOGLETRANSLATE(B12, ""en"", ""pl"")"),"Daje dużo dystansowej statystyki, gdy jest używane.")</f>
        <v>Daje dużo dystansowej statystyki, gdy jest używane.</v>
      </c>
      <c r="J12" s="25" t="str">
        <f>IFERROR(__xludf.DUMMYFUNCTION("GOOGLETRANSLATE(B12, ""en"", ""zh"")"),"使用时提供了很多范围的STAT exp。")</f>
        <v>使用时提供了很多范围的STAT exp。</v>
      </c>
      <c r="K12" s="25" t="str">
        <f>IFERROR(__xludf.DUMMYFUNCTION("GOOGLETRANSLATE(B12, ""en"", ""vi"")"),"Cung cấp rất nhiều chỉ số chỉ số exp khi sử dụng.")</f>
        <v>Cung cấp rất nhiều chỉ số chỉ số exp khi sử dụng.</v>
      </c>
      <c r="L12" s="26" t="str">
        <f>IFERROR(__xludf.DUMMYFUNCTION("GOOGLETRANSLATE(B12, ""en"", ""hr"")"),"Daje mnogo raspona stat exp kada se koristi.")</f>
        <v>Daje mnogo raspona stat exp kada se koristi.</v>
      </c>
      <c r="M12" s="28"/>
      <c r="N12" s="28"/>
      <c r="O12" s="28"/>
      <c r="P12" s="28"/>
      <c r="Q12" s="28"/>
      <c r="R12" s="28"/>
      <c r="S12" s="28"/>
      <c r="T12" s="28"/>
      <c r="U12" s="28"/>
      <c r="V12" s="28"/>
      <c r="W12" s="28"/>
      <c r="X12" s="28"/>
      <c r="Y12" s="28"/>
      <c r="Z12" s="28"/>
      <c r="AA12" s="28"/>
      <c r="AB12" s="28"/>
    </row>
    <row r="13">
      <c r="A13" s="21" t="s">
        <v>367</v>
      </c>
      <c r="B13" s="22" t="s">
        <v>368</v>
      </c>
      <c r="C13" s="23" t="str">
        <f>IFERROR(__xludf.DUMMYFUNCTION("GOOGLETRANSLATE(B13, ""en"", ""fr"")"),"Exp Orb: magie")</f>
        <v>Exp Orb: magie</v>
      </c>
      <c r="D13" s="23" t="str">
        <f>IFERROR(__xludf.DUMMYFUNCTION("GOOGLETRANSLATE(B13, ""en"", ""es"")"),"Exp orb: magia")</f>
        <v>Exp orb: magia</v>
      </c>
      <c r="E13" s="23" t="s">
        <v>369</v>
      </c>
      <c r="F13" s="23" t="str">
        <f>IFERROR(__xludf.DUMMYFUNCTION("GOOGLETRANSLATE(B13, ""en"", ""tr"")"),"Exp ORB: Büyü")</f>
        <v>Exp ORB: Büyü</v>
      </c>
      <c r="G13" s="23" t="str">
        <f>IFERROR(__xludf.DUMMYFUNCTION("GOOGLETRANSLATE(B13, ""en"", ""pt"")"),"Exp orb: magia")</f>
        <v>Exp orb: magia</v>
      </c>
      <c r="H13" s="24" t="str">
        <f>IFERROR(__xludf.DUMMYFUNCTION("GOOGLETRANSLATE(B13, ""en"", ""de"")"),"EXP-Kugel: Magie")</f>
        <v>EXP-Kugel: Magie</v>
      </c>
      <c r="I13" s="23" t="str">
        <f>IFERROR(__xludf.DUMMYFUNCTION("GOOGLETRANSLATE(B13, ""en"", ""pl"")"),"Exp Orb: Magic")</f>
        <v>Exp Orb: Magic</v>
      </c>
      <c r="J13" s="25" t="str">
        <f>IFERROR(__xludf.DUMMYFUNCTION("GOOGLETRANSLATE(B13, ""en"", ""zh"")"),"EXP ORB：魔术")</f>
        <v>EXP ORB：魔术</v>
      </c>
      <c r="K13" s="25" t="str">
        <f>IFERROR(__xludf.DUMMYFUNCTION("GOOGLETRANSLATE(B13, ""en"", ""vi"")"),"Exp orb: ma thuật")</f>
        <v>Exp orb: ma thuật</v>
      </c>
      <c r="L13" s="26" t="str">
        <f>IFERROR(__xludf.DUMMYFUNCTION("GOOGLETRANSLATE(B13, ""en"", ""hr"")"),"Exp orb: magija")</f>
        <v>Exp orb: magija</v>
      </c>
      <c r="M13" s="28"/>
      <c r="N13" s="28"/>
      <c r="O13" s="28"/>
      <c r="P13" s="28"/>
      <c r="Q13" s="28"/>
      <c r="R13" s="28"/>
      <c r="S13" s="28"/>
      <c r="T13" s="28"/>
      <c r="U13" s="28"/>
      <c r="V13" s="28"/>
      <c r="W13" s="28"/>
      <c r="X13" s="28"/>
      <c r="Y13" s="28"/>
      <c r="Z13" s="28"/>
      <c r="AA13" s="28"/>
      <c r="AB13" s="28"/>
    </row>
    <row r="14">
      <c r="A14" s="21" t="s">
        <v>370</v>
      </c>
      <c r="B14" s="22" t="s">
        <v>371</v>
      </c>
      <c r="C14" s="23" t="str">
        <f>IFERROR(__xludf.DUMMYFUNCTION("GOOGLETRANSLATE(B14, ""en"", ""fr"")"),"Donne beaucoup d'expansion magique expuls lorsqu'il est utilisé.")</f>
        <v>Donne beaucoup d'expansion magique expuls lorsqu'il est utilisé.</v>
      </c>
      <c r="D14" s="23" t="str">
        <f>IFERROR(__xludf.DUMMYFUNCTION("GOOGLETRANSLATE(B14, ""en"", ""es"")"),"Da una gran cantidad de Magic Stat Exp cuando se usa.")</f>
        <v>Da una gran cantidad de Magic Stat Exp cuando se usa.</v>
      </c>
      <c r="E14" s="23" t="s">
        <v>372</v>
      </c>
      <c r="F14" s="23" t="str">
        <f>IFERROR(__xludf.DUMMYFUNCTION("GOOGLETRANSLATE(B14, ""en"", ""tr"")"),"Kullanıldığında çok fazla sihirli stat exp verir.")</f>
        <v>Kullanıldığında çok fazla sihirli stat exp verir.</v>
      </c>
      <c r="G14" s="23" t="str">
        <f>IFERROR(__xludf.DUMMYFUNCTION("GOOGLETRANSLATE(B14, ""en"", ""pt"")"),"Dá um monte de stat Magic Exp quando usado.")</f>
        <v>Dá um monte de stat Magic Exp quando usado.</v>
      </c>
      <c r="H14" s="24" t="str">
        <f>IFERROR(__xludf.DUMMYFUNCTION("GOOGLETRANSLATE(B14, ""en"", ""de"")"),"Gibt viel Magic Stat Exp bei Verwendung an.")</f>
        <v>Gibt viel Magic Stat Exp bei Verwendung an.</v>
      </c>
      <c r="I14" s="23" t="str">
        <f>IFERROR(__xludf.DUMMYFUNCTION("GOOGLETRANSLATE(B14, ""en"", ""pl"")"),"Daje dużo magicznej statystyki, gdy jest używane.")</f>
        <v>Daje dużo magicznej statystyki, gdy jest używane.</v>
      </c>
      <c r="J14" s="25" t="str">
        <f>IFERROR(__xludf.DUMMYFUNCTION("GOOGLETRANSLATE(B14, ""en"", ""zh"")"),"使用时提供了很多魔法STAX。")</f>
        <v>使用时提供了很多魔法STAX。</v>
      </c>
      <c r="K14" s="25" t="str">
        <f>IFERROR(__xludf.DUMMYFUNCTION("GOOGLETRANSLATE(B14, ""en"", ""vi"")"),"Đưa ra rất nhiều chỉ số ma thuật exp khi sử dụng.")</f>
        <v>Đưa ra rất nhiều chỉ số ma thuật exp khi sử dụng.</v>
      </c>
      <c r="L14" s="26" t="str">
        <f>IFERROR(__xludf.DUMMYFUNCTION("GOOGLETRANSLATE(B14, ""en"", ""hr"")"),"Daje mnogo magične statistike kada se koristi.")</f>
        <v>Daje mnogo magične statistike kada se koristi.</v>
      </c>
      <c r="M14" s="28"/>
      <c r="N14" s="28"/>
      <c r="O14" s="28"/>
      <c r="P14" s="28"/>
      <c r="Q14" s="28"/>
      <c r="R14" s="28"/>
      <c r="S14" s="28"/>
      <c r="T14" s="28"/>
      <c r="U14" s="28"/>
      <c r="V14" s="28"/>
      <c r="W14" s="28"/>
      <c r="X14" s="28"/>
      <c r="Y14" s="28"/>
      <c r="Z14" s="28"/>
      <c r="AA14" s="28"/>
      <c r="AB14" s="28"/>
    </row>
    <row r="15">
      <c r="A15" s="21" t="s">
        <v>373</v>
      </c>
      <c r="B15" s="22" t="s">
        <v>374</v>
      </c>
      <c r="C15" s="23" t="str">
        <f>IFERROR(__xludf.DUMMYFUNCTION("GOOGLETRANSLATE(B15, ""en"", ""fr"")"),"Exp Orb: rassemblement")</f>
        <v>Exp Orb: rassemblement</v>
      </c>
      <c r="D15" s="23" t="str">
        <f>IFERROR(__xludf.DUMMYFUNCTION("GOOGLETRANSLATE(B15, ""en"", ""es"")"),"Exp orbe: reunión")</f>
        <v>Exp orbe: reunión</v>
      </c>
      <c r="E15" s="23" t="s">
        <v>375</v>
      </c>
      <c r="F15" s="23" t="str">
        <f>IFERROR(__xludf.DUMMYFUNCTION("GOOGLETRANSLATE(B15, ""en"", ""tr"")"),"EXP ORB: Toplama")</f>
        <v>EXP ORB: Toplama</v>
      </c>
      <c r="G15" s="23" t="str">
        <f>IFERROR(__xludf.DUMMYFUNCTION("GOOGLETRANSLATE(B15, ""en"", ""pt"")"),"Exp orb: coleta")</f>
        <v>Exp orb: coleta</v>
      </c>
      <c r="H15" s="24" t="str">
        <f>IFERROR(__xludf.DUMMYFUNCTION("GOOGLETRANSLATE(B15, ""en"", ""de"")"),"EXP-Kugel: Sammeln")</f>
        <v>EXP-Kugel: Sammeln</v>
      </c>
      <c r="I15" s="23" t="str">
        <f>IFERROR(__xludf.DUMMYFUNCTION("GOOGLETRANSLATE(B15, ""en"", ""pl"")"),"Exp Orb: Grome")</f>
        <v>Exp Orb: Grome</v>
      </c>
      <c r="J15" s="25" t="str">
        <f>IFERROR(__xludf.DUMMYFUNCTION("GOOGLETRANSLATE(B15, ""en"", ""zh"")"),"EXP ORB：收集")</f>
        <v>EXP ORB：收集</v>
      </c>
      <c r="K15" s="25" t="str">
        <f>IFERROR(__xludf.DUMMYFUNCTION("GOOGLETRANSLATE(B15, ""en"", ""vi"")"),"Exp orb: thu thập")</f>
        <v>Exp orb: thu thập</v>
      </c>
      <c r="L15" s="26" t="str">
        <f>IFERROR(__xludf.DUMMYFUNCTION("GOOGLETRANSLATE(B15, ""en"", ""hr"")"),"Exp orb: prikupljanje")</f>
        <v>Exp orb: prikupljanje</v>
      </c>
      <c r="M15" s="28"/>
      <c r="N15" s="28"/>
      <c r="O15" s="28"/>
      <c r="P15" s="28"/>
      <c r="Q15" s="28"/>
      <c r="R15" s="28"/>
      <c r="S15" s="28"/>
      <c r="T15" s="28"/>
      <c r="U15" s="28"/>
      <c r="V15" s="28"/>
      <c r="W15" s="28"/>
      <c r="X15" s="28"/>
      <c r="Y15" s="28"/>
      <c r="Z15" s="28"/>
      <c r="AA15" s="28"/>
      <c r="AB15" s="28"/>
    </row>
    <row r="16">
      <c r="A16" s="21" t="s">
        <v>376</v>
      </c>
      <c r="B16" s="22" t="s">
        <v>377</v>
      </c>
      <c r="C16" s="23" t="str">
        <f>IFERROR(__xludf.DUMMYFUNCTION("GOOGLETRANSLATE(B16, ""en"", ""fr"")"),"Donne beaucoup de rassemblement STAT ExP lorsqu'il est utilisé.")</f>
        <v>Donne beaucoup de rassemblement STAT ExP lorsqu'il est utilisé.</v>
      </c>
      <c r="D16" s="23" t="str">
        <f>IFERROR(__xludf.DUMMYFUNCTION("GOOGLETRANSLATE(B16, ""en"", ""es"")"),"Da una gran cantidad de recolección de estadísticas expiando cuando se usa.")</f>
        <v>Da una gran cantidad de recolección de estadísticas expiando cuando se usa.</v>
      </c>
      <c r="E16" s="23" t="s">
        <v>378</v>
      </c>
      <c r="F16" s="23" t="str">
        <f>IFERROR(__xludf.DUMMYFUNCTION("GOOGLETRANSLATE(B16, ""en"", ""tr"")"),"Kullanıldığında çok fazla buluşma Stath Exp verir.")</f>
        <v>Kullanıldığında çok fazla buluşma Stath Exp verir.</v>
      </c>
      <c r="G16" s="23" t="str">
        <f>IFERROR(__xludf.DUMMYFUNCTION("GOOGLETRANSLATE(B16, ""en"", ""pt"")"),"Dá um monte de coleta stat exp quando usado.")</f>
        <v>Dá um monte de coleta stat exp quando usado.</v>
      </c>
      <c r="H16" s="24" t="str">
        <f>IFERROR(__xludf.DUMMYFUNCTION("GOOGLETRANSLATE(B16, ""en"", ""de"")"),"Gibt viel Sammelstat aus, wenn er verwendet wird.")</f>
        <v>Gibt viel Sammelstat aus, wenn er verwendet wird.</v>
      </c>
      <c r="I16" s="23" t="str">
        <f>IFERROR(__xludf.DUMMYFUNCTION("GOOGLETRANSLATE(B16, ""en"", ""pl"")"),"Daje wiele zgromadzenia statystyki, gdy jest używany.")</f>
        <v>Daje wiele zgromadzenia statystyki, gdy jest używany.</v>
      </c>
      <c r="J16" s="25" t="str">
        <f>IFERROR(__xludf.DUMMYFUNCTION("GOOGLETRANSLATE(B16, ""en"", ""zh"")"),"使用时提供了很多收集STAT EXP。")</f>
        <v>使用时提供了很多收集STAT EXP。</v>
      </c>
      <c r="K16" s="25" t="str">
        <f>IFERROR(__xludf.DUMMYFUNCTION("GOOGLETRANSLATE(B16, ""en"", ""vi"")"),"Cung cấp rất nhiều chỉ số thu thập exp khi sử dụng.")</f>
        <v>Cung cấp rất nhiều chỉ số thu thập exp khi sử dụng.</v>
      </c>
      <c r="L16" s="26" t="str">
        <f>IFERROR(__xludf.DUMMYFUNCTION("GOOGLETRANSLATE(B16, ""en"", ""hr"")"),"Daje mnogo prikupljanja stat exp kada se koristi.")</f>
        <v>Daje mnogo prikupljanja stat exp kada se koristi.</v>
      </c>
      <c r="M16" s="28"/>
      <c r="N16" s="28"/>
      <c r="O16" s="28"/>
      <c r="P16" s="28"/>
      <c r="Q16" s="28"/>
      <c r="R16" s="28"/>
      <c r="S16" s="28"/>
      <c r="T16" s="28"/>
      <c r="U16" s="28"/>
      <c r="V16" s="28"/>
      <c r="W16" s="28"/>
      <c r="X16" s="28"/>
      <c r="Y16" s="28"/>
      <c r="Z16" s="28"/>
      <c r="AA16" s="28"/>
      <c r="AB16" s="28"/>
    </row>
    <row r="17">
      <c r="A17" s="21" t="s">
        <v>379</v>
      </c>
      <c r="B17" s="22" t="s">
        <v>380</v>
      </c>
      <c r="C17" s="23" t="str">
        <f>IFERROR(__xludf.DUMMYFUNCTION("GOOGLETRANSLATE(B17, ""en"", ""fr"")"),"Exp Orb: Armes")</f>
        <v>Exp Orb: Armes</v>
      </c>
      <c r="D17" s="23" t="str">
        <f>IFERROR(__xludf.DUMMYFUNCTION("GOOGLETRANSLATE(B17, ""en"", ""es"")"),"Exp orbe: armamento")</f>
        <v>Exp orbe: armamento</v>
      </c>
      <c r="E17" s="23" t="s">
        <v>381</v>
      </c>
      <c r="F17" s="23" t="str">
        <f>IFERROR(__xludf.DUMMYFUNCTION("GOOGLETRANSLATE(B17, ""en"", ""tr"")"),"EXP ORB: Silah")</f>
        <v>EXP ORB: Silah</v>
      </c>
      <c r="G17" s="23" t="str">
        <f>IFERROR(__xludf.DUMMYFUNCTION("GOOGLETRANSLATE(B17, ""en"", ""pt"")"),"EXP Orb: armamento")</f>
        <v>EXP Orb: armamento</v>
      </c>
      <c r="H17" s="24" t="str">
        <f>IFERROR(__xludf.DUMMYFUNCTION("GOOGLETRANSLATE(B17, ""en"", ""de"")"),"EXP-Kugel: Waffen")</f>
        <v>EXP-Kugel: Waffen</v>
      </c>
      <c r="I17" s="23" t="str">
        <f>IFERROR(__xludf.DUMMYFUNCTION("GOOGLETRANSLATE(B17, ""en"", ""pl"")"),"Exp Orb: Broń")</f>
        <v>Exp Orb: Broń</v>
      </c>
      <c r="J17" s="25" t="str">
        <f>IFERROR(__xludf.DUMMYFUNCTION("GOOGLETRANSLATE(B17, ""en"", ""zh"")"),"EXP ORB：武器")</f>
        <v>EXP ORB：武器</v>
      </c>
      <c r="K17" s="25" t="str">
        <f>IFERROR(__xludf.DUMMYFUNCTION("GOOGLETRANSLATE(B17, ""en"", ""vi"")"),"Exp orb: vũ khí")</f>
        <v>Exp orb: vũ khí</v>
      </c>
      <c r="L17" s="26" t="str">
        <f>IFERROR(__xludf.DUMMYFUNCTION("GOOGLETRANSLATE(B17, ""en"", ""hr"")"),"Exp Orb: Oružje")</f>
        <v>Exp Orb: Oružje</v>
      </c>
      <c r="M17" s="28"/>
      <c r="N17" s="28"/>
      <c r="O17" s="28"/>
      <c r="P17" s="28"/>
      <c r="Q17" s="28"/>
      <c r="R17" s="28"/>
      <c r="S17" s="28"/>
      <c r="T17" s="28"/>
      <c r="U17" s="28"/>
      <c r="V17" s="28"/>
      <c r="W17" s="28"/>
      <c r="X17" s="28"/>
      <c r="Y17" s="28"/>
      <c r="Z17" s="28"/>
      <c r="AA17" s="28"/>
      <c r="AB17" s="28"/>
    </row>
    <row r="18">
      <c r="A18" s="21" t="s">
        <v>382</v>
      </c>
      <c r="B18" s="22" t="s">
        <v>383</v>
      </c>
      <c r="C18" s="23" t="str">
        <f>IFERROR(__xludf.DUMMYFUNCTION("GOOGLETRANSLATE(B18, ""en"", ""fr"")"),"Donne beaucoup d'armes Stat StatP lorsqu'il est utilisé.")</f>
        <v>Donne beaucoup d'armes Stat StatP lorsqu'il est utilisé.</v>
      </c>
      <c r="D18" s="23" t="str">
        <f>IFERROR(__xludf.DUMMYFUNCTION("GOOGLETRANSLATE(B18, ""en"", ""es"")"),"Da una gran cantidad de armas de estadía de armas cuando se usa.")</f>
        <v>Da una gran cantidad de armas de estadía de armas cuando se usa.</v>
      </c>
      <c r="E18" s="23" t="s">
        <v>384</v>
      </c>
      <c r="F18" s="23" t="str">
        <f>IFERROR(__xludf.DUMMYFUNCTION("GOOGLETRANSLATE(B18, ""en"", ""tr"")"),"Kullanıldığında çok sayıda silah stath exp verir.")</f>
        <v>Kullanıldığında çok sayıda silah stath exp verir.</v>
      </c>
      <c r="G18" s="23" t="str">
        <f>IFERROR(__xludf.DUMMYFUNCTION("GOOGLETRANSLATE(B18, ""en"", ""pt"")"),"Dá um monte de estatísticas de armamento Exp quando usado.")</f>
        <v>Dá um monte de estatísticas de armamento Exp quando usado.</v>
      </c>
      <c r="H18" s="24" t="str">
        <f>IFERROR(__xludf.DUMMYFUNCTION("GOOGLETRANSLATE(B18, ""en"", ""de"")"),"Gibt viel Waffenstat aus, wenn Sie verwendet werden.")</f>
        <v>Gibt viel Waffenstat aus, wenn Sie verwendet werden.</v>
      </c>
      <c r="I18" s="23" t="str">
        <f>IFERROR(__xludf.DUMMYFUNCTION("GOOGLETRANSLATE(B18, ""en"", ""pl"")"),"Daje dużo statystyki broni, gdy jest używane.")</f>
        <v>Daje dużo statystyki broni, gdy jest używane.</v>
      </c>
      <c r="J18" s="25" t="str">
        <f>IFERROR(__xludf.DUMMYFUNCTION("GOOGLETRANSLATE(B18, ""en"", ""zh"")"),"使用时提供了许多武器统计数据exp。")</f>
        <v>使用时提供了许多武器统计数据exp。</v>
      </c>
      <c r="K18" s="25" t="str">
        <f>IFERROR(__xludf.DUMMYFUNCTION("GOOGLETRANSLATE(B18, ""en"", ""vi"")"),"Cho rất nhiều chỉ số vũ khí exp khi sử dụng.")</f>
        <v>Cho rất nhiều chỉ số vũ khí exp khi sử dụng.</v>
      </c>
      <c r="L18" s="26" t="str">
        <f>IFERROR(__xludf.DUMMYFUNCTION("GOOGLETRANSLATE(B18, ""en"", ""hr"")"),"Daje mnogo vrste naoružanja exp kada se koristi.")</f>
        <v>Daje mnogo vrste naoružanja exp kada se koristi.</v>
      </c>
      <c r="M18" s="28"/>
      <c r="N18" s="28"/>
      <c r="O18" s="28"/>
      <c r="P18" s="28"/>
      <c r="Q18" s="28"/>
      <c r="R18" s="28"/>
      <c r="S18" s="28"/>
      <c r="T18" s="28"/>
      <c r="U18" s="28"/>
      <c r="V18" s="28"/>
      <c r="W18" s="28"/>
      <c r="X18" s="28"/>
      <c r="Y18" s="28"/>
      <c r="Z18" s="28"/>
      <c r="AA18" s="28"/>
      <c r="AB18" s="28"/>
    </row>
    <row r="19">
      <c r="A19" s="21" t="s">
        <v>385</v>
      </c>
      <c r="B19" s="22" t="s">
        <v>386</v>
      </c>
      <c r="C19" s="23" t="str">
        <f>IFERROR(__xludf.DUMMYFUNCTION("GOOGLETRANSLATE(B19, ""en"", ""fr"")"),"EXP Orb: Armoire")</f>
        <v>EXP Orb: Armoire</v>
      </c>
      <c r="D19" s="23" t="str">
        <f>IFERROR(__xludf.DUMMYFUNCTION("GOOGLETRANSLATE(B19, ""en"", ""es"")"),"Exp orb: armería")</f>
        <v>Exp orb: armería</v>
      </c>
      <c r="E19" s="23" t="s">
        <v>387</v>
      </c>
      <c r="F19" s="23" t="str">
        <f>IFERROR(__xludf.DUMMYFUNCTION("GOOGLETRANSLATE(B19, ""en"", ""tr"")"),"EXP ORB: Zırh")</f>
        <v>EXP ORB: Zırh</v>
      </c>
      <c r="G19" s="23" t="str">
        <f>IFERROR(__xludf.DUMMYFUNCTION("GOOGLETRANSLATE(B19, ""en"", ""pt"")"),"EXP Orb: Armory")</f>
        <v>EXP Orb: Armory</v>
      </c>
      <c r="H19" s="24" t="str">
        <f>IFERROR(__xludf.DUMMYFUNCTION("GOOGLETRANSLATE(B19, ""en"", ""de"")"),"EXP-Kugel: Waffenkammer")</f>
        <v>EXP-Kugel: Waffenkammer</v>
      </c>
      <c r="I19" s="23" t="str">
        <f>IFERROR(__xludf.DUMMYFUNCTION("GOOGLETRANSLATE(B19, ""en"", ""pl"")"),"Exp Orb: Armory")</f>
        <v>Exp Orb: Armory</v>
      </c>
      <c r="J19" s="25" t="str">
        <f>IFERROR(__xludf.DUMMYFUNCTION("GOOGLETRANSLATE(B19, ""en"", ""zh"")"),"EXP ORB：军械库")</f>
        <v>EXP ORB：军械库</v>
      </c>
      <c r="K19" s="25" t="str">
        <f>IFERROR(__xludf.DUMMYFUNCTION("GOOGLETRANSLATE(B19, ""en"", ""vi"")"),"Exp Orb: Armory")</f>
        <v>Exp Orb: Armory</v>
      </c>
      <c r="L19" s="26" t="str">
        <f>IFERROR(__xludf.DUMMYFUNCTION("GOOGLETRANSLATE(B19, ""en"", ""hr"")"),"Exp orb: oružarnica")</f>
        <v>Exp orb: oružarnica</v>
      </c>
      <c r="M19" s="28"/>
      <c r="N19" s="28"/>
      <c r="O19" s="28"/>
      <c r="P19" s="28"/>
      <c r="Q19" s="28"/>
      <c r="R19" s="28"/>
      <c r="S19" s="28"/>
      <c r="T19" s="28"/>
      <c r="U19" s="28"/>
      <c r="V19" s="28"/>
      <c r="W19" s="28"/>
      <c r="X19" s="28"/>
      <c r="Y19" s="28"/>
      <c r="Z19" s="28"/>
      <c r="AA19" s="28"/>
      <c r="AB19" s="28"/>
    </row>
    <row r="20">
      <c r="A20" s="21" t="s">
        <v>388</v>
      </c>
      <c r="B20" s="22" t="s">
        <v>389</v>
      </c>
      <c r="C20" s="23" t="str">
        <f>IFERROR(__xludf.DUMMYFUNCTION("GOOGLETRANSLATE(B20, ""en"", ""fr"")"),"Donne beaucoup d'armurerie Stat Exp lorsqu'il est utilisé.")</f>
        <v>Donne beaucoup d'armurerie Stat Exp lorsqu'il est utilisé.</v>
      </c>
      <c r="D20" s="23" t="str">
        <f>IFERROR(__xludf.DUMMYFUNCTION("GOOGLETRANSLATE(B20, ""en"", ""es"")"),"Da una gran cantidad de expresión de estadísticas de armería cuando se usa.")</f>
        <v>Da una gran cantidad de expresión de estadísticas de armería cuando se usa.</v>
      </c>
      <c r="E20" s="23" t="s">
        <v>390</v>
      </c>
      <c r="F20" s="23" t="str">
        <f>IFERROR(__xludf.DUMMYFUNCTION("GOOGLETRANSLATE(B20, ""en"", ""tr"")"),"Kullanıldığında çok fazla Cephane Stath Exp verir.")</f>
        <v>Kullanıldığında çok fazla Cephane Stath Exp verir.</v>
      </c>
      <c r="G20" s="23" t="str">
        <f>IFERROR(__xludf.DUMMYFUNCTION("GOOGLETRANSLATE(B20, ""en"", ""pt"")"),"Dá um monte de arsenal st Exp quando usado.")</f>
        <v>Dá um monte de arsenal st Exp quando usado.</v>
      </c>
      <c r="H20" s="24" t="str">
        <f>IFERROR(__xludf.DUMMYFUNCTION("GOOGLETRANSLATE(B20, ""en"", ""de"")"),"Gibt viel Rüstungsstat aus, wenn Sie verwendet werden.")</f>
        <v>Gibt viel Rüstungsstat aus, wenn Sie verwendet werden.</v>
      </c>
      <c r="I20" s="23" t="str">
        <f>IFERROR(__xludf.DUMMYFUNCTION("GOOGLETRANSLATE(B20, ""en"", ""pl"")"),"Daje dużo statystyk zbrojowych, gdy jest używany.")</f>
        <v>Daje dużo statystyk zbrojowych, gdy jest używany.</v>
      </c>
      <c r="J20" s="25" t="str">
        <f>IFERROR(__xludf.DUMMYFUNCTION("GOOGLETRANSLATE(B20, ""en"", ""zh"")"),"使用时提供了很多军械库stat exp。")</f>
        <v>使用时提供了很多军械库stat exp。</v>
      </c>
      <c r="K20" s="25" t="str">
        <f>IFERROR(__xludf.DUMMYFUNCTION("GOOGLETRANSLATE(B20, ""en"", ""vi"")"),"Cho rất nhiều stat uncor exp khi sử dụng.")</f>
        <v>Cho rất nhiều stat uncor exp khi sử dụng.</v>
      </c>
      <c r="L20" s="26" t="str">
        <f>IFERROR(__xludf.DUMMYFUNCTION("GOOGLETRANSLATE(B20, ""en"", ""hr"")"),"Daje mnogo oružarnice STAT exp kada se koristi.")</f>
        <v>Daje mnogo oružarnice STAT exp kada se koristi.</v>
      </c>
      <c r="M20" s="28"/>
      <c r="N20" s="28"/>
      <c r="O20" s="28"/>
      <c r="P20" s="28"/>
      <c r="Q20" s="28"/>
      <c r="R20" s="28"/>
      <c r="S20" s="28"/>
      <c r="T20" s="28"/>
      <c r="U20" s="28"/>
      <c r="V20" s="28"/>
      <c r="W20" s="28"/>
      <c r="X20" s="28"/>
      <c r="Y20" s="28"/>
      <c r="Z20" s="28"/>
      <c r="AA20" s="28"/>
      <c r="AB20" s="28"/>
    </row>
    <row r="21">
      <c r="A21" s="21" t="s">
        <v>391</v>
      </c>
      <c r="B21" s="22" t="s">
        <v>392</v>
      </c>
      <c r="C21" s="23" t="str">
        <f>IFERROR(__xludf.DUMMYFUNCTION("GOOGLETRANSLATE(B21, ""en"", ""fr"")"),"EXP ORB: TOIILLEURS")</f>
        <v>EXP ORB: TOIILLEURS</v>
      </c>
      <c r="D21" s="23" t="str">
        <f>IFERROR(__xludf.DUMMYFUNCTION("GOOGLETRANSLATE(B21, ""en"", ""es"")"),"EXP ORB: LAS TERRAERIALES")</f>
        <v>EXP ORB: LAS TERRAERIALES</v>
      </c>
      <c r="E21" s="23" t="s">
        <v>393</v>
      </c>
      <c r="F21" s="23" t="str">
        <f>IFERROR(__xludf.DUMMYFUNCTION("GOOGLETRANSLATE(B21, ""en"", ""tr"")"),"EXP ORB: Alet")</f>
        <v>EXP ORB: Alet</v>
      </c>
      <c r="G21" s="23" t="str">
        <f>IFERROR(__xludf.DUMMYFUNCTION("GOOGLETRANSLATE(B21, ""en"", ""pt"")"),"EXP Orb: Tokerery")</f>
        <v>EXP Orb: Tokerery</v>
      </c>
      <c r="H21" s="24" t="str">
        <f>IFERROR(__xludf.DUMMYFUNCTION("GOOGLETRANSLATE(B21, ""en"", ""de"")"),"EXP-Kugel: Toolerei")</f>
        <v>EXP-Kugel: Toolerei</v>
      </c>
      <c r="I21" s="23" t="str">
        <f>IFERROR(__xludf.DUMMYFUNCTION("GOOGLETRANSLATE(B21, ""en"", ""pl"")"),"Exp ORB: Toolery")</f>
        <v>Exp ORB: Toolery</v>
      </c>
      <c r="J21" s="25" t="str">
        <f>IFERROR(__xludf.DUMMYFUNCTION("GOOGLETRANSLATE(B21, ""en"", ""zh"")"),"EXP ORB：工具")</f>
        <v>EXP ORB：工具</v>
      </c>
      <c r="K21" s="25" t="str">
        <f>IFERROR(__xludf.DUMMYFUNCTION("GOOGLETRANSLATE(B21, ""en"", ""vi"")"),"Exp orb: công cụ")</f>
        <v>Exp orb: công cụ</v>
      </c>
      <c r="L21" s="26" t="str">
        <f>IFERROR(__xludf.DUMMYFUNCTION("GOOGLETRANSLATE(B21, ""en"", ""hr"")"),"EXP ORB: Alatopis")</f>
        <v>EXP ORB: Alatopis</v>
      </c>
      <c r="M21" s="28"/>
      <c r="N21" s="28"/>
      <c r="O21" s="28"/>
      <c r="P21" s="28"/>
      <c r="Q21" s="28"/>
      <c r="R21" s="28"/>
      <c r="S21" s="28"/>
      <c r="T21" s="28"/>
      <c r="U21" s="28"/>
      <c r="V21" s="28"/>
      <c r="W21" s="28"/>
      <c r="X21" s="28"/>
      <c r="Y21" s="28"/>
      <c r="Z21" s="28"/>
      <c r="AA21" s="28"/>
      <c r="AB21" s="28"/>
    </row>
    <row r="22">
      <c r="A22" s="21" t="s">
        <v>394</v>
      </c>
      <c r="B22" s="22" t="s">
        <v>395</v>
      </c>
      <c r="C22" s="23" t="str">
        <f>IFERROR(__xludf.DUMMYFUNCTION("GOOGLETRANSLATE(B22, ""en"", ""fr"")"),"Donne beaucoup d'outils d'outils STATSP lorsqu'il est utilisé.")</f>
        <v>Donne beaucoup d'outils d'outils STATSP lorsqu'il est utilisé.</v>
      </c>
      <c r="D22" s="23" t="str">
        <f>IFERROR(__xludf.DUMMYFUNCTION("GOOGLETRANSLATE(B22, ""en"", ""es"")"),"Da una gran cantidad de estadísticas de la herramienta EXP cuando se usa.")</f>
        <v>Da una gran cantidad de estadísticas de la herramienta EXP cuando se usa.</v>
      </c>
      <c r="E22" s="23" t="s">
        <v>396</v>
      </c>
      <c r="F22" s="23" t="str">
        <f>IFERROR(__xludf.DUMMYFUNCTION("GOOGLETRANSLATE(B22, ""en"", ""tr"")"),"Kullanıldığında çok sayıda araç Stath Exp verir.")</f>
        <v>Kullanıldığında çok sayıda araç Stath Exp verir.</v>
      </c>
      <c r="G22" s="23" t="str">
        <f>IFERROR(__xludf.DUMMYFUNCTION("GOOGLETRANSLATE(B22, ""en"", ""pt"")"),"Dá um monte de estúdio de ferramentas Exp quando usado.")</f>
        <v>Dá um monte de estúdio de ferramentas Exp quando usado.</v>
      </c>
      <c r="H22" s="24" t="str">
        <f>IFERROR(__xludf.DUMMYFUNCTION("GOOGLETRANSLATE(B22, ""en"", ""de"")"),"Gibt viel Colory Stat Exp bei Verwendung an.")</f>
        <v>Gibt viel Colory Stat Exp bei Verwendung an.</v>
      </c>
      <c r="I22" s="23" t="str">
        <f>IFERROR(__xludf.DUMMYFUNCTION("GOOGLETRANSLATE(B22, ""en"", ""pl"")"),"Daje dużo statystyki narzędzi, gdy jest używane.")</f>
        <v>Daje dużo statystyki narzędzi, gdy jest używane.</v>
      </c>
      <c r="J22" s="25" t="str">
        <f>IFERROR(__xludf.DUMMYFUNCTION("GOOGLETRANSLATE(B22, ""en"", ""zh"")"),"使用时提供了很多工具统计数据exp。")</f>
        <v>使用时提供了很多工具统计数据exp。</v>
      </c>
      <c r="K22" s="25" t="str">
        <f>IFERROR(__xludf.DUMMYFUNCTION("GOOGLETRANSLATE(B22, ""en"", ""vi"")"),"Cung cấp rất nhiều chỉ số công cụ exp khi sử dụng.")</f>
        <v>Cung cấp rất nhiều chỉ số công cụ exp khi sử dụng.</v>
      </c>
      <c r="L22" s="26" t="str">
        <f>IFERROR(__xludf.DUMMYFUNCTION("GOOGLETRANSLATE(B22, ""en"", ""hr"")"),"Daje puno alata stat exp kada se koristi.")</f>
        <v>Daje puno alata stat exp kada se koristi.</v>
      </c>
      <c r="M22" s="28"/>
      <c r="N22" s="28"/>
      <c r="O22" s="28"/>
      <c r="P22" s="28"/>
      <c r="Q22" s="28"/>
      <c r="R22" s="28"/>
      <c r="S22" s="28"/>
      <c r="T22" s="28"/>
      <c r="U22" s="28"/>
      <c r="V22" s="28"/>
      <c r="W22" s="28"/>
      <c r="X22" s="28"/>
      <c r="Y22" s="28"/>
      <c r="Z22" s="28"/>
      <c r="AA22" s="28"/>
      <c r="AB22" s="28"/>
    </row>
    <row r="23">
      <c r="A23" s="21" t="s">
        <v>397</v>
      </c>
      <c r="B23" s="22" t="s">
        <v>398</v>
      </c>
      <c r="C23" s="23" t="str">
        <f>IFERROR(__xludf.DUMMYFUNCTION("GOOGLETRANSLATE(B23, ""en"", ""fr"")"),"Exp Orb: Potionry")</f>
        <v>Exp Orb: Potionry</v>
      </c>
      <c r="D23" s="23" t="str">
        <f>IFERROR(__xludf.DUMMYFUNCTION("GOOGLETRANSLATE(B23, ""en"", ""es"")"),"Exp orb: Potión")</f>
        <v>Exp orb: Potión</v>
      </c>
      <c r="E23" s="23" t="s">
        <v>399</v>
      </c>
      <c r="F23" s="23" t="str">
        <f>IFERROR(__xludf.DUMMYFUNCTION("GOOGLETRANSLATE(B23, ""en"", ""tr"")"),"Exp ORB: İksulü")</f>
        <v>Exp ORB: İksulü</v>
      </c>
      <c r="G23" s="23" t="str">
        <f>IFERROR(__xludf.DUMMYFUNCTION("GOOGLETRANSLATE(B23, ""en"", ""pt"")"),"Exp orb: poionry")</f>
        <v>Exp orb: poionry</v>
      </c>
      <c r="H23" s="24" t="str">
        <f>IFERROR(__xludf.DUMMYFUNCTION("GOOGLETRANSLATE(B23, ""en"", ""de"")"),"EXP-Kugel: Potionry")</f>
        <v>EXP-Kugel: Potionry</v>
      </c>
      <c r="I23" s="23" t="str">
        <f>IFERROR(__xludf.DUMMYFUNCTION("GOOGLETRANSLATE(B23, ""en"", ""pl"")"),"Exp Orb: Mikstlub")</f>
        <v>Exp Orb: Mikstlub</v>
      </c>
      <c r="J23" s="25" t="str">
        <f>IFERROR(__xludf.DUMMYFUNCTION("GOOGLETRANSLATE(B23, ""en"", ""zh"")"),"EXP ORB：药水")</f>
        <v>EXP ORB：药水</v>
      </c>
      <c r="K23" s="25" t="str">
        <f>IFERROR(__xludf.DUMMYFUNCTION("GOOGLETRANSLATE(B23, ""en"", ""vi"")"),"Exp orb: potionry")</f>
        <v>Exp orb: potionry</v>
      </c>
      <c r="L23" s="26" t="str">
        <f>IFERROR(__xludf.DUMMYFUNCTION("GOOGLETRANSLATE(B23, ""en"", ""hr"")"),"Exp orb: nationry")</f>
        <v>Exp orb: nationry</v>
      </c>
      <c r="M23" s="28"/>
      <c r="N23" s="28"/>
      <c r="O23" s="28"/>
      <c r="P23" s="28"/>
      <c r="Q23" s="28"/>
      <c r="R23" s="28"/>
      <c r="S23" s="28"/>
      <c r="T23" s="28"/>
      <c r="U23" s="28"/>
      <c r="V23" s="28"/>
      <c r="W23" s="28"/>
      <c r="X23" s="28"/>
      <c r="Y23" s="28"/>
      <c r="Z23" s="28"/>
      <c r="AA23" s="28"/>
      <c r="AB23" s="28"/>
    </row>
    <row r="24">
      <c r="A24" s="21" t="s">
        <v>400</v>
      </c>
      <c r="B24" s="22" t="s">
        <v>401</v>
      </c>
      <c r="C24" s="23" t="str">
        <f>IFERROR(__xludf.DUMMYFUNCTION("GOOGLETRANSLATE(B24, ""en"", ""fr"")"),"Donne beaucoup de potionry stat exp")</f>
        <v>Donne beaucoup de potionry stat exp</v>
      </c>
      <c r="D24" s="23" t="str">
        <f>IFERROR(__xludf.DUMMYFUNCTION("GOOGLETRANSLATE(B24, ""en"", ""es"")"),"Da una gran cantidad de Potión de EXPM cuando se usa.")</f>
        <v>Da una gran cantidad de Potión de EXPM cuando se usa.</v>
      </c>
      <c r="E24" s="23" t="s">
        <v>402</v>
      </c>
      <c r="F24" s="23" t="str">
        <f>IFERROR(__xludf.DUMMYFUNCTION("GOOGLETRANSLATE(B24, ""en"", ""tr"")"),"Kullanıldığında çok fazla çelişki stath exp verir.")</f>
        <v>Kullanıldığında çok fazla çelişki stath exp verir.</v>
      </c>
      <c r="G24" s="23" t="str">
        <f>IFERROR(__xludf.DUMMYFUNCTION("GOOGLETRANSLATE(B24, ""en"", ""pt"")"),"Dá um monte de potionry stat Exp quando usado.")</f>
        <v>Dá um monte de potionry stat Exp quando usado.</v>
      </c>
      <c r="H24" s="24" t="str">
        <f>IFERROR(__xludf.DUMMYFUNCTION("GOOGLETRANSLATE(B24, ""en"", ""de"")"),"Gibt viel Potionry Stat Exp bei Verwendung an.")</f>
        <v>Gibt viel Potionry Stat Exp bei Verwendung an.</v>
      </c>
      <c r="I24" s="23" t="str">
        <f>IFERROR(__xludf.DUMMYFUNCTION("GOOGLETRANSLATE(B24, ""en"", ""pl"")"),"Daje dużo statystyki, gdy jest używany.")</f>
        <v>Daje dużo statystyki, gdy jest używany.</v>
      </c>
      <c r="J24" s="25" t="str">
        <f>IFERROR(__xludf.DUMMYFUNCTION("GOOGLETRANSLATE(B24, ""en"", ""zh"")"),"使用时提供了很多药水统计毒危机。")</f>
        <v>使用时提供了很多药水统计毒危机。</v>
      </c>
      <c r="K24" s="25" t="str">
        <f>IFERROR(__xludf.DUMMYFUNCTION("GOOGLETRANSLATE(B24, ""en"", ""vi"")"),"Cho rất nhiều stat potionry khi sử dụng.")</f>
        <v>Cho rất nhiều stat potionry khi sử dụng.</v>
      </c>
      <c r="L24" s="26" t="str">
        <f>IFERROR(__xludf.DUMMYFUNCTION("GOOGLETRANSLATE(B24, ""en"", ""hr"")"),"Daje puno nationry stat exp kada se koristi.")</f>
        <v>Daje puno nationry stat exp kada se koristi.</v>
      </c>
      <c r="M24" s="28"/>
      <c r="N24" s="28"/>
      <c r="O24" s="28"/>
      <c r="P24" s="28"/>
      <c r="Q24" s="28"/>
      <c r="R24" s="28"/>
      <c r="S24" s="28"/>
      <c r="T24" s="28"/>
      <c r="U24" s="28"/>
      <c r="V24" s="28"/>
      <c r="W24" s="28"/>
      <c r="X24" s="28"/>
      <c r="Y24" s="28"/>
      <c r="Z24" s="28"/>
      <c r="AA24" s="28"/>
      <c r="AB24" s="28"/>
    </row>
    <row r="25">
      <c r="A25" s="21" t="s">
        <v>403</v>
      </c>
      <c r="B25" s="22" t="s">
        <v>404</v>
      </c>
      <c r="C25" s="23" t="str">
        <f>IFERROR(__xludf.DUMMYFUNCTION("GOOGLETRANSLATE(B25, ""en"", ""fr"")"),"Gloire orbe")</f>
        <v>Gloire orbe</v>
      </c>
      <c r="D25" s="23" t="str">
        <f>IFERROR(__xludf.DUMMYFUNCTION("GOOGLETRANSLATE(B25, ""en"", ""es"")"),"Orbe de gloria")</f>
        <v>Orbe de gloria</v>
      </c>
      <c r="E25" s="23" t="s">
        <v>405</v>
      </c>
      <c r="F25" s="23" t="str">
        <f>IFERROR(__xludf.DUMMYFUNCTION("GOOGLETRANSLATE(B25, ""en"", ""tr"")"),"Zafer orb")</f>
        <v>Zafer orb</v>
      </c>
      <c r="G25" s="23" t="str">
        <f>IFERROR(__xludf.DUMMYFUNCTION("GOOGLETRANSLATE(B25, ""en"", ""pt"")"),"Glória orb.")</f>
        <v>Glória orb.</v>
      </c>
      <c r="H25" s="24" t="str">
        <f>IFERROR(__xludf.DUMMYFUNCTION("GOOGLETRANSLATE(B25, ""en"", ""de"")"),"Ruhmorb.")</f>
        <v>Ruhmorb.</v>
      </c>
      <c r="I25" s="23" t="str">
        <f>IFERROR(__xludf.DUMMYFUNCTION("GOOGLETRANSLATE(B25, ""en"", ""pl"")"),"Glory Orb.")</f>
        <v>Glory Orb.</v>
      </c>
      <c r="J25" s="25" t="str">
        <f>IFERROR(__xludf.DUMMYFUNCTION("GOOGLETRANSLATE(B25, ""en"", ""zh"")"),"荣耀草")</f>
        <v>荣耀草</v>
      </c>
      <c r="K25" s="25" t="str">
        <f>IFERROR(__xludf.DUMMYFUNCTION("GOOGLETRANSLATE(B25, ""en"", ""vi"")"),"Glory Orb.")</f>
        <v>Glory Orb.</v>
      </c>
      <c r="L25" s="26" t="str">
        <f>IFERROR(__xludf.DUMMYFUNCTION("GOOGLETRANSLATE(B25, ""en"", ""hr"")"),"Slava orb")</f>
        <v>Slava orb</v>
      </c>
      <c r="M25" s="28"/>
      <c r="N25" s="28"/>
      <c r="O25" s="28"/>
      <c r="P25" s="28"/>
      <c r="Q25" s="28"/>
      <c r="R25" s="28"/>
      <c r="S25" s="28"/>
      <c r="T25" s="28"/>
      <c r="U25" s="28"/>
      <c r="V25" s="28"/>
      <c r="W25" s="28"/>
      <c r="X25" s="28"/>
      <c r="Y25" s="28"/>
      <c r="Z25" s="28"/>
      <c r="AA25" s="28"/>
      <c r="AB25" s="28"/>
    </row>
    <row r="26">
      <c r="A26" s="21" t="s">
        <v>406</v>
      </c>
      <c r="B26" s="22" t="s">
        <v>407</v>
      </c>
      <c r="C26" s="23" t="str">
        <f>IFERROR(__xludf.DUMMYFUNCTION("GOOGLETRANSLATE(B26, ""en"", ""fr"")"),"Donne beaucoup d'argent de la gloire lorsqu'il est utilisé.")</f>
        <v>Donne beaucoup d'argent de la gloire lorsqu'il est utilisé.</v>
      </c>
      <c r="D26" s="23" t="str">
        <f>IFERROR(__xludf.DUMMYFUNCTION("GOOGLETRANSLATE(B26, ""en"", ""es"")"),"Da mucho dinero de la gloria cuando se usa.")</f>
        <v>Da mucho dinero de la gloria cuando se usa.</v>
      </c>
      <c r="E26" s="23" t="s">
        <v>408</v>
      </c>
      <c r="F26" s="23" t="str">
        <f>IFERROR(__xludf.DUMMYFUNCTION("GOOGLETRANSLATE(B26, ""en"", ""tr"")"),"Kullanıldığında çok fazla şeref para verir.")</f>
        <v>Kullanıldığında çok fazla şeref para verir.</v>
      </c>
      <c r="G26" s="23" t="str">
        <f>IFERROR(__xludf.DUMMYFUNCTION("GOOGLETRANSLATE(B26, ""en"", ""pt"")"),"Dá muito dinheiro de glória quando usado.")</f>
        <v>Dá muito dinheiro de glória quando usado.</v>
      </c>
      <c r="H26" s="24" t="str">
        <f>IFERROR(__xludf.DUMMYFUNCTION("GOOGLETRANSLATE(B26, ""en"", ""de"")"),"Gibt viel Glory Geld, wenn Sie verwendet werden.")</f>
        <v>Gibt viel Glory Geld, wenn Sie verwendet werden.</v>
      </c>
      <c r="I26" s="23" t="str">
        <f>IFERROR(__xludf.DUMMYFUNCTION("GOOGLETRANSLATE(B26, ""en"", ""pl"")"),"Przy użyciu wielu pieniędzy chwały.")</f>
        <v>Przy użyciu wielu pieniędzy chwały.</v>
      </c>
      <c r="J26" s="25" t="str">
        <f>IFERROR(__xludf.DUMMYFUNCTION("GOOGLETRANSLATE(B26, ""en"", ""zh"")"),"使用时提供了很多荣耀。")</f>
        <v>使用时提供了很多荣耀。</v>
      </c>
      <c r="K26" s="25" t="str">
        <f>IFERROR(__xludf.DUMMYFUNCTION("GOOGLETRANSLATE(B26, ""en"", ""vi"")"),"Cho rất nhiều tiền vinh quang khi sử dụng.")</f>
        <v>Cho rất nhiều tiền vinh quang khi sử dụng.</v>
      </c>
      <c r="L26" s="26" t="str">
        <f>IFERROR(__xludf.DUMMYFUNCTION("GOOGLETRANSLATE(B26, ""en"", ""hr"")"),"Daje puno slave novca kada se koristi.")</f>
        <v>Daje puno slave novca kada se koristi.</v>
      </c>
      <c r="M26" s="28"/>
      <c r="N26" s="28"/>
      <c r="O26" s="28"/>
      <c r="P26" s="28"/>
      <c r="Q26" s="28"/>
      <c r="R26" s="28"/>
      <c r="S26" s="28"/>
      <c r="T26" s="28"/>
      <c r="U26" s="28"/>
      <c r="V26" s="28"/>
      <c r="W26" s="28"/>
      <c r="X26" s="28"/>
      <c r="Y26" s="28"/>
      <c r="Z26" s="28"/>
      <c r="AA26" s="28"/>
      <c r="AB26" s="28"/>
    </row>
    <row r="27">
      <c r="A27" s="21" t="s">
        <v>409</v>
      </c>
      <c r="B27" s="22" t="s">
        <v>410</v>
      </c>
      <c r="C27" s="23" t="str">
        <f>IFERROR(__xludf.DUMMYFUNCTION("GOOGLETRANSLATE(B27, ""en"", ""fr"")"),"Tiny Boot Box")</f>
        <v>Tiny Boot Box</v>
      </c>
      <c r="D27" s="23" t="str">
        <f>IFERROR(__xludf.DUMMYFUNCTION("GOOGLETRANSLATE(B27, ""en"", ""es"")"),"Caja de botín diminuta")</f>
        <v>Caja de botín diminuta</v>
      </c>
      <c r="E27" s="23" t="str">
        <f>IFERROR(__xludf.DUMMYFUNCTION("GOOGLETRANSLATE(B27, ""en"", ""ru"")"),"Крошечная лотная коробка")</f>
        <v>Крошечная лотная коробка</v>
      </c>
      <c r="F27" s="23" t="str">
        <f>IFERROR(__xludf.DUMMYFUNCTION("GOOGLETRANSLATE(B27, ""en"", ""tr"")"),"Minik yağma kutusu")</f>
        <v>Minik yağma kutusu</v>
      </c>
      <c r="G27" s="23" t="str">
        <f>IFERROR(__xludf.DUMMYFUNCTION("GOOGLETRANSLATE(B27, ""en"", ""pt"")"),"Pequena caixa de saque")</f>
        <v>Pequena caixa de saque</v>
      </c>
      <c r="H27" s="24" t="str">
        <f>IFERROR(__xludf.DUMMYFUNCTION("GOOGLETRANSLATE(B27, ""en"", ""de"")"),"Winzige Beutekiste")</f>
        <v>Winzige Beutekiste</v>
      </c>
      <c r="I27" s="23" t="str">
        <f>IFERROR(__xludf.DUMMYFUNCTION("GOOGLETRANSLATE(B27, ""en"", ""pl"")"),"Tiny Loot Box.")</f>
        <v>Tiny Loot Box.</v>
      </c>
      <c r="J27" s="25" t="str">
        <f>IFERROR(__xludf.DUMMYFUNCTION("GOOGLETRANSLATE(B27, ""en"", ""zh"")"),"微小的战利盒子")</f>
        <v>微小的战利盒子</v>
      </c>
      <c r="K27" s="25" t="str">
        <f>IFERROR(__xludf.DUMMYFUNCTION("GOOGLETRANSLATE(B27, ""en"", ""vi"")"),"Hộp loot nhỏ")</f>
        <v>Hộp loot nhỏ</v>
      </c>
      <c r="L27" s="26" t="str">
        <f>IFERROR(__xludf.DUMMYFUNCTION("GOOGLETRANSLATE(B27, ""en"", ""hr"")"),"Mali kutija za plijen")</f>
        <v>Mali kutija za plijen</v>
      </c>
      <c r="M27" s="28"/>
      <c r="N27" s="28"/>
      <c r="O27" s="28"/>
      <c r="P27" s="28"/>
      <c r="Q27" s="28"/>
      <c r="R27" s="28"/>
      <c r="S27" s="28"/>
      <c r="T27" s="28"/>
      <c r="U27" s="28"/>
      <c r="V27" s="28"/>
      <c r="W27" s="28"/>
      <c r="X27" s="28"/>
      <c r="Y27" s="28"/>
      <c r="Z27" s="28"/>
      <c r="AA27" s="28"/>
      <c r="AB27" s="28"/>
    </row>
    <row r="28">
      <c r="A28" s="21" t="s">
        <v>411</v>
      </c>
      <c r="B28" s="22" t="s">
        <v>412</v>
      </c>
      <c r="C28" s="23" t="str">
        <f>IFERROR(__xludf.DUMMYFUNCTION("GOOGLETRANSLATE(B28, ""en"", ""fr"")"),"Donne 1 élément aléatoire lorsqu'il est utilisé.")</f>
        <v>Donne 1 élément aléatoire lorsqu'il est utilisé.</v>
      </c>
      <c r="D28" s="23" t="str">
        <f>IFERROR(__xludf.DUMMYFUNCTION("GOOGLETRANSLATE(B28, ""en"", ""es"")"),"Da 1 artículo al azar cuando se usa.")</f>
        <v>Da 1 artículo al azar cuando se usa.</v>
      </c>
      <c r="E28" s="23" t="str">
        <f>IFERROR(__xludf.DUMMYFUNCTION("GOOGLETRANSLATE(B28, ""en"", ""ru"")"),"Дает 1 случайный элемент при использовании.")</f>
        <v>Дает 1 случайный элемент при использовании.</v>
      </c>
      <c r="F28" s="23" t="str">
        <f>IFERROR(__xludf.DUMMYFUNCTION("GOOGLETRANSLATE(B28, ""en"", ""tr"")"),"Kullanıldığında 1 rastgele madde verir.")</f>
        <v>Kullanıldığında 1 rastgele madde verir.</v>
      </c>
      <c r="G28" s="23" t="str">
        <f>IFERROR(__xludf.DUMMYFUNCTION("GOOGLETRANSLATE(B28, ""en"", ""pt"")"),"Dá 1 item aleatório quando usado.")</f>
        <v>Dá 1 item aleatório quando usado.</v>
      </c>
      <c r="H28" s="24" t="str">
        <f>IFERROR(__xludf.DUMMYFUNCTION("GOOGLETRANSLATE(B28, ""en"", ""de"")"),"Gibt 1 zufällige Artikel bei Verwendung an.")</f>
        <v>Gibt 1 zufällige Artikel bei Verwendung an.</v>
      </c>
      <c r="I28" s="23" t="str">
        <f>IFERROR(__xludf.DUMMYFUNCTION("GOOGLETRANSLATE(B28, ""en"", ""pl"")"),"Daje 1 losowy element, gdy jest używany.")</f>
        <v>Daje 1 losowy element, gdy jest używany.</v>
      </c>
      <c r="J28" s="25" t="str">
        <f>IFERROR(__xludf.DUMMYFUNCTION("GOOGLETRANSLATE(B28, ""en"", ""zh"")"),"使用时提供1个随机项目。")</f>
        <v>使用时提供1个随机项目。</v>
      </c>
      <c r="K28" s="25" t="str">
        <f>IFERROR(__xludf.DUMMYFUNCTION("GOOGLETRANSLATE(B28, ""en"", ""vi"")"),"Cung cấp 1 mục ngẫu nhiên khi sử dụng.")</f>
        <v>Cung cấp 1 mục ngẫu nhiên khi sử dụng.</v>
      </c>
      <c r="L28" s="26" t="str">
        <f>IFERROR(__xludf.DUMMYFUNCTION("GOOGLETRANSLATE(B28, ""en"", ""hr"")"),"Daje 1 slučajnu stavku kada se koristi.")</f>
        <v>Daje 1 slučajnu stavku kada se koristi.</v>
      </c>
      <c r="M28" s="28"/>
      <c r="N28" s="28"/>
      <c r="O28" s="28"/>
      <c r="P28" s="28"/>
      <c r="Q28" s="28"/>
      <c r="R28" s="28"/>
      <c r="S28" s="28"/>
      <c r="T28" s="28"/>
      <c r="U28" s="28"/>
      <c r="V28" s="28"/>
      <c r="W28" s="28"/>
      <c r="X28" s="28"/>
      <c r="Y28" s="28"/>
      <c r="Z28" s="28"/>
      <c r="AA28" s="28"/>
      <c r="AB28" s="28"/>
    </row>
    <row r="29">
      <c r="A29" s="21" t="s">
        <v>413</v>
      </c>
      <c r="B29" s="22" t="s">
        <v>414</v>
      </c>
      <c r="C29" s="23" t="str">
        <f>IFERROR(__xludf.DUMMYFUNCTION("GOOGLETRANSLATE(B29, ""en"", ""fr"")"),"Petite boîte à butin")</f>
        <v>Petite boîte à butin</v>
      </c>
      <c r="D29" s="23" t="str">
        <f>IFERROR(__xludf.DUMMYFUNCTION("GOOGLETRANSLATE(B29, ""en"", ""es"")"),"Caja de botín pequeño")</f>
        <v>Caja de botín pequeño</v>
      </c>
      <c r="E29" s="23" t="str">
        <f>IFERROR(__xludf.DUMMYFUNCTION("GOOGLETRANSLATE(B29, ""en"", ""ru"")"),"Маленькая добыча")</f>
        <v>Маленькая добыча</v>
      </c>
      <c r="F29" s="23" t="str">
        <f>IFERROR(__xludf.DUMMYFUNCTION("GOOGLETRANSLATE(B29, ""en"", ""tr"")"),"Küçük yağma kutusu")</f>
        <v>Küçük yağma kutusu</v>
      </c>
      <c r="G29" s="23" t="str">
        <f>IFERROR(__xludf.DUMMYFUNCTION("GOOGLETRANSLATE(B29, ""en"", ""pt"")"),"Pequena caixa de saque")</f>
        <v>Pequena caixa de saque</v>
      </c>
      <c r="H29" s="24" t="str">
        <f>IFERROR(__xludf.DUMMYFUNCTION("GOOGLETRANSLATE(B29, ""en"", ""de"")"),"Kleine Beutekiste")</f>
        <v>Kleine Beutekiste</v>
      </c>
      <c r="I29" s="23" t="str">
        <f>IFERROR(__xludf.DUMMYFUNCTION("GOOGLETRANSLATE(B29, ""en"", ""pl"")"),"Małe pudełko do łupów")</f>
        <v>Małe pudełko do łupów</v>
      </c>
      <c r="J29" s="25" t="str">
        <f>IFERROR(__xludf.DUMMYFUNCTION("GOOGLETRANSLATE(B29, ""en"", ""zh"")"),"小战利盒")</f>
        <v>小战利盒</v>
      </c>
      <c r="K29" s="25" t="str">
        <f>IFERROR(__xludf.DUMMYFUNCTION("GOOGLETRANSLATE(B29, ""en"", ""vi"")"),"Hộp loot nhỏ")</f>
        <v>Hộp loot nhỏ</v>
      </c>
      <c r="L29" s="26" t="str">
        <f>IFERROR(__xludf.DUMMYFUNCTION("GOOGLETRANSLATE(B29, ""en"", ""hr"")"),"Kutija za male plijene")</f>
        <v>Kutija za male plijene</v>
      </c>
      <c r="M29" s="28"/>
      <c r="N29" s="28"/>
      <c r="O29" s="28"/>
      <c r="P29" s="28"/>
      <c r="Q29" s="28"/>
      <c r="R29" s="28"/>
      <c r="S29" s="28"/>
      <c r="T29" s="28"/>
      <c r="U29" s="28"/>
      <c r="V29" s="28"/>
      <c r="W29" s="28"/>
      <c r="X29" s="28"/>
      <c r="Y29" s="28"/>
      <c r="Z29" s="28"/>
      <c r="AA29" s="28"/>
      <c r="AB29" s="28"/>
    </row>
    <row r="30">
      <c r="A30" s="21" t="s">
        <v>415</v>
      </c>
      <c r="B30" s="22" t="s">
        <v>416</v>
      </c>
      <c r="C30" s="23" t="str">
        <f>IFERROR(__xludf.DUMMYFUNCTION("GOOGLETRANSLATE(B30, ""en"", ""fr"")"),"Donne 2 éléments aléatoires lorsqu'ils sont utilisés.")</f>
        <v>Donne 2 éléments aléatoires lorsqu'ils sont utilisés.</v>
      </c>
      <c r="D30" s="23" t="str">
        <f>IFERROR(__xludf.DUMMYFUNCTION("GOOGLETRANSLATE(B30, ""en"", ""es"")"),"Da 2 artículos al azar cuando se usan.")</f>
        <v>Da 2 artículos al azar cuando se usan.</v>
      </c>
      <c r="E30" s="23" t="str">
        <f>IFERROR(__xludf.DUMMYFUNCTION("GOOGLETRANSLATE(B30, ""en"", ""ru"")"),"Дает 2 случайных предмета при использовании.")</f>
        <v>Дает 2 случайных предмета при использовании.</v>
      </c>
      <c r="F30" s="23" t="str">
        <f>IFERROR(__xludf.DUMMYFUNCTION("GOOGLETRANSLATE(B30, ""en"", ""tr"")"),"Kullanıldığında 2 rastgele madde verir.")</f>
        <v>Kullanıldığında 2 rastgele madde verir.</v>
      </c>
      <c r="G30" s="23" t="str">
        <f>IFERROR(__xludf.DUMMYFUNCTION("GOOGLETRANSLATE(B30, ""en"", ""pt"")"),"Dá 2 itens aleatórios quando usados.")</f>
        <v>Dá 2 itens aleatórios quando usados.</v>
      </c>
      <c r="H30" s="24" t="str">
        <f>IFERROR(__xludf.DUMMYFUNCTION("GOOGLETRANSLATE(B30, ""en"", ""de"")"),"Gibt zwei zufällige Gegenstände bei Verwendung an.")</f>
        <v>Gibt zwei zufällige Gegenstände bei Verwendung an.</v>
      </c>
      <c r="I30" s="23" t="str">
        <f>IFERROR(__xludf.DUMMYFUNCTION("GOOGLETRANSLATE(B30, ""en"", ""pl"")"),"Daje 2 losowe przedmioty, gdy są używane.")</f>
        <v>Daje 2 losowe przedmioty, gdy są używane.</v>
      </c>
      <c r="J30" s="25" t="str">
        <f>IFERROR(__xludf.DUMMYFUNCTION("GOOGLETRANSLATE(B30, ""en"", ""zh"")"),"使用时提供2个随机物品。")</f>
        <v>使用时提供2个随机物品。</v>
      </c>
      <c r="K30" s="25" t="str">
        <f>IFERROR(__xludf.DUMMYFUNCTION("GOOGLETRANSLATE(B30, ""en"", ""vi"")"),"Cung cấp cho 2 mục ngẫu nhiên khi sử dụng.")</f>
        <v>Cung cấp cho 2 mục ngẫu nhiên khi sử dụng.</v>
      </c>
      <c r="L30" s="26" t="str">
        <f>IFERROR(__xludf.DUMMYFUNCTION("GOOGLETRANSLATE(B30, ""en"", ""hr"")"),"Daje 2 slučajne stavke kada se koristi.")</f>
        <v>Daje 2 slučajne stavke kada se koristi.</v>
      </c>
      <c r="M30" s="28"/>
      <c r="N30" s="28"/>
      <c r="O30" s="28"/>
      <c r="P30" s="28"/>
      <c r="Q30" s="28"/>
      <c r="R30" s="28"/>
      <c r="S30" s="28"/>
      <c r="T30" s="28"/>
      <c r="U30" s="28"/>
      <c r="V30" s="28"/>
      <c r="W30" s="28"/>
      <c r="X30" s="28"/>
      <c r="Y30" s="28"/>
      <c r="Z30" s="28"/>
      <c r="AA30" s="28"/>
      <c r="AB30" s="28"/>
    </row>
    <row r="31">
      <c r="A31" s="21" t="s">
        <v>417</v>
      </c>
      <c r="B31" s="22" t="s">
        <v>418</v>
      </c>
      <c r="C31" s="23" t="str">
        <f>IFERROR(__xludf.DUMMYFUNCTION("GOOGLETRANSLATE(B31, ""en"", ""fr"")"),"Boîte à butin moyen")</f>
        <v>Boîte à butin moyen</v>
      </c>
      <c r="D31" s="23" t="str">
        <f>IFERROR(__xludf.DUMMYFUNCTION("GOOGLETRANSLATE(B31, ""en"", ""es"")"),"Caja de botín medio")</f>
        <v>Caja de botín medio</v>
      </c>
      <c r="E31" s="23" t="str">
        <f>IFERROR(__xludf.DUMMYFUNCTION("GOOGLETRANSLATE(B31, ""en"", ""ru"")"),"Средняя лотная коробка")</f>
        <v>Средняя лотная коробка</v>
      </c>
      <c r="F31" s="23" t="str">
        <f>IFERROR(__xludf.DUMMYFUNCTION("GOOGLETRANSLATE(B31, ""en"", ""tr"")"),"Orta yağma kutusu")</f>
        <v>Orta yağma kutusu</v>
      </c>
      <c r="G31" s="23" t="str">
        <f>IFERROR(__xludf.DUMMYFUNCTION("GOOGLETRANSLATE(B31, ""en"", ""pt"")"),"Caixa de saqueia média.")</f>
        <v>Caixa de saqueia média.</v>
      </c>
      <c r="H31" s="24" t="str">
        <f>IFERROR(__xludf.DUMMYFUNCTION("GOOGLETRANSLATE(B31, ""en"", ""de"")"),"Mittlere Beutekiste")</f>
        <v>Mittlere Beutekiste</v>
      </c>
      <c r="I31" s="23" t="str">
        <f>IFERROR(__xludf.DUMMYFUNCTION("GOOGLETRANSLATE(B31, ""en"", ""pl"")"),"Medium Loot Box.")</f>
        <v>Medium Loot Box.</v>
      </c>
      <c r="J31" s="25" t="str">
        <f>IFERROR(__xludf.DUMMYFUNCTION("GOOGLETRANSLATE(B31, ""en"", ""zh"")"),"中等战利盒子")</f>
        <v>中等战利盒子</v>
      </c>
      <c r="K31" s="25" t="str">
        <f>IFERROR(__xludf.DUMMYFUNCTION("GOOGLETRANSLATE(B31, ""en"", ""vi"")"),"Hộp loot trung bình")</f>
        <v>Hộp loot trung bình</v>
      </c>
      <c r="L31" s="26" t="str">
        <f>IFERROR(__xludf.DUMMYFUNCTION("GOOGLETRANSLATE(B31, ""en"", ""hr"")"),"Kutija srednje plijene")</f>
        <v>Kutija srednje plijene</v>
      </c>
      <c r="M31" s="28"/>
      <c r="N31" s="28"/>
      <c r="O31" s="28"/>
      <c r="P31" s="28"/>
      <c r="Q31" s="28"/>
      <c r="R31" s="28"/>
      <c r="S31" s="28"/>
      <c r="T31" s="28"/>
      <c r="U31" s="28"/>
      <c r="V31" s="28"/>
      <c r="W31" s="28"/>
      <c r="X31" s="28"/>
      <c r="Y31" s="28"/>
      <c r="Z31" s="28"/>
      <c r="AA31" s="28"/>
      <c r="AB31" s="28"/>
    </row>
    <row r="32">
      <c r="A32" s="21" t="s">
        <v>419</v>
      </c>
      <c r="B32" s="22" t="s">
        <v>420</v>
      </c>
      <c r="C32" s="23" t="str">
        <f>IFERROR(__xludf.DUMMYFUNCTION("GOOGLETRANSLATE(B32, ""en"", ""fr"")"),"Donne 3 articles aléatoires lorsqu'ils sont utilisés.")</f>
        <v>Donne 3 articles aléatoires lorsqu'ils sont utilisés.</v>
      </c>
      <c r="D32" s="23" t="str">
        <f>IFERROR(__xludf.DUMMYFUNCTION("GOOGLETRANSLATE(B32, ""en"", ""es"")"),"Da 3 artículos al azar cuando se usan.")</f>
        <v>Da 3 artículos al azar cuando se usan.</v>
      </c>
      <c r="E32" s="23" t="str">
        <f>IFERROR(__xludf.DUMMYFUNCTION("GOOGLETRANSLATE(B32, ""en"", ""ru"")"),"Дает 3 случайных предмета при использовании.")</f>
        <v>Дает 3 случайных предмета при использовании.</v>
      </c>
      <c r="F32" s="23" t="str">
        <f>IFERROR(__xludf.DUMMYFUNCTION("GOOGLETRANSLATE(B32, ""en"", ""tr"")"),"Kullanıldığında 3 rastgele madde verir.")</f>
        <v>Kullanıldığında 3 rastgele madde verir.</v>
      </c>
      <c r="G32" s="23" t="str">
        <f>IFERROR(__xludf.DUMMYFUNCTION("GOOGLETRANSLATE(B32, ""en"", ""pt"")"),"Dá 3 itens aleatórios quando usados.")</f>
        <v>Dá 3 itens aleatórios quando usados.</v>
      </c>
      <c r="H32" s="24" t="str">
        <f>IFERROR(__xludf.DUMMYFUNCTION("GOOGLETRANSLATE(B32, ""en"", ""de"")"),"Gibt 3 zufällige Elemente bei Verwendung an.")</f>
        <v>Gibt 3 zufällige Elemente bei Verwendung an.</v>
      </c>
      <c r="I32" s="23" t="str">
        <f>IFERROR(__xludf.DUMMYFUNCTION("GOOGLETRANSLATE(B32, ""en"", ""pl"")"),"Daje 3 losowe przedmioty, gdy są używane.")</f>
        <v>Daje 3 losowe przedmioty, gdy są używane.</v>
      </c>
      <c r="J32" s="25" t="str">
        <f>IFERROR(__xludf.DUMMYFUNCTION("GOOGLETRANSLATE(B32, ""en"", ""zh"")"),"使用时提供3个随机物品。")</f>
        <v>使用时提供3个随机物品。</v>
      </c>
      <c r="K32" s="25" t="str">
        <f>IFERROR(__xludf.DUMMYFUNCTION("GOOGLETRANSLATE(B32, ""en"", ""vi"")"),"Cung cấp 3 mặt hàng ngẫu nhiên khi sử dụng.")</f>
        <v>Cung cấp 3 mặt hàng ngẫu nhiên khi sử dụng.</v>
      </c>
      <c r="L32" s="26" t="str">
        <f>IFERROR(__xludf.DUMMYFUNCTION("GOOGLETRANSLATE(B32, ""en"", ""hr"")"),"Daje 3 slučajne stavke kada se koristi.")</f>
        <v>Daje 3 slučajne stavke kada se koristi.</v>
      </c>
      <c r="M32" s="28"/>
      <c r="N32" s="28"/>
      <c r="O32" s="28"/>
      <c r="P32" s="28"/>
      <c r="Q32" s="28"/>
      <c r="R32" s="28"/>
      <c r="S32" s="28"/>
      <c r="T32" s="28"/>
      <c r="U32" s="28"/>
      <c r="V32" s="28"/>
      <c r="W32" s="28"/>
      <c r="X32" s="28"/>
      <c r="Y32" s="28"/>
      <c r="Z32" s="28"/>
      <c r="AA32" s="28"/>
      <c r="AB32" s="28"/>
    </row>
    <row r="33">
      <c r="A33" s="21" t="s">
        <v>421</v>
      </c>
      <c r="B33" s="22" t="s">
        <v>422</v>
      </c>
      <c r="C33" s="23" t="str">
        <f>IFERROR(__xludf.DUMMYFUNCTION("GOOGLETRANSLATE(B33, ""en"", ""fr"")"),"OS")</f>
        <v>OS</v>
      </c>
      <c r="D33" s="23" t="str">
        <f>IFERROR(__xludf.DUMMYFUNCTION("GOOGLETRANSLATE(B33, ""en"", ""es"")"),"Huesos")</f>
        <v>Huesos</v>
      </c>
      <c r="E33" s="23" t="str">
        <f>IFERROR(__xludf.DUMMYFUNCTION("GOOGLETRANSLATE(B33, ""en"", ""ru"")"),"Кости")</f>
        <v>Кости</v>
      </c>
      <c r="F33" s="23" t="str">
        <f>IFERROR(__xludf.DUMMYFUNCTION("GOOGLETRANSLATE(B33, ""en"", ""tr"")"),"Kemikler")</f>
        <v>Kemikler</v>
      </c>
      <c r="G33" s="23" t="str">
        <f>IFERROR(__xludf.DUMMYFUNCTION("GOOGLETRANSLATE(B33, ""en"", ""pt"")"),"Ossos")</f>
        <v>Ossos</v>
      </c>
      <c r="H33" s="24" t="str">
        <f>IFERROR(__xludf.DUMMYFUNCTION("GOOGLETRANSLATE(B33, ""en"", ""de"")"),"Knochen")</f>
        <v>Knochen</v>
      </c>
      <c r="I33" s="23" t="str">
        <f>IFERROR(__xludf.DUMMYFUNCTION("GOOGLETRANSLATE(B33, ""en"", ""pl"")"),"Kości")</f>
        <v>Kości</v>
      </c>
      <c r="J33" s="25" t="str">
        <f>IFERROR(__xludf.DUMMYFUNCTION("GOOGLETRANSLATE(B33, ""en"", ""zh"")"),"骨头")</f>
        <v>骨头</v>
      </c>
      <c r="K33" s="25" t="str">
        <f>IFERROR(__xludf.DUMMYFUNCTION("GOOGLETRANSLATE(B33, ""en"", ""vi"")"),"Xương")</f>
        <v>Xương</v>
      </c>
      <c r="L33" s="26" t="str">
        <f>IFERROR(__xludf.DUMMYFUNCTION("GOOGLETRANSLATE(B33, ""en"", ""hr"")"),"Kosti")</f>
        <v>Kosti</v>
      </c>
      <c r="M33" s="28"/>
      <c r="N33" s="28"/>
      <c r="O33" s="28"/>
      <c r="P33" s="28"/>
      <c r="Q33" s="28"/>
      <c r="R33" s="28"/>
      <c r="S33" s="28"/>
      <c r="T33" s="28"/>
      <c r="U33" s="28"/>
      <c r="V33" s="28"/>
      <c r="W33" s="28"/>
      <c r="X33" s="28"/>
      <c r="Y33" s="28"/>
      <c r="Z33" s="28"/>
      <c r="AA33" s="28"/>
      <c r="AB33" s="28"/>
    </row>
    <row r="34">
      <c r="A34" s="40" t="s">
        <v>423</v>
      </c>
      <c r="B34" s="22" t="s">
        <v>424</v>
      </c>
      <c r="C34" s="23" t="str">
        <f>IFERROR(__xludf.DUMMYFUNCTION("GOOGLETRANSLATE(B34, ""en"", ""fr"")"),"Peut être fabriqué dans un équipement primitif.")</f>
        <v>Peut être fabriqué dans un équipement primitif.</v>
      </c>
      <c r="D34" s="23" t="str">
        <f>IFERROR(__xludf.DUMMYFUNCTION("GOOGLETRANSLATE(B34, ""en"", ""es"")"),"Puede ser diseñado en equipos primitivos.")</f>
        <v>Puede ser diseñado en equipos primitivos.</v>
      </c>
      <c r="E34" s="23" t="str">
        <f>IFERROR(__xludf.DUMMYFUNCTION("GOOGLETRANSLATE(B34, ""en"", ""ru"")"),"Может быть создан в примитивное оборудование.")</f>
        <v>Может быть создан в примитивное оборудование.</v>
      </c>
      <c r="F34" s="23" t="str">
        <f>IFERROR(__xludf.DUMMYFUNCTION("GOOGLETRANSLATE(B34, ""en"", ""tr"")"),"İlkel ekipmana sokulabilir.")</f>
        <v>İlkel ekipmana sokulabilir.</v>
      </c>
      <c r="G34" s="23" t="str">
        <f>IFERROR(__xludf.DUMMYFUNCTION("GOOGLETRANSLATE(B34, ""en"", ""pt"")"),"Pode ser criado em equipamentos primitivos.")</f>
        <v>Pode ser criado em equipamentos primitivos.</v>
      </c>
      <c r="H34" s="24" t="str">
        <f>IFERROR(__xludf.DUMMYFUNCTION("GOOGLETRANSLATE(B34, ""en"", ""de"")"),"Kann in primitive Geräte gefertigt werden.")</f>
        <v>Kann in primitive Geräte gefertigt werden.</v>
      </c>
      <c r="I34" s="23" t="str">
        <f>IFERROR(__xludf.DUMMYFUNCTION("GOOGLETRANSLATE(B34, ""en"", ""pl"")"),"Może być wykonany do prymitywnego sprzętu.")</f>
        <v>Może być wykonany do prymitywnego sprzętu.</v>
      </c>
      <c r="J34" s="25" t="str">
        <f>IFERROR(__xludf.DUMMYFUNCTION("GOOGLETRANSLATE(B34, ""en"", ""zh"")"),"可以制成原始设备。")</f>
        <v>可以制成原始设备。</v>
      </c>
      <c r="K34" s="25" t="str">
        <f>IFERROR(__xludf.DUMMYFUNCTION("GOOGLETRANSLATE(B34, ""en"", ""vi"")"),"Có thể được chế tạo thành thiết bị nguyên thủy.")</f>
        <v>Có thể được chế tạo thành thiết bị nguyên thủy.</v>
      </c>
      <c r="L34" s="26" t="str">
        <f>IFERROR(__xludf.DUMMYFUNCTION("GOOGLETRANSLATE(B34, ""en"", ""hr"")"),"Može se izraditi u primitivnu opremu.")</f>
        <v>Može se izraditi u primitivnu opremu.</v>
      </c>
      <c r="M34" s="28"/>
      <c r="N34" s="28"/>
      <c r="O34" s="28"/>
      <c r="P34" s="28"/>
      <c r="Q34" s="28"/>
      <c r="R34" s="28"/>
      <c r="S34" s="28"/>
      <c r="T34" s="28"/>
      <c r="U34" s="28"/>
      <c r="V34" s="28"/>
      <c r="W34" s="28"/>
      <c r="X34" s="28"/>
      <c r="Y34" s="28"/>
      <c r="Z34" s="28"/>
      <c r="AA34" s="28"/>
      <c r="AB34" s="28"/>
    </row>
    <row r="35">
      <c r="A35" s="21" t="s">
        <v>425</v>
      </c>
      <c r="B35" s="22" t="s">
        <v>426</v>
      </c>
      <c r="C35" s="23" t="str">
        <f>IFERROR(__xludf.DUMMYFUNCTION("GOOGLETRANSLATE(B35, ""en"", ""fr"")"),"Minerai de fer")</f>
        <v>Minerai de fer</v>
      </c>
      <c r="D35" s="23" t="str">
        <f>IFERROR(__xludf.DUMMYFUNCTION("GOOGLETRANSLATE(B35, ""en"", ""es"")"),"Mineral de hierro")</f>
        <v>Mineral de hierro</v>
      </c>
      <c r="E35" s="23" t="str">
        <f>IFERROR(__xludf.DUMMYFUNCTION("GOOGLETRANSLATE(B35, ""en"", ""ru"")"),"Железный")</f>
        <v>Железный</v>
      </c>
      <c r="F35" s="23" t="str">
        <f>IFERROR(__xludf.DUMMYFUNCTION("GOOGLETRANSLATE(B35, ""en"", ""tr"")"),"Demir cevheri")</f>
        <v>Demir cevheri</v>
      </c>
      <c r="G35" s="23" t="str">
        <f>IFERROR(__xludf.DUMMYFUNCTION("GOOGLETRANSLATE(B35, ""en"", ""pt"")"),"Minério de ferro")</f>
        <v>Minério de ferro</v>
      </c>
      <c r="H35" s="24" t="str">
        <f>IFERROR(__xludf.DUMMYFUNCTION("GOOGLETRANSLATE(B35, ""en"", ""de"")"),"Eisenerz")</f>
        <v>Eisenerz</v>
      </c>
      <c r="I35" s="23" t="str">
        <f>IFERROR(__xludf.DUMMYFUNCTION("GOOGLETRANSLATE(B35, ""en"", ""pl"")"),"Ruda żelaza")</f>
        <v>Ruda żelaza</v>
      </c>
      <c r="J35" s="25" t="str">
        <f>IFERROR(__xludf.DUMMYFUNCTION("GOOGLETRANSLATE(B35, ""en"", ""zh"")"),"铁矿")</f>
        <v>铁矿</v>
      </c>
      <c r="K35" s="25" t="str">
        <f>IFERROR(__xludf.DUMMYFUNCTION("GOOGLETRANSLATE(B35, ""en"", ""vi"")"),"Quặng sắt")</f>
        <v>Quặng sắt</v>
      </c>
      <c r="L35" s="26" t="str">
        <f>IFERROR(__xludf.DUMMYFUNCTION("GOOGLETRANSLATE(B35, ""en"", ""hr"")"),"Željezna ruda")</f>
        <v>Željezna ruda</v>
      </c>
      <c r="M35" s="28"/>
      <c r="N35" s="28"/>
      <c r="O35" s="28"/>
      <c r="P35" s="28"/>
      <c r="Q35" s="28"/>
      <c r="R35" s="28"/>
      <c r="S35" s="28"/>
      <c r="T35" s="28"/>
      <c r="U35" s="28"/>
      <c r="V35" s="28"/>
      <c r="W35" s="28"/>
      <c r="X35" s="28"/>
      <c r="Y35" s="28"/>
      <c r="Z35" s="28"/>
      <c r="AA35" s="28"/>
      <c r="AB35" s="28"/>
    </row>
    <row r="36">
      <c r="A36" s="40" t="s">
        <v>427</v>
      </c>
      <c r="B36" s="22" t="s">
        <v>428</v>
      </c>
      <c r="C36" s="23" t="str">
        <f>IFERROR(__xludf.DUMMYFUNCTION("GOOGLETRANSLATE(B36, ""en"", ""fr"")"),"Peut être fabriqué dans une barre de fer sur un four.")</f>
        <v>Peut être fabriqué dans une barre de fer sur un four.</v>
      </c>
      <c r="D36" s="23" t="str">
        <f>IFERROR(__xludf.DUMMYFUNCTION("GOOGLETRANSLATE(B36, ""en"", ""es"")"),"Puede ser diseñado en una barra de hierro en un horno.")</f>
        <v>Puede ser diseñado en una barra de hierro en un horno.</v>
      </c>
      <c r="E36" s="23" t="str">
        <f>IFERROR(__xludf.DUMMYFUNCTION("GOOGLETRANSLATE(B36, ""en"", ""ru"")"),"Может быть создан в железный бар в печи.")</f>
        <v>Может быть создан в железный бар в печи.</v>
      </c>
      <c r="F36" s="23" t="str">
        <f>IFERROR(__xludf.DUMMYFUNCTION("GOOGLETRANSLATE(B36, ""en"", ""tr"")"),"Bir fırında bir demir çubuğa sokulabilir.")</f>
        <v>Bir fırında bir demir çubuğa sokulabilir.</v>
      </c>
      <c r="G36" s="23" t="str">
        <f>IFERROR(__xludf.DUMMYFUNCTION("GOOGLETRANSLATE(B36, ""en"", ""pt"")"),"Pode ser criado em uma barra de ferro em um forno.")</f>
        <v>Pode ser criado em uma barra de ferro em um forno.</v>
      </c>
      <c r="H36" s="24" t="str">
        <f>IFERROR(__xludf.DUMMYFUNCTION("GOOGLETRANSLATE(B36, ""en"", ""de"")"),"Kann in einer Eisenstange in einem Ofen gefertigt werden.")</f>
        <v>Kann in einer Eisenstange in einem Ofen gefertigt werden.</v>
      </c>
      <c r="I36" s="23" t="str">
        <f>IFERROR(__xludf.DUMMYFUNCTION("GOOGLETRANSLATE(B36, ""en"", ""pl"")"),"Może być wykonany w żelaznym pasku w piecu.")</f>
        <v>Może być wykonany w żelaznym pasku w piecu.</v>
      </c>
      <c r="J36" s="25" t="str">
        <f>IFERROR(__xludf.DUMMYFUNCTION("GOOGLETRANSLATE(B36, ""en"", ""zh"")"),"可以在炉子里制作成铁杆。")</f>
        <v>可以在炉子里制作成铁杆。</v>
      </c>
      <c r="K36" s="25" t="str">
        <f>IFERROR(__xludf.DUMMYFUNCTION("GOOGLETRANSLATE(B36, ""en"", ""vi"")"),"Có thể được chế tạo thành một thanh sắt tại một lò.")</f>
        <v>Có thể được chế tạo thành một thanh sắt tại một lò.</v>
      </c>
      <c r="L36" s="26" t="str">
        <f>IFERROR(__xludf.DUMMYFUNCTION("GOOGLETRANSLATE(B36, ""en"", ""hr"")"),"Može se izraditi u željeznu šipku na peći.")</f>
        <v>Može se izraditi u željeznu šipku na peći.</v>
      </c>
      <c r="M36" s="28"/>
      <c r="N36" s="28"/>
      <c r="O36" s="28"/>
      <c r="P36" s="28"/>
      <c r="Q36" s="28"/>
      <c r="R36" s="28"/>
      <c r="S36" s="28"/>
      <c r="T36" s="28"/>
      <c r="U36" s="28"/>
      <c r="V36" s="28"/>
      <c r="W36" s="28"/>
      <c r="X36" s="28"/>
      <c r="Y36" s="28"/>
      <c r="Z36" s="28"/>
      <c r="AA36" s="28"/>
      <c r="AB36" s="28"/>
    </row>
    <row r="37">
      <c r="A37" s="40" t="s">
        <v>429</v>
      </c>
      <c r="B37" s="22" t="s">
        <v>430</v>
      </c>
      <c r="C37" s="23" t="str">
        <f>IFERROR(__xludf.DUMMYFUNCTION("GOOGLETRANSLATE(B37, ""en"", ""fr"")"),"Barre de fer")</f>
        <v>Barre de fer</v>
      </c>
      <c r="D37" s="23" t="str">
        <f>IFERROR(__xludf.DUMMYFUNCTION("GOOGLETRANSLATE(B37, ""en"", ""es"")"),"Barra de acero")</f>
        <v>Barra de acero</v>
      </c>
      <c r="E37" s="23" t="str">
        <f>IFERROR(__xludf.DUMMYFUNCTION("GOOGLETRANSLATE(B37, ""en"", ""ru"")"),"Железный слиток")</f>
        <v>Железный слиток</v>
      </c>
      <c r="F37" s="23" t="str">
        <f>IFERROR(__xludf.DUMMYFUNCTION("GOOGLETRANSLATE(B37, ""en"", ""tr"")"),"Demir çubuk")</f>
        <v>Demir çubuk</v>
      </c>
      <c r="G37" s="23" t="str">
        <f>IFERROR(__xludf.DUMMYFUNCTION("GOOGLETRANSLATE(B37, ""en"", ""pt"")"),"Barra de ferro")</f>
        <v>Barra de ferro</v>
      </c>
      <c r="H37" s="24" t="str">
        <f>IFERROR(__xludf.DUMMYFUNCTION("GOOGLETRANSLATE(B37, ""en"", ""de"")"),"Eisenstange")</f>
        <v>Eisenstange</v>
      </c>
      <c r="I37" s="23" t="str">
        <f>IFERROR(__xludf.DUMMYFUNCTION("GOOGLETRANSLATE(B37, ""en"", ""pl"")"),"Żelazny bar")</f>
        <v>Żelazny bar</v>
      </c>
      <c r="J37" s="25" t="str">
        <f>IFERROR(__xludf.DUMMYFUNCTION("GOOGLETRANSLATE(B37, ""en"", ""zh"")"),"铁吧")</f>
        <v>铁吧</v>
      </c>
      <c r="K37" s="25" t="str">
        <f>IFERROR(__xludf.DUMMYFUNCTION("GOOGLETRANSLATE(B37, ""en"", ""vi"")"),"Thanh sắt")</f>
        <v>Thanh sắt</v>
      </c>
      <c r="L37" s="26" t="str">
        <f>IFERROR(__xludf.DUMMYFUNCTION("GOOGLETRANSLATE(B37, ""en"", ""hr"")"),"Željezna šipka")</f>
        <v>Željezna šipka</v>
      </c>
      <c r="M37" s="28"/>
      <c r="N37" s="28"/>
      <c r="O37" s="28"/>
      <c r="P37" s="28"/>
      <c r="Q37" s="28"/>
      <c r="R37" s="28"/>
      <c r="S37" s="28"/>
      <c r="T37" s="28"/>
      <c r="U37" s="28"/>
      <c r="V37" s="28"/>
      <c r="W37" s="28"/>
      <c r="X37" s="28"/>
      <c r="Y37" s="28"/>
      <c r="Z37" s="28"/>
      <c r="AA37" s="28"/>
      <c r="AB37" s="28"/>
    </row>
    <row r="38">
      <c r="A38" s="40" t="s">
        <v>431</v>
      </c>
      <c r="B38" s="22" t="s">
        <v>432</v>
      </c>
      <c r="C38" s="23" t="str">
        <f>IFERROR(__xludf.DUMMYFUNCTION("GOOGLETRANSLATE(B38, ""en"", ""fr"")"),"Peut être fabriqué dans des équipements de fer.")</f>
        <v>Peut être fabriqué dans des équipements de fer.</v>
      </c>
      <c r="D38" s="23" t="str">
        <f>IFERROR(__xludf.DUMMYFUNCTION("GOOGLETRANSLATE(B38, ""en"", ""es"")"),"Se puede crear en equipos de hierro.")</f>
        <v>Se puede crear en equipos de hierro.</v>
      </c>
      <c r="E38" s="23" t="str">
        <f>IFERROR(__xludf.DUMMYFUNCTION("GOOGLETRANSLATE(B38, ""en"", ""ru"")"),"Может быть создан на железное оборудование.")</f>
        <v>Может быть создан на железное оборудование.</v>
      </c>
      <c r="F38" s="23" t="str">
        <f>IFERROR(__xludf.DUMMYFUNCTION("GOOGLETRANSLATE(B38, ""en"", ""tr"")"),"Demir ekipmana sokulabilir.")</f>
        <v>Demir ekipmana sokulabilir.</v>
      </c>
      <c r="G38" s="23" t="str">
        <f>IFERROR(__xludf.DUMMYFUNCTION("GOOGLETRANSLATE(B38, ""en"", ""pt"")"),"Pode ser criado em equipamentos de ferro.")</f>
        <v>Pode ser criado em equipamentos de ferro.</v>
      </c>
      <c r="H38" s="24" t="str">
        <f>IFERROR(__xludf.DUMMYFUNCTION("GOOGLETRANSLATE(B38, ""en"", ""de"")"),"Kann in eiserne Geräte gefertigt werden.")</f>
        <v>Kann in eiserne Geräte gefertigt werden.</v>
      </c>
      <c r="I38" s="23" t="str">
        <f>IFERROR(__xludf.DUMMYFUNCTION("GOOGLETRANSLATE(B38, ""en"", ""pl"")"),"Może być wykonany do sprzętu żelaza.")</f>
        <v>Może być wykonany do sprzętu żelaza.</v>
      </c>
      <c r="J38" s="25" t="str">
        <f>IFERROR(__xludf.DUMMYFUNCTION("GOOGLETRANSLATE(B38, ""en"", ""zh"")"),"可以制作成铁设备。")</f>
        <v>可以制作成铁设备。</v>
      </c>
      <c r="K38" s="25" t="str">
        <f>IFERROR(__xludf.DUMMYFUNCTION("GOOGLETRANSLATE(B38, ""en"", ""vi"")"),"Có thể được chế tạo thành thiết bị sắt.")</f>
        <v>Có thể được chế tạo thành thiết bị sắt.</v>
      </c>
      <c r="L38" s="26" t="str">
        <f>IFERROR(__xludf.DUMMYFUNCTION("GOOGLETRANSLATE(B38, ""en"", ""hr"")"),"Može se izraditi u željeznu opremu.")</f>
        <v>Može se izraditi u željeznu opremu.</v>
      </c>
      <c r="M38" s="28"/>
      <c r="N38" s="28"/>
      <c r="O38" s="28"/>
      <c r="P38" s="28"/>
      <c r="Q38" s="28"/>
      <c r="R38" s="28"/>
      <c r="S38" s="28"/>
      <c r="T38" s="28"/>
      <c r="U38" s="28"/>
      <c r="V38" s="28"/>
      <c r="W38" s="28"/>
      <c r="X38" s="28"/>
      <c r="Y38" s="28"/>
      <c r="Z38" s="28"/>
      <c r="AA38" s="28"/>
      <c r="AB38" s="28"/>
    </row>
    <row r="39">
      <c r="A39" s="21" t="s">
        <v>433</v>
      </c>
      <c r="B39" s="22" t="s">
        <v>434</v>
      </c>
      <c r="C39" s="23" t="str">
        <f>IFERROR(__xludf.DUMMYFUNCTION("GOOGLETRANSLATE(B39, ""en"", ""fr"")"),"Minerai de dunique")</f>
        <v>Minerai de dunique</v>
      </c>
      <c r="D39" s="23" t="str">
        <f>IFERROR(__xludf.DUMMYFUNCTION("GOOGLETRANSLATE(B39, ""en"", ""es"")"),"Mineral de dunmium")</f>
        <v>Mineral de dunmium</v>
      </c>
      <c r="E39" s="23" t="str">
        <f>IFERROR(__xludf.DUMMYFUNCTION("GOOGLETRANSLATE(B39, ""en"", ""ru"")"),"Дангульская руда")</f>
        <v>Дангульская руда</v>
      </c>
      <c r="F39" s="23" t="str">
        <f>IFERROR(__xludf.DUMMYFUNCTION("GOOGLETRANSLATE(B39, ""en"", ""tr"")"),"Dungium cevheri")</f>
        <v>Dungium cevheri</v>
      </c>
      <c r="G39" s="23" t="str">
        <f>IFERROR(__xludf.DUMMYFUNCTION("GOOGLETRANSLATE(B39, ""en"", ""pt"")"),"Minério de dungium")</f>
        <v>Minério de dungium</v>
      </c>
      <c r="H39" s="24" t="str">
        <f>IFERROR(__xludf.DUMMYFUNCTION("GOOGLETRANSLATE(B39, ""en"", ""de"")"),"Dungiumerz.")</f>
        <v>Dungiumerz.</v>
      </c>
      <c r="I39" s="23" t="str">
        <f>IFERROR(__xludf.DUMMYFUNCTION("GOOGLETRANSLATE(B39, ""en"", ""pl"")"),"Orona Dungium.")</f>
        <v>Orona Dungium.</v>
      </c>
      <c r="J39" s="25" t="str">
        <f>IFERROR(__xludf.DUMMYFUNCTION("GOOGLETRANSLATE(B39, ""en"", ""zh"")"),"Dungium Ore.")</f>
        <v>Dungium Ore.</v>
      </c>
      <c r="K39" s="25" t="str">
        <f>IFERROR(__xludf.DUMMYFUNCTION("GOOGLETRANSLATE(B39, ""en"", ""vi"")"),"Quặng dungium.")</f>
        <v>Quặng dungium.</v>
      </c>
      <c r="L39" s="26" t="str">
        <f>IFERROR(__xludf.DUMMYFUNCTION("GOOGLETRANSLATE(B39, ""en"", ""hr"")"),"Dungium rure")</f>
        <v>Dungium rure</v>
      </c>
      <c r="M39" s="28"/>
      <c r="N39" s="28"/>
      <c r="O39" s="28"/>
      <c r="P39" s="28"/>
      <c r="Q39" s="28"/>
      <c r="R39" s="28"/>
      <c r="S39" s="28"/>
      <c r="T39" s="28"/>
      <c r="U39" s="28"/>
      <c r="V39" s="28"/>
      <c r="W39" s="28"/>
      <c r="X39" s="28"/>
      <c r="Y39" s="28"/>
      <c r="Z39" s="28"/>
      <c r="AA39" s="28"/>
      <c r="AB39" s="28"/>
    </row>
    <row r="40">
      <c r="A40" s="40" t="s">
        <v>435</v>
      </c>
      <c r="B40" s="22" t="s">
        <v>436</v>
      </c>
      <c r="C40" s="23" t="str">
        <f>IFERROR(__xludf.DUMMYFUNCTION("GOOGLETRANSLATE(B40, ""en"", ""fr"")"),"Peut être conçu dans une barre de dunglium sur un four.")</f>
        <v>Peut être conçu dans une barre de dunglium sur un four.</v>
      </c>
      <c r="D40" s="23" t="str">
        <f>IFERROR(__xludf.DUMMYFUNCTION("GOOGLETRANSLATE(B40, ""en"", ""es"")"),"Puede ser diseñado en una barra de dunmium en un horno.")</f>
        <v>Puede ser diseñado en una barra de dunmium en un horno.</v>
      </c>
      <c r="E40" s="23" t="str">
        <f>IFERROR(__xludf.DUMMYFUNCTION("GOOGLETRANSLATE(B40, ""en"", ""ru"")"),"Может быть создан в батончик Dungium в печи.")</f>
        <v>Может быть создан в батончик Dungium в печи.</v>
      </c>
      <c r="F40" s="23" t="str">
        <f>IFERROR(__xludf.DUMMYFUNCTION("GOOGLETRANSLATE(B40, ""en"", ""tr"")"),"Bir fırında bir dungium çubuğuna sokulabilir.")</f>
        <v>Bir fırında bir dungium çubuğuna sokulabilir.</v>
      </c>
      <c r="G40" s="23" t="str">
        <f>IFERROR(__xludf.DUMMYFUNCTION("GOOGLETRANSLATE(B40, ""en"", ""pt"")"),"Pode ser criado em uma barra de dungium em um forno.")</f>
        <v>Pode ser criado em uma barra de dungium em um forno.</v>
      </c>
      <c r="H40" s="24" t="str">
        <f>IFERROR(__xludf.DUMMYFUNCTION("GOOGLETRANSLATE(B40, ""en"", ""de"")"),"Kann in einer Dungium-Bar in einem Ofen gefertigt werden.")</f>
        <v>Kann in einer Dungium-Bar in einem Ofen gefertigt werden.</v>
      </c>
      <c r="I40" s="23" t="str">
        <f>IFERROR(__xludf.DUMMYFUNCTION("GOOGLETRANSLATE(B40, ""en"", ""pl"")"),"Może być wykonany w barze do dobiji w piecu.")</f>
        <v>Może być wykonany w barze do dobiji w piecu.</v>
      </c>
      <c r="J40" s="25" t="str">
        <f>IFERROR(__xludf.DUMMYFUNCTION("GOOGLETRANSLATE(B40, ""en"", ""zh"")"),"可以在炉子里制作成床棒。")</f>
        <v>可以在炉子里制作成床棒。</v>
      </c>
      <c r="K40" s="25" t="str">
        <f>IFERROR(__xludf.DUMMYFUNCTION("GOOGLETRANSLATE(B40, ""en"", ""vi"")"),"Có thể được chế tạo thành một thanh dungium tại một lò.")</f>
        <v>Có thể được chế tạo thành một thanh dungium tại một lò.</v>
      </c>
      <c r="L40" s="26" t="str">
        <f>IFERROR(__xludf.DUMMYFUNCTION("GOOGLETRANSLATE(B40, ""en"", ""hr"")"),"Može se izraditi u dungiju bar na peći.")</f>
        <v>Može se izraditi u dungiju bar na peći.</v>
      </c>
      <c r="M40" s="28"/>
      <c r="N40" s="28"/>
      <c r="O40" s="28"/>
      <c r="P40" s="28"/>
      <c r="Q40" s="28"/>
      <c r="R40" s="28"/>
      <c r="S40" s="28"/>
      <c r="T40" s="28"/>
      <c r="U40" s="28"/>
      <c r="V40" s="28"/>
      <c r="W40" s="28"/>
      <c r="X40" s="28"/>
      <c r="Y40" s="28"/>
      <c r="Z40" s="28"/>
      <c r="AA40" s="28"/>
      <c r="AB40" s="28"/>
    </row>
    <row r="41">
      <c r="A41" s="41" t="s">
        <v>437</v>
      </c>
      <c r="B41" s="22" t="s">
        <v>438</v>
      </c>
      <c r="C41" s="23" t="str">
        <f>IFERROR(__xludf.DUMMYFUNCTION("GOOGLETRANSLATE(B41, ""en"", ""fr"")"),"Barreau de dungium")</f>
        <v>Barreau de dungium</v>
      </c>
      <c r="D41" s="23" t="str">
        <f>IFERROR(__xludf.DUMMYFUNCTION("GOOGLETRANSLATE(B41, ""en"", ""es"")"),"Bar de dungium")</f>
        <v>Bar de dungium</v>
      </c>
      <c r="E41" s="23" t="str">
        <f>IFERROR(__xludf.DUMMYFUNCTION("GOOGLETRANSLATE(B41, ""en"", ""ru"")"),"Дунгуль")</f>
        <v>Дунгуль</v>
      </c>
      <c r="F41" s="23" t="str">
        <f>IFERROR(__xludf.DUMMYFUNCTION("GOOGLETRANSLATE(B41, ""en"", ""tr"")"),"Dungium bar")</f>
        <v>Dungium bar</v>
      </c>
      <c r="G41" s="23" t="str">
        <f>IFERROR(__xludf.DUMMYFUNCTION("GOOGLETRANSLATE(B41, ""en"", ""pt"")"),"Barra de dungium")</f>
        <v>Barra de dungium</v>
      </c>
      <c r="H41" s="24" t="str">
        <f>IFERROR(__xludf.DUMMYFUNCTION("GOOGLETRANSLATE(B41, ""en"", ""de"")"),"Dungium Bar.")</f>
        <v>Dungium Bar.</v>
      </c>
      <c r="I41" s="23" t="str">
        <f>IFERROR(__xludf.DUMMYFUNCTION("GOOGLETRANSLATE(B41, ""en"", ""pl"")"),"Dungium Bar.")</f>
        <v>Dungium Bar.</v>
      </c>
      <c r="J41" s="25" t="str">
        <f>IFERROR(__xludf.DUMMYFUNCTION("GOOGLETRANSLATE(B41, ""en"", ""zh"")"),"bar")</f>
        <v>bar</v>
      </c>
      <c r="K41" s="25" t="str">
        <f>IFERROR(__xludf.DUMMYFUNCTION("GOOGLETRANSLATE(B41, ""en"", ""vi"")"),"Dungium Bar.")</f>
        <v>Dungium Bar.</v>
      </c>
      <c r="L41" s="26" t="str">
        <f>IFERROR(__xludf.DUMMYFUNCTION("GOOGLETRANSLATE(B41, ""en"", ""hr"")"),"Dungijski bar")</f>
        <v>Dungijski bar</v>
      </c>
      <c r="M41" s="28"/>
      <c r="N41" s="28"/>
      <c r="O41" s="28"/>
      <c r="P41" s="28"/>
      <c r="Q41" s="28"/>
      <c r="R41" s="28"/>
      <c r="S41" s="28"/>
      <c r="T41" s="28"/>
      <c r="U41" s="28"/>
      <c r="V41" s="28"/>
      <c r="W41" s="28"/>
      <c r="X41" s="28"/>
      <c r="Y41" s="28"/>
      <c r="Z41" s="28"/>
      <c r="AA41" s="28"/>
      <c r="AB41" s="28"/>
    </row>
    <row r="42">
      <c r="A42" s="40" t="s">
        <v>439</v>
      </c>
      <c r="B42" s="22" t="s">
        <v>440</v>
      </c>
      <c r="C42" s="23" t="str">
        <f>IFERROR(__xludf.DUMMYFUNCTION("GOOGLETRANSLATE(B42, ""en"", ""fr"")"),"Peut être conçu dans un équipement de Dunchium.")</f>
        <v>Peut être conçu dans un équipement de Dunchium.</v>
      </c>
      <c r="D42" s="23" t="str">
        <f>IFERROR(__xludf.DUMMYFUNCTION("GOOGLETRANSLATE(B42, ""en"", ""es"")"),"Puede ser diseñado en equipos de dunmium.")</f>
        <v>Puede ser diseñado en equipos de dunmium.</v>
      </c>
      <c r="E42" s="23" t="str">
        <f>IFERROR(__xludf.DUMMYFUNCTION("GOOGLETRANSLATE(B42, ""en"", ""ru"")"),"Может быть создан в экипировку Dunungium.")</f>
        <v>Может быть создан в экипировку Dunungium.</v>
      </c>
      <c r="F42" s="23" t="str">
        <f>IFERROR(__xludf.DUMMYFUNCTION("GOOGLETRANSLATE(B42, ""en"", ""tr"")"),"Dungium ekipmanlarına sokulabilir.")</f>
        <v>Dungium ekipmanlarına sokulabilir.</v>
      </c>
      <c r="G42" s="23" t="str">
        <f>IFERROR(__xludf.DUMMYFUNCTION("GOOGLETRANSLATE(B42, ""en"", ""pt"")"),"Pode ser criado em equipamentos de dungium.")</f>
        <v>Pode ser criado em equipamentos de dungium.</v>
      </c>
      <c r="H42" s="24" t="str">
        <f>IFERROR(__xludf.DUMMYFUNCTION("GOOGLETRANSLATE(B42, ""en"", ""de"")"),"Kann in Dungium-Geräte gefertigt werden.")</f>
        <v>Kann in Dungium-Geräte gefertigt werden.</v>
      </c>
      <c r="I42" s="23" t="str">
        <f>IFERROR(__xludf.DUMMYFUNCTION("GOOGLETRANSLATE(B42, ""en"", ""pl"")"),"Może być wykonany do sprzętu do pozbawiania.")</f>
        <v>Może być wykonany do sprzętu do pozbawiania.</v>
      </c>
      <c r="J42" s="25" t="str">
        <f>IFERROR(__xludf.DUMMYFUNCTION("GOOGLETRANSLATE(B42, ""en"", ""zh"")"),"可以制作到数控设备。")</f>
        <v>可以制作到数控设备。</v>
      </c>
      <c r="K42" s="25" t="str">
        <f>IFERROR(__xludf.DUMMYFUNCTION("GOOGLETRANSLATE(B42, ""en"", ""vi"")"),"Có thể được chế tạo thành thiết bị dungium.")</f>
        <v>Có thể được chế tạo thành thiết bị dungium.</v>
      </c>
      <c r="L42" s="26" t="str">
        <f>IFERROR(__xludf.DUMMYFUNCTION("GOOGLETRANSLATE(B42, ""en"", ""hr"")"),"Može se izraditi u dungiju opremu.")</f>
        <v>Može se izraditi u dungiju opremu.</v>
      </c>
      <c r="M42" s="28"/>
      <c r="N42" s="28"/>
      <c r="O42" s="28"/>
      <c r="P42" s="28"/>
      <c r="Q42" s="28"/>
      <c r="R42" s="28"/>
      <c r="S42" s="28"/>
      <c r="T42" s="28"/>
      <c r="U42" s="28"/>
      <c r="V42" s="28"/>
      <c r="W42" s="28"/>
      <c r="X42" s="28"/>
      <c r="Y42" s="28"/>
      <c r="Z42" s="28"/>
      <c r="AA42" s="28"/>
      <c r="AB42" s="28"/>
    </row>
    <row r="43">
      <c r="A43" s="21" t="s">
        <v>441</v>
      </c>
      <c r="B43" s="22" t="s">
        <v>442</v>
      </c>
      <c r="C43" s="23" t="str">
        <f>IFERROR(__xludf.DUMMYFUNCTION("GOOGLETRANSLATE(B43, ""en"", ""fr"")"),"Minerai d'agonite")</f>
        <v>Minerai d'agonite</v>
      </c>
      <c r="D43" s="23" t="str">
        <f>IFERROR(__xludf.DUMMYFUNCTION("GOOGLETRANSLATE(B43, ""en"", ""es"")"),"Mineral de agonita")</f>
        <v>Mineral de agonita</v>
      </c>
      <c r="E43" s="23" t="str">
        <f>IFERROR(__xludf.DUMMYFUNCTION("GOOGLETRANSLATE(B43, ""en"", ""ru"")"),"Агонита руда")</f>
        <v>Агонита руда</v>
      </c>
      <c r="F43" s="23" t="str">
        <f>IFERROR(__xludf.DUMMYFUNCTION("GOOGLETRANSLATE(B43, ""en"", ""tr"")"),"Agonite cevheri")</f>
        <v>Agonite cevheri</v>
      </c>
      <c r="G43" s="23" t="str">
        <f>IFERROR(__xludf.DUMMYFUNCTION("GOOGLETRANSLATE(B43, ""en"", ""pt"")"),"Minério de agonite")</f>
        <v>Minério de agonite</v>
      </c>
      <c r="H43" s="24" t="str">
        <f>IFERROR(__xludf.DUMMYFUNCTION("GOOGLETRANSLATE(B43, ""en"", ""de"")"),"Agoniterz.")</f>
        <v>Agoniterz.</v>
      </c>
      <c r="I43" s="23" t="str">
        <f>IFERROR(__xludf.DUMMYFUNCTION("GOOGLETRANSLATE(B43, ""en"", ""pl"")"),"Agonite Ore.")</f>
        <v>Agonite Ore.</v>
      </c>
      <c r="J43" s="25" t="str">
        <f>IFERROR(__xludf.DUMMYFUNCTION("GOOGLETRANSLATE(B43, ""en"", ""zh"")"),"Agonite Oree.")</f>
        <v>Agonite Oree.</v>
      </c>
      <c r="K43" s="25" t="str">
        <f>IFERROR(__xludf.DUMMYFUNCTION("GOOGLETRANSLATE(B43, ""en"", ""vi"")"),"Quặng agonite.")</f>
        <v>Quặng agonite.</v>
      </c>
      <c r="L43" s="26" t="str">
        <f>IFERROR(__xludf.DUMMYFUNCTION("GOOGLETRANSLATE(B43, ""en"", ""hr"")"),"Agoniti rude")</f>
        <v>Agoniti rude</v>
      </c>
      <c r="M43" s="28"/>
      <c r="N43" s="28"/>
      <c r="O43" s="28"/>
      <c r="P43" s="28"/>
      <c r="Q43" s="28"/>
      <c r="R43" s="28"/>
      <c r="S43" s="28"/>
      <c r="T43" s="28"/>
      <c r="U43" s="28"/>
      <c r="V43" s="28"/>
      <c r="W43" s="28"/>
      <c r="X43" s="28"/>
      <c r="Y43" s="28"/>
      <c r="Z43" s="28"/>
      <c r="AA43" s="28"/>
      <c r="AB43" s="28"/>
    </row>
    <row r="44">
      <c r="A44" s="40" t="s">
        <v>443</v>
      </c>
      <c r="B44" s="22" t="s">
        <v>444</v>
      </c>
      <c r="C44" s="23" t="str">
        <f>IFERROR(__xludf.DUMMYFUNCTION("GOOGLETRANSLATE(B44, ""en"", ""fr"")"),"Peut être fabriqué dans une barre d'agonite dans un four.")</f>
        <v>Peut être fabriqué dans une barre d'agonite dans un four.</v>
      </c>
      <c r="D44" s="23" t="str">
        <f>IFERROR(__xludf.DUMMYFUNCTION("GOOGLETRANSLATE(B44, ""en"", ""es"")"),"Puede ser diseñado en una barra de agonita en un horno.")</f>
        <v>Puede ser diseñado en una barra de agonita en un horno.</v>
      </c>
      <c r="E44" s="23" t="str">
        <f>IFERROR(__xludf.DUMMYFUNCTION("GOOGLETRANSLATE(B44, ""en"", ""ru"")"),"Может быть создан в агонит-бар в печи.")</f>
        <v>Может быть создан в агонит-бар в печи.</v>
      </c>
      <c r="F44" s="23" t="str">
        <f>IFERROR(__xludf.DUMMYFUNCTION("GOOGLETRANSLATE(B44, ""en"", ""tr"")"),"Bir fırında agonit bir bara sokulabilir.")</f>
        <v>Bir fırında agonit bir bara sokulabilir.</v>
      </c>
      <c r="G44" s="23" t="str">
        <f>IFERROR(__xludf.DUMMYFUNCTION("GOOGLETRANSLATE(B44, ""en"", ""pt"")"),"Pode ser criado em uma barra de agonite em um forno.")</f>
        <v>Pode ser criado em uma barra de agonite em um forno.</v>
      </c>
      <c r="H44" s="24" t="str">
        <f>IFERROR(__xludf.DUMMYFUNCTION("GOOGLETRANSLATE(B44, ""en"", ""de"")"),"Kann in einem Ofen in eine Agonitstange gefertigt werden.")</f>
        <v>Kann in einem Ofen in eine Agonitstange gefertigt werden.</v>
      </c>
      <c r="I44" s="23" t="str">
        <f>IFERROR(__xludf.DUMMYFUNCTION("GOOGLETRANSLATE(B44, ""en"", ""pl"")"),"Może być wykonany do baru agonitu w piecu.")</f>
        <v>Może być wykonany do baru agonitu w piecu.</v>
      </c>
      <c r="J44" s="25" t="str">
        <f>IFERROR(__xludf.DUMMYFUNCTION("GOOGLETRANSLATE(B44, ""en"", ""zh"")"),"可以在炉子里制作成艾莫氏棒。")</f>
        <v>可以在炉子里制作成艾莫氏棒。</v>
      </c>
      <c r="K44" s="25" t="str">
        <f>IFERROR(__xludf.DUMMYFUNCTION("GOOGLETRANSLATE(B44, ""en"", ""vi"")"),"Có thể được chế tạo thành một thanh agonite tại một lò.")</f>
        <v>Có thể được chế tạo thành một thanh agonite tại một lò.</v>
      </c>
      <c r="L44" s="26" t="str">
        <f>IFERROR(__xludf.DUMMYFUNCTION("GOOGLETRANSLATE(B44, ""en"", ""hr"")"),"Može se izraditi u agonit bar na peći.")</f>
        <v>Može se izraditi u agonit bar na peći.</v>
      </c>
      <c r="M44" s="28"/>
      <c r="N44" s="28"/>
      <c r="O44" s="28"/>
      <c r="P44" s="28"/>
      <c r="Q44" s="28"/>
      <c r="R44" s="28"/>
      <c r="S44" s="28"/>
      <c r="T44" s="28"/>
      <c r="U44" s="28"/>
      <c r="V44" s="28"/>
      <c r="W44" s="28"/>
      <c r="X44" s="28"/>
      <c r="Y44" s="28"/>
      <c r="Z44" s="28"/>
      <c r="AA44" s="28"/>
      <c r="AB44" s="28"/>
    </row>
    <row r="45">
      <c r="A45" s="41" t="s">
        <v>445</v>
      </c>
      <c r="B45" s="22" t="s">
        <v>446</v>
      </c>
      <c r="C45" s="23" t="str">
        <f>IFERROR(__xludf.DUMMYFUNCTION("GOOGLETRANSLATE(B45, ""en"", ""fr"")"),"Barre d'agonite")</f>
        <v>Barre d'agonite</v>
      </c>
      <c r="D45" s="23" t="str">
        <f>IFERROR(__xludf.DUMMYFUNCTION("GOOGLETRANSLATE(B45, ""en"", ""es"")"),"Agonita")</f>
        <v>Agonita</v>
      </c>
      <c r="E45" s="23" t="str">
        <f>IFERROR(__xludf.DUMMYFUNCTION("GOOGLETRANSLATE(B45, ""en"", ""ru"")"),"Агонит")</f>
        <v>Агонит</v>
      </c>
      <c r="F45" s="23" t="str">
        <f>IFERROR(__xludf.DUMMYFUNCTION("GOOGLETRANSLATE(B45, ""en"", ""tr"")"),"Agonit bar")</f>
        <v>Agonit bar</v>
      </c>
      <c r="G45" s="23" t="str">
        <f>IFERROR(__xludf.DUMMYFUNCTION("GOOGLETRANSLATE(B45, ""en"", ""pt"")"),"Barra de agonite")</f>
        <v>Barra de agonite</v>
      </c>
      <c r="H45" s="24" t="str">
        <f>IFERROR(__xludf.DUMMYFUNCTION("GOOGLETRANSLATE(B45, ""en"", ""de"")"),"Agonitbar.")</f>
        <v>Agonitbar.</v>
      </c>
      <c r="I45" s="23" t="str">
        <f>IFERROR(__xludf.DUMMYFUNCTION("GOOGLETRANSLATE(B45, ""en"", ""pl"")"),"Bar agonitowy")</f>
        <v>Bar agonitowy</v>
      </c>
      <c r="J45" s="25" t="str">
        <f>IFERROR(__xludf.DUMMYFUNCTION("GOOGLETRANSLATE(B45, ""en"", ""zh"")"),"Agonite酒吧")</f>
        <v>Agonite酒吧</v>
      </c>
      <c r="K45" s="25" t="str">
        <f>IFERROR(__xludf.DUMMYFUNCTION("GOOGLETRANSLATE(B45, ""en"", ""vi"")"),"Agonite Bar.")</f>
        <v>Agonite Bar.</v>
      </c>
      <c r="L45" s="26" t="str">
        <f>IFERROR(__xludf.DUMMYFUNCTION("GOOGLETRANSLATE(B45, ""en"", ""hr"")"),"Agonit")</f>
        <v>Agonit</v>
      </c>
      <c r="M45" s="28"/>
      <c r="N45" s="28"/>
      <c r="O45" s="28"/>
      <c r="P45" s="28"/>
      <c r="Q45" s="28"/>
      <c r="R45" s="28"/>
      <c r="S45" s="28"/>
      <c r="T45" s="28"/>
      <c r="U45" s="28"/>
      <c r="V45" s="28"/>
      <c r="W45" s="28"/>
      <c r="X45" s="28"/>
      <c r="Y45" s="28"/>
      <c r="Z45" s="28"/>
      <c r="AA45" s="28"/>
      <c r="AB45" s="28"/>
    </row>
    <row r="46">
      <c r="A46" s="40" t="s">
        <v>447</v>
      </c>
      <c r="B46" s="22" t="s">
        <v>448</v>
      </c>
      <c r="C46" s="23" t="str">
        <f>IFERROR(__xludf.DUMMYFUNCTION("GOOGLETRANSLATE(B46, ""en"", ""fr"")"),"Peut être conçu dans un équipement d'agonite.")</f>
        <v>Peut être conçu dans un équipement d'agonite.</v>
      </c>
      <c r="D46" s="23" t="str">
        <f>IFERROR(__xludf.DUMMYFUNCTION("GOOGLETRANSLATE(B46, ""en"", ""es"")"),"Puede ser diseñado en equipos de agonita.")</f>
        <v>Puede ser diseñado en equipos de agonita.</v>
      </c>
      <c r="E46" s="23" t="str">
        <f>IFERROR(__xludf.DUMMYFUNCTION("GOOGLETRANSLATE(B46, ""en"", ""ru"")"),"Может быть создан в агонитовое оборудование.")</f>
        <v>Может быть создан в агонитовое оборудование.</v>
      </c>
      <c r="F46" s="23" t="str">
        <f>IFERROR(__xludf.DUMMYFUNCTION("GOOGLETRANSLATE(B46, ""en"", ""tr"")"),"Agonit ekipmanına sokulabilir.")</f>
        <v>Agonit ekipmanına sokulabilir.</v>
      </c>
      <c r="G46" s="23" t="str">
        <f>IFERROR(__xludf.DUMMYFUNCTION("GOOGLETRANSLATE(B46, ""en"", ""pt"")"),"Pode ser criado em equipamentos de agonite.")</f>
        <v>Pode ser criado em equipamentos de agonite.</v>
      </c>
      <c r="H46" s="24" t="str">
        <f>IFERROR(__xludf.DUMMYFUNCTION("GOOGLETRANSLATE(B46, ""en"", ""de"")"),"Kann in Agonitausrüstung gefertigt werden.")</f>
        <v>Kann in Agonitausrüstung gefertigt werden.</v>
      </c>
      <c r="I46" s="23" t="str">
        <f>IFERROR(__xludf.DUMMYFUNCTION("GOOGLETRANSLATE(B46, ""en"", ""pl"")"),"Może być wykonany w sprzęt agonite.")</f>
        <v>Może być wykonany w sprzęt agonite.</v>
      </c>
      <c r="J46" s="25" t="str">
        <f>IFERROR(__xludf.DUMMYFUNCTION("GOOGLETRANSLATE(B46, ""en"", ""zh"")"),"可以制作成艾莫尼石设备。")</f>
        <v>可以制作成艾莫尼石设备。</v>
      </c>
      <c r="K46" s="25" t="str">
        <f>IFERROR(__xludf.DUMMYFUNCTION("GOOGLETRANSLATE(B46, ""en"", ""vi"")"),"Có thể được chế tạo thành thiết bị Agonite.")</f>
        <v>Có thể được chế tạo thành thiết bị Agonite.</v>
      </c>
      <c r="L46" s="26" t="str">
        <f>IFERROR(__xludf.DUMMYFUNCTION("GOOGLETRANSLATE(B46, ""en"", ""hr"")"),"Može se izraditi u agonitsku opremu.")</f>
        <v>Može se izraditi u agonitsku opremu.</v>
      </c>
      <c r="M46" s="28"/>
      <c r="N46" s="28"/>
      <c r="O46" s="28"/>
      <c r="P46" s="28"/>
      <c r="Q46" s="28"/>
      <c r="R46" s="28"/>
      <c r="S46" s="28"/>
      <c r="T46" s="28"/>
      <c r="U46" s="28"/>
      <c r="V46" s="28"/>
      <c r="W46" s="28"/>
      <c r="X46" s="28"/>
      <c r="Y46" s="28"/>
      <c r="Z46" s="28"/>
      <c r="AA46" s="28"/>
      <c r="AB46" s="28"/>
    </row>
    <row r="47">
      <c r="A47" s="40" t="s">
        <v>449</v>
      </c>
      <c r="B47" s="22" t="s">
        <v>450</v>
      </c>
      <c r="C47" s="23" t="str">
        <f>IFERROR(__xludf.DUMMYFUNCTION("GOOGLETRANSLATE(B47, ""en"", ""fr"")"),"Minerai de noctis")</f>
        <v>Minerai de noctis</v>
      </c>
      <c r="D47" s="23" t="str">
        <f>IFERROR(__xludf.DUMMYFUNCTION("GOOGLETRANSLATE(B47, ""en"", ""es"")"),"Noctis mineral")</f>
        <v>Noctis mineral</v>
      </c>
      <c r="E47" s="23" t="str">
        <f>IFERROR(__xludf.DUMMYFUNCTION("GOOGLETRANSLATE(B47, ""en"", ""ru"")"),"Ноктис руда")</f>
        <v>Ноктис руда</v>
      </c>
      <c r="F47" s="23" t="str">
        <f>IFERROR(__xludf.DUMMYFUNCTION("GOOGLETRANSLATE(B47, ""en"", ""tr"")"),"Noctis cevheri")</f>
        <v>Noctis cevheri</v>
      </c>
      <c r="G47" s="23" t="str">
        <f>IFERROR(__xludf.DUMMYFUNCTION("GOOGLETRANSLATE(B47, ""en"", ""pt"")"),"Noctis minério")</f>
        <v>Noctis minério</v>
      </c>
      <c r="H47" s="24" t="str">
        <f>IFERROR(__xludf.DUMMYFUNCTION("GOOGLETRANSLATE(B47, ""en"", ""de"")"),"Noctis-Erz.")</f>
        <v>Noctis-Erz.</v>
      </c>
      <c r="I47" s="23" t="str">
        <f>IFERROR(__xludf.DUMMYFUNCTION("GOOGLETRANSLATE(B47, ""en"", ""pl"")"),"Noctis Ore.")</f>
        <v>Noctis Ore.</v>
      </c>
      <c r="J47" s="25" t="str">
        <f>IFERROR(__xludf.DUMMYFUNCTION("GOOGLETRANSLATE(B47, ""en"", ""zh"")"),"诺克斯矿石")</f>
        <v>诺克斯矿石</v>
      </c>
      <c r="K47" s="25" t="str">
        <f>IFERROR(__xludf.DUMMYFUNCTION("GOOGLETRANSLATE(B47, ""en"", ""vi"")"),"Quặng Noctis.")</f>
        <v>Quặng Noctis.</v>
      </c>
      <c r="L47" s="26" t="str">
        <f>IFERROR(__xludf.DUMMYFUNCTION("GOOGLETRANSLATE(B47, ""en"", ""hr"")"),"Noctis rude")</f>
        <v>Noctis rude</v>
      </c>
      <c r="M47" s="28"/>
      <c r="N47" s="28"/>
      <c r="O47" s="28"/>
      <c r="P47" s="28"/>
      <c r="Q47" s="28"/>
      <c r="R47" s="28"/>
      <c r="S47" s="28"/>
      <c r="T47" s="28"/>
      <c r="U47" s="28"/>
      <c r="V47" s="28"/>
      <c r="W47" s="28"/>
      <c r="X47" s="28"/>
      <c r="Y47" s="28"/>
      <c r="Z47" s="28"/>
      <c r="AA47" s="28"/>
      <c r="AB47" s="28"/>
    </row>
    <row r="48">
      <c r="A48" s="40" t="s">
        <v>451</v>
      </c>
      <c r="B48" s="22" t="s">
        <v>452</v>
      </c>
      <c r="C48" s="23" t="str">
        <f>IFERROR(__xludf.DUMMYFUNCTION("GOOGLETRANSLATE(B48, ""en"", ""fr"")"),"Peut être fabriqué dans une barre Noctis dans un four.")</f>
        <v>Peut être fabriqué dans une barre Noctis dans un four.</v>
      </c>
      <c r="D48" s="23" t="str">
        <f>IFERROR(__xludf.DUMMYFUNCTION("GOOGLETRANSLATE(B48, ""en"", ""es"")"),"Puede ser diseñado en una barra de noctis en un horno.")</f>
        <v>Puede ser diseñado en una barra de noctis en un horno.</v>
      </c>
      <c r="E48" s="23" t="str">
        <f>IFERROR(__xludf.DUMMYFUNCTION("GOOGLETRANSLATE(B48, ""en"", ""ru"")"),"Может быть создан в батончик Noctis в печи.")</f>
        <v>Может быть создан в батончик Noctis в печи.</v>
      </c>
      <c r="F48" s="23" t="str">
        <f>IFERROR(__xludf.DUMMYFUNCTION("GOOGLETRANSLATE(B48, ""en"", ""tr"")"),"Bir fırında bir Noctis çubuğuna sokulabilir.")</f>
        <v>Bir fırında bir Noctis çubuğuna sokulabilir.</v>
      </c>
      <c r="G48" s="23" t="str">
        <f>IFERROR(__xludf.DUMMYFUNCTION("GOOGLETRANSLATE(B48, ""en"", ""pt"")"),"Pode ser criado em uma barra de noctis em um forno.")</f>
        <v>Pode ser criado em uma barra de noctis em um forno.</v>
      </c>
      <c r="H48" s="24" t="str">
        <f>IFERROR(__xludf.DUMMYFUNCTION("GOOGLETRANSLATE(B48, ""en"", ""de"")"),"Kann in einer Noctis-Bar in einem Ofen gefertigt werden.")</f>
        <v>Kann in einer Noctis-Bar in einem Ofen gefertigt werden.</v>
      </c>
      <c r="I48" s="23" t="str">
        <f>IFERROR(__xludf.DUMMYFUNCTION("GOOGLETRANSLATE(B48, ""en"", ""pl"")"),"Może być wykonany w barze Noctis w piecu.")</f>
        <v>Może być wykonany w barze Noctis w piecu.</v>
      </c>
      <c r="J48" s="25" t="str">
        <f>IFERROR(__xludf.DUMMYFUNCTION("GOOGLETRANSLATE(B48, ""en"", ""zh"")"),"可以在炉子上制作到夜光棒中。")</f>
        <v>可以在炉子上制作到夜光棒中。</v>
      </c>
      <c r="K48" s="25" t="str">
        <f>IFERROR(__xludf.DUMMYFUNCTION("GOOGLETRANSLATE(B48, ""en"", ""vi"")"),"Có thể được chế tạo thành một thanh noctis tại một lò.")</f>
        <v>Có thể được chế tạo thành một thanh noctis tại một lò.</v>
      </c>
      <c r="L48" s="26" t="str">
        <f>IFERROR(__xludf.DUMMYFUNCTION("GOOGLETRANSLATE(B48, ""en"", ""hr"")"),"Može se izraditi u noktični bar na pećnici.")</f>
        <v>Može se izraditi u noktični bar na pećnici.</v>
      </c>
      <c r="M48" s="28"/>
      <c r="N48" s="28"/>
      <c r="O48" s="28"/>
      <c r="P48" s="28"/>
      <c r="Q48" s="28"/>
      <c r="R48" s="28"/>
      <c r="S48" s="28"/>
      <c r="T48" s="28"/>
      <c r="U48" s="28"/>
      <c r="V48" s="28"/>
      <c r="W48" s="28"/>
      <c r="X48" s="28"/>
      <c r="Y48" s="28"/>
      <c r="Z48" s="28"/>
      <c r="AA48" s="28"/>
      <c r="AB48" s="28"/>
    </row>
    <row r="49">
      <c r="A49" s="40" t="s">
        <v>453</v>
      </c>
      <c r="B49" s="22" t="s">
        <v>454</v>
      </c>
      <c r="C49" s="23" t="str">
        <f>IFERROR(__xludf.DUMMYFUNCTION("GOOGLETRANSLATE(B49, ""en"", ""fr"")"),"Barreau de noctis")</f>
        <v>Barreau de noctis</v>
      </c>
      <c r="D49" s="23" t="str">
        <f>IFERROR(__xludf.DUMMYFUNCTION("GOOGLETRANSLATE(B49, ""en"", ""es"")"),"Barra nocturna")</f>
        <v>Barra nocturna</v>
      </c>
      <c r="E49" s="23" t="str">
        <f>IFERROR(__xludf.DUMMYFUNCTION("GOOGLETRANSLATE(B49, ""en"", ""ru"")"),"Бар Noctis")</f>
        <v>Бар Noctis</v>
      </c>
      <c r="F49" s="23" t="str">
        <f>IFERROR(__xludf.DUMMYFUNCTION("GOOGLETRANSLATE(B49, ""en"", ""tr"")"),"Noctis bar")</f>
        <v>Noctis bar</v>
      </c>
      <c r="G49" s="23" t="str">
        <f>IFERROR(__xludf.DUMMYFUNCTION("GOOGLETRANSLATE(B49, ""en"", ""pt"")"),"Noctis Bar")</f>
        <v>Noctis Bar</v>
      </c>
      <c r="H49" s="24" t="str">
        <f>IFERROR(__xludf.DUMMYFUNCTION("GOOGLETRANSLATE(B49, ""en"", ""de"")"),"Noctis-Bar")</f>
        <v>Noctis-Bar</v>
      </c>
      <c r="I49" s="23" t="str">
        <f>IFERROR(__xludf.DUMMYFUNCTION("GOOGLETRANSLATE(B49, ""en"", ""pl"")"),"Pasek Noctis.")</f>
        <v>Pasek Noctis.</v>
      </c>
      <c r="J49" s="25" t="str">
        <f>IFERROR(__xludf.DUMMYFUNCTION("GOOGLETRANSLATE(B49, ""en"", ""zh"")"),"诺克斯酒吧")</f>
        <v>诺克斯酒吧</v>
      </c>
      <c r="K49" s="25" t="str">
        <f>IFERROR(__xludf.DUMMYFUNCTION("GOOGLETRANSLATE(B49, ""en"", ""vi"")"),"Noctis Bar.")</f>
        <v>Noctis Bar.</v>
      </c>
      <c r="L49" s="26" t="str">
        <f>IFERROR(__xludf.DUMMYFUNCTION("GOOGLETRANSLATE(B49, ""en"", ""hr"")"),"Noctis bar")</f>
        <v>Noctis bar</v>
      </c>
      <c r="M49" s="28"/>
      <c r="N49" s="28"/>
      <c r="O49" s="28"/>
      <c r="P49" s="28"/>
      <c r="Q49" s="28"/>
      <c r="R49" s="28"/>
      <c r="S49" s="28"/>
      <c r="T49" s="28"/>
      <c r="U49" s="28"/>
      <c r="V49" s="28"/>
      <c r="W49" s="28"/>
      <c r="X49" s="28"/>
      <c r="Y49" s="28"/>
      <c r="Z49" s="28"/>
      <c r="AA49" s="28"/>
      <c r="AB49" s="28"/>
    </row>
    <row r="50">
      <c r="A50" s="40" t="s">
        <v>455</v>
      </c>
      <c r="B50" s="22" t="s">
        <v>456</v>
      </c>
      <c r="C50" s="23" t="str">
        <f>IFERROR(__xludf.DUMMYFUNCTION("GOOGLETRANSLATE(B50, ""en"", ""fr"")"),"Peut être conçu dans un équipement NOCTIS.")</f>
        <v>Peut être conçu dans un équipement NOCTIS.</v>
      </c>
      <c r="D50" s="23" t="str">
        <f>IFERROR(__xludf.DUMMYFUNCTION("GOOGLETRANSLATE(B50, ""en"", ""es"")"),"Se puede crear en equipos de noctura.")</f>
        <v>Se puede crear en equipos de noctura.</v>
      </c>
      <c r="E50" s="23" t="str">
        <f>IFERROR(__xludf.DUMMYFUNCTION("GOOGLETRANSLATE(B50, ""en"", ""ru"")"),"Может быть создан на оборудование Noctis.")</f>
        <v>Может быть создан на оборудование Noctis.</v>
      </c>
      <c r="F50" s="23" t="str">
        <f>IFERROR(__xludf.DUMMYFUNCTION("GOOGLETRANSLATE(B50, ""en"", ""tr"")"),"Noctis ekipmanlarına sokulabilir.")</f>
        <v>Noctis ekipmanlarına sokulabilir.</v>
      </c>
      <c r="G50" s="23" t="str">
        <f>IFERROR(__xludf.DUMMYFUNCTION("GOOGLETRANSLATE(B50, ""en"", ""pt"")"),"Pode ser criado em equipamentos noctis.")</f>
        <v>Pode ser criado em equipamentos noctis.</v>
      </c>
      <c r="H50" s="24" t="str">
        <f>IFERROR(__xludf.DUMMYFUNCTION("GOOGLETRANSLATE(B50, ""en"", ""de"")"),"Kann in Noctis-Geräte gefertigt werden.")</f>
        <v>Kann in Noctis-Geräte gefertigt werden.</v>
      </c>
      <c r="I50" s="23" t="str">
        <f>IFERROR(__xludf.DUMMYFUNCTION("GOOGLETRANSLATE(B50, ""en"", ""pl"")"),"Może być wykonany na sprzęt Noctis.")</f>
        <v>Może być wykonany na sprzęt Noctis.</v>
      </c>
      <c r="J50" s="25" t="str">
        <f>IFERROR(__xludf.DUMMYFUNCTION("GOOGLETRANSLATE(B50, ""en"", ""zh"")"),"可以制作到夜游设备中。")</f>
        <v>可以制作到夜游设备中。</v>
      </c>
      <c r="K50" s="25" t="str">
        <f>IFERROR(__xludf.DUMMYFUNCTION("GOOGLETRANSLATE(B50, ""en"", ""vi"")"),"Có thể được chế tạo thành thiết bị Noctis.")</f>
        <v>Có thể được chế tạo thành thiết bị Noctis.</v>
      </c>
      <c r="L50" s="26" t="str">
        <f>IFERROR(__xludf.DUMMYFUNCTION("GOOGLETRANSLATE(B50, ""en"", ""hr"")"),"Može se izraditi u noktiku opremu.")</f>
        <v>Može se izraditi u noktiku opremu.</v>
      </c>
      <c r="M50" s="28"/>
      <c r="N50" s="28"/>
      <c r="O50" s="28"/>
      <c r="P50" s="28"/>
      <c r="Q50" s="28"/>
      <c r="R50" s="28"/>
      <c r="S50" s="28"/>
      <c r="T50" s="28"/>
      <c r="U50" s="28"/>
      <c r="V50" s="28"/>
      <c r="W50" s="28"/>
      <c r="X50" s="28"/>
      <c r="Y50" s="28"/>
      <c r="Z50" s="28"/>
      <c r="AA50" s="28"/>
      <c r="AB50" s="28"/>
    </row>
    <row r="51">
      <c r="A51" s="40" t="s">
        <v>457</v>
      </c>
      <c r="B51" s="22" t="s">
        <v>458</v>
      </c>
      <c r="C51" s="23" t="str">
        <f>IFERROR(__xludf.DUMMYFUNCTION("GOOGLETRANSLATE(B51, ""en"", ""fr"")"),"Bûches de pin")</f>
        <v>Bûches de pin</v>
      </c>
      <c r="D51" s="23" t="str">
        <f>IFERROR(__xludf.DUMMYFUNCTION("GOOGLETRANSLATE(B51, ""en"", ""es"")"),"Troncos de pino")</f>
        <v>Troncos de pino</v>
      </c>
      <c r="E51" s="23" t="str">
        <f>IFERROR(__xludf.DUMMYFUNCTION("GOOGLETRANSLATE(B51, ""en"", ""ru"")"),"Журналы сосны")</f>
        <v>Журналы сосны</v>
      </c>
      <c r="F51" s="23" t="str">
        <f>IFERROR(__xludf.DUMMYFUNCTION("GOOGLETRANSLATE(B51, ""en"", ""tr"")"),"Çam günlükleri")</f>
        <v>Çam günlükleri</v>
      </c>
      <c r="G51" s="23" t="str">
        <f>IFERROR(__xludf.DUMMYFUNCTION("GOOGLETRANSLATE(B51, ""en"", ""pt"")"),"Logs de pinheiros")</f>
        <v>Logs de pinheiros</v>
      </c>
      <c r="H51" s="24" t="str">
        <f>IFERROR(__xludf.DUMMYFUNCTION("GOOGLETRANSLATE(B51, ""en"", ""de"")"),"Kiefer-Protokolle")</f>
        <v>Kiefer-Protokolle</v>
      </c>
      <c r="I51" s="23" t="str">
        <f>IFERROR(__xludf.DUMMYFUNCTION("GOOGLETRANSLATE(B51, ""en"", ""pl"")"),"Kłody sosnowe.")</f>
        <v>Kłody sosnowe.</v>
      </c>
      <c r="J51" s="25" t="str">
        <f>IFERROR(__xludf.DUMMYFUNCTION("GOOGLETRANSLATE(B51, ""en"", ""zh"")"),"松木日志")</f>
        <v>松木日志</v>
      </c>
      <c r="K51" s="25" t="str">
        <f>IFERROR(__xludf.DUMMYFUNCTION("GOOGLETRANSLATE(B51, ""en"", ""vi"")"),"Nhật ký thông")</f>
        <v>Nhật ký thông</v>
      </c>
      <c r="L51" s="26" t="str">
        <f>IFERROR(__xludf.DUMMYFUNCTION("GOOGLETRANSLATE(B51, ""en"", ""hr"")"),"Borove trupce")</f>
        <v>Borove trupce</v>
      </c>
      <c r="M51" s="28"/>
      <c r="N51" s="28"/>
      <c r="O51" s="28"/>
      <c r="P51" s="28"/>
      <c r="Q51" s="28"/>
      <c r="R51" s="28"/>
      <c r="S51" s="28"/>
      <c r="T51" s="28"/>
      <c r="U51" s="28"/>
      <c r="V51" s="28"/>
      <c r="W51" s="28"/>
      <c r="X51" s="28"/>
      <c r="Y51" s="28"/>
      <c r="Z51" s="28"/>
      <c r="AA51" s="28"/>
      <c r="AB51" s="28"/>
    </row>
    <row r="52">
      <c r="A52" s="40" t="s">
        <v>459</v>
      </c>
      <c r="B52" s="22" t="s">
        <v>460</v>
      </c>
      <c r="C52" s="23" t="str">
        <f>IFERROR(__xludf.DUMMYFUNCTION("GOOGLETRANSLATE(B52, ""en"", ""fr"")"),"Un matériau d'artisanat de base.")</f>
        <v>Un matériau d'artisanat de base.</v>
      </c>
      <c r="D52" s="23" t="str">
        <f>IFERROR(__xludf.DUMMYFUNCTION("GOOGLETRANSLATE(B52, ""en"", ""es"")"),"Un material de elaboración básico.")</f>
        <v>Un material de elaboración básico.</v>
      </c>
      <c r="E52" s="23" t="str">
        <f>IFERROR(__xludf.DUMMYFUNCTION("GOOGLETRANSLATE(B52, ""en"", ""ru"")"),"Основной материал для крафта.")</f>
        <v>Основной материал для крафта.</v>
      </c>
      <c r="F52" s="23" t="str">
        <f>IFERROR(__xludf.DUMMYFUNCTION("GOOGLETRANSLATE(B52, ""en"", ""tr"")"),"Temel bir işçilik malzemesi.")</f>
        <v>Temel bir işçilik malzemesi.</v>
      </c>
      <c r="G52" s="23" t="str">
        <f>IFERROR(__xludf.DUMMYFUNCTION("GOOGLETRANSLATE(B52, ""en"", ""pt"")"),"Um material básico de criação.")</f>
        <v>Um material básico de criação.</v>
      </c>
      <c r="H52" s="24" t="str">
        <f>IFERROR(__xludf.DUMMYFUNCTION("GOOGLETRANSLATE(B52, ""en"", ""de"")"),"Ein grundlegendes Bastelmaterial.")</f>
        <v>Ein grundlegendes Bastelmaterial.</v>
      </c>
      <c r="I52" s="23" t="str">
        <f>IFERROR(__xludf.DUMMYFUNCTION("GOOGLETRANSLATE(B52, ""en"", ""pl"")"),"Podstawowy materiał rzemieślniczy.")</f>
        <v>Podstawowy materiał rzemieślniczy.</v>
      </c>
      <c r="J52" s="25" t="str">
        <f>IFERROR(__xludf.DUMMYFUNCTION("GOOGLETRANSLATE(B52, ""en"", ""zh"")"),"一种基本的制作材料。")</f>
        <v>一种基本的制作材料。</v>
      </c>
      <c r="K52" s="25" t="str">
        <f>IFERROR(__xludf.DUMMYFUNCTION("GOOGLETRANSLATE(B52, ""en"", ""vi"")"),"Một vật liệu chế tạo cơ bản.")</f>
        <v>Một vật liệu chế tạo cơ bản.</v>
      </c>
      <c r="L52" s="26" t="str">
        <f>IFERROR(__xludf.DUMMYFUNCTION("GOOGLETRANSLATE(B52, ""en"", ""hr"")"),"Osnovni materijal za izradu.")</f>
        <v>Osnovni materijal za izradu.</v>
      </c>
      <c r="M52" s="28"/>
      <c r="N52" s="28"/>
      <c r="O52" s="28"/>
      <c r="P52" s="28"/>
      <c r="Q52" s="28"/>
      <c r="R52" s="28"/>
      <c r="S52" s="28"/>
      <c r="T52" s="28"/>
      <c r="U52" s="28"/>
      <c r="V52" s="28"/>
      <c r="W52" s="28"/>
      <c r="X52" s="28"/>
      <c r="Y52" s="28"/>
      <c r="Z52" s="28"/>
      <c r="AA52" s="28"/>
      <c r="AB52" s="28"/>
    </row>
    <row r="53">
      <c r="A53" s="40" t="s">
        <v>461</v>
      </c>
      <c r="B53" s="22" t="s">
        <v>462</v>
      </c>
      <c r="C53" s="23" t="str">
        <f>IFERROR(__xludf.DUMMYFUNCTION("GOOGLETRANSLATE(B53, ""en"", ""fr"")"),"Journaux de saule")</f>
        <v>Journaux de saule</v>
      </c>
      <c r="D53" s="23" t="str">
        <f>IFERROR(__xludf.DUMMYFUNCTION("GOOGLETRANSLATE(B53, ""en"", ""es"")"),"Registros de sauce")</f>
        <v>Registros de sauce</v>
      </c>
      <c r="E53" s="23" t="str">
        <f>IFERROR(__xludf.DUMMYFUNCTION("GOOGLETRANSLATE(B53, ""en"", ""ru"")"),"Логи Ибы")</f>
        <v>Логи Ибы</v>
      </c>
      <c r="F53" s="23" t="str">
        <f>IFERROR(__xludf.DUMMYFUNCTION("GOOGLETRANSLATE(B53, ""en"", ""tr"")"),"Söğüt günlükleri")</f>
        <v>Söğüt günlükleri</v>
      </c>
      <c r="G53" s="23" t="str">
        <f>IFERROR(__xludf.DUMMYFUNCTION("GOOGLETRANSLATE(B53, ""en"", ""pt"")"),"Logs de salgueiro")</f>
        <v>Logs de salgueiro</v>
      </c>
      <c r="H53" s="24" t="str">
        <f>IFERROR(__xludf.DUMMYFUNCTION("GOOGLETRANSLATE(B53, ""en"", ""de"")"),"Willow-Protokolle")</f>
        <v>Willow-Protokolle</v>
      </c>
      <c r="I53" s="23" t="str">
        <f>IFERROR(__xludf.DUMMYFUNCTION("GOOGLETRANSLATE(B53, ""en"", ""pl"")"),"Logi Willow.")</f>
        <v>Logi Willow.</v>
      </c>
      <c r="J53" s="25" t="str">
        <f>IFERROR(__xludf.DUMMYFUNCTION("GOOGLETRANSLATE(B53, ""en"", ""zh"")"),"柳树日志")</f>
        <v>柳树日志</v>
      </c>
      <c r="K53" s="25" t="str">
        <f>IFERROR(__xludf.DUMMYFUNCTION("GOOGLETRANSLATE(B53, ""en"", ""vi"")"),"Nhật ký liễu.")</f>
        <v>Nhật ký liễu.</v>
      </c>
      <c r="L53" s="26" t="str">
        <f>IFERROR(__xludf.DUMMYFUNCTION("GOOGLETRANSLATE(B53, ""en"", ""hr"")"),"Vrba")</f>
        <v>Vrba</v>
      </c>
      <c r="M53" s="28"/>
      <c r="N53" s="28"/>
      <c r="O53" s="28"/>
      <c r="P53" s="28"/>
      <c r="Q53" s="28"/>
      <c r="R53" s="28"/>
      <c r="S53" s="28"/>
      <c r="T53" s="28"/>
      <c r="U53" s="28"/>
      <c r="V53" s="28"/>
      <c r="W53" s="28"/>
      <c r="X53" s="28"/>
      <c r="Y53" s="28"/>
      <c r="Z53" s="28"/>
      <c r="AA53" s="28"/>
      <c r="AB53" s="28"/>
    </row>
    <row r="54">
      <c r="A54" s="40" t="s">
        <v>463</v>
      </c>
      <c r="B54" s="22" t="s">
        <v>460</v>
      </c>
      <c r="C54" s="23" t="str">
        <f>IFERROR(__xludf.DUMMYFUNCTION("GOOGLETRANSLATE(B54, ""en"", ""fr"")"),"Un matériau d'artisanat de base.")</f>
        <v>Un matériau d'artisanat de base.</v>
      </c>
      <c r="D54" s="23" t="str">
        <f>IFERROR(__xludf.DUMMYFUNCTION("GOOGLETRANSLATE(B54, ""en"", ""es"")"),"Un material de elaboración básico.")</f>
        <v>Un material de elaboración básico.</v>
      </c>
      <c r="E54" s="23" t="str">
        <f>IFERROR(__xludf.DUMMYFUNCTION("GOOGLETRANSLATE(B54, ""en"", ""ru"")"),"Основной материал для крафта.")</f>
        <v>Основной материал для крафта.</v>
      </c>
      <c r="F54" s="23" t="str">
        <f>IFERROR(__xludf.DUMMYFUNCTION("GOOGLETRANSLATE(B54, ""en"", ""tr"")"),"Temel bir işçilik malzemesi.")</f>
        <v>Temel bir işçilik malzemesi.</v>
      </c>
      <c r="G54" s="23" t="str">
        <f>IFERROR(__xludf.DUMMYFUNCTION("GOOGLETRANSLATE(B54, ""en"", ""pt"")"),"Um material básico de criação.")</f>
        <v>Um material básico de criação.</v>
      </c>
      <c r="H54" s="24" t="str">
        <f>IFERROR(__xludf.DUMMYFUNCTION("GOOGLETRANSLATE(B54, ""en"", ""de"")"),"Ein grundlegendes Bastelmaterial.")</f>
        <v>Ein grundlegendes Bastelmaterial.</v>
      </c>
      <c r="I54" s="23" t="str">
        <f>IFERROR(__xludf.DUMMYFUNCTION("GOOGLETRANSLATE(B54, ""en"", ""pl"")"),"Podstawowy materiał rzemieślniczy.")</f>
        <v>Podstawowy materiał rzemieślniczy.</v>
      </c>
      <c r="J54" s="25" t="str">
        <f>IFERROR(__xludf.DUMMYFUNCTION("GOOGLETRANSLATE(B54, ""en"", ""zh"")"),"一种基本的制作材料。")</f>
        <v>一种基本的制作材料。</v>
      </c>
      <c r="K54" s="25" t="str">
        <f>IFERROR(__xludf.DUMMYFUNCTION("GOOGLETRANSLATE(B54, ""en"", ""vi"")"),"Một vật liệu chế tạo cơ bản.")</f>
        <v>Một vật liệu chế tạo cơ bản.</v>
      </c>
      <c r="L54" s="26" t="str">
        <f>IFERROR(__xludf.DUMMYFUNCTION("GOOGLETRANSLATE(B54, ""en"", ""hr"")"),"Osnovni materijal za izradu.")</f>
        <v>Osnovni materijal za izradu.</v>
      </c>
      <c r="M54" s="28"/>
      <c r="N54" s="28"/>
      <c r="O54" s="28"/>
      <c r="P54" s="28"/>
      <c r="Q54" s="28"/>
      <c r="R54" s="28"/>
      <c r="S54" s="28"/>
      <c r="T54" s="28"/>
      <c r="U54" s="28"/>
      <c r="V54" s="28"/>
      <c r="W54" s="28"/>
      <c r="X54" s="28"/>
      <c r="Y54" s="28"/>
      <c r="Z54" s="28"/>
      <c r="AA54" s="28"/>
      <c r="AB54" s="28"/>
    </row>
    <row r="55">
      <c r="A55" s="40" t="s">
        <v>464</v>
      </c>
      <c r="B55" s="22" t="s">
        <v>465</v>
      </c>
      <c r="C55" s="23" t="str">
        <f>IFERROR(__xludf.DUMMYFUNCTION("GOOGLETRANSLATE(B55, ""en"", ""fr"")"),"Journaux de chêne")</f>
        <v>Journaux de chêne</v>
      </c>
      <c r="D55" s="23" t="str">
        <f>IFERROR(__xludf.DUMMYFUNCTION("GOOGLETRANSLATE(B55, ""en"", ""es"")"),"Registros de roble")</f>
        <v>Registros de roble</v>
      </c>
      <c r="E55" s="23" t="str">
        <f>IFERROR(__xludf.DUMMYFUNCTION("GOOGLETRANSLATE(B55, ""en"", ""ru"")"),"Дубовые журналы")</f>
        <v>Дубовые журналы</v>
      </c>
      <c r="F55" s="23" t="str">
        <f>IFERROR(__xludf.DUMMYFUNCTION("GOOGLETRANSLATE(B55, ""en"", ""tr"")"),"Meşe günlükleri")</f>
        <v>Meşe günlükleri</v>
      </c>
      <c r="G55" s="23" t="str">
        <f>IFERROR(__xludf.DUMMYFUNCTION("GOOGLETRANSLATE(B55, ""en"", ""pt"")"),"Logs de carvalho")</f>
        <v>Logs de carvalho</v>
      </c>
      <c r="H55" s="24" t="str">
        <f>IFERROR(__xludf.DUMMYFUNCTION("GOOGLETRANSLATE(B55, ""en"", ""de"")"),"Eichelprotokolle")</f>
        <v>Eichelprotokolle</v>
      </c>
      <c r="I55" s="23" t="str">
        <f>IFERROR(__xludf.DUMMYFUNCTION("GOOGLETRANSLATE(B55, ""en"", ""pl"")"),"Dzienniki dębowe.")</f>
        <v>Dzienniki dębowe.</v>
      </c>
      <c r="J55" s="25" t="str">
        <f>IFERROR(__xludf.DUMMYFUNCTION("GOOGLETRANSLATE(B55, ""en"", ""zh"")"),"橡木日志")</f>
        <v>橡木日志</v>
      </c>
      <c r="K55" s="25" t="str">
        <f>IFERROR(__xludf.DUMMYFUNCTION("GOOGLETRANSLATE(B55, ""en"", ""vi"")"),"Gỗ sồi")</f>
        <v>Gỗ sồi</v>
      </c>
      <c r="L55" s="26" t="str">
        <f>IFERROR(__xludf.DUMMYFUNCTION("GOOGLETRANSLATE(B55, ""en"", ""hr"")"),"Hrastovi")</f>
        <v>Hrastovi</v>
      </c>
      <c r="M55" s="28"/>
      <c r="N55" s="28"/>
      <c r="O55" s="28"/>
      <c r="P55" s="28"/>
      <c r="Q55" s="28"/>
      <c r="R55" s="28"/>
      <c r="S55" s="28"/>
      <c r="T55" s="28"/>
      <c r="U55" s="28"/>
      <c r="V55" s="28"/>
      <c r="W55" s="28"/>
      <c r="X55" s="28"/>
      <c r="Y55" s="28"/>
      <c r="Z55" s="28"/>
      <c r="AA55" s="28"/>
      <c r="AB55" s="28"/>
    </row>
    <row r="56">
      <c r="A56" s="40" t="s">
        <v>466</v>
      </c>
      <c r="B56" s="22" t="s">
        <v>460</v>
      </c>
      <c r="C56" s="23" t="str">
        <f>IFERROR(__xludf.DUMMYFUNCTION("GOOGLETRANSLATE(B56, ""en"", ""fr"")"),"Un matériau d'artisanat de base.")</f>
        <v>Un matériau d'artisanat de base.</v>
      </c>
      <c r="D56" s="23" t="str">
        <f>IFERROR(__xludf.DUMMYFUNCTION("GOOGLETRANSLATE(B56, ""en"", ""es"")"),"Un material de elaboración básico.")</f>
        <v>Un material de elaboración básico.</v>
      </c>
      <c r="E56" s="23" t="str">
        <f>IFERROR(__xludf.DUMMYFUNCTION("GOOGLETRANSLATE(B56, ""en"", ""ru"")"),"Основной материал для крафта.")</f>
        <v>Основной материал для крафта.</v>
      </c>
      <c r="F56" s="23" t="str">
        <f>IFERROR(__xludf.DUMMYFUNCTION("GOOGLETRANSLATE(B56, ""en"", ""tr"")"),"Temel bir işçilik malzemesi.")</f>
        <v>Temel bir işçilik malzemesi.</v>
      </c>
      <c r="G56" s="23" t="str">
        <f>IFERROR(__xludf.DUMMYFUNCTION("GOOGLETRANSLATE(B56, ""en"", ""pt"")"),"Um material básico de criação.")</f>
        <v>Um material básico de criação.</v>
      </c>
      <c r="H56" s="24" t="str">
        <f>IFERROR(__xludf.DUMMYFUNCTION("GOOGLETRANSLATE(B56, ""en"", ""de"")"),"Ein grundlegendes Bastelmaterial.")</f>
        <v>Ein grundlegendes Bastelmaterial.</v>
      </c>
      <c r="I56" s="23" t="str">
        <f>IFERROR(__xludf.DUMMYFUNCTION("GOOGLETRANSLATE(B56, ""en"", ""pl"")"),"Podstawowy materiał rzemieślniczy.")</f>
        <v>Podstawowy materiał rzemieślniczy.</v>
      </c>
      <c r="J56" s="25" t="str">
        <f>IFERROR(__xludf.DUMMYFUNCTION("GOOGLETRANSLATE(B56, ""en"", ""zh"")"),"一种基本的制作材料。")</f>
        <v>一种基本的制作材料。</v>
      </c>
      <c r="K56" s="25" t="str">
        <f>IFERROR(__xludf.DUMMYFUNCTION("GOOGLETRANSLATE(B56, ""en"", ""vi"")"),"Một vật liệu chế tạo cơ bản.")</f>
        <v>Một vật liệu chế tạo cơ bản.</v>
      </c>
      <c r="L56" s="26" t="str">
        <f>IFERROR(__xludf.DUMMYFUNCTION("GOOGLETRANSLATE(B56, ""en"", ""hr"")"),"Osnovni materijal za izradu.")</f>
        <v>Osnovni materijal za izradu.</v>
      </c>
      <c r="M56" s="28"/>
      <c r="N56" s="28"/>
      <c r="O56" s="28"/>
      <c r="P56" s="28"/>
      <c r="Q56" s="28"/>
      <c r="R56" s="28"/>
      <c r="S56" s="28"/>
      <c r="T56" s="28"/>
      <c r="U56" s="28"/>
      <c r="V56" s="28"/>
      <c r="W56" s="28"/>
      <c r="X56" s="28"/>
      <c r="Y56" s="28"/>
      <c r="Z56" s="28"/>
      <c r="AA56" s="28"/>
      <c r="AB56" s="28"/>
    </row>
    <row r="57">
      <c r="A57" s="40" t="s">
        <v>467</v>
      </c>
      <c r="B57" s="22" t="s">
        <v>468</v>
      </c>
      <c r="C57" s="23" t="str">
        <f>IFERROR(__xludf.DUMMYFUNCTION("GOOGLETRANSLATE(B57, ""en"", ""fr"")"),"Coton")</f>
        <v>Coton</v>
      </c>
      <c r="D57" s="23" t="str">
        <f>IFERROR(__xludf.DUMMYFUNCTION("GOOGLETRANSLATE(B57, ""en"", ""es"")"),"Algodón")</f>
        <v>Algodón</v>
      </c>
      <c r="E57" s="23" t="str">
        <f>IFERROR(__xludf.DUMMYFUNCTION("GOOGLETRANSLATE(B57, ""en"", ""ru"")"),"Хлопок")</f>
        <v>Хлопок</v>
      </c>
      <c r="F57" s="23" t="str">
        <f>IFERROR(__xludf.DUMMYFUNCTION("GOOGLETRANSLATE(B57, ""en"", ""tr"")"),"Pamuk")</f>
        <v>Pamuk</v>
      </c>
      <c r="G57" s="23" t="str">
        <f>IFERROR(__xludf.DUMMYFUNCTION("GOOGLETRANSLATE(B57, ""en"", ""pt"")"),"Algodão")</f>
        <v>Algodão</v>
      </c>
      <c r="H57" s="24" t="str">
        <f>IFERROR(__xludf.DUMMYFUNCTION("GOOGLETRANSLATE(B57, ""en"", ""de"")"),"Baumwolle")</f>
        <v>Baumwolle</v>
      </c>
      <c r="I57" s="23" t="str">
        <f>IFERROR(__xludf.DUMMYFUNCTION("GOOGLETRANSLATE(B57, ""en"", ""pl"")"),"Bawełna")</f>
        <v>Bawełna</v>
      </c>
      <c r="J57" s="25" t="str">
        <f>IFERROR(__xludf.DUMMYFUNCTION("GOOGLETRANSLATE(B57, ""en"", ""zh"")"),"棉布")</f>
        <v>棉布</v>
      </c>
      <c r="K57" s="25" t="str">
        <f>IFERROR(__xludf.DUMMYFUNCTION("GOOGLETRANSLATE(B57, ""en"", ""vi"")"),"Bông")</f>
        <v>Bông</v>
      </c>
      <c r="L57" s="26" t="str">
        <f>IFERROR(__xludf.DUMMYFUNCTION("GOOGLETRANSLATE(B57, ""en"", ""hr"")"),"Pamuk")</f>
        <v>Pamuk</v>
      </c>
      <c r="M57" s="28"/>
      <c r="N57" s="28"/>
      <c r="O57" s="28"/>
      <c r="P57" s="28"/>
      <c r="Q57" s="28"/>
      <c r="R57" s="28"/>
      <c r="S57" s="28"/>
      <c r="T57" s="28"/>
      <c r="U57" s="28"/>
      <c r="V57" s="28"/>
      <c r="W57" s="28"/>
      <c r="X57" s="28"/>
      <c r="Y57" s="28"/>
      <c r="Z57" s="28"/>
      <c r="AA57" s="28"/>
      <c r="AB57" s="28"/>
    </row>
    <row r="58">
      <c r="A58" s="40" t="s">
        <v>469</v>
      </c>
      <c r="B58" s="22" t="s">
        <v>470</v>
      </c>
      <c r="C58" s="23" t="str">
        <f>IFERROR(__xludf.DUMMYFUNCTION("GOOGLETRANSLATE(B58, ""en"", ""fr"")"),"Peut être fabriqué dans divers textiles.")</f>
        <v>Peut être fabriqué dans divers textiles.</v>
      </c>
      <c r="D58" s="23" t="str">
        <f>IFERROR(__xludf.DUMMYFUNCTION("GOOGLETRANSLATE(B58, ""en"", ""es"")"),"Se puede crear en varios textiles.")</f>
        <v>Se puede crear en varios textiles.</v>
      </c>
      <c r="E58" s="23" t="str">
        <f>IFERROR(__xludf.DUMMYFUNCTION("GOOGLETRANSLATE(B58, ""en"", ""ru"")"),"Может быть создан в различные текстильные.")</f>
        <v>Может быть создан в различные текстильные.</v>
      </c>
      <c r="F58" s="23" t="str">
        <f>IFERROR(__xludf.DUMMYFUNCTION("GOOGLETRANSLATE(B58, ""en"", ""tr"")"),"Çeşitli tekstillere sokulabilir.")</f>
        <v>Çeşitli tekstillere sokulabilir.</v>
      </c>
      <c r="G58" s="23" t="str">
        <f>IFERROR(__xludf.DUMMYFUNCTION("GOOGLETRANSLATE(B58, ""en"", ""pt"")"),"Pode ser criado em vários têxteis.")</f>
        <v>Pode ser criado em vários têxteis.</v>
      </c>
      <c r="H58" s="24" t="str">
        <f>IFERROR(__xludf.DUMMYFUNCTION("GOOGLETRANSLATE(B58, ""en"", ""de"")"),"Kann in verschiedene Textilien gefertigt werden.")</f>
        <v>Kann in verschiedene Textilien gefertigt werden.</v>
      </c>
      <c r="I58" s="23" t="str">
        <f>IFERROR(__xludf.DUMMYFUNCTION("GOOGLETRANSLATE(B58, ""en"", ""pl"")"),"Może być wykonany do różnych tekstyliów.")</f>
        <v>Może być wykonany do różnych tekstyliów.</v>
      </c>
      <c r="J58" s="25" t="str">
        <f>IFERROR(__xludf.DUMMYFUNCTION("GOOGLETRANSLATE(B58, ""en"", ""zh"")"),"可以制作成各种纺织品。")</f>
        <v>可以制作成各种纺织品。</v>
      </c>
      <c r="K58" s="25" t="str">
        <f>IFERROR(__xludf.DUMMYFUNCTION("GOOGLETRANSLATE(B58, ""en"", ""vi"")"),"Có thể được chế tạo thành nhiều hàng dệt may khác nhau.")</f>
        <v>Có thể được chế tạo thành nhiều hàng dệt may khác nhau.</v>
      </c>
      <c r="L58" s="26" t="str">
        <f>IFERROR(__xludf.DUMMYFUNCTION("GOOGLETRANSLATE(B58, ""en"", ""hr"")"),"Može se izraditi u razne tekstil.")</f>
        <v>Može se izraditi u razne tekstil.</v>
      </c>
      <c r="M58" s="28"/>
      <c r="N58" s="28"/>
      <c r="O58" s="28"/>
      <c r="P58" s="28"/>
      <c r="Q58" s="28"/>
      <c r="R58" s="28"/>
      <c r="S58" s="28"/>
      <c r="T58" s="28"/>
      <c r="U58" s="28"/>
      <c r="V58" s="28"/>
      <c r="W58" s="28"/>
      <c r="X58" s="28"/>
      <c r="Y58" s="28"/>
      <c r="Z58" s="28"/>
      <c r="AA58" s="28"/>
      <c r="AB58" s="28"/>
    </row>
    <row r="59">
      <c r="A59" s="40" t="s">
        <v>471</v>
      </c>
      <c r="B59" s="22" t="s">
        <v>472</v>
      </c>
      <c r="C59" s="23" t="str">
        <f>IFERROR(__xludf.DUMMYFUNCTION("GOOGLETRANSLATE(B59, ""en"", ""fr"")"),"Chaîne de caractères")</f>
        <v>Chaîne de caractères</v>
      </c>
      <c r="D59" s="23" t="str">
        <f>IFERROR(__xludf.DUMMYFUNCTION("GOOGLETRANSLATE(B59, ""en"", ""es"")"),"Cuerda")</f>
        <v>Cuerda</v>
      </c>
      <c r="E59" s="23" t="str">
        <f>IFERROR(__xludf.DUMMYFUNCTION("GOOGLETRANSLATE(B59, ""en"", ""ru"")"),"Нить")</f>
        <v>Нить</v>
      </c>
      <c r="F59" s="23" t="str">
        <f>IFERROR(__xludf.DUMMYFUNCTION("GOOGLETRANSLATE(B59, ""en"", ""tr"")"),"Sicim")</f>
        <v>Sicim</v>
      </c>
      <c r="G59" s="23" t="str">
        <f>IFERROR(__xludf.DUMMYFUNCTION("GOOGLETRANSLATE(B59, ""en"", ""pt"")"),"Fragmento")</f>
        <v>Fragmento</v>
      </c>
      <c r="H59" s="24" t="str">
        <f>IFERROR(__xludf.DUMMYFUNCTION("GOOGLETRANSLATE(B59, ""en"", ""de"")"),"String")</f>
        <v>String</v>
      </c>
      <c r="I59" s="23" t="str">
        <f>IFERROR(__xludf.DUMMYFUNCTION("GOOGLETRANSLATE(B59, ""en"", ""pl"")"),"Strunowy")</f>
        <v>Strunowy</v>
      </c>
      <c r="J59" s="25" t="str">
        <f>IFERROR(__xludf.DUMMYFUNCTION("GOOGLETRANSLATE(B59, ""en"", ""zh"")"),"细绳")</f>
        <v>细绳</v>
      </c>
      <c r="K59" s="25" t="str">
        <f>IFERROR(__xludf.DUMMYFUNCTION("GOOGLETRANSLATE(B59, ""en"", ""vi"")"),"Dây")</f>
        <v>Dây</v>
      </c>
      <c r="L59" s="26" t="str">
        <f>IFERROR(__xludf.DUMMYFUNCTION("GOOGLETRANSLATE(B59, ""en"", ""hr"")"),"Niz")</f>
        <v>Niz</v>
      </c>
      <c r="M59" s="28"/>
      <c r="N59" s="28"/>
      <c r="O59" s="28"/>
      <c r="P59" s="28"/>
      <c r="Q59" s="28"/>
      <c r="R59" s="28"/>
      <c r="S59" s="28"/>
      <c r="T59" s="28"/>
      <c r="U59" s="28"/>
      <c r="V59" s="28"/>
      <c r="W59" s="28"/>
      <c r="X59" s="28"/>
      <c r="Y59" s="28"/>
      <c r="Z59" s="28"/>
      <c r="AA59" s="28"/>
      <c r="AB59" s="28"/>
    </row>
    <row r="60">
      <c r="A60" s="40" t="s">
        <v>473</v>
      </c>
      <c r="B60" s="22" t="s">
        <v>474</v>
      </c>
      <c r="C60" s="23" t="str">
        <f>IFERROR(__xludf.DUMMYFUNCTION("GOOGLETRANSLATE(B60, ""en"", ""fr"")"),"Utilisé pour fabriquer des arcs et des pièges.")</f>
        <v>Utilisé pour fabriquer des arcs et des pièges.</v>
      </c>
      <c r="D60" s="23" t="str">
        <f>IFERROR(__xludf.DUMMYFUNCTION("GOOGLETRANSLATE(B60, ""en"", ""es"")"),"Se utiliza para elaborar arcos y trampas.")</f>
        <v>Se utiliza para elaborar arcos y trampas.</v>
      </c>
      <c r="E60" s="23" t="str">
        <f>IFERROR(__xludf.DUMMYFUNCTION("GOOGLETRANSLATE(B60, ""en"", ""ru"")"),"Используется для ремесла бантов и ловушек.")</f>
        <v>Используется для ремесла бантов и ловушек.</v>
      </c>
      <c r="F60" s="23" t="str">
        <f>IFERROR(__xludf.DUMMYFUNCTION("GOOGLETRANSLATE(B60, ""en"", ""tr"")"),"Yay ve tuzakları zanaat etmek için kullanılır.")</f>
        <v>Yay ve tuzakları zanaat etmek için kullanılır.</v>
      </c>
      <c r="G60" s="23" t="str">
        <f>IFERROR(__xludf.DUMMYFUNCTION("GOOGLETRANSLATE(B60, ""en"", ""pt"")"),"Usado para criar arcos e armadilhas.")</f>
        <v>Usado para criar arcos e armadilhas.</v>
      </c>
      <c r="H60" s="24" t="str">
        <f>IFERROR(__xludf.DUMMYFUNCTION("GOOGLETRANSLATE(B60, ""en"", ""de"")"),"Verwendet, um Bögen und Fallen herzustellen.")</f>
        <v>Verwendet, um Bögen und Fallen herzustellen.</v>
      </c>
      <c r="I60" s="23" t="str">
        <f>IFERROR(__xludf.DUMMYFUNCTION("GOOGLETRANSLATE(B60, ""en"", ""pl"")"),"Używane do rzemiosła łuków i pułapek.")</f>
        <v>Używane do rzemiosła łuków i pułapek.</v>
      </c>
      <c r="J60" s="25" t="str">
        <f>IFERROR(__xludf.DUMMYFUNCTION("GOOGLETRANSLATE(B60, ""en"", ""zh"")"),"用于制作弓箭和陷阱。")</f>
        <v>用于制作弓箭和陷阱。</v>
      </c>
      <c r="K60" s="25" t="str">
        <f>IFERROR(__xludf.DUMMYFUNCTION("GOOGLETRANSLATE(B60, ""en"", ""vi"")"),"Được sử dụng để thủ công cung và bẫy.")</f>
        <v>Được sử dụng để thủ công cung và bẫy.</v>
      </c>
      <c r="L60" s="26" t="str">
        <f>IFERROR(__xludf.DUMMYFUNCTION("GOOGLETRANSLATE(B60, ""en"", ""hr"")"),"Koristi se za obrt lukove i zamke.")</f>
        <v>Koristi se za obrt lukove i zamke.</v>
      </c>
      <c r="M60" s="28"/>
      <c r="N60" s="28"/>
      <c r="O60" s="28"/>
      <c r="P60" s="28"/>
      <c r="Q60" s="28"/>
      <c r="R60" s="28"/>
      <c r="S60" s="28"/>
      <c r="T60" s="28"/>
      <c r="U60" s="28"/>
      <c r="V60" s="28"/>
      <c r="W60" s="28"/>
      <c r="X60" s="28"/>
      <c r="Y60" s="28"/>
      <c r="Z60" s="28"/>
      <c r="AA60" s="28"/>
      <c r="AB60" s="28"/>
    </row>
    <row r="61">
      <c r="A61" s="40" t="s">
        <v>475</v>
      </c>
      <c r="B61" s="22" t="s">
        <v>476</v>
      </c>
      <c r="C61" s="23" t="str">
        <f>IFERROR(__xludf.DUMMYFUNCTION("GOOGLETRANSLATE(B61, ""en"", ""fr"")"),"en tissu")</f>
        <v>en tissu</v>
      </c>
      <c r="D61" s="23" t="str">
        <f>IFERROR(__xludf.DUMMYFUNCTION("GOOGLETRANSLATE(B61, ""en"", ""es"")"),"Tela")</f>
        <v>Tela</v>
      </c>
      <c r="E61" s="23" t="str">
        <f>IFERROR(__xludf.DUMMYFUNCTION("GOOGLETRANSLATE(B61, ""en"", ""ru"")"),"Ткань")</f>
        <v>Ткань</v>
      </c>
      <c r="F61" s="23" t="str">
        <f>IFERROR(__xludf.DUMMYFUNCTION("GOOGLETRANSLATE(B61, ""en"", ""tr"")"),"Kumaş")</f>
        <v>Kumaş</v>
      </c>
      <c r="G61" s="23" t="str">
        <f>IFERROR(__xludf.DUMMYFUNCTION("GOOGLETRANSLATE(B61, ""en"", ""pt"")"),"Tecido")</f>
        <v>Tecido</v>
      </c>
      <c r="H61" s="24" t="str">
        <f>IFERROR(__xludf.DUMMYFUNCTION("GOOGLETRANSLATE(B61, ""en"", ""de"")"),"Stoff")</f>
        <v>Stoff</v>
      </c>
      <c r="I61" s="23" t="str">
        <f>IFERROR(__xludf.DUMMYFUNCTION("GOOGLETRANSLATE(B61, ""en"", ""pl"")"),"Tkanina")</f>
        <v>Tkanina</v>
      </c>
      <c r="J61" s="25" t="str">
        <f>IFERROR(__xludf.DUMMYFUNCTION("GOOGLETRANSLATE(B61, ""en"", ""zh"")"),"织物")</f>
        <v>织物</v>
      </c>
      <c r="K61" s="25" t="str">
        <f>IFERROR(__xludf.DUMMYFUNCTION("GOOGLETRANSLATE(B61, ""en"", ""vi"")"),"Sợi vải")</f>
        <v>Sợi vải</v>
      </c>
      <c r="L61" s="26" t="str">
        <f>IFERROR(__xludf.DUMMYFUNCTION("GOOGLETRANSLATE(B61, ""en"", ""hr"")"),"Tkanina")</f>
        <v>Tkanina</v>
      </c>
      <c r="M61" s="28"/>
      <c r="N61" s="28"/>
      <c r="O61" s="28"/>
      <c r="P61" s="28"/>
      <c r="Q61" s="28"/>
      <c r="R61" s="28"/>
      <c r="S61" s="28"/>
      <c r="T61" s="28"/>
      <c r="U61" s="28"/>
      <c r="V61" s="28"/>
      <c r="W61" s="28"/>
      <c r="X61" s="28"/>
      <c r="Y61" s="28"/>
      <c r="Z61" s="28"/>
      <c r="AA61" s="28"/>
      <c r="AB61" s="28"/>
    </row>
    <row r="62">
      <c r="A62" s="40" t="s">
        <v>477</v>
      </c>
      <c r="B62" s="22" t="s">
        <v>478</v>
      </c>
      <c r="C62" s="23" t="str">
        <f>IFERROR(__xludf.DUMMYFUNCTION("GOOGLETRANSLATE(B62, ""en"", ""fr"")"),"Peut être fabriqué dans des vêtements.")</f>
        <v>Peut être fabriqué dans des vêtements.</v>
      </c>
      <c r="D62" s="23" t="str">
        <f>IFERROR(__xludf.DUMMYFUNCTION("GOOGLETRANSLATE(B62, ""en"", ""es"")"),"Puede ser elaborado en ropa.")</f>
        <v>Puede ser elaborado en ropa.</v>
      </c>
      <c r="E62" s="23" t="str">
        <f>IFERROR(__xludf.DUMMYFUNCTION("GOOGLETRANSLATE(B62, ""en"", ""ru"")"),"Может быть создан в одежду.")</f>
        <v>Может быть создан в одежду.</v>
      </c>
      <c r="F62" s="23" t="str">
        <f>IFERROR(__xludf.DUMMYFUNCTION("GOOGLETRANSLATE(B62, ""en"", ""tr"")"),"Kıyafetlere sokulabilir.")</f>
        <v>Kıyafetlere sokulabilir.</v>
      </c>
      <c r="G62" s="23" t="str">
        <f>IFERROR(__xludf.DUMMYFUNCTION("GOOGLETRANSLATE(B62, ""en"", ""pt"")"),"Pode ser criado em roupas.")</f>
        <v>Pode ser criado em roupas.</v>
      </c>
      <c r="H62" s="24" t="str">
        <f>IFERROR(__xludf.DUMMYFUNCTION("GOOGLETRANSLATE(B62, ""en"", ""de"")"),"Kann in Kleidung gefertigt werden.")</f>
        <v>Kann in Kleidung gefertigt werden.</v>
      </c>
      <c r="I62" s="23" t="str">
        <f>IFERROR(__xludf.DUMMYFUNCTION("GOOGLETRANSLATE(B62, ""en"", ""pl"")"),"Może być wykonany do odzieży.")</f>
        <v>Może być wykonany do odzieży.</v>
      </c>
      <c r="J62" s="25" t="str">
        <f>IFERROR(__xludf.DUMMYFUNCTION("GOOGLETRANSLATE(B62, ""en"", ""zh"")"),"可以精制成衣服。")</f>
        <v>可以精制成衣服。</v>
      </c>
      <c r="K62" s="25" t="str">
        <f>IFERROR(__xludf.DUMMYFUNCTION("GOOGLETRANSLATE(B62, ""en"", ""vi"")"),"Có thể được chế tạo thành quần áo.")</f>
        <v>Có thể được chế tạo thành quần áo.</v>
      </c>
      <c r="L62" s="26" t="str">
        <f>IFERROR(__xludf.DUMMYFUNCTION("GOOGLETRANSLATE(B62, ""en"", ""hr"")"),"Može se izraditi u odjeću.")</f>
        <v>Može se izraditi u odjeću.</v>
      </c>
      <c r="M62" s="28"/>
      <c r="N62" s="28"/>
      <c r="O62" s="28"/>
      <c r="P62" s="28"/>
      <c r="Q62" s="28"/>
      <c r="R62" s="28"/>
      <c r="S62" s="28"/>
      <c r="T62" s="28"/>
      <c r="U62" s="28"/>
      <c r="V62" s="28"/>
      <c r="W62" s="28"/>
      <c r="X62" s="28"/>
      <c r="Y62" s="28"/>
      <c r="Z62" s="28"/>
      <c r="AA62" s="28"/>
      <c r="AB62" s="28"/>
    </row>
    <row r="63">
      <c r="A63" s="40" t="s">
        <v>479</v>
      </c>
      <c r="B63" s="22" t="s">
        <v>480</v>
      </c>
      <c r="C63" s="23" t="str">
        <f>IFERROR(__xludf.DUMMYFUNCTION("GOOGLETRANSLATE(B63, ""en"", ""fr"")"),"Plumes")</f>
        <v>Plumes</v>
      </c>
      <c r="D63" s="23" t="str">
        <f>IFERROR(__xludf.DUMMYFUNCTION("GOOGLETRANSLATE(B63, ""en"", ""es"")"),"Plumas")</f>
        <v>Plumas</v>
      </c>
      <c r="E63" s="23" t="str">
        <f>IFERROR(__xludf.DUMMYFUNCTION("GOOGLETRANSLATE(B63, ""en"", ""ru"")"),"Перья")</f>
        <v>Перья</v>
      </c>
      <c r="F63" s="23" t="str">
        <f>IFERROR(__xludf.DUMMYFUNCTION("GOOGLETRANSLATE(B63, ""en"", ""tr"")"),"Tüyler")</f>
        <v>Tüyler</v>
      </c>
      <c r="G63" s="23" t="str">
        <f>IFERROR(__xludf.DUMMYFUNCTION("GOOGLETRANSLATE(B63, ""en"", ""pt"")"),"Penas")</f>
        <v>Penas</v>
      </c>
      <c r="H63" s="24" t="str">
        <f>IFERROR(__xludf.DUMMYFUNCTION("GOOGLETRANSLATE(B63, ""en"", ""de"")"),"Gefieder")</f>
        <v>Gefieder</v>
      </c>
      <c r="I63" s="23" t="str">
        <f>IFERROR(__xludf.DUMMYFUNCTION("GOOGLETRANSLATE(B63, ""en"", ""pl"")"),"Pióra")</f>
        <v>Pióra</v>
      </c>
      <c r="J63" s="25" t="str">
        <f>IFERROR(__xludf.DUMMYFUNCTION("GOOGLETRANSLATE(B63, ""en"", ""zh"")"),"羽毛")</f>
        <v>羽毛</v>
      </c>
      <c r="K63" s="25" t="str">
        <f>IFERROR(__xludf.DUMMYFUNCTION("GOOGLETRANSLATE(B63, ""en"", ""vi"")"),"Lông vũ")</f>
        <v>Lông vũ</v>
      </c>
      <c r="L63" s="26" t="str">
        <f>IFERROR(__xludf.DUMMYFUNCTION("GOOGLETRANSLATE(B63, ""en"", ""hr"")"),"Perje")</f>
        <v>Perje</v>
      </c>
      <c r="M63" s="28"/>
      <c r="N63" s="28"/>
      <c r="O63" s="28"/>
      <c r="P63" s="28"/>
      <c r="Q63" s="28"/>
      <c r="R63" s="28"/>
      <c r="S63" s="28"/>
      <c r="T63" s="28"/>
      <c r="U63" s="28"/>
      <c r="V63" s="28"/>
      <c r="W63" s="28"/>
      <c r="X63" s="28"/>
      <c r="Y63" s="28"/>
      <c r="Z63" s="28"/>
      <c r="AA63" s="28"/>
      <c r="AB63" s="28"/>
    </row>
    <row r="64">
      <c r="A64" s="40" t="s">
        <v>481</v>
      </c>
      <c r="B64" s="22" t="s">
        <v>482</v>
      </c>
      <c r="C64" s="23" t="str">
        <f>IFERROR(__xludf.DUMMYFUNCTION("GOOGLETRANSLATE(B64, ""en"", ""fr"")"),"Peut être fabriqué dans des flèches.")</f>
        <v>Peut être fabriqué dans des flèches.</v>
      </c>
      <c r="D64" s="23" t="str">
        <f>IFERROR(__xludf.DUMMYFUNCTION("GOOGLETRANSLATE(B64, ""en"", ""es"")"),"Se puede crear en flechas.")</f>
        <v>Se puede crear en flechas.</v>
      </c>
      <c r="E64" s="23" t="str">
        <f>IFERROR(__xludf.DUMMYFUNCTION("GOOGLETRANSLATE(B64, ""en"", ""ru"")"),"Может быть создан в стрелки.")</f>
        <v>Может быть создан в стрелки.</v>
      </c>
      <c r="F64" s="23" t="str">
        <f>IFERROR(__xludf.DUMMYFUNCTION("GOOGLETRANSLATE(B64, ""en"", ""tr"")"),"Oklara sokulabilir.")</f>
        <v>Oklara sokulabilir.</v>
      </c>
      <c r="G64" s="23" t="str">
        <f>IFERROR(__xludf.DUMMYFUNCTION("GOOGLETRANSLATE(B64, ""en"", ""pt"")"),"Pode ser trabalhado em flechas.")</f>
        <v>Pode ser trabalhado em flechas.</v>
      </c>
      <c r="H64" s="24" t="str">
        <f>IFERROR(__xludf.DUMMYFUNCTION("GOOGLETRANSLATE(B64, ""en"", ""de"")"),"Kann in Pfeile gefertigt werden.")</f>
        <v>Kann in Pfeile gefertigt werden.</v>
      </c>
      <c r="I64" s="23" t="str">
        <f>IFERROR(__xludf.DUMMYFUNCTION("GOOGLETRANSLATE(B64, ""en"", ""pl"")"),"Może być wykonany na strzałki.")</f>
        <v>Może być wykonany na strzałki.</v>
      </c>
      <c r="J64" s="25" t="str">
        <f>IFERROR(__xludf.DUMMYFUNCTION("GOOGLETRANSLATE(B64, ""en"", ""zh"")"),"可以制作到箭头中。")</f>
        <v>可以制作到箭头中。</v>
      </c>
      <c r="K64" s="25" t="str">
        <f>IFERROR(__xludf.DUMMYFUNCTION("GOOGLETRANSLATE(B64, ""en"", ""vi"")"),"Có thể được chế tạo thành mũi tên.")</f>
        <v>Có thể được chế tạo thành mũi tên.</v>
      </c>
      <c r="L64" s="26" t="str">
        <f>IFERROR(__xludf.DUMMYFUNCTION("GOOGLETRANSLATE(B64, ""en"", ""hr"")"),"Može se izraditi u strelice.")</f>
        <v>Može se izraditi u strelice.</v>
      </c>
      <c r="M64" s="28"/>
      <c r="N64" s="28"/>
      <c r="O64" s="28"/>
      <c r="P64" s="28"/>
      <c r="Q64" s="28"/>
      <c r="R64" s="28"/>
      <c r="S64" s="28"/>
      <c r="T64" s="28"/>
      <c r="U64" s="28"/>
      <c r="V64" s="28"/>
      <c r="W64" s="28"/>
      <c r="X64" s="28"/>
      <c r="Y64" s="28"/>
      <c r="Z64" s="28"/>
      <c r="AA64" s="28"/>
      <c r="AB64" s="28"/>
    </row>
    <row r="65">
      <c r="A65" s="41" t="s">
        <v>483</v>
      </c>
      <c r="B65" s="22" t="s">
        <v>484</v>
      </c>
      <c r="C65" s="23" t="str">
        <f>IFERROR(__xludf.DUMMYFUNCTION("GOOGLETRANSLATE(B65, ""en"", ""fr"")"),"Une casquette rouge")</f>
        <v>Une casquette rouge</v>
      </c>
      <c r="D65" s="23" t="str">
        <f>IFERROR(__xludf.DUMMYFUNCTION("GOOGLETRANSLATE(B65, ""en"", ""es"")"),"Gorra roja")</f>
        <v>Gorra roja</v>
      </c>
      <c r="E65" s="23" t="str">
        <f>IFERROR(__xludf.DUMMYFUNCTION("GOOGLETRANSLATE(B65, ""en"", ""ru"")"),"Красная Шапка")</f>
        <v>Красная Шапка</v>
      </c>
      <c r="F65" s="23" t="str">
        <f>IFERROR(__xludf.DUMMYFUNCTION("GOOGLETRANSLATE(B65, ""en"", ""tr"")"),"Kırmızı şapka")</f>
        <v>Kırmızı şapka</v>
      </c>
      <c r="G65" s="23" t="str">
        <f>IFERROR(__xludf.DUMMYFUNCTION("GOOGLETRANSLATE(B65, ""en"", ""pt"")"),"Boné vermelho")</f>
        <v>Boné vermelho</v>
      </c>
      <c r="H65" s="24" t="str">
        <f>IFERROR(__xludf.DUMMYFUNCTION("GOOGLETRANSLATE(B65, ""en"", ""de"")"),"Rote Mütze")</f>
        <v>Rote Mütze</v>
      </c>
      <c r="I65" s="23" t="str">
        <f>IFERROR(__xludf.DUMMYFUNCTION("GOOGLETRANSLATE(B65, ""en"", ""pl"")"),"Czerwona czapka")</f>
        <v>Czerwona czapka</v>
      </c>
      <c r="J65" s="25" t="str">
        <f>IFERROR(__xludf.DUMMYFUNCTION("GOOGLETRANSLATE(B65, ""en"", ""zh"")"),"红帽")</f>
        <v>红帽</v>
      </c>
      <c r="K65" s="25" t="str">
        <f>IFERROR(__xludf.DUMMYFUNCTION("GOOGLETRANSLATE(B65, ""en"", ""vi"")"),"Nắp màu đỏ")</f>
        <v>Nắp màu đỏ</v>
      </c>
      <c r="L65" s="26" t="str">
        <f>IFERROR(__xludf.DUMMYFUNCTION("GOOGLETRANSLATE(B65, ""en"", ""hr"")"),"Crvena kapa")</f>
        <v>Crvena kapa</v>
      </c>
      <c r="M65" s="28"/>
      <c r="N65" s="28"/>
      <c r="O65" s="28"/>
      <c r="P65" s="28"/>
      <c r="Q65" s="28"/>
      <c r="R65" s="28"/>
      <c r="S65" s="28"/>
      <c r="T65" s="28"/>
      <c r="U65" s="28"/>
      <c r="V65" s="28"/>
      <c r="W65" s="28"/>
      <c r="X65" s="28"/>
      <c r="Y65" s="28"/>
      <c r="Z65" s="28"/>
      <c r="AA65" s="28"/>
      <c r="AB65" s="28"/>
    </row>
    <row r="66">
      <c r="A66" s="41" t="s">
        <v>485</v>
      </c>
      <c r="B66" s="22" t="s">
        <v>486</v>
      </c>
      <c r="C66" s="23" t="str">
        <f>IFERROR(__xludf.DUMMYFUNCTION("GOOGLETRANSLATE(B66, ""en"", ""fr"")"),"Peut être mangé ou fabriqué dans une potion pour un effet plus fort.")</f>
        <v>Peut être mangé ou fabriqué dans une potion pour un effet plus fort.</v>
      </c>
      <c r="D66" s="23" t="str">
        <f>IFERROR(__xludf.DUMMYFUNCTION("GOOGLETRANSLATE(B66, ""en"", ""es"")"),"Se puede comer, o diseñado en una poción para un efecto más fuerte.")</f>
        <v>Se puede comer, o diseñado en una poción para un efecto más fuerte.</v>
      </c>
      <c r="E66" s="23" t="str">
        <f>IFERROR(__xludf.DUMMYFUNCTION("GOOGLETRANSLATE(B66, ""en"", ""ru"")"),"Можно съесть или изготовлено в зелье для более сильного эффекта.")</f>
        <v>Можно съесть или изготовлено в зелье для более сильного эффекта.</v>
      </c>
      <c r="F66" s="23" t="str">
        <f>IFERROR(__xludf.DUMMYFUNCTION("GOOGLETRANSLATE(B66, ""en"", ""tr"")"),"Yenilebilir veya daha güçlü bir etki için bir iksir haline getirilebilir.")</f>
        <v>Yenilebilir veya daha güçlü bir etki için bir iksir haline getirilebilir.</v>
      </c>
      <c r="G66" s="23" t="str">
        <f>IFERROR(__xludf.DUMMYFUNCTION("GOOGLETRANSLATE(B66, ""en"", ""pt"")"),"Pode ser comido, ou trabalhado em uma poção por um efeito mais forte.")</f>
        <v>Pode ser comido, ou trabalhado em uma poção por um efeito mais forte.</v>
      </c>
      <c r="H66" s="24" t="str">
        <f>IFERROR(__xludf.DUMMYFUNCTION("GOOGLETRANSLATE(B66, ""en"", ""de"")"),"Kann gegessen oder in einen Trank für einen stärkeren Effekt gefertigt werden.")</f>
        <v>Kann gegessen oder in einen Trank für einen stärkeren Effekt gefertigt werden.</v>
      </c>
      <c r="I66" s="23" t="str">
        <f>IFERROR(__xludf.DUMMYFUNCTION("GOOGLETRANSLATE(B66, ""en"", ""pl"")"),"Może być zjedzony lub wykonany w eliksie dla silniejszego efektu.")</f>
        <v>Może być zjedzony lub wykonany w eliksie dla silniejszego efektu.</v>
      </c>
      <c r="J66" s="25" t="str">
        <f>IFERROR(__xludf.DUMMYFUNCTION("GOOGLETRANSLATE(B66, ""en"", ""zh"")"),"可以被吃掉，或制作成一个效果的药水。")</f>
        <v>可以被吃掉，或制作成一个效果的药水。</v>
      </c>
      <c r="K66" s="25" t="str">
        <f>IFERROR(__xludf.DUMMYFUNCTION("GOOGLETRANSLATE(B66, ""en"", ""vi"")"),"Có thể được ăn, hoặc được chế tạo thành một lọ thuốc cho một hiệu ứng mạnh mẽ hơn.")</f>
        <v>Có thể được ăn, hoặc được chế tạo thành một lọ thuốc cho một hiệu ứng mạnh mẽ hơn.</v>
      </c>
      <c r="L66" s="26" t="str">
        <f>IFERROR(__xludf.DUMMYFUNCTION("GOOGLETRANSLATE(B66, ""en"", ""hr"")"),"Može se jesti ili izraditi u napitak za jači učinak.")</f>
        <v>Može se jesti ili izraditi u napitak za jači učinak.</v>
      </c>
      <c r="M66" s="28"/>
      <c r="N66" s="28"/>
      <c r="O66" s="28"/>
      <c r="P66" s="28"/>
      <c r="Q66" s="28"/>
      <c r="R66" s="28"/>
      <c r="S66" s="28"/>
      <c r="T66" s="28"/>
      <c r="U66" s="28"/>
      <c r="V66" s="28"/>
      <c r="W66" s="28"/>
      <c r="X66" s="28"/>
      <c r="Y66" s="28"/>
      <c r="Z66" s="28"/>
      <c r="AA66" s="28"/>
      <c r="AB66" s="28"/>
    </row>
    <row r="67">
      <c r="A67" s="41" t="s">
        <v>487</v>
      </c>
      <c r="B67" s="22" t="s">
        <v>488</v>
      </c>
      <c r="C67" s="23" t="str">
        <f>IFERROR(__xludf.DUMMYFUNCTION("GOOGLETRANSLATE(B67, ""en"", ""fr"")"),"Grécap")</f>
        <v>Grécap</v>
      </c>
      <c r="D67" s="23" t="str">
        <f>IFERROR(__xludf.DUMMYFUNCTION("GOOGLETRANSLATE(B67, ""en"", ""es"")"),"Gorra verde")</f>
        <v>Gorra verde</v>
      </c>
      <c r="E67" s="23" t="str">
        <f>IFERROR(__xludf.DUMMYFUNCTION("GOOGLETRANSLATE(B67, ""en"", ""ru"")"),"Греансап")</f>
        <v>Греансап</v>
      </c>
      <c r="F67" s="23" t="str">
        <f>IFERROR(__xludf.DUMMYFUNCTION("GOOGLETRANSLATE(B67, ""en"", ""tr"")"),"Greencap")</f>
        <v>Greencap</v>
      </c>
      <c r="G67" s="23" t="str">
        <f>IFERROR(__xludf.DUMMYFUNCTION("GOOGLETRANSLATE(B67, ""en"", ""pt"")"),"Greencap.")</f>
        <v>Greencap.</v>
      </c>
      <c r="H67" s="24" t="str">
        <f>IFERROR(__xludf.DUMMYFUNCTION("GOOGLETRANSLATE(B67, ""en"", ""de"")"),"Greencap")</f>
        <v>Greencap</v>
      </c>
      <c r="I67" s="23" t="str">
        <f>IFERROR(__xludf.DUMMYFUNCTION("GOOGLETRANSLATE(B67, ""en"", ""pl"")"),"Greencap.")</f>
        <v>Greencap.</v>
      </c>
      <c r="J67" s="25" t="str">
        <f>IFERROR(__xludf.DUMMYFUNCTION("GOOGLETRANSLATE(B67, ""en"", ""zh"")"),"绿色娇")</f>
        <v>绿色娇</v>
      </c>
      <c r="K67" s="25" t="str">
        <f>IFERROR(__xludf.DUMMYFUNCTION("GOOGLETRANSLATE(B67, ""en"", ""vi"")"),"Chiếc mũ xanh")</f>
        <v>Chiếc mũ xanh</v>
      </c>
      <c r="L67" s="26" t="str">
        <f>IFERROR(__xludf.DUMMYFUNCTION("GOOGLETRANSLATE(B67, ""en"", ""hr"")"),"Greenkap")</f>
        <v>Greenkap</v>
      </c>
      <c r="M67" s="28"/>
      <c r="N67" s="28"/>
      <c r="O67" s="28"/>
      <c r="P67" s="28"/>
      <c r="Q67" s="28"/>
      <c r="R67" s="28"/>
      <c r="S67" s="28"/>
      <c r="T67" s="28"/>
      <c r="U67" s="28"/>
      <c r="V67" s="28"/>
      <c r="W67" s="28"/>
      <c r="X67" s="28"/>
      <c r="Y67" s="28"/>
      <c r="Z67" s="28"/>
      <c r="AA67" s="28"/>
      <c r="AB67" s="28"/>
    </row>
    <row r="68">
      <c r="A68" s="41" t="s">
        <v>489</v>
      </c>
      <c r="B68" s="22" t="s">
        <v>486</v>
      </c>
      <c r="C68" s="23" t="str">
        <f>IFERROR(__xludf.DUMMYFUNCTION("GOOGLETRANSLATE(B68, ""en"", ""fr"")"),"Peut être mangé ou fabriqué dans une potion pour un effet plus fort.")</f>
        <v>Peut être mangé ou fabriqué dans une potion pour un effet plus fort.</v>
      </c>
      <c r="D68" s="23" t="str">
        <f>IFERROR(__xludf.DUMMYFUNCTION("GOOGLETRANSLATE(B68, ""en"", ""es"")"),"Se puede comer, o diseñado en una poción para un efecto más fuerte.")</f>
        <v>Se puede comer, o diseñado en una poción para un efecto más fuerte.</v>
      </c>
      <c r="E68" s="23" t="str">
        <f>IFERROR(__xludf.DUMMYFUNCTION("GOOGLETRANSLATE(B68, ""en"", ""ru"")"),"Можно съесть или изготовлено в зелье для более сильного эффекта.")</f>
        <v>Можно съесть или изготовлено в зелье для более сильного эффекта.</v>
      </c>
      <c r="F68" s="23" t="str">
        <f>IFERROR(__xludf.DUMMYFUNCTION("GOOGLETRANSLATE(B68, ""en"", ""tr"")"),"Yenilebilir veya daha güçlü bir etki için bir iksir haline getirilebilir.")</f>
        <v>Yenilebilir veya daha güçlü bir etki için bir iksir haline getirilebilir.</v>
      </c>
      <c r="G68" s="23" t="str">
        <f>IFERROR(__xludf.DUMMYFUNCTION("GOOGLETRANSLATE(B68, ""en"", ""pt"")"),"Pode ser comido, ou trabalhado em uma poção por um efeito mais forte.")</f>
        <v>Pode ser comido, ou trabalhado em uma poção por um efeito mais forte.</v>
      </c>
      <c r="H68" s="24" t="str">
        <f>IFERROR(__xludf.DUMMYFUNCTION("GOOGLETRANSLATE(B68, ""en"", ""de"")"),"Kann gegessen oder in einen Trank für einen stärkeren Effekt gefertigt werden.")</f>
        <v>Kann gegessen oder in einen Trank für einen stärkeren Effekt gefertigt werden.</v>
      </c>
      <c r="I68" s="23" t="str">
        <f>IFERROR(__xludf.DUMMYFUNCTION("GOOGLETRANSLATE(B68, ""en"", ""pl"")"),"Może być zjedzony lub wykonany w eliksie dla silniejszego efektu.")</f>
        <v>Może być zjedzony lub wykonany w eliksie dla silniejszego efektu.</v>
      </c>
      <c r="J68" s="25" t="str">
        <f>IFERROR(__xludf.DUMMYFUNCTION("GOOGLETRANSLATE(B68, ""en"", ""zh"")"),"可以被吃掉，或制作成一个效果的药水。")</f>
        <v>可以被吃掉，或制作成一个效果的药水。</v>
      </c>
      <c r="K68" s="25" t="str">
        <f>IFERROR(__xludf.DUMMYFUNCTION("GOOGLETRANSLATE(B68, ""en"", ""vi"")"),"Có thể được ăn, hoặc được chế tạo thành một lọ thuốc cho một hiệu ứng mạnh mẽ hơn.")</f>
        <v>Có thể được ăn, hoặc được chế tạo thành một lọ thuốc cho một hiệu ứng mạnh mẽ hơn.</v>
      </c>
      <c r="L68" s="26" t="str">
        <f>IFERROR(__xludf.DUMMYFUNCTION("GOOGLETRANSLATE(B68, ""en"", ""hr"")"),"Može se jesti ili izraditi u napitak za jači učinak.")</f>
        <v>Može se jesti ili izraditi u napitak za jači učinak.</v>
      </c>
      <c r="M68" s="28"/>
      <c r="N68" s="28"/>
      <c r="O68" s="28"/>
      <c r="P68" s="28"/>
      <c r="Q68" s="28"/>
      <c r="R68" s="28"/>
      <c r="S68" s="28"/>
      <c r="T68" s="28"/>
      <c r="U68" s="28"/>
      <c r="V68" s="28"/>
      <c r="W68" s="28"/>
      <c r="X68" s="28"/>
      <c r="Y68" s="28"/>
      <c r="Z68" s="28"/>
      <c r="AA68" s="28"/>
      <c r="AB68" s="28"/>
    </row>
    <row r="69">
      <c r="A69" s="41" t="s">
        <v>490</v>
      </c>
      <c r="B69" s="22" t="s">
        <v>491</v>
      </c>
      <c r="C69" s="23" t="str">
        <f>IFERROR(__xludf.DUMMYFUNCTION("GOOGLETRANSLATE(B69, ""en"", ""fr"")"),"Casquette bleue")</f>
        <v>Casquette bleue</v>
      </c>
      <c r="D69" s="23" t="str">
        <f>IFERROR(__xludf.DUMMYFUNCTION("GOOGLETRANSLATE(B69, ""en"", ""es"")"),"Gorra azul")</f>
        <v>Gorra azul</v>
      </c>
      <c r="E69" s="23" t="str">
        <f>IFERROR(__xludf.DUMMYFUNCTION("GOOGLETRANSLATE(B69, ""en"", ""ru"")"),"BlueCap")</f>
        <v>BlueCap</v>
      </c>
      <c r="F69" s="23" t="str">
        <f>IFERROR(__xludf.DUMMYFUNCTION("GOOGLETRANSLATE(B69, ""en"", ""tr"")"),"Mavi şapka")</f>
        <v>Mavi şapka</v>
      </c>
      <c r="G69" s="23" t="str">
        <f>IFERROR(__xludf.DUMMYFUNCTION("GOOGLETRANSLATE(B69, ""en"", ""pt"")"),"Boné azul")</f>
        <v>Boné azul</v>
      </c>
      <c r="H69" s="24" t="str">
        <f>IFERROR(__xludf.DUMMYFUNCTION("GOOGLETRANSLATE(B69, ""en"", ""de"")"),"Blaue Kappe")</f>
        <v>Blaue Kappe</v>
      </c>
      <c r="I69" s="23" t="str">
        <f>IFERROR(__xludf.DUMMYFUNCTION("GOOGLETRANSLATE(B69, ""en"", ""pl"")"),"Niebieska czapka")</f>
        <v>Niebieska czapka</v>
      </c>
      <c r="J69" s="25" t="str">
        <f>IFERROR(__xludf.DUMMYFUNCTION("GOOGLETRANSLATE(B69, ""en"", ""zh"")"),"bluecap.")</f>
        <v>bluecap.</v>
      </c>
      <c r="K69" s="25" t="str">
        <f>IFERROR(__xludf.DUMMYFUNCTION("GOOGLETRANSLATE(B69, ""en"", ""vi"")"),"Mũ lưỡi trai màu xanh")</f>
        <v>Mũ lưỡi trai màu xanh</v>
      </c>
      <c r="L69" s="26" t="str">
        <f>IFERROR(__xludf.DUMMYFUNCTION("GOOGLETRANSLATE(B69, ""en"", ""hr"")"),"Bluecap")</f>
        <v>Bluecap</v>
      </c>
      <c r="M69" s="28"/>
      <c r="N69" s="28"/>
      <c r="O69" s="28"/>
      <c r="P69" s="28"/>
      <c r="Q69" s="28"/>
      <c r="R69" s="28"/>
      <c r="S69" s="28"/>
      <c r="T69" s="28"/>
      <c r="U69" s="28"/>
      <c r="V69" s="28"/>
      <c r="W69" s="28"/>
      <c r="X69" s="28"/>
      <c r="Y69" s="28"/>
      <c r="Z69" s="28"/>
      <c r="AA69" s="28"/>
      <c r="AB69" s="28"/>
    </row>
    <row r="70">
      <c r="A70" s="41" t="s">
        <v>492</v>
      </c>
      <c r="B70" s="22" t="s">
        <v>486</v>
      </c>
      <c r="C70" s="23" t="str">
        <f>IFERROR(__xludf.DUMMYFUNCTION("GOOGLETRANSLATE(B70, ""en"", ""fr"")"),"Peut être mangé ou fabriqué dans une potion pour un effet plus fort.")</f>
        <v>Peut être mangé ou fabriqué dans une potion pour un effet plus fort.</v>
      </c>
      <c r="D70" s="23" t="str">
        <f>IFERROR(__xludf.DUMMYFUNCTION("GOOGLETRANSLATE(B70, ""en"", ""es"")"),"Se puede comer, o diseñado en una poción para un efecto más fuerte.")</f>
        <v>Se puede comer, o diseñado en una poción para un efecto más fuerte.</v>
      </c>
      <c r="E70" s="23" t="str">
        <f>IFERROR(__xludf.DUMMYFUNCTION("GOOGLETRANSLATE(B70, ""en"", ""ru"")"),"Можно съесть или изготовлено в зелье для более сильного эффекта.")</f>
        <v>Можно съесть или изготовлено в зелье для более сильного эффекта.</v>
      </c>
      <c r="F70" s="23" t="str">
        <f>IFERROR(__xludf.DUMMYFUNCTION("GOOGLETRANSLATE(B70, ""en"", ""tr"")"),"Yenilebilir veya daha güçlü bir etki için bir iksir haline getirilebilir.")</f>
        <v>Yenilebilir veya daha güçlü bir etki için bir iksir haline getirilebilir.</v>
      </c>
      <c r="G70" s="23" t="str">
        <f>IFERROR(__xludf.DUMMYFUNCTION("GOOGLETRANSLATE(B70, ""en"", ""pt"")"),"Pode ser comido, ou trabalhado em uma poção por um efeito mais forte.")</f>
        <v>Pode ser comido, ou trabalhado em uma poção por um efeito mais forte.</v>
      </c>
      <c r="H70" s="24" t="str">
        <f>IFERROR(__xludf.DUMMYFUNCTION("GOOGLETRANSLATE(B70, ""en"", ""de"")"),"Kann gegessen oder in einen Trank für einen stärkeren Effekt gefertigt werden.")</f>
        <v>Kann gegessen oder in einen Trank für einen stärkeren Effekt gefertigt werden.</v>
      </c>
      <c r="I70" s="23" t="str">
        <f>IFERROR(__xludf.DUMMYFUNCTION("GOOGLETRANSLATE(B70, ""en"", ""pl"")"),"Może być zjedzony lub wykonany w eliksie dla silniejszego efektu.")</f>
        <v>Może być zjedzony lub wykonany w eliksie dla silniejszego efektu.</v>
      </c>
      <c r="J70" s="25" t="str">
        <f>IFERROR(__xludf.DUMMYFUNCTION("GOOGLETRANSLATE(B70, ""en"", ""zh"")"),"可以被吃掉，或制作成一个效果的药水。")</f>
        <v>可以被吃掉，或制作成一个效果的药水。</v>
      </c>
      <c r="K70" s="25" t="str">
        <f>IFERROR(__xludf.DUMMYFUNCTION("GOOGLETRANSLATE(B70, ""en"", ""vi"")"),"Có thể được ăn, hoặc được chế tạo thành một lọ thuốc cho một hiệu ứng mạnh mẽ hơn.")</f>
        <v>Có thể được ăn, hoặc được chế tạo thành một lọ thuốc cho một hiệu ứng mạnh mẽ hơn.</v>
      </c>
      <c r="L70" s="26" t="str">
        <f>IFERROR(__xludf.DUMMYFUNCTION("GOOGLETRANSLATE(B70, ""en"", ""hr"")"),"Može se jesti ili izraditi u napitak za jači učinak.")</f>
        <v>Može se jesti ili izraditi u napitak za jači učinak.</v>
      </c>
      <c r="M70" s="28"/>
      <c r="N70" s="28"/>
      <c r="O70" s="28"/>
      <c r="P70" s="28"/>
      <c r="Q70" s="28"/>
      <c r="R70" s="28"/>
      <c r="S70" s="28"/>
      <c r="T70" s="28"/>
      <c r="U70" s="28"/>
      <c r="V70" s="28"/>
      <c r="W70" s="28"/>
      <c r="X70" s="28"/>
      <c r="Y70" s="28"/>
      <c r="Z70" s="28"/>
      <c r="AA70" s="28"/>
      <c r="AB70" s="28"/>
    </row>
    <row r="71">
      <c r="A71" s="41" t="s">
        <v>493</v>
      </c>
      <c r="B71" s="22" t="s">
        <v>494</v>
      </c>
      <c r="C71" s="23" t="str">
        <f>IFERROR(__xludf.DUMMYFUNCTION("GOOGLETRANSLATE(B71, ""en"", ""fr"")"),"Grotcap")</f>
        <v>Grotcap</v>
      </c>
      <c r="D71" s="23" t="str">
        <f>IFERROR(__xludf.DUMMYFUNCTION("GOOGLETRANSLATE(B71, ""en"", ""es"")"),"Frascos")</f>
        <v>Frascos</v>
      </c>
      <c r="E71" s="23" t="str">
        <f>IFERROR(__xludf.DUMMYFUNCTION("GOOGLETRANSLATE(B71, ""en"", ""ru"")"),"FrostCap")</f>
        <v>FrostCap</v>
      </c>
      <c r="F71" s="23" t="str">
        <f>IFERROR(__xludf.DUMMYFUNCTION("GOOGLETRANSLATE(B71, ""en"", ""tr"")"),"Frostcap")</f>
        <v>Frostcap</v>
      </c>
      <c r="G71" s="23" t="str">
        <f>IFERROR(__xludf.DUMMYFUNCTION("GOOGLETRANSLATE(B71, ""en"", ""pt"")"),"Frostcap.")</f>
        <v>Frostcap.</v>
      </c>
      <c r="H71" s="24" t="str">
        <f>IFERROR(__xludf.DUMMYFUNCTION("GOOGLETRANSLATE(B71, ""en"", ""de"")"),"Frostcap")</f>
        <v>Frostcap</v>
      </c>
      <c r="I71" s="23" t="str">
        <f>IFERROR(__xludf.DUMMYFUNCTION("GOOGLETRANSLATE(B71, ""en"", ""pl"")"),"Frostrapp")</f>
        <v>Frostrapp</v>
      </c>
      <c r="J71" s="25" t="str">
        <f>IFERROR(__xludf.DUMMYFUNCTION("GOOGLETRANSLATE(B71, ""en"", ""zh"")"),"弗罗斯特卡")</f>
        <v>弗罗斯特卡</v>
      </c>
      <c r="K71" s="25" t="str">
        <f>IFERROR(__xludf.DUMMYFUNCTION("GOOGLETRANSLATE(B71, ""en"", ""vi"")"),"Frostcap.")</f>
        <v>Frostcap.</v>
      </c>
      <c r="L71" s="26" t="str">
        <f>IFERROR(__xludf.DUMMYFUNCTION("GOOGLETRANSLATE(B71, ""en"", ""hr"")"),"Frostcap")</f>
        <v>Frostcap</v>
      </c>
      <c r="M71" s="28"/>
      <c r="N71" s="28"/>
      <c r="O71" s="28"/>
      <c r="P71" s="28"/>
      <c r="Q71" s="28"/>
      <c r="R71" s="28"/>
      <c r="S71" s="28"/>
      <c r="T71" s="28"/>
      <c r="U71" s="28"/>
      <c r="V71" s="28"/>
      <c r="W71" s="28"/>
      <c r="X71" s="28"/>
      <c r="Y71" s="28"/>
      <c r="Z71" s="28"/>
      <c r="AA71" s="28"/>
      <c r="AB71" s="28"/>
    </row>
    <row r="72">
      <c r="A72" s="41" t="s">
        <v>495</v>
      </c>
      <c r="B72" s="22" t="s">
        <v>486</v>
      </c>
      <c r="C72" s="23" t="str">
        <f>IFERROR(__xludf.DUMMYFUNCTION("GOOGLETRANSLATE(B72, ""en"", ""fr"")"),"Peut être mangé ou fabriqué dans une potion pour un effet plus fort.")</f>
        <v>Peut être mangé ou fabriqué dans une potion pour un effet plus fort.</v>
      </c>
      <c r="D72" s="23" t="str">
        <f>IFERROR(__xludf.DUMMYFUNCTION("GOOGLETRANSLATE(B72, ""en"", ""es"")"),"Se puede comer, o diseñado en una poción para un efecto más fuerte.")</f>
        <v>Se puede comer, o diseñado en una poción para un efecto más fuerte.</v>
      </c>
      <c r="E72" s="23" t="str">
        <f>IFERROR(__xludf.DUMMYFUNCTION("GOOGLETRANSLATE(B72, ""en"", ""ru"")"),"Можно съесть или изготовлено в зелье для более сильного эффекта.")</f>
        <v>Можно съесть или изготовлено в зелье для более сильного эффекта.</v>
      </c>
      <c r="F72" s="23" t="str">
        <f>IFERROR(__xludf.DUMMYFUNCTION("GOOGLETRANSLATE(B72, ""en"", ""tr"")"),"Yenilebilir veya daha güçlü bir etki için bir iksir haline getirilebilir.")</f>
        <v>Yenilebilir veya daha güçlü bir etki için bir iksir haline getirilebilir.</v>
      </c>
      <c r="G72" s="23" t="str">
        <f>IFERROR(__xludf.DUMMYFUNCTION("GOOGLETRANSLATE(B72, ""en"", ""pt"")"),"Pode ser comido, ou trabalhado em uma poção por um efeito mais forte.")</f>
        <v>Pode ser comido, ou trabalhado em uma poção por um efeito mais forte.</v>
      </c>
      <c r="H72" s="24" t="str">
        <f>IFERROR(__xludf.DUMMYFUNCTION("GOOGLETRANSLATE(B72, ""en"", ""de"")"),"Kann gegessen oder in einen Trank für einen stärkeren Effekt gefertigt werden.")</f>
        <v>Kann gegessen oder in einen Trank für einen stärkeren Effekt gefertigt werden.</v>
      </c>
      <c r="I72" s="23" t="str">
        <f>IFERROR(__xludf.DUMMYFUNCTION("GOOGLETRANSLATE(B72, ""en"", ""pl"")"),"Może być zjedzony lub wykonany w eliksie dla silniejszego efektu.")</f>
        <v>Może być zjedzony lub wykonany w eliksie dla silniejszego efektu.</v>
      </c>
      <c r="J72" s="25" t="str">
        <f>IFERROR(__xludf.DUMMYFUNCTION("GOOGLETRANSLATE(B72, ""en"", ""zh"")"),"可以被吃掉，或制作成一个效果的药水。")</f>
        <v>可以被吃掉，或制作成一个效果的药水。</v>
      </c>
      <c r="K72" s="25" t="str">
        <f>IFERROR(__xludf.DUMMYFUNCTION("GOOGLETRANSLATE(B72, ""en"", ""vi"")"),"Có thể được ăn, hoặc được chế tạo thành một lọ thuốc cho một hiệu ứng mạnh mẽ hơn.")</f>
        <v>Có thể được ăn, hoặc được chế tạo thành một lọ thuốc cho một hiệu ứng mạnh mẽ hơn.</v>
      </c>
      <c r="L72" s="26" t="str">
        <f>IFERROR(__xludf.DUMMYFUNCTION("GOOGLETRANSLATE(B72, ""en"", ""hr"")"),"Može se jesti ili izraditi u napitak za jači učinak.")</f>
        <v>Može se jesti ili izraditi u napitak za jači učinak.</v>
      </c>
      <c r="M72" s="28"/>
      <c r="N72" s="28"/>
      <c r="O72" s="28"/>
      <c r="P72" s="28"/>
      <c r="Q72" s="28"/>
      <c r="R72" s="28"/>
      <c r="S72" s="28"/>
      <c r="T72" s="28"/>
      <c r="U72" s="28"/>
      <c r="V72" s="28"/>
      <c r="W72" s="28"/>
      <c r="X72" s="28"/>
      <c r="Y72" s="28"/>
      <c r="Z72" s="28"/>
      <c r="AA72" s="28"/>
      <c r="AB72" s="28"/>
    </row>
    <row r="73">
      <c r="A73" s="40" t="s">
        <v>496</v>
      </c>
      <c r="B73" s="22" t="s">
        <v>497</v>
      </c>
      <c r="C73" s="23" t="str">
        <f>IFERROR(__xludf.DUMMYFUNCTION("GOOGLETRANSLATE(B73, ""en"", ""fr"")"),"Potion de vie")</f>
        <v>Potion de vie</v>
      </c>
      <c r="D73" s="23" t="str">
        <f>IFERROR(__xludf.DUMMYFUNCTION("GOOGLETRANSLATE(B73, ""en"", ""es"")"),"Poción de salud")</f>
        <v>Poción de salud</v>
      </c>
      <c r="E73" s="23" t="str">
        <f>IFERROR(__xludf.DUMMYFUNCTION("GOOGLETRANSLATE(B73, ""en"", ""ru"")"),"Здравоохранение")</f>
        <v>Здравоохранение</v>
      </c>
      <c r="F73" s="23" t="str">
        <f>IFERROR(__xludf.DUMMYFUNCTION("GOOGLETRANSLATE(B73, ""en"", ""tr"")"),"Can iksiri")</f>
        <v>Can iksiri</v>
      </c>
      <c r="G73" s="23" t="str">
        <f>IFERROR(__xludf.DUMMYFUNCTION("GOOGLETRANSLATE(B73, ""en"", ""pt"")"),"Poção de saúde")</f>
        <v>Poção de saúde</v>
      </c>
      <c r="H73" s="24" t="str">
        <f>IFERROR(__xludf.DUMMYFUNCTION("GOOGLETRANSLATE(B73, ""en"", ""de"")"),"Gesundheitstrank")</f>
        <v>Gesundheitstrank</v>
      </c>
      <c r="I73" s="23" t="str">
        <f>IFERROR(__xludf.DUMMYFUNCTION("GOOGLETRANSLATE(B73, ""en"", ""pl"")"),"Mikstura zdrowia")</f>
        <v>Mikstura zdrowia</v>
      </c>
      <c r="J73" s="25" t="str">
        <f>IFERROR(__xludf.DUMMYFUNCTION("GOOGLETRANSLATE(B73, ""en"", ""zh"")"),"健康药水")</f>
        <v>健康药水</v>
      </c>
      <c r="K73" s="25" t="str">
        <f>IFERROR(__xludf.DUMMYFUNCTION("GOOGLETRANSLATE(B73, ""en"", ""vi"")"),"Bình máu")</f>
        <v>Bình máu</v>
      </c>
      <c r="L73" s="26" t="str">
        <f>IFERROR(__xludf.DUMMYFUNCTION("GOOGLETRANSLATE(B73, ""en"", ""hr"")"),"Napitak za zdravlje")</f>
        <v>Napitak za zdravlje</v>
      </c>
      <c r="M73" s="28"/>
      <c r="N73" s="28"/>
      <c r="O73" s="28"/>
      <c r="P73" s="28"/>
      <c r="Q73" s="28"/>
      <c r="R73" s="28"/>
      <c r="S73" s="28"/>
      <c r="T73" s="28"/>
      <c r="U73" s="28"/>
      <c r="V73" s="28"/>
      <c r="W73" s="28"/>
      <c r="X73" s="28"/>
      <c r="Y73" s="28"/>
      <c r="Z73" s="28"/>
      <c r="AA73" s="28"/>
      <c r="AB73" s="28"/>
    </row>
    <row r="74">
      <c r="A74" s="40" t="s">
        <v>498</v>
      </c>
      <c r="B74" s="22" t="s">
        <v>499</v>
      </c>
      <c r="C74" s="23" t="str">
        <f>IFERROR(__xludf.DUMMYFUNCTION("GOOGLETRANSLATE(B74, ""en"", ""fr"")"),"Restaure quelques points de vie au fil du temps lorsqu'il est utilisé.")</f>
        <v>Restaure quelques points de vie au fil du temps lorsqu'il est utilisé.</v>
      </c>
      <c r="D74" s="23" t="str">
        <f>IFERROR(__xludf.DUMMYFUNCTION("GOOGLETRANSLATE(B74, ""en"", ""es"")"),"Restaura algunos puntos de paso con el tiempo cuando se usa.")</f>
        <v>Restaura algunos puntos de paso con el tiempo cuando se usa.</v>
      </c>
      <c r="E74" s="23" t="str">
        <f>IFERROR(__xludf.DUMMYFUNCTION("GOOGLETRANSLATE(B74, ""en"", ""ru"")"),"Восстанавливает некоторые хит-точки со временем при использовании.")</f>
        <v>Восстанавливает некоторые хит-точки со временем при использовании.</v>
      </c>
      <c r="F74" s="23" t="str">
        <f>IFERROR(__xludf.DUMMYFUNCTION("GOOGLETRANSLATE(B74, ""en"", ""tr"")"),"Kullanıldığında zaman içinde bazı hitportları geri yükler.")</f>
        <v>Kullanıldığında zaman içinde bazı hitportları geri yükler.</v>
      </c>
      <c r="G74" s="23" t="str">
        <f>IFERROR(__xludf.DUMMYFUNCTION("GOOGLETRANSLATE(B74, ""en"", ""pt"")"),"Restaura alguns hitpoints ao longo do tempo quando usado.")</f>
        <v>Restaura alguns hitpoints ao longo do tempo quando usado.</v>
      </c>
      <c r="H74" s="24" t="str">
        <f>IFERROR(__xludf.DUMMYFUNCTION("GOOGLETRANSLATE(B74, ""en"", ""de"")"),"Stellen Sie einige Trefferpunkte im Laufe der Zeit wieder her.")</f>
        <v>Stellen Sie einige Trefferpunkte im Laufe der Zeit wieder her.</v>
      </c>
      <c r="I74" s="23" t="str">
        <f>IFERROR(__xludf.DUMMYFUNCTION("GOOGLETRANSLATE(B74, ""en"", ""pl"")"),"Przywraca pewne punkty życia w czasie, gdy jest używany.")</f>
        <v>Przywraca pewne punkty życia w czasie, gdy jest używany.</v>
      </c>
      <c r="J74" s="25" t="str">
        <f>IFERROR(__xludf.DUMMYFUNCTION("GOOGLETRANSLATE(B74, ""en"", ""zh"")"),"使用时会随着时间的推移恢复一些特点。")</f>
        <v>使用时会随着时间的推移恢复一些特点。</v>
      </c>
      <c r="K74" s="25" t="str">
        <f>IFERROR(__xludf.DUMMYFUNCTION("GOOGLETRANSLATE(B74, ""en"", ""vi"")"),"Khôi phục một số điểm nhấn theo thời gian khi sử dụng.")</f>
        <v>Khôi phục một số điểm nhấn theo thời gian khi sử dụng.</v>
      </c>
      <c r="L74" s="26" t="str">
        <f>IFERROR(__xludf.DUMMYFUNCTION("GOOGLETRANSLATE(B74, ""en"", ""hr"")"),"Vraća neke hitpoints tijekom vremena kada se koristi.")</f>
        <v>Vraća neke hitpoints tijekom vremena kada se koristi.</v>
      </c>
      <c r="M74" s="28"/>
      <c r="N74" s="28"/>
      <c r="O74" s="28"/>
      <c r="P74" s="28"/>
      <c r="Q74" s="28"/>
      <c r="R74" s="28"/>
      <c r="S74" s="28"/>
      <c r="T74" s="28"/>
      <c r="U74" s="28"/>
      <c r="V74" s="28"/>
      <c r="W74" s="28"/>
      <c r="X74" s="28"/>
      <c r="Y74" s="28"/>
      <c r="Z74" s="28"/>
      <c r="AA74" s="28"/>
      <c r="AB74" s="28"/>
    </row>
    <row r="75">
      <c r="A75" s="40" t="s">
        <v>500</v>
      </c>
      <c r="B75" s="22" t="s">
        <v>501</v>
      </c>
      <c r="C75" s="23" t="str">
        <f>IFERROR(__xludf.DUMMYFUNCTION("GOOGLETRANSLATE(B75, ""en"", ""fr"")"),"Potion d'énergie")</f>
        <v>Potion d'énergie</v>
      </c>
      <c r="D75" s="23" t="str">
        <f>IFERROR(__xludf.DUMMYFUNCTION("GOOGLETRANSLATE(B75, ""en"", ""es"")"),"Poción energética")</f>
        <v>Poción energética</v>
      </c>
      <c r="E75" s="23" t="str">
        <f>IFERROR(__xludf.DUMMYFUNCTION("GOOGLETRANSLATE(B75, ""en"", ""ru"")"),"Зелье энергии")</f>
        <v>Зелье энергии</v>
      </c>
      <c r="F75" s="23" t="str">
        <f>IFERROR(__xludf.DUMMYFUNCTION("GOOGLETRANSLATE(B75, ""en"", ""tr"")"),"Enerji iksiri")</f>
        <v>Enerji iksiri</v>
      </c>
      <c r="G75" s="23" t="str">
        <f>IFERROR(__xludf.DUMMYFUNCTION("GOOGLETRANSLATE(B75, ""en"", ""pt"")"),"Poção de energia")</f>
        <v>Poção de energia</v>
      </c>
      <c r="H75" s="24" t="str">
        <f>IFERROR(__xludf.DUMMYFUNCTION("GOOGLETRANSLATE(B75, ""en"", ""de"")"),"Energiebranion")</f>
        <v>Energiebranion</v>
      </c>
      <c r="I75" s="23" t="str">
        <f>IFERROR(__xludf.DUMMYFUNCTION("GOOGLETRANSLATE(B75, ""en"", ""pl"")"),"Mikstura energetyczna")</f>
        <v>Mikstura energetyczna</v>
      </c>
      <c r="J75" s="25" t="str">
        <f>IFERROR(__xludf.DUMMYFUNCTION("GOOGLETRANSLATE(B75, ""en"", ""zh"")"),"能量药水")</f>
        <v>能量药水</v>
      </c>
      <c r="K75" s="25" t="str">
        <f>IFERROR(__xludf.DUMMYFUNCTION("GOOGLETRANSLATE(B75, ""en"", ""vi"")"),"Năng lượng năng lượng")</f>
        <v>Năng lượng năng lượng</v>
      </c>
      <c r="L75" s="26" t="str">
        <f>IFERROR(__xludf.DUMMYFUNCTION("GOOGLETRANSLATE(B75, ""en"", ""hr"")"),"Energetski napitak")</f>
        <v>Energetski napitak</v>
      </c>
      <c r="M75" s="28"/>
      <c r="N75" s="28"/>
      <c r="O75" s="28"/>
      <c r="P75" s="28"/>
      <c r="Q75" s="28"/>
      <c r="R75" s="28"/>
      <c r="S75" s="28"/>
      <c r="T75" s="28"/>
      <c r="U75" s="28"/>
      <c r="V75" s="28"/>
      <c r="W75" s="28"/>
      <c r="X75" s="28"/>
      <c r="Y75" s="28"/>
      <c r="Z75" s="28"/>
      <c r="AA75" s="28"/>
      <c r="AB75" s="28"/>
    </row>
    <row r="76">
      <c r="A76" s="40" t="s">
        <v>502</v>
      </c>
      <c r="B76" s="22" t="s">
        <v>503</v>
      </c>
      <c r="C76" s="23" t="str">
        <f>IFERROR(__xludf.DUMMYFUNCTION("GOOGLETRANSLATE(B76, ""en"", ""fr"")"),"Restaure de l'énergie au fil du temps lorsqu'il est utilisé.")</f>
        <v>Restaure de l'énergie au fil du temps lorsqu'il est utilisé.</v>
      </c>
      <c r="D76" s="23" t="str">
        <f>IFERROR(__xludf.DUMMYFUNCTION("GOOGLETRANSLATE(B76, ""en"", ""es"")"),"Restaura algo de energía con el tiempo cuando se usa.")</f>
        <v>Restaura algo de energía con el tiempo cuando se usa.</v>
      </c>
      <c r="E76" s="23" t="str">
        <f>IFERROR(__xludf.DUMMYFUNCTION("GOOGLETRANSLATE(B76, ""en"", ""ru"")"),"Восстанавливает некоторую энергию во времени при использовании.")</f>
        <v>Восстанавливает некоторую энергию во времени при использовании.</v>
      </c>
      <c r="F76" s="23" t="str">
        <f>IFERROR(__xludf.DUMMYFUNCTION("GOOGLETRANSLATE(B76, ""en"", ""tr"")"),"Kullanıldığında zaman içinde bazı enerjileri geri yükler.")</f>
        <v>Kullanıldığında zaman içinde bazı enerjileri geri yükler.</v>
      </c>
      <c r="G76" s="23" t="str">
        <f>IFERROR(__xludf.DUMMYFUNCTION("GOOGLETRANSLATE(B76, ""en"", ""pt"")"),"Restaura alguma energia ao longo do tempo quando usada.")</f>
        <v>Restaura alguma energia ao longo do tempo quando usada.</v>
      </c>
      <c r="H76" s="24" t="str">
        <f>IFERROR(__xludf.DUMMYFUNCTION("GOOGLETRANSLATE(B76, ""en"", ""de"")"),"Wiederherstellen Sie im Laufe der Zeit etwas Energie wieder.")</f>
        <v>Wiederherstellen Sie im Laufe der Zeit etwas Energie wieder.</v>
      </c>
      <c r="I76" s="23" t="str">
        <f>IFERROR(__xludf.DUMMYFUNCTION("GOOGLETRANSLATE(B76, ""en"", ""pl"")"),"Przywraca trochę energii w czasie, gdy jest używany.")</f>
        <v>Przywraca trochę energii w czasie, gdy jest używany.</v>
      </c>
      <c r="J76" s="25" t="str">
        <f>IFERROR(__xludf.DUMMYFUNCTION("GOOGLETRANSLATE(B76, ""en"", ""zh"")"),"使用时会随着时间的推移恢复一些能量。")</f>
        <v>使用时会随着时间的推移恢复一些能量。</v>
      </c>
      <c r="K76" s="25" t="str">
        <f>IFERROR(__xludf.DUMMYFUNCTION("GOOGLETRANSLATE(B76, ""en"", ""vi"")"),"Khôi phục một số năng lượng theo thời gian khi sử dụng.")</f>
        <v>Khôi phục một số năng lượng theo thời gian khi sử dụng.</v>
      </c>
      <c r="L76" s="26" t="str">
        <f>IFERROR(__xludf.DUMMYFUNCTION("GOOGLETRANSLATE(B76, ""en"", ""hr"")"),"Vraćaju neku energiju tijekom vremena kada se koristi.")</f>
        <v>Vraćaju neku energiju tijekom vremena kada se koristi.</v>
      </c>
      <c r="M76" s="28"/>
      <c r="N76" s="28"/>
      <c r="O76" s="28"/>
      <c r="P76" s="28"/>
      <c r="Q76" s="28"/>
      <c r="R76" s="28"/>
      <c r="S76" s="28"/>
      <c r="T76" s="28"/>
      <c r="U76" s="28"/>
      <c r="V76" s="28"/>
      <c r="W76" s="28"/>
      <c r="X76" s="28"/>
      <c r="Y76" s="28"/>
      <c r="Z76" s="28"/>
      <c r="AA76" s="28"/>
      <c r="AB76" s="28"/>
    </row>
    <row r="77">
      <c r="A77" s="40" t="s">
        <v>504</v>
      </c>
      <c r="B77" s="22" t="s">
        <v>505</v>
      </c>
      <c r="C77" s="23" t="str">
        <f>IFERROR(__xludf.DUMMYFUNCTION("GOOGLETRANSLATE(B77, ""en"", ""fr"")"),"Faire soigner la potion")</f>
        <v>Faire soigner la potion</v>
      </c>
      <c r="D77" s="23" t="str">
        <f>IFERROR(__xludf.DUMMYFUNCTION("GOOGLETRANSLATE(B77, ""en"", ""es"")"),"Poción de curación")</f>
        <v>Poción de curación</v>
      </c>
      <c r="E77" s="23" t="str">
        <f>IFERROR(__xludf.DUMMYFUNCTION("GOOGLETRANSLATE(B77, ""en"", ""ru"")"),"Вылечить зелье")</f>
        <v>Вылечить зелье</v>
      </c>
      <c r="F77" s="23" t="str">
        <f>IFERROR(__xludf.DUMMYFUNCTION("GOOGLETRANSLATE(B77, ""en"", ""tr"")"),"Cüret iksiri")</f>
        <v>Cüret iksiri</v>
      </c>
      <c r="G77" s="23" t="str">
        <f>IFERROR(__xludf.DUMMYFUNCTION("GOOGLETRANSLATE(B77, ""en"", ""pt"")"),"Cura poção.")</f>
        <v>Cura poção.</v>
      </c>
      <c r="H77" s="24" t="str">
        <f>IFERROR(__xludf.DUMMYFUNCTION("GOOGLETRANSLATE(B77, ""en"", ""de"")"),"Den Trank heilen")</f>
        <v>Den Trank heilen</v>
      </c>
      <c r="I77" s="23" t="str">
        <f>IFERROR(__xludf.DUMMYFUNCTION("GOOGLETRANSLATE(B77, ""en"", ""pl"")"),"Eliksir")</f>
        <v>Eliksir</v>
      </c>
      <c r="J77" s="25" t="str">
        <f>IFERROR(__xludf.DUMMYFUNCTION("GOOGLETRANSLATE(B77, ""en"", ""zh"")"),"固化药水")</f>
        <v>固化药水</v>
      </c>
      <c r="K77" s="25" t="str">
        <f>IFERROR(__xludf.DUMMYFUNCTION("GOOGLETRANSLATE(B77, ""en"", ""vi"")"),"Cure Potion.")</f>
        <v>Cure Potion.</v>
      </c>
      <c r="L77" s="26" t="str">
        <f>IFERROR(__xludf.DUMMYFUNCTION("GOOGLETRANSLATE(B77, ""en"", ""hr"")"),"Liječiti napitak")</f>
        <v>Liječiti napitak</v>
      </c>
      <c r="M77" s="28"/>
      <c r="N77" s="28"/>
      <c r="O77" s="28"/>
      <c r="P77" s="28"/>
      <c r="Q77" s="28"/>
      <c r="R77" s="28"/>
      <c r="S77" s="28"/>
      <c r="T77" s="28"/>
      <c r="U77" s="28"/>
      <c r="V77" s="28"/>
      <c r="W77" s="28"/>
      <c r="X77" s="28"/>
      <c r="Y77" s="28"/>
      <c r="Z77" s="28"/>
      <c r="AA77" s="28"/>
      <c r="AB77" s="28"/>
    </row>
    <row r="78">
      <c r="A78" s="40" t="s">
        <v>506</v>
      </c>
      <c r="B78" s="22" t="s">
        <v>507</v>
      </c>
      <c r="C78" s="23" t="str">
        <f>IFERROR(__xludf.DUMMYFUNCTION("GOOGLETRANSLATE(B78, ""en"", ""fr"")"),"Supprime le poison et la maladie et vous rend immunisé pour eux pendant un moment.")</f>
        <v>Supprime le poison et la maladie et vous rend immunisé pour eux pendant un moment.</v>
      </c>
      <c r="D78" s="23" t="str">
        <f>IFERROR(__xludf.DUMMYFUNCTION("GOOGLETRANSLATE(B78, ""en"", ""es"")"),"Elimina veneno y enfermedad y te hace inmune a ellos por un tiempo.")</f>
        <v>Elimina veneno y enfermedad y te hace inmune a ellos por un tiempo.</v>
      </c>
      <c r="E78" s="23" t="str">
        <f>IFERROR(__xludf.DUMMYFUNCTION("GOOGLETRANSLATE(B78, ""en"", ""ru"")"),"Удаляет яд и болезнь и делает вас невосприимчивыми к ним некоторое время.")</f>
        <v>Удаляет яд и болезнь и делает вас невосприимчивыми к ним некоторое время.</v>
      </c>
      <c r="F78" s="23" t="str">
        <f>IFERROR(__xludf.DUMMYFUNCTION("GOOGLETRANSLATE(B78, ""en"", ""tr"")"),"Zehir ve hastalığı giderir ve bir süre onlara bağışıklık kazandırır.")</f>
        <v>Zehir ve hastalığı giderir ve bir süre onlara bağışıklık kazandırır.</v>
      </c>
      <c r="G78" s="23" t="str">
        <f>IFERROR(__xludf.DUMMYFUNCTION("GOOGLETRANSLATE(B78, ""en"", ""pt"")"),"Remove veneno e doença e faz você imune a eles por um tempo.")</f>
        <v>Remove veneno e doença e faz você imune a eles por um tempo.</v>
      </c>
      <c r="H78" s="24" t="str">
        <f>IFERROR(__xludf.DUMMYFUNCTION("GOOGLETRANSLATE(B78, ""en"", ""de"")"),"Entfernt Gift und Krankheit und lässt dich eine Weile gegen sie immun.")</f>
        <v>Entfernt Gift und Krankheit und lässt dich eine Weile gegen sie immun.</v>
      </c>
      <c r="I78" s="23" t="str">
        <f>IFERROR(__xludf.DUMMYFUNCTION("GOOGLETRANSLATE(B78, ""en"", ""pl"")"),"Usuwa truciznę i chorobę i sprawia, że ​​odporne na chwilę.")</f>
        <v>Usuwa truciznę i chorobę i sprawia, że ​​odporne na chwilę.</v>
      </c>
      <c r="J78" s="25" t="str">
        <f>IFERROR(__xludf.DUMMYFUNCTION("GOOGLETRANSLATE(B78, ""en"", ""zh"")"),"除去毒病和疾病，让你对他们免疫一段时间。")</f>
        <v>除去毒病和疾病，让你对他们免疫一段时间。</v>
      </c>
      <c r="K78" s="25" t="str">
        <f>IFERROR(__xludf.DUMMYFUNCTION("GOOGLETRANSLATE(B78, ""en"", ""vi"")"),"Loại bỏ chất độc và bệnh tật và khiến bạn miễn nhiễm với họ một lúc.")</f>
        <v>Loại bỏ chất độc và bệnh tật và khiến bạn miễn nhiễm với họ một lúc.</v>
      </c>
      <c r="L78" s="26" t="str">
        <f>IFERROR(__xludf.DUMMYFUNCTION("GOOGLETRANSLATE(B78, ""en"", ""hr"")"),"Uklanja otrov i bolest i čini vas imunitetom na njih neko vrijeme.")</f>
        <v>Uklanja otrov i bolest i čini vas imunitetom na njih neko vrijeme.</v>
      </c>
      <c r="M78" s="28"/>
      <c r="N78" s="28"/>
      <c r="O78" s="28"/>
      <c r="P78" s="28"/>
      <c r="Q78" s="28"/>
      <c r="R78" s="28"/>
      <c r="S78" s="28"/>
      <c r="T78" s="28"/>
      <c r="U78" s="28"/>
      <c r="V78" s="28"/>
      <c r="W78" s="28"/>
      <c r="X78" s="28"/>
      <c r="Y78" s="28"/>
      <c r="Z78" s="28"/>
      <c r="AA78" s="28"/>
      <c r="AB78" s="28"/>
    </row>
    <row r="79">
      <c r="A79" s="40" t="s">
        <v>508</v>
      </c>
      <c r="B79" s="22" t="s">
        <v>509</v>
      </c>
      <c r="C79" s="23" t="str">
        <f>IFERROR(__xludf.DUMMYFUNCTION("GOOGLETRANSLATE(B79, ""en"", ""fr"")"),"Potion anti-gel")</f>
        <v>Potion anti-gel</v>
      </c>
      <c r="D79" s="23" t="str">
        <f>IFERROR(__xludf.DUMMYFUNCTION("GOOGLETRANSLATE(B79, ""en"", ""es"")"),"Poción anticongelante")</f>
        <v>Poción anticongelante</v>
      </c>
      <c r="E79" s="23" t="str">
        <f>IFERROR(__xludf.DUMMYFUNCTION("GOOGLETRANSLATE(B79, ""en"", ""ru"")"),"Антифризное зелье")</f>
        <v>Антифризное зелье</v>
      </c>
      <c r="F79" s="23" t="str">
        <f>IFERROR(__xludf.DUMMYFUNCTION("GOOGLETRANSLATE(B79, ""en"", ""tr"")"),"Dondurucu iksir")</f>
        <v>Dondurucu iksir</v>
      </c>
      <c r="G79" s="23" t="str">
        <f>IFERROR(__xludf.DUMMYFUNCTION("GOOGLETRANSLATE(B79, ""en"", ""pt"")"),"Poção anti-congelamento")</f>
        <v>Poção anti-congelamento</v>
      </c>
      <c r="H79" s="24" t="str">
        <f>IFERROR(__xludf.DUMMYFUNCTION("GOOGLETRANSLATE(B79, ""en"", ""de"")"),"Einfrieren")</f>
        <v>Einfrieren</v>
      </c>
      <c r="I79" s="23" t="str">
        <f>IFERROR(__xludf.DUMMYFUNCTION("GOOGLETRANSLATE(B79, ""en"", ""pl"")"),"Eliksir przeciw zamarzaniu")</f>
        <v>Eliksir przeciw zamarzaniu</v>
      </c>
      <c r="J79" s="25" t="str">
        <f>IFERROR(__xludf.DUMMYFUNCTION("GOOGLETRANSLATE(B79, ""en"", ""zh"")"),"防冻药水")</f>
        <v>防冻药水</v>
      </c>
      <c r="K79" s="25" t="str">
        <f>IFERROR(__xludf.DUMMYFUNCTION("GOOGLETRANSLATE(B79, ""en"", ""vi"")"),"Lotion chống đông")</f>
        <v>Lotion chống đông</v>
      </c>
      <c r="L79" s="26" t="str">
        <f>IFERROR(__xludf.DUMMYFUNCTION("GOOGLETRANSLATE(B79, ""en"", ""hr"")"),"Napitak protiv smrzavanja")</f>
        <v>Napitak protiv smrzavanja</v>
      </c>
      <c r="M79" s="28"/>
      <c r="N79" s="28"/>
      <c r="O79" s="28"/>
      <c r="P79" s="28"/>
      <c r="Q79" s="28"/>
      <c r="R79" s="28"/>
      <c r="S79" s="28"/>
      <c r="T79" s="28"/>
      <c r="U79" s="28"/>
      <c r="V79" s="28"/>
      <c r="W79" s="28"/>
      <c r="X79" s="28"/>
      <c r="Y79" s="28"/>
      <c r="Z79" s="28"/>
      <c r="AA79" s="28"/>
      <c r="AB79" s="28"/>
    </row>
    <row r="80">
      <c r="A80" s="40" t="s">
        <v>510</v>
      </c>
      <c r="B80" s="22" t="s">
        <v>511</v>
      </c>
      <c r="C80" s="23" t="str">
        <f>IFERROR(__xludf.DUMMYFUNCTION("GOOGLETRANSLATE(B80, ""en"", ""fr"")"),"Enlève le refroidissement et vous rend à l'abri pendant un moment.")</f>
        <v>Enlève le refroidissement et vous rend à l'abri pendant un moment.</v>
      </c>
      <c r="D80" s="23" t="str">
        <f>IFERROR(__xludf.DUMMYFUNCTION("GOOGLETRANSLATE(B80, ""en"", ""es"")"),"Elimina enfriado y te hace inmune por un tiempo.")</f>
        <v>Elimina enfriado y te hace inmune por un tiempo.</v>
      </c>
      <c r="E80" s="23" t="str">
        <f>IFERROR(__xludf.DUMMYFUNCTION("GOOGLETRANSLATE(B80, ""en"", ""ru"")"),"Удаляет охлажденную и делает вас невосприимчивым к нему на некоторое время.")</f>
        <v>Удаляет охлажденную и делает вас невосприимчивым к нему на некоторое время.</v>
      </c>
      <c r="F80" s="23" t="str">
        <f>IFERROR(__xludf.DUMMYFUNCTION("GOOGLETRANSLATE(B80, ""en"", ""tr"")"),"Soğutulmuş kaldırır ve bir süredir sizi bağışıklık kazandırır.")</f>
        <v>Soğutulmuş kaldırır ve bir süredir sizi bağışıklık kazandırır.</v>
      </c>
      <c r="G80" s="23" t="str">
        <f>IFERROR(__xludf.DUMMYFUNCTION("GOOGLETRANSLATE(B80, ""en"", ""pt"")"),"Remove refrigerado e faz você imune a isso por um tempo.")</f>
        <v>Remove refrigerado e faz você imune a isso por um tempo.</v>
      </c>
      <c r="H80" s="24" t="str">
        <f>IFERROR(__xludf.DUMMYFUNCTION("GOOGLETRANSLATE(B80, ""en"", ""de"")"),"Entfernt gekühlt und lässt dich eine Weile immunern.")</f>
        <v>Entfernt gekühlt und lässt dich eine Weile immunern.</v>
      </c>
      <c r="I80" s="23" t="str">
        <f>IFERROR(__xludf.DUMMYFUNCTION("GOOGLETRANSLATE(B80, ""en"", ""pl"")"),"Usuwa schłodzone i sprawia, że ​​przez chwilę odporne.")</f>
        <v>Usuwa schłodzone i sprawia, że ​​przez chwilę odporne.</v>
      </c>
      <c r="J80" s="25" t="str">
        <f>IFERROR(__xludf.DUMMYFUNCTION("GOOGLETRANSLATE(B80, ""en"", ""zh"")"),"删除冷藏并让你免于它一段时间。")</f>
        <v>删除冷藏并让你免于它一段时间。</v>
      </c>
      <c r="K80" s="25" t="str">
        <f>IFERROR(__xludf.DUMMYFUNCTION("GOOGLETRANSLATE(B80, ""en"", ""vi"")"),"Loại bỏ ướp lạnh và khiến bạn miễn nhiễm với nó một lúc.")</f>
        <v>Loại bỏ ướp lạnh và khiến bạn miễn nhiễm với nó một lúc.</v>
      </c>
      <c r="L80" s="26" t="str">
        <f>IFERROR(__xludf.DUMMYFUNCTION("GOOGLETRANSLATE(B80, ""en"", ""hr"")"),"Uklanja ohlađenu i čini vas imunitetom na to neko vrijeme.")</f>
        <v>Uklanja ohlađenu i čini vas imunitetom na to neko vrijeme.</v>
      </c>
      <c r="M80" s="28"/>
      <c r="N80" s="28"/>
      <c r="O80" s="28"/>
      <c r="P80" s="28"/>
      <c r="Q80" s="28"/>
      <c r="R80" s="28"/>
      <c r="S80" s="28"/>
      <c r="T80" s="28"/>
      <c r="U80" s="28"/>
      <c r="V80" s="28"/>
      <c r="W80" s="28"/>
      <c r="X80" s="28"/>
      <c r="Y80" s="28"/>
      <c r="Z80" s="28"/>
      <c r="AA80" s="28"/>
      <c r="AB80" s="28"/>
    </row>
    <row r="81">
      <c r="A81" s="21" t="s">
        <v>512</v>
      </c>
      <c r="B81" s="22" t="s">
        <v>513</v>
      </c>
      <c r="C81" s="23" t="str">
        <f>IFERROR(__xludf.DUMMYFUNCTION("GOOGLETRANSLATE(B81, ""en"", ""fr"")"),"Club de bois")</f>
        <v>Club de bois</v>
      </c>
      <c r="D81" s="23" t="str">
        <f>IFERROR(__xludf.DUMMYFUNCTION("GOOGLETRANSLATE(B81, ""en"", ""es"")"),"Club de madera")</f>
        <v>Club de madera</v>
      </c>
      <c r="E81" s="23" t="str">
        <f>IFERROR(__xludf.DUMMYFUNCTION("GOOGLETRANSLATE(B81, ""en"", ""ru"")"),"Деревянный клуб")</f>
        <v>Деревянный клуб</v>
      </c>
      <c r="F81" s="23" t="str">
        <f>IFERROR(__xludf.DUMMYFUNCTION("GOOGLETRANSLATE(B81, ""en"", ""tr"")"),"Ahşap kulüp")</f>
        <v>Ahşap kulüp</v>
      </c>
      <c r="G81" s="23" t="str">
        <f>IFERROR(__xludf.DUMMYFUNCTION("GOOGLETRANSLATE(B81, ""en"", ""pt"")"),"Clube de madeira")</f>
        <v>Clube de madeira</v>
      </c>
      <c r="H81" s="24" t="str">
        <f>IFERROR(__xludf.DUMMYFUNCTION("GOOGLETRANSLATE(B81, ""en"", ""de"")"),"Holzknüppel")</f>
        <v>Holzknüppel</v>
      </c>
      <c r="I81" s="23" t="str">
        <f>IFERROR(__xludf.DUMMYFUNCTION("GOOGLETRANSLATE(B81, ""en"", ""pl"")"),"Drewniany klub")</f>
        <v>Drewniany klub</v>
      </c>
      <c r="J81" s="25" t="str">
        <f>IFERROR(__xludf.DUMMYFUNCTION("GOOGLETRANSLATE(B81, ""en"", ""zh"")"),"棒槌")</f>
        <v>棒槌</v>
      </c>
      <c r="K81" s="25" t="str">
        <f>IFERROR(__xludf.DUMMYFUNCTION("GOOGLETRANSLATE(B81, ""en"", ""vi"")"),"Câu lạc bộ gỗ")</f>
        <v>Câu lạc bộ gỗ</v>
      </c>
      <c r="L81" s="26" t="str">
        <f>IFERROR(__xludf.DUMMYFUNCTION("GOOGLETRANSLATE(B81, ""en"", ""hr"")"),"Drveni klub")</f>
        <v>Drveni klub</v>
      </c>
      <c r="M81" s="28"/>
      <c r="N81" s="28"/>
      <c r="O81" s="28"/>
      <c r="P81" s="28"/>
      <c r="Q81" s="28"/>
      <c r="R81" s="28"/>
      <c r="S81" s="28"/>
      <c r="T81" s="28"/>
      <c r="U81" s="28"/>
      <c r="V81" s="28"/>
      <c r="W81" s="28"/>
      <c r="X81" s="28"/>
      <c r="Y81" s="28"/>
      <c r="Z81" s="28"/>
      <c r="AA81" s="28"/>
      <c r="AB81" s="28"/>
    </row>
    <row r="82">
      <c r="A82" s="21" t="s">
        <v>514</v>
      </c>
      <c r="B82" s="22" t="s">
        <v>515</v>
      </c>
      <c r="C82" s="23" t="str">
        <f>IFERROR(__xludf.DUMMYFUNCTION("GOOGLETRANSLATE(B82, ""en"", ""fr"")"),"Un gros bâton pour frapper des choses avec. Mieux que rien...")</f>
        <v>Un gros bâton pour frapper des choses avec. Mieux que rien...</v>
      </c>
      <c r="D82" s="23" t="str">
        <f>IFERROR(__xludf.DUMMYFUNCTION("GOOGLETRANSLATE(B82, ""en"", ""es"")"),"Un gran palo para golpear las cosas. Mejor que nada...")</f>
        <v>Un gran palo para golpear las cosas. Mejor que nada...</v>
      </c>
      <c r="E82" s="23" t="str">
        <f>IFERROR(__xludf.DUMMYFUNCTION("GOOGLETRANSLATE(B82, ""en"", ""ru"")"),"Большая палка, чтобы поразить вещи с. Лучше чем ничего...")</f>
        <v>Большая палка, чтобы поразить вещи с. Лучше чем ничего...</v>
      </c>
      <c r="F82" s="23" t="str">
        <f>IFERROR(__xludf.DUMMYFUNCTION("GOOGLETRANSLATE(B82, ""en"", ""tr"")"),"Bir şeyleri vurmak için büyük bir sopa. Hiç yoktan iyidir...")</f>
        <v>Bir şeyleri vurmak için büyük bir sopa. Hiç yoktan iyidir...</v>
      </c>
      <c r="G82" s="23" t="str">
        <f>IFERROR(__xludf.DUMMYFUNCTION("GOOGLETRANSLATE(B82, ""en"", ""pt"")"),"Um grande bastão para bater as coisas com. Melhor que nada...")</f>
        <v>Um grande bastão para bater as coisas com. Melhor que nada...</v>
      </c>
      <c r="H82" s="24" t="str">
        <f>IFERROR(__xludf.DUMMYFUNCTION("GOOGLETRANSLATE(B82, ""en"", ""de"")"),"Ein großer Stock, um Dinge mitzumachen. Besser als nichts...")</f>
        <v>Ein großer Stock, um Dinge mitzumachen. Besser als nichts...</v>
      </c>
      <c r="I82" s="23" t="str">
        <f>IFERROR(__xludf.DUMMYFUNCTION("GOOGLETRANSLATE(B82, ""en"", ""pl"")"),"Duży kij uderzył w rzeczy. Lepsze niż nic...")</f>
        <v>Duży kij uderzył w rzeczy. Lepsze niż nic...</v>
      </c>
      <c r="J82" s="25" t="str">
        <f>IFERROR(__xludf.DUMMYFUNCTION("GOOGLETRANSLATE(B82, ""en"", ""zh"")"),"一个大棍子击中东西。有总比没有好...")</f>
        <v>一个大棍子击中东西。有总比没有好...</v>
      </c>
      <c r="K82" s="25" t="str">
        <f>IFERROR(__xludf.DUMMYFUNCTION("GOOGLETRANSLATE(B82, ""en"", ""vi"")"),"Một cây gậy lớn để đánh những thứ với. Có còn hơn không...")</f>
        <v>Một cây gậy lớn để đánh những thứ với. Có còn hơn không...</v>
      </c>
      <c r="L82" s="26" t="str">
        <f>IFERROR(__xludf.DUMMYFUNCTION("GOOGLETRANSLATE(B82, ""en"", ""hr"")"),"Veliki štap koji je pogodio stvari. Bolje išta nego ništa...")</f>
        <v>Veliki štap koji je pogodio stvari. Bolje išta nego ništa...</v>
      </c>
      <c r="M82" s="28"/>
      <c r="N82" s="28"/>
      <c r="O82" s="28"/>
      <c r="P82" s="28"/>
      <c r="Q82" s="28"/>
      <c r="R82" s="28"/>
      <c r="S82" s="28"/>
      <c r="T82" s="28"/>
      <c r="U82" s="28"/>
      <c r="V82" s="28"/>
      <c r="W82" s="28"/>
      <c r="X82" s="28"/>
      <c r="Y82" s="28"/>
      <c r="Z82" s="28"/>
      <c r="AA82" s="28"/>
      <c r="AB82" s="28"/>
    </row>
    <row r="83">
      <c r="A83" s="21" t="s">
        <v>516</v>
      </c>
      <c r="B83" s="22" t="s">
        <v>517</v>
      </c>
      <c r="C83" s="23" t="str">
        <f>IFERROR(__xludf.DUMMYFUNCTION("GOOGLETRANSLATE(B83, ""en"", ""fr"")"),"Hache d'os")</f>
        <v>Hache d'os</v>
      </c>
      <c r="D83" s="23" t="str">
        <f>IFERROR(__xludf.DUMMYFUNCTION("GOOGLETRANSLATE(B83, ""en"", ""es"")"),"Hacha de huesos")</f>
        <v>Hacha de huesos</v>
      </c>
      <c r="E83" s="23" t="str">
        <f>IFERROR(__xludf.DUMMYFUNCTION("GOOGLETRANSLATE(B83, ""en"", ""ru"")"),"Костяный топорик")</f>
        <v>Костяный топорик</v>
      </c>
      <c r="F83" s="23" t="str">
        <f>IFERROR(__xludf.DUMMYFUNCTION("GOOGLETRANSLATE(B83, ""en"", ""tr"")"),"Kemik balığı")</f>
        <v>Kemik balığı</v>
      </c>
      <c r="G83" s="23" t="str">
        <f>IFERROR(__xludf.DUMMYFUNCTION("GOOGLETRANSLATE(B83, ""en"", ""pt"")"),"Machadinha óssea.")</f>
        <v>Machadinha óssea.</v>
      </c>
      <c r="H83" s="24" t="str">
        <f>IFERROR(__xludf.DUMMYFUNCTION("GOOGLETRANSLATE(B83, ""en"", ""de"")"),"Knochenhoch")</f>
        <v>Knochenhoch</v>
      </c>
      <c r="I83" s="23" t="str">
        <f>IFERROR(__xludf.DUMMYFUNCTION("GOOGLETRANSLATE(B83, ""en"", ""pl"")"),"Hatchet kości")</f>
        <v>Hatchet kości</v>
      </c>
      <c r="J83" s="25" t="str">
        <f>IFERROR(__xludf.DUMMYFUNCTION("GOOGLETRANSLATE(B83, ""en"", ""zh"")"),"骨斧")</f>
        <v>骨斧</v>
      </c>
      <c r="K83" s="25" t="str">
        <f>IFERROR(__xludf.DUMMYFUNCTION("GOOGLETRANSLATE(B83, ""en"", ""vi"")"),"Xương hatchet.")</f>
        <v>Xương hatchet.</v>
      </c>
      <c r="L83" s="26" t="str">
        <f>IFERROR(__xludf.DUMMYFUNCTION("GOOGLETRANSLATE(B83, ""en"", ""hr"")"),"Kosti sjekira")</f>
        <v>Kosti sjekira</v>
      </c>
      <c r="M83" s="28"/>
      <c r="N83" s="28"/>
      <c r="O83" s="28"/>
      <c r="P83" s="28"/>
      <c r="Q83" s="28"/>
      <c r="R83" s="28"/>
      <c r="S83" s="28"/>
      <c r="T83" s="28"/>
      <c r="U83" s="28"/>
      <c r="V83" s="28"/>
      <c r="W83" s="28"/>
      <c r="X83" s="28"/>
      <c r="Y83" s="28"/>
      <c r="Z83" s="28"/>
      <c r="AA83" s="28"/>
      <c r="AB83" s="28"/>
    </row>
    <row r="84">
      <c r="A84" s="21" t="s">
        <v>518</v>
      </c>
      <c r="B84" s="22" t="s">
        <v>519</v>
      </c>
      <c r="C84" s="23" t="str">
        <f>IFERROR(__xludf.DUMMYFUNCTION("GOOGLETRANSLATE(B84, ""en"", ""fr"")"),"Utilisé pour couper les arbres pour le bois.")</f>
        <v>Utilisé pour couper les arbres pour le bois.</v>
      </c>
      <c r="D84" s="23" t="str">
        <f>IFERROR(__xludf.DUMMYFUNCTION("GOOGLETRANSLATE(B84, ""en"", ""es"")"),"Se utiliza para cortar árboles para la madera.")</f>
        <v>Se utiliza para cortar árboles para la madera.</v>
      </c>
      <c r="E84" s="23" t="str">
        <f>IFERROR(__xludf.DUMMYFUNCTION("GOOGLETRANSLATE(B84, ""en"", ""ru"")"),"Используется для измельчения деревьев для дерева.")</f>
        <v>Используется для измельчения деревьев для дерева.</v>
      </c>
      <c r="F84" s="23" t="str">
        <f>IFERROR(__xludf.DUMMYFUNCTION("GOOGLETRANSLATE(B84, ""en"", ""tr"")"),"Ağaçları ahşap için kesmek için kullanılır.")</f>
        <v>Ağaçları ahşap için kesmek için kullanılır.</v>
      </c>
      <c r="G84" s="23" t="str">
        <f>IFERROR(__xludf.DUMMYFUNCTION("GOOGLETRANSLATE(B84, ""en"", ""pt"")"),"Usado para cortar árvores para madeira.")</f>
        <v>Usado para cortar árvores para madeira.</v>
      </c>
      <c r="H84" s="24" t="str">
        <f>IFERROR(__xludf.DUMMYFUNCTION("GOOGLETRANSLATE(B84, ""en"", ""de"")"),"Verwendet, um Bäume für Holz zu hacken.")</f>
        <v>Verwendet, um Bäume für Holz zu hacken.</v>
      </c>
      <c r="I84" s="23" t="str">
        <f>IFERROR(__xludf.DUMMYFUNCTION("GOOGLETRANSLATE(B84, ""en"", ""pl"")"),"Służy do spięcia drzew do drewna.")</f>
        <v>Służy do spięcia drzew do drewna.</v>
      </c>
      <c r="J84" s="25" t="str">
        <f>IFERROR(__xludf.DUMMYFUNCTION("GOOGLETRANSLATE(B84, ""en"", ""zh"")"),"用来砍伐树木的树木。")</f>
        <v>用来砍伐树木的树木。</v>
      </c>
      <c r="K84" s="25" t="str">
        <f>IFERROR(__xludf.DUMMYFUNCTION("GOOGLETRANSLATE(B84, ""en"", ""vi"")"),"Dùng để chặt cây cho gỗ.")</f>
        <v>Dùng để chặt cây cho gỗ.</v>
      </c>
      <c r="L84" s="26" t="str">
        <f>IFERROR(__xludf.DUMMYFUNCTION("GOOGLETRANSLATE(B84, ""en"", ""hr"")"),"Koristi se za usitnjavanje drveća za drvo.")</f>
        <v>Koristi se za usitnjavanje drveća za drvo.</v>
      </c>
      <c r="M84" s="28"/>
      <c r="N84" s="28"/>
      <c r="O84" s="28"/>
      <c r="P84" s="28"/>
      <c r="Q84" s="28"/>
      <c r="R84" s="28"/>
      <c r="S84" s="28"/>
      <c r="T84" s="28"/>
      <c r="U84" s="28"/>
      <c r="V84" s="28"/>
      <c r="W84" s="28"/>
      <c r="X84" s="28"/>
      <c r="Y84" s="28"/>
      <c r="Z84" s="28"/>
      <c r="AA84" s="28"/>
      <c r="AB84" s="28"/>
    </row>
    <row r="85">
      <c r="A85" s="21" t="s">
        <v>520</v>
      </c>
      <c r="B85" s="22" t="s">
        <v>521</v>
      </c>
      <c r="C85" s="23" t="str">
        <f>IFERROR(__xludf.DUMMYFUNCTION("GOOGLETRANSLATE(B85, ""en"", ""fr"")"),"Pioche d'os")</f>
        <v>Pioche d'os</v>
      </c>
      <c r="D85" s="23" t="str">
        <f>IFERROR(__xludf.DUMMYFUNCTION("GOOGLETRANSLATE(B85, ""en"", ""es"")"),"Piqueta")</f>
        <v>Piqueta</v>
      </c>
      <c r="E85" s="23" t="str">
        <f>IFERROR(__xludf.DUMMYFUNCTION("GOOGLETRANSLATE(B85, ""en"", ""ru"")"),"Костяная пикакс")</f>
        <v>Костяная пикакс</v>
      </c>
      <c r="F85" s="23" t="str">
        <f>IFERROR(__xludf.DUMMYFUNCTION("GOOGLETRANSLATE(B85, ""en"", ""tr"")"),"Kemik kazakı")</f>
        <v>Kemik kazakı</v>
      </c>
      <c r="G85" s="23" t="str">
        <f>IFERROR(__xludf.DUMMYFUNCTION("GOOGLETRANSLATE(B85, ""en"", ""pt"")"),"Picareta de osso")</f>
        <v>Picareta de osso</v>
      </c>
      <c r="H85" s="24" t="str">
        <f>IFERROR(__xludf.DUMMYFUNCTION("GOOGLETRANSLATE(B85, ""en"", ""de"")"),"Knochenabnehmer")</f>
        <v>Knochenabnehmer</v>
      </c>
      <c r="I85" s="23" t="str">
        <f>IFERROR(__xludf.DUMMYFUNCTION("GOOGLETRANSLATE(B85, ""en"", ""pl"")"),"Kość kilof")</f>
        <v>Kość kilof</v>
      </c>
      <c r="J85" s="25" t="str">
        <f>IFERROR(__xludf.DUMMYFUNCTION("GOOGLETRANSLATE(B85, ""en"", ""zh"")"),"骨镐")</f>
        <v>骨镐</v>
      </c>
      <c r="K85" s="25" t="str">
        <f>IFERROR(__xludf.DUMMYFUNCTION("GOOGLETRANSLATE(B85, ""en"", ""vi"")"),"Pickaxe xương.")</f>
        <v>Pickaxe xương.</v>
      </c>
      <c r="L85" s="26" t="str">
        <f>IFERROR(__xludf.DUMMYFUNCTION("GOOGLETRANSLATE(B85, ""en"", ""hr"")"),"Kost pijesak")</f>
        <v>Kost pijesak</v>
      </c>
      <c r="M85" s="28"/>
      <c r="N85" s="28"/>
      <c r="O85" s="28"/>
      <c r="P85" s="28"/>
      <c r="Q85" s="28"/>
      <c r="R85" s="28"/>
      <c r="S85" s="28"/>
      <c r="T85" s="28"/>
      <c r="U85" s="28"/>
      <c r="V85" s="28"/>
      <c r="W85" s="28"/>
      <c r="X85" s="28"/>
      <c r="Y85" s="28"/>
      <c r="Z85" s="28"/>
      <c r="AA85" s="28"/>
      <c r="AB85" s="28"/>
    </row>
    <row r="86">
      <c r="A86" s="21" t="s">
        <v>522</v>
      </c>
      <c r="B86" s="22" t="s">
        <v>523</v>
      </c>
      <c r="C86" s="23" t="str">
        <f>IFERROR(__xludf.DUMMYFUNCTION("GOOGLETRANSLATE(B86, ""en"", ""fr"")"),"Utilisé pour mine rochers pour minerai.")</f>
        <v>Utilisé pour mine rochers pour minerai.</v>
      </c>
      <c r="D86" s="23" t="str">
        <f>IFERROR(__xludf.DUMMYFUNCTION("GOOGLETRANSLATE(B86, ""en"", ""es"")"),"Acostumbrado a minar rocas para mineral.")</f>
        <v>Acostumbrado a minar rocas para mineral.</v>
      </c>
      <c r="E86" s="23" t="str">
        <f>IFERROR(__xludf.DUMMYFUNCTION("GOOGLETRANSLATE(B86, ""en"", ""ru"")"),"Используется для моих скал для руды.")</f>
        <v>Используется для моих скал для руды.</v>
      </c>
      <c r="F86" s="23" t="str">
        <f>IFERROR(__xludf.DUMMYFUNCTION("GOOGLETRANSLATE(B86, ""en"", ""tr"")"),"Cevher için kayalar için kullanılır.")</f>
        <v>Cevher için kayalar için kullanılır.</v>
      </c>
      <c r="G86" s="23" t="str">
        <f>IFERROR(__xludf.DUMMYFUNCTION("GOOGLETRANSLATE(B86, ""en"", ""pt"")"),"Usado para minerar pedras para minério.")</f>
        <v>Usado para minerar pedras para minério.</v>
      </c>
      <c r="H86" s="24" t="str">
        <f>IFERROR(__xludf.DUMMYFUNCTION("GOOGLETRANSLATE(B86, ""en"", ""de"")"),"Verwendet, um Felsen für Erz zu gestalten.")</f>
        <v>Verwendet, um Felsen für Erz zu gestalten.</v>
      </c>
      <c r="I86" s="23" t="str">
        <f>IFERROR(__xludf.DUMMYFUNCTION("GOOGLETRANSLATE(B86, ""en"", ""pl"")"),"Używane do moich skał dla rudy.")</f>
        <v>Używane do moich skał dla rudy.</v>
      </c>
      <c r="J86" s="25" t="str">
        <f>IFERROR(__xludf.DUMMYFUNCTION("GOOGLETRANSLATE(B86, ""en"", ""zh"")"),"用于挖掘矿石的岩石。")</f>
        <v>用于挖掘矿石的岩石。</v>
      </c>
      <c r="K86" s="25" t="str">
        <f>IFERROR(__xludf.DUMMYFUNCTION("GOOGLETRANSLATE(B86, ""en"", ""vi"")"),"Được sử dụng để khai thác đá cho quặng.")</f>
        <v>Được sử dụng để khai thác đá cho quặng.</v>
      </c>
      <c r="L86" s="26" t="str">
        <f>IFERROR(__xludf.DUMMYFUNCTION("GOOGLETRANSLATE(B86, ""en"", ""hr"")"),"Koristi se za ručne stijene za rudu.")</f>
        <v>Koristi se za ručne stijene za rudu.</v>
      </c>
      <c r="M86" s="28"/>
      <c r="N86" s="28"/>
      <c r="O86" s="28"/>
      <c r="P86" s="28"/>
      <c r="Q86" s="28"/>
      <c r="R86" s="28"/>
      <c r="S86" s="28"/>
      <c r="T86" s="28"/>
      <c r="U86" s="28"/>
      <c r="V86" s="28"/>
      <c r="W86" s="28"/>
      <c r="X86" s="28"/>
      <c r="Y86" s="28"/>
      <c r="Z86" s="28"/>
      <c r="AA86" s="28"/>
      <c r="AB86" s="28"/>
    </row>
    <row r="87">
      <c r="A87" s="21" t="s">
        <v>524</v>
      </c>
      <c r="B87" s="22" t="s">
        <v>525</v>
      </c>
      <c r="C87" s="23" t="str">
        <f>IFERROR(__xludf.DUMMYFUNCTION("GOOGLETRANSLATE(B87, ""en"", ""fr"")"),"Hachette de fer")</f>
        <v>Hachette de fer</v>
      </c>
      <c r="D87" s="23" t="str">
        <f>IFERROR(__xludf.DUMMYFUNCTION("GOOGLETRANSLATE(B87, ""en"", ""es"")"),"Hacha de hierro")</f>
        <v>Hacha de hierro</v>
      </c>
      <c r="E87" s="23" t="str">
        <f>IFERROR(__xludf.DUMMYFUNCTION("GOOGLETRANSLATE(B87, ""en"", ""ru"")"),"Железный топорик")</f>
        <v>Железный топорик</v>
      </c>
      <c r="F87" s="23" t="str">
        <f>IFERROR(__xludf.DUMMYFUNCTION("GOOGLETRANSLATE(B87, ""en"", ""tr"")"),"Demir balta")</f>
        <v>Demir balta</v>
      </c>
      <c r="G87" s="23" t="str">
        <f>IFERROR(__xludf.DUMMYFUNCTION("GOOGLETRANSLATE(B87, ""en"", ""pt"")"),"Machadinha de ferro.")</f>
        <v>Machadinha de ferro.</v>
      </c>
      <c r="H87" s="24" t="str">
        <f>IFERROR(__xludf.DUMMYFUNCTION("GOOGLETRANSLATE(B87, ""en"", ""de"")"),"Eisenheilget")</f>
        <v>Eisenheilget</v>
      </c>
      <c r="I87" s="23" t="str">
        <f>IFERROR(__xludf.DUMMYFUNCTION("GOOGLETRANSLATE(B87, ""en"", ""pl"")"),"Iron Hatchet.")</f>
        <v>Iron Hatchet.</v>
      </c>
      <c r="J87" s="25" t="str">
        <f>IFERROR(__xludf.DUMMYFUNCTION("GOOGLETRANSLATE(B87, ""en"", ""zh"")"),"铁斧")</f>
        <v>铁斧</v>
      </c>
      <c r="K87" s="25" t="str">
        <f>IFERROR(__xludf.DUMMYFUNCTION("GOOGLETRANSLATE(B87, ""en"", ""vi"")"),"Iron hatchet.")</f>
        <v>Iron hatchet.</v>
      </c>
      <c r="L87" s="26" t="str">
        <f>IFERROR(__xludf.DUMMYFUNCTION("GOOGLETRANSLATE(B87, ""en"", ""hr"")"),"Željezna sjekirka")</f>
        <v>Željezna sjekirka</v>
      </c>
      <c r="M87" s="28"/>
      <c r="N87" s="28"/>
      <c r="O87" s="28"/>
      <c r="P87" s="28"/>
      <c r="Q87" s="28"/>
      <c r="R87" s="28"/>
      <c r="S87" s="28"/>
      <c r="T87" s="28"/>
      <c r="U87" s="28"/>
      <c r="V87" s="28"/>
      <c r="W87" s="28"/>
      <c r="X87" s="28"/>
      <c r="Y87" s="28"/>
      <c r="Z87" s="28"/>
      <c r="AA87" s="28"/>
      <c r="AB87" s="28"/>
    </row>
    <row r="88">
      <c r="A88" s="21" t="s">
        <v>526</v>
      </c>
      <c r="B88" s="22" t="s">
        <v>519</v>
      </c>
      <c r="C88" s="23" t="str">
        <f>IFERROR(__xludf.DUMMYFUNCTION("GOOGLETRANSLATE(B88, ""en"", ""fr"")"),"Utilisé pour couper les arbres pour le bois.")</f>
        <v>Utilisé pour couper les arbres pour le bois.</v>
      </c>
      <c r="D88" s="23" t="str">
        <f>IFERROR(__xludf.DUMMYFUNCTION("GOOGLETRANSLATE(B88, ""en"", ""es"")"),"Se utiliza para cortar árboles para la madera.")</f>
        <v>Se utiliza para cortar árboles para la madera.</v>
      </c>
      <c r="E88" s="23" t="str">
        <f>IFERROR(__xludf.DUMMYFUNCTION("GOOGLETRANSLATE(B88, ""en"", ""ru"")"),"Используется для измельчения деревьев для дерева.")</f>
        <v>Используется для измельчения деревьев для дерева.</v>
      </c>
      <c r="F88" s="23" t="str">
        <f>IFERROR(__xludf.DUMMYFUNCTION("GOOGLETRANSLATE(B88, ""en"", ""tr"")"),"Ağaçları ahşap için kesmek için kullanılır.")</f>
        <v>Ağaçları ahşap için kesmek için kullanılır.</v>
      </c>
      <c r="G88" s="23" t="str">
        <f>IFERROR(__xludf.DUMMYFUNCTION("GOOGLETRANSLATE(B88, ""en"", ""pt"")"),"Usado para cortar árvores para madeira.")</f>
        <v>Usado para cortar árvores para madeira.</v>
      </c>
      <c r="H88" s="24" t="str">
        <f>IFERROR(__xludf.DUMMYFUNCTION("GOOGLETRANSLATE(B88, ""en"", ""de"")"),"Verwendet, um Bäume für Holz zu hacken.")</f>
        <v>Verwendet, um Bäume für Holz zu hacken.</v>
      </c>
      <c r="I88" s="23" t="str">
        <f>IFERROR(__xludf.DUMMYFUNCTION("GOOGLETRANSLATE(B88, ""en"", ""pl"")"),"Służy do spięcia drzew do drewna.")</f>
        <v>Służy do spięcia drzew do drewna.</v>
      </c>
      <c r="J88" s="25" t="str">
        <f>IFERROR(__xludf.DUMMYFUNCTION("GOOGLETRANSLATE(B88, ""en"", ""zh"")"),"用来砍伐树木的树木。")</f>
        <v>用来砍伐树木的树木。</v>
      </c>
      <c r="K88" s="25" t="str">
        <f>IFERROR(__xludf.DUMMYFUNCTION("GOOGLETRANSLATE(B88, ""en"", ""vi"")"),"Dùng để chặt cây cho gỗ.")</f>
        <v>Dùng để chặt cây cho gỗ.</v>
      </c>
      <c r="L88" s="26" t="str">
        <f>IFERROR(__xludf.DUMMYFUNCTION("GOOGLETRANSLATE(B88, ""en"", ""hr"")"),"Koristi se za usitnjavanje drveća za drvo.")</f>
        <v>Koristi se za usitnjavanje drveća za drvo.</v>
      </c>
      <c r="M88" s="28"/>
      <c r="N88" s="28"/>
      <c r="O88" s="28"/>
      <c r="P88" s="28"/>
      <c r="Q88" s="28"/>
      <c r="R88" s="28"/>
      <c r="S88" s="28"/>
      <c r="T88" s="28"/>
      <c r="U88" s="28"/>
      <c r="V88" s="28"/>
      <c r="W88" s="28"/>
      <c r="X88" s="28"/>
      <c r="Y88" s="28"/>
      <c r="Z88" s="28"/>
      <c r="AA88" s="28"/>
      <c r="AB88" s="28"/>
    </row>
    <row r="89">
      <c r="A89" s="21" t="s">
        <v>527</v>
      </c>
      <c r="B89" s="22" t="s">
        <v>528</v>
      </c>
      <c r="C89" s="23" t="str">
        <f>IFERROR(__xludf.DUMMYFUNCTION("GOOGLETRANSLATE(B89, ""en"", ""fr"")"),"Pioche de fer")</f>
        <v>Pioche de fer</v>
      </c>
      <c r="D89" s="23" t="str">
        <f>IFERROR(__xludf.DUMMYFUNCTION("GOOGLETRANSLATE(B89, ""en"", ""es"")"),"Piqueta de hierro")</f>
        <v>Piqueta de hierro</v>
      </c>
      <c r="E89" s="23" t="str">
        <f>IFERROR(__xludf.DUMMYFUNCTION("GOOGLETRANSLATE(B89, ""en"", ""ru"")"),"Железный пикарь")</f>
        <v>Железный пикарь</v>
      </c>
      <c r="F89" s="23" t="str">
        <f>IFERROR(__xludf.DUMMYFUNCTION("GOOGLETRANSLATE(B89, ""en"", ""tr"")"),"Demir kazma")</f>
        <v>Demir kazma</v>
      </c>
      <c r="G89" s="23" t="str">
        <f>IFERROR(__xludf.DUMMYFUNCTION("GOOGLETRANSLATE(B89, ""en"", ""pt"")"),"Pickaxe de ferro")</f>
        <v>Pickaxe de ferro</v>
      </c>
      <c r="H89" s="24" t="str">
        <f>IFERROR(__xludf.DUMMYFUNCTION("GOOGLETRANSLATE(B89, ""en"", ""de"")"),"Eisen-Spitzhacke.")</f>
        <v>Eisen-Spitzhacke.</v>
      </c>
      <c r="I89" s="23" t="str">
        <f>IFERROR(__xludf.DUMMYFUNCTION("GOOGLETRANSLATE(B89, ""en"", ""pl"")"),"Żelazny kilof")</f>
        <v>Żelazny kilof</v>
      </c>
      <c r="J89" s="25" t="str">
        <f>IFERROR(__xludf.DUMMYFUNCTION("GOOGLETRANSLATE(B89, ""en"", ""zh"")"),"铁镐")</f>
        <v>铁镐</v>
      </c>
      <c r="K89" s="25" t="str">
        <f>IFERROR(__xludf.DUMMYFUNCTION("GOOGLETRANSLATE(B89, ""en"", ""vi"")"),"Iron Pickaxe.")</f>
        <v>Iron Pickaxe.</v>
      </c>
      <c r="L89" s="26" t="str">
        <f>IFERROR(__xludf.DUMMYFUNCTION("GOOGLETRANSLATE(B89, ""en"", ""hr"")"),"Željezo pikaksi")</f>
        <v>Željezo pikaksi</v>
      </c>
      <c r="M89" s="28"/>
      <c r="N89" s="28"/>
      <c r="O89" s="28"/>
      <c r="P89" s="28"/>
      <c r="Q89" s="28"/>
      <c r="R89" s="28"/>
      <c r="S89" s="28"/>
      <c r="T89" s="28"/>
      <c r="U89" s="28"/>
      <c r="V89" s="28"/>
      <c r="W89" s="28"/>
      <c r="X89" s="28"/>
      <c r="Y89" s="28"/>
      <c r="Z89" s="28"/>
      <c r="AA89" s="28"/>
      <c r="AB89" s="28"/>
    </row>
    <row r="90">
      <c r="A90" s="21" t="s">
        <v>529</v>
      </c>
      <c r="B90" s="22" t="s">
        <v>523</v>
      </c>
      <c r="C90" s="23" t="str">
        <f>IFERROR(__xludf.DUMMYFUNCTION("GOOGLETRANSLATE(B90, ""en"", ""fr"")"),"Utilisé pour mine rochers pour minerai.")</f>
        <v>Utilisé pour mine rochers pour minerai.</v>
      </c>
      <c r="D90" s="23" t="str">
        <f>IFERROR(__xludf.DUMMYFUNCTION("GOOGLETRANSLATE(B90, ""en"", ""es"")"),"Acostumbrado a minar rocas para mineral.")</f>
        <v>Acostumbrado a minar rocas para mineral.</v>
      </c>
      <c r="E90" s="23" t="str">
        <f>IFERROR(__xludf.DUMMYFUNCTION("GOOGLETRANSLATE(B90, ""en"", ""ru"")"),"Используется для моих скал для руды.")</f>
        <v>Используется для моих скал для руды.</v>
      </c>
      <c r="F90" s="23" t="str">
        <f>IFERROR(__xludf.DUMMYFUNCTION("GOOGLETRANSLATE(B90, ""en"", ""tr"")"),"Cevher için kayalar için kullanılır.")</f>
        <v>Cevher için kayalar için kullanılır.</v>
      </c>
      <c r="G90" s="23" t="str">
        <f>IFERROR(__xludf.DUMMYFUNCTION("GOOGLETRANSLATE(B90, ""en"", ""pt"")"),"Usado para minerar pedras para minério.")</f>
        <v>Usado para minerar pedras para minério.</v>
      </c>
      <c r="H90" s="24" t="str">
        <f>IFERROR(__xludf.DUMMYFUNCTION("GOOGLETRANSLATE(B90, ""en"", ""de"")"),"Verwendet, um Felsen für Erz zu gestalten.")</f>
        <v>Verwendet, um Felsen für Erz zu gestalten.</v>
      </c>
      <c r="I90" s="23" t="str">
        <f>IFERROR(__xludf.DUMMYFUNCTION("GOOGLETRANSLATE(B90, ""en"", ""pl"")"),"Używane do moich skał dla rudy.")</f>
        <v>Używane do moich skał dla rudy.</v>
      </c>
      <c r="J90" s="25" t="str">
        <f>IFERROR(__xludf.DUMMYFUNCTION("GOOGLETRANSLATE(B90, ""en"", ""zh"")"),"用于挖掘矿石的岩石。")</f>
        <v>用于挖掘矿石的岩石。</v>
      </c>
      <c r="K90" s="25" t="str">
        <f>IFERROR(__xludf.DUMMYFUNCTION("GOOGLETRANSLATE(B90, ""en"", ""vi"")"),"Được sử dụng để khai thác đá cho quặng.")</f>
        <v>Được sử dụng để khai thác đá cho quặng.</v>
      </c>
      <c r="L90" s="26" t="str">
        <f>IFERROR(__xludf.DUMMYFUNCTION("GOOGLETRANSLATE(B90, ""en"", ""hr"")"),"Koristi se za ručne stijene za rudu.")</f>
        <v>Koristi se za ručne stijene za rudu.</v>
      </c>
      <c r="M90" s="28"/>
      <c r="N90" s="28"/>
      <c r="O90" s="28"/>
      <c r="P90" s="28"/>
      <c r="Q90" s="28"/>
      <c r="R90" s="28"/>
      <c r="S90" s="28"/>
      <c r="T90" s="28"/>
      <c r="U90" s="28"/>
      <c r="V90" s="28"/>
      <c r="W90" s="28"/>
      <c r="X90" s="28"/>
      <c r="Y90" s="28"/>
      <c r="Z90" s="28"/>
      <c r="AA90" s="28"/>
      <c r="AB90" s="28"/>
    </row>
    <row r="91">
      <c r="A91" s="21" t="s">
        <v>530</v>
      </c>
      <c r="B91" s="22" t="s">
        <v>531</v>
      </c>
      <c r="C91" s="23" t="str">
        <f>IFERROR(__xludf.DUMMYFUNCTION("GOOGLETRANSLATE(B91, ""en"", ""fr"")"),"Faucille de fer")</f>
        <v>Faucille de fer</v>
      </c>
      <c r="D91" s="23" t="str">
        <f>IFERROR(__xludf.DUMMYFUNCTION("GOOGLETRANSLATE(B91, ""en"", ""es"")"),"Falsedad de hierro")</f>
        <v>Falsedad de hierro</v>
      </c>
      <c r="E91" s="23" t="str">
        <f>IFERROR(__xludf.DUMMYFUNCTION("GOOGLETRANSLATE(B91, ""en"", ""ru"")"),"Железный серп")</f>
        <v>Железный серп</v>
      </c>
      <c r="F91" s="23" t="str">
        <f>IFERROR(__xludf.DUMMYFUNCTION("GOOGLETRANSLATE(B91, ""en"", ""tr"")"),"Orak")</f>
        <v>Orak</v>
      </c>
      <c r="G91" s="23" t="str">
        <f>IFERROR(__xludf.DUMMYFUNCTION("GOOGLETRANSLATE(B91, ""en"", ""pt"")"),"Foice de ferro")</f>
        <v>Foice de ferro</v>
      </c>
      <c r="H91" s="24" t="str">
        <f>IFERROR(__xludf.DUMMYFUNCTION("GOOGLETRANSLATE(B91, ""en"", ""de"")"),"Eisenckel")</f>
        <v>Eisenckel</v>
      </c>
      <c r="I91" s="23" t="str">
        <f>IFERROR(__xludf.DUMMYFUNCTION("GOOGLETRANSLATE(B91, ""en"", ""pl"")"),"Żelazny sierp")</f>
        <v>Żelazny sierp</v>
      </c>
      <c r="J91" s="25" t="str">
        <f>IFERROR(__xludf.DUMMYFUNCTION("GOOGLETRANSLATE(B91, ""en"", ""zh"")"),"铁镰刀")</f>
        <v>铁镰刀</v>
      </c>
      <c r="K91" s="25" t="str">
        <f>IFERROR(__xludf.DUMMYFUNCTION("GOOGLETRANSLATE(B91, ""en"", ""vi"")"),"Sắt liềm")</f>
        <v>Sắt liềm</v>
      </c>
      <c r="L91" s="26" t="str">
        <f>IFERROR(__xludf.DUMMYFUNCTION("GOOGLETRANSLATE(B91, ""en"", ""hr"")"),"Željezni srp")</f>
        <v>Željezni srp</v>
      </c>
      <c r="M91" s="28"/>
      <c r="N91" s="28"/>
      <c r="O91" s="28"/>
      <c r="P91" s="28"/>
      <c r="Q91" s="28"/>
      <c r="R91" s="28"/>
      <c r="S91" s="28"/>
      <c r="T91" s="28"/>
      <c r="U91" s="28"/>
      <c r="V91" s="28"/>
      <c r="W91" s="28"/>
      <c r="X91" s="28"/>
      <c r="Y91" s="28"/>
      <c r="Z91" s="28"/>
      <c r="AA91" s="28"/>
      <c r="AB91" s="28"/>
    </row>
    <row r="92">
      <c r="A92" s="21" t="s">
        <v>532</v>
      </c>
      <c r="B92" s="22" t="s">
        <v>533</v>
      </c>
      <c r="C92" s="23" t="str">
        <f>IFERROR(__xludf.DUMMYFUNCTION("GOOGLETRANSLATE(B92, ""en"", ""fr"")"),"Utilisé pour recueillir des plantes.")</f>
        <v>Utilisé pour recueillir des plantes.</v>
      </c>
      <c r="D92" s="23" t="str">
        <f>IFERROR(__xludf.DUMMYFUNCTION("GOOGLETRANSLATE(B92, ""en"", ""es"")"),"Se utiliza para recoger plantas.")</f>
        <v>Se utiliza para recoger plantas.</v>
      </c>
      <c r="E92" s="23" t="str">
        <f>IFERROR(__xludf.DUMMYFUNCTION("GOOGLETRANSLATE(B92, ""en"", ""ru"")"),"Используется для собрания растений.")</f>
        <v>Используется для собрания растений.</v>
      </c>
      <c r="F92" s="23" t="str">
        <f>IFERROR(__xludf.DUMMYFUNCTION("GOOGLETRANSLATE(B92, ""en"", ""tr"")"),"Bitkileri toplamak için kullanılır.")</f>
        <v>Bitkileri toplamak için kullanılır.</v>
      </c>
      <c r="G92" s="23" t="str">
        <f>IFERROR(__xludf.DUMMYFUNCTION("GOOGLETRANSLATE(B92, ""en"", ""pt"")"),"Usado para reunir plantas.")</f>
        <v>Usado para reunir plantas.</v>
      </c>
      <c r="H92" s="24" t="str">
        <f>IFERROR(__xludf.DUMMYFUNCTION("GOOGLETRANSLATE(B92, ""en"", ""de"")"),"Verwendet, um Pflanzen zu sammeln.")</f>
        <v>Verwendet, um Pflanzen zu sammeln.</v>
      </c>
      <c r="I92" s="23" t="str">
        <f>IFERROR(__xludf.DUMMYFUNCTION("GOOGLETRANSLATE(B92, ""en"", ""pl"")"),"Używane do zbierania roślin.")</f>
        <v>Używane do zbierania roślin.</v>
      </c>
      <c r="J92" s="25" t="str">
        <f>IFERROR(__xludf.DUMMYFUNCTION("GOOGLETRANSLATE(B92, ""en"", ""zh"")"),"用来收集植物。")</f>
        <v>用来收集植物。</v>
      </c>
      <c r="K92" s="25" t="str">
        <f>IFERROR(__xludf.DUMMYFUNCTION("GOOGLETRANSLATE(B92, ""en"", ""vi"")"),"Dùng để thu thập cây.")</f>
        <v>Dùng để thu thập cây.</v>
      </c>
      <c r="L92" s="26" t="str">
        <f>IFERROR(__xludf.DUMMYFUNCTION("GOOGLETRANSLATE(B92, ""en"", ""hr"")"),"Koristi se za prikupljanje biljaka.")</f>
        <v>Koristi se za prikupljanje biljaka.</v>
      </c>
      <c r="M92" s="28"/>
      <c r="N92" s="28"/>
      <c r="O92" s="28"/>
      <c r="P92" s="28"/>
      <c r="Q92" s="28"/>
      <c r="R92" s="28"/>
      <c r="S92" s="28"/>
      <c r="T92" s="28"/>
      <c r="U92" s="28"/>
      <c r="V92" s="28"/>
      <c r="W92" s="28"/>
      <c r="X92" s="28"/>
      <c r="Y92" s="28"/>
      <c r="Z92" s="28"/>
      <c r="AA92" s="28"/>
      <c r="AB92" s="28"/>
    </row>
    <row r="93">
      <c r="A93" s="21" t="s">
        <v>534</v>
      </c>
      <c r="B93" s="22" t="s">
        <v>535</v>
      </c>
      <c r="C93" s="23" t="str">
        <f>IFERROR(__xludf.DUMMYFUNCTION("GOOGLETRANSLATE(B93, ""en"", ""fr"")"),"Flèches de fer")</f>
        <v>Flèches de fer</v>
      </c>
      <c r="D93" s="23" t="str">
        <f>IFERROR(__xludf.DUMMYFUNCTION("GOOGLETRANSLATE(B93, ""en"", ""es"")"),"Flechas de hierro")</f>
        <v>Flechas de hierro</v>
      </c>
      <c r="E93" s="23" t="str">
        <f>IFERROR(__xludf.DUMMYFUNCTION("GOOGLETRANSLATE(B93, ""en"", ""ru"")"),"Железные стрелки")</f>
        <v>Железные стрелки</v>
      </c>
      <c r="F93" s="23" t="str">
        <f>IFERROR(__xludf.DUMMYFUNCTION("GOOGLETRANSLATE(B93, ""en"", ""tr"")"),"Demir oklar")</f>
        <v>Demir oklar</v>
      </c>
      <c r="G93" s="23" t="str">
        <f>IFERROR(__xludf.DUMMYFUNCTION("GOOGLETRANSLATE(B93, ""en"", ""pt"")"),"Flechas de ferro")</f>
        <v>Flechas de ferro</v>
      </c>
      <c r="H93" s="24" t="str">
        <f>IFERROR(__xludf.DUMMYFUNCTION("GOOGLETRANSLATE(B93, ""en"", ""de"")"),"Eisenpfeile.")</f>
        <v>Eisenpfeile.</v>
      </c>
      <c r="I93" s="23" t="str">
        <f>IFERROR(__xludf.DUMMYFUNCTION("GOOGLETRANSLATE(B93, ""en"", ""pl"")"),"Żelazne strzały")</f>
        <v>Żelazne strzały</v>
      </c>
      <c r="J93" s="25" t="str">
        <f>IFERROR(__xludf.DUMMYFUNCTION("GOOGLETRANSLATE(B93, ""en"", ""zh"")"),"铁箭头")</f>
        <v>铁箭头</v>
      </c>
      <c r="K93" s="25" t="str">
        <f>IFERROR(__xludf.DUMMYFUNCTION("GOOGLETRANSLATE(B93, ""en"", ""vi"")"),"Mũi tên sắt")</f>
        <v>Mũi tên sắt</v>
      </c>
      <c r="L93" s="26" t="str">
        <f>IFERROR(__xludf.DUMMYFUNCTION("GOOGLETRANSLATE(B93, ""en"", ""hr"")"),"Željezne strelice")</f>
        <v>Željezne strelice</v>
      </c>
      <c r="M93" s="28"/>
      <c r="N93" s="28"/>
      <c r="O93" s="28"/>
      <c r="P93" s="28"/>
      <c r="Q93" s="28"/>
      <c r="R93" s="28"/>
      <c r="S93" s="28"/>
      <c r="T93" s="28"/>
      <c r="U93" s="28"/>
      <c r="V93" s="28"/>
      <c r="W93" s="28"/>
      <c r="X93" s="28"/>
      <c r="Y93" s="28"/>
      <c r="Z93" s="28"/>
      <c r="AA93" s="28"/>
      <c r="AB93" s="28"/>
    </row>
    <row r="94">
      <c r="A94" s="21" t="s">
        <v>536</v>
      </c>
      <c r="B94" s="22" t="s">
        <v>537</v>
      </c>
      <c r="C94" s="23" t="str">
        <f>IFERROR(__xludf.DUMMYFUNCTION("GOOGLETRANSLATE(B94, ""en"", ""fr"")"),"Utilisé comme munition pour un arc.")</f>
        <v>Utilisé comme munition pour un arc.</v>
      </c>
      <c r="D94" s="23" t="str">
        <f>IFERROR(__xludf.DUMMYFUNCTION("GOOGLETRANSLATE(B94, ""en"", ""es"")"),"Utilizado como municiones para un arco.")</f>
        <v>Utilizado como municiones para un arco.</v>
      </c>
      <c r="E94" s="23" t="str">
        <f>IFERROR(__xludf.DUMMYFUNCTION("GOOGLETRANSLATE(B94, ""en"", ""ru"")"),"Используется в качестве боеприпасов для лука.")</f>
        <v>Используется в качестве боеприпасов для лука.</v>
      </c>
      <c r="F94" s="23" t="str">
        <f>IFERROR(__xludf.DUMMYFUNCTION("GOOGLETRANSLATE(B94, ""en"", ""tr"")"),"Bir yay için mühimmat olarak kullanılır.")</f>
        <v>Bir yay için mühimmat olarak kullanılır.</v>
      </c>
      <c r="G94" s="23" t="str">
        <f>IFERROR(__xludf.DUMMYFUNCTION("GOOGLETRANSLATE(B94, ""en"", ""pt"")"),"Usado como munição para um arco.")</f>
        <v>Usado como munição para um arco.</v>
      </c>
      <c r="H94" s="24" t="str">
        <f>IFERROR(__xludf.DUMMYFUNCTION("GOOGLETRANSLATE(B94, ""en"", ""de"")"),"Als Munition für einen Bogen verwendet.")</f>
        <v>Als Munition für einen Bogen verwendet.</v>
      </c>
      <c r="I94" s="23" t="str">
        <f>IFERROR(__xludf.DUMMYFUNCTION("GOOGLETRANSLATE(B94, ""en"", ""pl"")"),"Używany jako amunicja na łuk.")</f>
        <v>Używany jako amunicja na łuk.</v>
      </c>
      <c r="J94" s="25" t="str">
        <f>IFERROR(__xludf.DUMMYFUNCTION("GOOGLETRANSLATE(B94, ""en"", ""zh"")"),"用作弓的弹药。")</f>
        <v>用作弓的弹药。</v>
      </c>
      <c r="K94" s="25" t="str">
        <f>IFERROR(__xludf.DUMMYFUNCTION("GOOGLETRANSLATE(B94, ""en"", ""vi"")"),"Dùng làm đạn cho một cây cung.")</f>
        <v>Dùng làm đạn cho một cây cung.</v>
      </c>
      <c r="L94" s="26" t="str">
        <f>IFERROR(__xludf.DUMMYFUNCTION("GOOGLETRANSLATE(B94, ""en"", ""hr"")"),"Koristi se kao streljivo za luk.")</f>
        <v>Koristi se kao streljivo za luk.</v>
      </c>
      <c r="M94" s="28"/>
      <c r="N94" s="28"/>
      <c r="O94" s="28"/>
      <c r="P94" s="28"/>
      <c r="Q94" s="28"/>
      <c r="R94" s="28"/>
      <c r="S94" s="28"/>
      <c r="T94" s="28"/>
      <c r="U94" s="28"/>
      <c r="V94" s="28"/>
      <c r="W94" s="28"/>
      <c r="X94" s="28"/>
      <c r="Y94" s="28"/>
      <c r="Z94" s="28"/>
      <c r="AA94" s="28"/>
      <c r="AB94" s="28"/>
    </row>
    <row r="95">
      <c r="A95" s="21" t="s">
        <v>538</v>
      </c>
      <c r="B95" s="22" t="s">
        <v>539</v>
      </c>
      <c r="C95" s="23" t="str">
        <f>IFERROR(__xludf.DUMMYFUNCTION("GOOGLETRANSLATE(B95, ""en"", ""fr"")"),"Poignard de fer")</f>
        <v>Poignard de fer</v>
      </c>
      <c r="D95" s="23" t="str">
        <f>IFERROR(__xludf.DUMMYFUNCTION("GOOGLETRANSLATE(B95, ""en"", ""es"")"),"Daga de hierro")</f>
        <v>Daga de hierro</v>
      </c>
      <c r="E95" s="23" t="str">
        <f>IFERROR(__xludf.DUMMYFUNCTION("GOOGLETRANSLATE(B95, ""en"", ""ru"")"),"Железный кинжал")</f>
        <v>Железный кинжал</v>
      </c>
      <c r="F95" s="23" t="str">
        <f>IFERROR(__xludf.DUMMYFUNCTION("GOOGLETRANSLATE(B95, ""en"", ""tr"")"),"Demir hançer")</f>
        <v>Demir hançer</v>
      </c>
      <c r="G95" s="23" t="str">
        <f>IFERROR(__xludf.DUMMYFUNCTION("GOOGLETRANSLATE(B95, ""en"", ""pt"")"),"Punhal de ferro")</f>
        <v>Punhal de ferro</v>
      </c>
      <c r="H95" s="24" t="str">
        <f>IFERROR(__xludf.DUMMYFUNCTION("GOOGLETRANSLATE(B95, ""en"", ""de"")"),"Eisendolch")</f>
        <v>Eisendolch</v>
      </c>
      <c r="I95" s="23" t="str">
        <f>IFERROR(__xludf.DUMMYFUNCTION("GOOGLETRANSLATE(B95, ""en"", ""pl"")"),"Żelazny sztylet.")</f>
        <v>Żelazny sztylet.</v>
      </c>
      <c r="J95" s="25" t="str">
        <f>IFERROR(__xludf.DUMMYFUNCTION("GOOGLETRANSLATE(B95, ""en"", ""zh"")"),"铁匕首")</f>
        <v>铁匕首</v>
      </c>
      <c r="K95" s="25" t="str">
        <f>IFERROR(__xludf.DUMMYFUNCTION("GOOGLETRANSLATE(B95, ""en"", ""vi"")"),"Dagger sắt")</f>
        <v>Dagger sắt</v>
      </c>
      <c r="L95" s="26" t="str">
        <f>IFERROR(__xludf.DUMMYFUNCTION("GOOGLETRANSLATE(B95, ""en"", ""hr"")"),"Željezni bodež")</f>
        <v>Željezni bodež</v>
      </c>
      <c r="M95" s="28"/>
      <c r="N95" s="28"/>
      <c r="O95" s="28"/>
      <c r="P95" s="28"/>
      <c r="Q95" s="28"/>
      <c r="R95" s="28"/>
      <c r="S95" s="28"/>
      <c r="T95" s="28"/>
      <c r="U95" s="28"/>
      <c r="V95" s="28"/>
      <c r="W95" s="28"/>
      <c r="X95" s="28"/>
      <c r="Y95" s="28"/>
      <c r="Z95" s="28"/>
      <c r="AA95" s="28"/>
      <c r="AB95" s="28"/>
    </row>
    <row r="96">
      <c r="A96" s="21" t="s">
        <v>540</v>
      </c>
      <c r="B96" s="22" t="s">
        <v>541</v>
      </c>
      <c r="C96" s="23" t="str">
        <f>IFERROR(__xludf.DUMMYFUNCTION("GOOGLETRANSLATE(B96, ""en"", ""fr"")"),"Une arme de mêlée à courte portée. Traite des dégâts de bonus quand il frappe derrière lui.")</f>
        <v>Une arme de mêlée à courte portée. Traite des dégâts de bonus quand il frappe derrière lui.</v>
      </c>
      <c r="D96" s="23" t="str">
        <f>IFERROR(__xludf.DUMMYFUNCTION("GOOGLETRANSLATE(B96, ""en"", ""es"")"),"Un breve arma cuerpo a cuerpo. Ofrece daño de bonificación cuando llega por detrás.")</f>
        <v>Un breve arma cuerpo a cuerpo. Ofrece daño de bonificación cuando llega por detrás.</v>
      </c>
      <c r="E96" s="23" t="str">
        <f>IFERROR(__xludf.DUMMYFUNCTION("GOOGLETRANSLATE(B96, ""en"", ""ru"")"),"Оружие ближнего уровня ближнего действия. Надет бонусный урон, когда он попадает сзади.")</f>
        <v>Оружие ближнего уровня ближнего действия. Надет бонусный урон, когда он попадает сзади.</v>
      </c>
      <c r="F96" s="23" t="str">
        <f>IFERROR(__xludf.DUMMYFUNCTION("GOOGLETRANSLATE(B96, ""en"", ""tr"")"),"Kısa menzilli bir yakın dövüş silahı. Arkadan isabet ettiğinde bonus hasarı fırsatlar.")</f>
        <v>Kısa menzilli bir yakın dövüş silahı. Arkadan isabet ettiğinde bonus hasarı fırsatlar.</v>
      </c>
      <c r="G96" s="23" t="str">
        <f>IFERROR(__xludf.DUMMYFUNCTION("GOOGLETRANSLATE(B96, ""en"", ""pt"")"),"Uma arma de corpo a corpo de curto alcance. Oferece dano de bônus quando atinge por trás.")</f>
        <v>Uma arma de corpo a corpo de curto alcance. Oferece dano de bônus quando atinge por trás.</v>
      </c>
      <c r="H96" s="24" t="str">
        <f>IFERROR(__xludf.DUMMYFUNCTION("GOOGLETRANSLATE(B96, ""en"", ""de"")"),"Eine kurze Reichweite-Nahkampfwaffe. Befasst sich mit Bonusschäden, wenn sie von hinten trifft.")</f>
        <v>Eine kurze Reichweite-Nahkampfwaffe. Befasst sich mit Bonusschäden, wenn sie von hinten trifft.</v>
      </c>
      <c r="I96" s="23" t="str">
        <f>IFERROR(__xludf.DUMMYFUNCTION("GOOGLETRANSLATE(B96, ""en"", ""pl"")"),"Broń wręcz broni. Oferty bonusowe uszkodzenia, gdy uderza od tyłu.")</f>
        <v>Broń wręcz broni. Oferty bonusowe uszkodzenia, gdy uderza od tyłu.</v>
      </c>
      <c r="J96" s="25" t="str">
        <f>IFERROR(__xludf.DUMMYFUNCTION("GOOGLETRANSLATE(B96, ""en"", ""zh"")"),"短程近战武器。从后面击中时造成奖金损坏。")</f>
        <v>短程近战武器。从后面击中时造成奖金损坏。</v>
      </c>
      <c r="K96" s="25" t="str">
        <f>IFERROR(__xludf.DUMMYFUNCTION("GOOGLETRANSLATE(B96, ""en"", ""vi"")"),"Một vũ khí cận chiến ngắn. Gây sát thương tiền thưởng khi nó đánh từ phía sau.")</f>
        <v>Một vũ khí cận chiến ngắn. Gây sát thương tiền thưởng khi nó đánh từ phía sau.</v>
      </c>
      <c r="L96" s="26" t="str">
        <f>IFERROR(__xludf.DUMMYFUNCTION("GOOGLETRANSLATE(B96, ""en"", ""hr"")"),"Kratki prostor za gužvu. Bavi bonus štete kada pogodi iza sebe.")</f>
        <v>Kratki prostor za gužvu. Bavi bonus štete kada pogodi iza sebe.</v>
      </c>
      <c r="M96" s="28"/>
      <c r="N96" s="28"/>
      <c r="O96" s="28"/>
      <c r="P96" s="28"/>
      <c r="Q96" s="28"/>
      <c r="R96" s="28"/>
      <c r="S96" s="28"/>
      <c r="T96" s="28"/>
      <c r="U96" s="28"/>
      <c r="V96" s="28"/>
      <c r="W96" s="28"/>
      <c r="X96" s="28"/>
      <c r="Y96" s="28"/>
      <c r="Z96" s="28"/>
      <c r="AA96" s="28"/>
      <c r="AB96" s="28"/>
    </row>
    <row r="97">
      <c r="A97" s="21" t="s">
        <v>542</v>
      </c>
      <c r="B97" s="22" t="s">
        <v>543</v>
      </c>
      <c r="C97" s="23" t="str">
        <f>IFERROR(__xludf.DUMMYFUNCTION("GOOGLETRANSLATE(B97, ""en"", ""fr"")"),"Épée de fer")</f>
        <v>Épée de fer</v>
      </c>
      <c r="D97" s="23" t="str">
        <f>IFERROR(__xludf.DUMMYFUNCTION("GOOGLETRANSLATE(B97, ""en"", ""es"")"),"Espada de hierro")</f>
        <v>Espada de hierro</v>
      </c>
      <c r="E97" s="23" t="str">
        <f>IFERROR(__xludf.DUMMYFUNCTION("GOOGLETRANSLATE(B97, ""en"", ""ru"")"),"Железный меч")</f>
        <v>Железный меч</v>
      </c>
      <c r="F97" s="23" t="str">
        <f>IFERROR(__xludf.DUMMYFUNCTION("GOOGLETRANSLATE(B97, ""en"", ""tr"")"),"Demir kılıç")</f>
        <v>Demir kılıç</v>
      </c>
      <c r="G97" s="23" t="str">
        <f>IFERROR(__xludf.DUMMYFUNCTION("GOOGLETRANSLATE(B97, ""en"", ""pt"")"),"Espada de ferro")</f>
        <v>Espada de ferro</v>
      </c>
      <c r="H97" s="24" t="str">
        <f>IFERROR(__xludf.DUMMYFUNCTION("GOOGLETRANSLATE(B97, ""en"", ""de"")"),"Eisenschwert")</f>
        <v>Eisenschwert</v>
      </c>
      <c r="I97" s="23" t="str">
        <f>IFERROR(__xludf.DUMMYFUNCTION("GOOGLETRANSLATE(B97, ""en"", ""pl"")"),"Żelazny miecz")</f>
        <v>Żelazny miecz</v>
      </c>
      <c r="J97" s="25" t="str">
        <f>IFERROR(__xludf.DUMMYFUNCTION("GOOGLETRANSLATE(B97, ""en"", ""zh"")"),"铁剑")</f>
        <v>铁剑</v>
      </c>
      <c r="K97" s="25" t="str">
        <f>IFERROR(__xludf.DUMMYFUNCTION("GOOGLETRANSLATE(B97, ""en"", ""vi"")"),"Thanh kiếm sắt")</f>
        <v>Thanh kiếm sắt</v>
      </c>
      <c r="L97" s="26" t="str">
        <f>IFERROR(__xludf.DUMMYFUNCTION("GOOGLETRANSLATE(B97, ""en"", ""hr"")"),"Željezni mač")</f>
        <v>Željezni mač</v>
      </c>
      <c r="M97" s="28"/>
      <c r="N97" s="28"/>
      <c r="O97" s="28"/>
      <c r="P97" s="28"/>
      <c r="Q97" s="28"/>
      <c r="R97" s="28"/>
      <c r="S97" s="28"/>
      <c r="T97" s="28"/>
      <c r="U97" s="28"/>
      <c r="V97" s="28"/>
      <c r="W97" s="28"/>
      <c r="X97" s="28"/>
      <c r="Y97" s="28"/>
      <c r="Z97" s="28"/>
      <c r="AA97" s="28"/>
      <c r="AB97" s="28"/>
    </row>
    <row r="98">
      <c r="A98" s="21" t="s">
        <v>544</v>
      </c>
      <c r="B98" s="22" t="s">
        <v>545</v>
      </c>
      <c r="C98" s="23" t="str">
        <f>IFERROR(__xludf.DUMMYFUNCTION("GOOGLETRANSLATE(B98, ""en"", ""fr"")"),"Arme de mêlée. Utilisé pour attaquer une courte distance.")</f>
        <v>Arme de mêlée. Utilisé pour attaquer une courte distance.</v>
      </c>
      <c r="D98" s="23" t="str">
        <f>IFERROR(__xludf.DUMMYFUNCTION("GOOGLETRANSLATE(B98, ""en"", ""es"")"),"Arma cuerpo a cuerpo. Se utiliza para atacar a una corta distancia.")</f>
        <v>Arma cuerpo a cuerpo. Se utiliza para atacar a una corta distancia.</v>
      </c>
      <c r="E98" s="23" t="str">
        <f>IFERROR(__xludf.DUMMYFUNCTION("GOOGLETRANSLATE(B98, ""en"", ""ru"")"),"Оружие ближнего боя. Используется для атаки на на небольшом расстоянии.")</f>
        <v>Оружие ближнего боя. Используется для атаки на на небольшом расстоянии.</v>
      </c>
      <c r="F98" s="23" t="str">
        <f>IFERROR(__xludf.DUMMYFUNCTION("GOOGLETRANSLATE(B98, ""en"", ""tr"")"),"Yakın dövüş silahı. Kısa bir mesafeye saldırmak için kullanılır.")</f>
        <v>Yakın dövüş silahı. Kısa bir mesafeye saldırmak için kullanılır.</v>
      </c>
      <c r="G98" s="23" t="str">
        <f>IFERROR(__xludf.DUMMYFUNCTION("GOOGLETRANSLATE(B98, ""en"", ""pt"")"),"Arma branca. Usado para atacar uma curta distância.")</f>
        <v>Arma branca. Usado para atacar uma curta distância.</v>
      </c>
      <c r="H98" s="24" t="str">
        <f>IFERROR(__xludf.DUMMYFUNCTION("GOOGLETRANSLATE(B98, ""en"", ""de"")"),"Nahkampfwaffe. Verwendet, um eine kurze Entfernung anzugreifen.")</f>
        <v>Nahkampfwaffe. Verwendet, um eine kurze Entfernung anzugreifen.</v>
      </c>
      <c r="I98" s="23" t="str">
        <f>IFERROR(__xludf.DUMMYFUNCTION("GOOGLETRANSLATE(B98, ""en"", ""pl"")"),"Broń biała. Używany do ataku w niewielkiej odległości.")</f>
        <v>Broń biała. Używany do ataku w niewielkiej odległości.</v>
      </c>
      <c r="J98" s="25" t="str">
        <f>IFERROR(__xludf.DUMMYFUNCTION("GOOGLETRANSLATE(B98, ""en"", ""zh"")"),"近战武器。用来攻击很短的距离。")</f>
        <v>近战武器。用来攻击很短的距离。</v>
      </c>
      <c r="K98" s="25" t="str">
        <f>IFERROR(__xludf.DUMMYFUNCTION("GOOGLETRANSLATE(B98, ""en"", ""vi"")"),"Vũ khí cận chiến. Được sử dụng để tấn công một khoảng cách ngắn đi.")</f>
        <v>Vũ khí cận chiến. Được sử dụng để tấn công một khoảng cách ngắn đi.</v>
      </c>
      <c r="L98" s="26" t="str">
        <f>IFERROR(__xludf.DUMMYFUNCTION("GOOGLETRANSLATE(B98, ""en"", ""hr"")"),"Melee Oružje. Koristi se za napad na kratku udaljenost.")</f>
        <v>Melee Oružje. Koristi se za napad na kratku udaljenost.</v>
      </c>
      <c r="M98" s="28"/>
      <c r="N98" s="28"/>
      <c r="O98" s="28"/>
      <c r="P98" s="28"/>
      <c r="Q98" s="28"/>
      <c r="R98" s="28"/>
      <c r="S98" s="28"/>
      <c r="T98" s="28"/>
      <c r="U98" s="28"/>
      <c r="V98" s="28"/>
      <c r="W98" s="28"/>
      <c r="X98" s="28"/>
      <c r="Y98" s="28"/>
      <c r="Z98" s="28"/>
      <c r="AA98" s="28"/>
      <c r="AB98" s="28"/>
    </row>
    <row r="99">
      <c r="A99" s="21" t="s">
        <v>546</v>
      </c>
      <c r="B99" s="22" t="s">
        <v>547</v>
      </c>
      <c r="C99" s="23" t="str">
        <f>IFERROR(__xludf.DUMMYFUNCTION("GOOGLETRANSLATE(B99, ""en"", ""fr"")"),"Marteau de fer")</f>
        <v>Marteau de fer</v>
      </c>
      <c r="D99" s="23" t="str">
        <f>IFERROR(__xludf.DUMMYFUNCTION("GOOGLETRANSLATE(B99, ""en"", ""es"")"),"Martillo de hierro")</f>
        <v>Martillo de hierro</v>
      </c>
      <c r="E99" s="23" t="str">
        <f>IFERROR(__xludf.DUMMYFUNCTION("GOOGLETRANSLATE(B99, ""en"", ""ru"")"),"Железный молоток")</f>
        <v>Железный молоток</v>
      </c>
      <c r="F99" s="23" t="str">
        <f>IFERROR(__xludf.DUMMYFUNCTION("GOOGLETRANSLATE(B99, ""en"", ""tr"")"),"Demir çekiç")</f>
        <v>Demir çekiç</v>
      </c>
      <c r="G99" s="23" t="str">
        <f>IFERROR(__xludf.DUMMYFUNCTION("GOOGLETRANSLATE(B99, ""en"", ""pt"")"),"Martelo de ferro")</f>
        <v>Martelo de ferro</v>
      </c>
      <c r="H99" s="24" t="str">
        <f>IFERROR(__xludf.DUMMYFUNCTION("GOOGLETRANSLATE(B99, ""en"", ""de"")"),"Eisenhammer")</f>
        <v>Eisenhammer</v>
      </c>
      <c r="I99" s="23" t="str">
        <f>IFERROR(__xludf.DUMMYFUNCTION("GOOGLETRANSLATE(B99, ""en"", ""pl"")"),"Żelazny młot")</f>
        <v>Żelazny młot</v>
      </c>
      <c r="J99" s="25" t="str">
        <f>IFERROR(__xludf.DUMMYFUNCTION("GOOGLETRANSLATE(B99, ""en"", ""zh"")"),"铁锤")</f>
        <v>铁锤</v>
      </c>
      <c r="K99" s="25" t="str">
        <f>IFERROR(__xludf.DUMMYFUNCTION("GOOGLETRANSLATE(B99, ""en"", ""vi"")"),"Búa sắt")</f>
        <v>Búa sắt</v>
      </c>
      <c r="L99" s="26" t="str">
        <f>IFERROR(__xludf.DUMMYFUNCTION("GOOGLETRANSLATE(B99, ""en"", ""hr"")"),"Željezni čekić")</f>
        <v>Željezni čekić</v>
      </c>
      <c r="M99" s="28"/>
      <c r="N99" s="28"/>
      <c r="O99" s="28"/>
      <c r="P99" s="28"/>
      <c r="Q99" s="28"/>
      <c r="R99" s="28"/>
      <c r="S99" s="28"/>
      <c r="T99" s="28"/>
      <c r="U99" s="28"/>
      <c r="V99" s="28"/>
      <c r="W99" s="28"/>
      <c r="X99" s="28"/>
      <c r="Y99" s="28"/>
      <c r="Z99" s="28"/>
      <c r="AA99" s="28"/>
      <c r="AB99" s="28"/>
    </row>
    <row r="100">
      <c r="A100" s="21" t="s">
        <v>548</v>
      </c>
      <c r="B100" s="22" t="s">
        <v>549</v>
      </c>
      <c r="C100" s="23" t="str">
        <f>IFERROR(__xludf.DUMMYFUNCTION("GOOGLETRANSLATE(B100, ""en"", ""fr"")"),"Arme de mêlée. Pousse les choses en arrière un espace quand il frappe.")</f>
        <v>Arme de mêlée. Pousse les choses en arrière un espace quand il frappe.</v>
      </c>
      <c r="D100" s="23" t="str">
        <f>IFERROR(__xludf.DUMMYFUNCTION("GOOGLETRANSLATE(B100, ""en"", ""es"")"),"Arma cuerpo a cuerpo. Empuja las cosas de vuelta un espacio cuando golpea.")</f>
        <v>Arma cuerpo a cuerpo. Empuja las cosas de vuelta un espacio cuando golpea.</v>
      </c>
      <c r="E100" s="23" t="str">
        <f>IFERROR(__xludf.DUMMYFUNCTION("GOOGLETRANSLATE(B100, ""en"", ""ru"")"),"Оружие ближнего боя. Толкает вещи назад одно пространство, когда он попадает.")</f>
        <v>Оружие ближнего боя. Толкает вещи назад одно пространство, когда он попадает.</v>
      </c>
      <c r="F100" s="23" t="str">
        <f>IFERROR(__xludf.DUMMYFUNCTION("GOOGLETRANSLATE(B100, ""en"", ""tr"")"),"Yakın dövüş silahı. Şeyleri vururken bir şeyi geri iter.")</f>
        <v>Yakın dövüş silahı. Şeyleri vururken bir şeyi geri iter.</v>
      </c>
      <c r="G100" s="23" t="str">
        <f>IFERROR(__xludf.DUMMYFUNCTION("GOOGLETRANSLATE(B100, ""en"", ""pt"")"),"Arma branca. Empurra as coisas de volta um espaço quando ele atinge.")</f>
        <v>Arma branca. Empurra as coisas de volta um espaço quando ele atinge.</v>
      </c>
      <c r="H100" s="24" t="str">
        <f>IFERROR(__xludf.DUMMYFUNCTION("GOOGLETRANSLATE(B100, ""en"", ""de"")"),"Nahkampfwaffe. Schiebt die Dinge zurück, wenn es trifft.")</f>
        <v>Nahkampfwaffe. Schiebt die Dinge zurück, wenn es trifft.</v>
      </c>
      <c r="I100" s="23" t="str">
        <f>IFERROR(__xludf.DUMMYFUNCTION("GOOGLETRANSLATE(B100, ""en"", ""pl"")"),"Broń biała. Popycha rzeczy z powrotem jedną przestrzeń, gdy uderza.")</f>
        <v>Broń biała. Popycha rzeczy z powrotem jedną przestrzeń, gdy uderza.</v>
      </c>
      <c r="J100" s="25" t="str">
        <f>IFERROR(__xludf.DUMMYFUNCTION("GOOGLETRANSLATE(B100, ""en"", ""zh"")"),"近战武器。当它命中时，将物质推回一个空间。")</f>
        <v>近战武器。当它命中时，将物质推回一个空间。</v>
      </c>
      <c r="K100" s="25" t="str">
        <f>IFERROR(__xludf.DUMMYFUNCTION("GOOGLETRANSLATE(B100, ""en"", ""vi"")"),"Vũ khí cận chiến. Đẩy mọi thứ trở lại một không gian khi nó hit.")</f>
        <v>Vũ khí cận chiến. Đẩy mọi thứ trở lại một không gian khi nó hit.</v>
      </c>
      <c r="L100" s="26" t="str">
        <f>IFERROR(__xludf.DUMMYFUNCTION("GOOGLETRANSLATE(B100, ""en"", ""hr"")"),"Melee Oružje. Gura stvari natrag jedan prostor kada pogodi.")</f>
        <v>Melee Oružje. Gura stvari natrag jedan prostor kada pogodi.</v>
      </c>
      <c r="M100" s="28"/>
      <c r="N100" s="28"/>
      <c r="O100" s="28"/>
      <c r="P100" s="28"/>
      <c r="Q100" s="28"/>
      <c r="R100" s="28"/>
      <c r="S100" s="28"/>
      <c r="T100" s="28"/>
      <c r="U100" s="28"/>
      <c r="V100" s="28"/>
      <c r="W100" s="28"/>
      <c r="X100" s="28"/>
      <c r="Y100" s="28"/>
      <c r="Z100" s="28"/>
      <c r="AA100" s="28"/>
      <c r="AB100" s="28"/>
    </row>
    <row r="101">
      <c r="A101" s="21" t="s">
        <v>550</v>
      </c>
      <c r="B101" s="22" t="s">
        <v>551</v>
      </c>
      <c r="C101" s="23" t="str">
        <f>IFERROR(__xludf.DUMMYFUNCTION("GOOGLETRANSLATE(B101, ""en"", ""fr"")"),"Armure de fer")</f>
        <v>Armure de fer</v>
      </c>
      <c r="D101" s="23" t="str">
        <f>IFERROR(__xludf.DUMMYFUNCTION("GOOGLETRANSLATE(B101, ""en"", ""es"")"),"Armadura de hierro")</f>
        <v>Armadura de hierro</v>
      </c>
      <c r="E101" s="23" t="str">
        <f>IFERROR(__xludf.DUMMYFUNCTION("GOOGLETRANSLATE(B101, ""en"", ""ru"")"),"Железная броня")</f>
        <v>Железная броня</v>
      </c>
      <c r="F101" s="23" t="str">
        <f>IFERROR(__xludf.DUMMYFUNCTION("GOOGLETRANSLATE(B101, ""en"", ""tr"")"),"Demir zırh")</f>
        <v>Demir zırh</v>
      </c>
      <c r="G101" s="23" t="str">
        <f>IFERROR(__xludf.DUMMYFUNCTION("GOOGLETRANSLATE(B101, ""en"", ""pt"")"),"Armadura de ferro")</f>
        <v>Armadura de ferro</v>
      </c>
      <c r="H101" s="24" t="str">
        <f>IFERROR(__xludf.DUMMYFUNCTION("GOOGLETRANSLATE(B101, ""en"", ""de"")"),"Eisenrüstung")</f>
        <v>Eisenrüstung</v>
      </c>
      <c r="I101" s="23" t="str">
        <f>IFERROR(__xludf.DUMMYFUNCTION("GOOGLETRANSLATE(B101, ""en"", ""pl"")"),"Żelazna zbroja")</f>
        <v>Żelazna zbroja</v>
      </c>
      <c r="J101" s="25" t="str">
        <f>IFERROR(__xludf.DUMMYFUNCTION("GOOGLETRANSLATE(B101, ""en"", ""zh"")"),"铁盔甲")</f>
        <v>铁盔甲</v>
      </c>
      <c r="K101" s="25" t="str">
        <f>IFERROR(__xludf.DUMMYFUNCTION("GOOGLETRANSLATE(B101, ""en"", ""vi"")"),"Giáp sắt")</f>
        <v>Giáp sắt</v>
      </c>
      <c r="L101" s="26" t="str">
        <f>IFERROR(__xludf.DUMMYFUNCTION("GOOGLETRANSLATE(B101, ""en"", ""hr"")"),"Željezni oklop")</f>
        <v>Željezni oklop</v>
      </c>
      <c r="M101" s="28"/>
      <c r="N101" s="28"/>
      <c r="O101" s="28"/>
      <c r="P101" s="28"/>
      <c r="Q101" s="28"/>
      <c r="R101" s="28"/>
      <c r="S101" s="28"/>
      <c r="T101" s="28"/>
      <c r="U101" s="28"/>
      <c r="V101" s="28"/>
      <c r="W101" s="28"/>
      <c r="X101" s="28"/>
      <c r="Y101" s="28"/>
      <c r="Z101" s="28"/>
      <c r="AA101" s="28"/>
      <c r="AB101" s="28"/>
    </row>
    <row r="102">
      <c r="A102" s="21" t="s">
        <v>552</v>
      </c>
      <c r="B102" s="22" t="s">
        <v>553</v>
      </c>
      <c r="C102" s="23" t="str">
        <f>IFERROR(__xludf.DUMMYFUNCTION("GOOGLETRANSLATE(B102, ""en"", ""fr"")"),"Armure de base pour réduire les dommages prises. Augmente votre statistique de mêlée tout en porté.")</f>
        <v>Armure de base pour réduire les dommages prises. Augmente votre statistique de mêlée tout en porté.</v>
      </c>
      <c r="D102" s="23" t="str">
        <f>IFERROR(__xludf.DUMMYFUNCTION("GOOGLETRANSLATE(B102, ""en"", ""es"")"),"Armadura básica para reducir los daños tomados. Aumenta tu estadística de Melee mientras se usa.")</f>
        <v>Armadura básica para reducir los daños tomados. Aumenta tu estadística de Melee mientras se usa.</v>
      </c>
      <c r="E102" s="23" t="str">
        <f>IFERROR(__xludf.DUMMYFUNCTION("GOOGLETRANSLATE(B102, ""en"", ""ru"")"),"Основные доспехи, чтобы уменьшить ущерб. Увеличивает вашу статую ближнего боя в ношу.")</f>
        <v>Основные доспехи, чтобы уменьшить ущерб. Увеличивает вашу статую ближнего боя в ношу.</v>
      </c>
      <c r="F102" s="23" t="str">
        <f>IFERROR(__xludf.DUMMYFUNCTION("GOOGLETRANSLATE(B102, ""en"", ""tr"")"),"Alınan hasarı azaltmak için temel zırh. Yıpranırken yakın dövüş statünüzü arttırır.")</f>
        <v>Alınan hasarı azaltmak için temel zırh. Yıpranırken yakın dövüş statünüzü arttırır.</v>
      </c>
      <c r="G102" s="23" t="str">
        <f>IFERROR(__xludf.DUMMYFUNCTION("GOOGLETRANSLATE(B102, ""en"", ""pt"")"),"Armadura básica para reduzir danos causados. Aumenta sua estatística corpo-a-corpo enquanto estiver desgastada.")</f>
        <v>Armadura básica para reduzir danos causados. Aumenta sua estatística corpo-a-corpo enquanto estiver desgastada.</v>
      </c>
      <c r="H102" s="24" t="str">
        <f>IFERROR(__xludf.DUMMYFUNCTION("GOOGLETRANSLATE(B102, ""en"", ""de"")"),"Grundpanzer, um den genommenen Schaden zu reduzieren. Erhöht Ihren Nahkampfstat während getragen.")</f>
        <v>Grundpanzer, um den genommenen Schaden zu reduzieren. Erhöht Ihren Nahkampfstat während getragen.</v>
      </c>
      <c r="I102" s="23" t="str">
        <f>IFERROR(__xludf.DUMMYFUNCTION("GOOGLETRANSLATE(B102, ""en"", ""pl"")"),"Podstawowa zbroja w celu zmniejszenia obrażeń. Zwiększa statystykę w walce w walce podczas noszenia.")</f>
        <v>Podstawowa zbroja w celu zmniejszenia obrażeń. Zwiększa statystykę w walce w walce podczas noszenia.</v>
      </c>
      <c r="J102" s="25" t="str">
        <f>IFERROR(__xludf.DUMMYFUNCTION("GOOGLETRANSLATE(B102, ""en"", ""zh"")"),"基本盔甲减少伤害。磨损时增加了近战统计数据。")</f>
        <v>基本盔甲减少伤害。磨损时增加了近战统计数据。</v>
      </c>
      <c r="K102" s="25" t="str">
        <f>IFERROR(__xludf.DUMMYFUNCTION("GOOGLETRANSLATE(B102, ""en"", ""vi"")"),"Áo giáp cơ bản để giảm thiệt hại. Tăng số liệu thống kê cận chiến của bạn trong khi bị mòn.")</f>
        <v>Áo giáp cơ bản để giảm thiệt hại. Tăng số liệu thống kê cận chiến của bạn trong khi bị mòn.</v>
      </c>
      <c r="L102" s="26" t="str">
        <f>IFERROR(__xludf.DUMMYFUNCTION("GOOGLETRANSLATE(B102, ""en"", ""hr"")"),"Osnovni oklop za smanjenje oštećenja. Povećava vašu gužvu stat dok se nosi.")</f>
        <v>Osnovni oklop za smanjenje oštećenja. Povećava vašu gužvu stat dok se nosi.</v>
      </c>
      <c r="M102" s="28"/>
      <c r="N102" s="28"/>
      <c r="O102" s="28"/>
      <c r="P102" s="28"/>
      <c r="Q102" s="28"/>
      <c r="R102" s="28"/>
      <c r="S102" s="28"/>
      <c r="T102" s="28"/>
      <c r="U102" s="28"/>
      <c r="V102" s="28"/>
      <c r="W102" s="28"/>
      <c r="X102" s="28"/>
      <c r="Y102" s="28"/>
      <c r="Z102" s="28"/>
      <c r="AA102" s="28"/>
      <c r="AB102" s="28"/>
    </row>
    <row r="103">
      <c r="A103" s="21" t="s">
        <v>554</v>
      </c>
      <c r="B103" s="22" t="s">
        <v>555</v>
      </c>
      <c r="C103" s="23" t="str">
        <f>IFERROR(__xludf.DUMMYFUNCTION("GOOGLETRANSLATE(B103, ""en"", ""fr"")"),"Hache de dungium")</f>
        <v>Hache de dungium</v>
      </c>
      <c r="D103" s="23" t="str">
        <f>IFERROR(__xludf.DUMMYFUNCTION("GOOGLETRANSLATE(B103, ""en"", ""es"")"),"Hacha de dungium")</f>
        <v>Hacha de dungium</v>
      </c>
      <c r="E103" s="23" t="str">
        <f>IFERROR(__xludf.DUMMYFUNCTION("GOOGLETRANSLATE(B103, ""en"", ""ru"")"),"Дунгуй")</f>
        <v>Дунгуй</v>
      </c>
      <c r="F103" s="23" t="str">
        <f>IFERROR(__xludf.DUMMYFUNCTION("GOOGLETRANSLATE(B103, ""en"", ""tr"")"),"Dungium baltası")</f>
        <v>Dungium baltası</v>
      </c>
      <c r="G103" s="23" t="str">
        <f>IFERROR(__xludf.DUMMYFUNCTION("GOOGLETRANSLATE(B103, ""en"", ""pt"")"),"Machadinha de dungium.")</f>
        <v>Machadinha de dungium.</v>
      </c>
      <c r="H103" s="24" t="str">
        <f>IFERROR(__xludf.DUMMYFUNCTION("GOOGLETRANSLATE(B103, ""en"", ""de"")"),"Dungium-Beil")</f>
        <v>Dungium-Beil</v>
      </c>
      <c r="I103" s="23" t="str">
        <f>IFERROR(__xludf.DUMMYFUNCTION("GOOGLETRANSLATE(B103, ""en"", ""pl"")"),"Dungium Hatchet.")</f>
        <v>Dungium Hatchet.</v>
      </c>
      <c r="J103" s="25" t="str">
        <f>IFERROR(__xludf.DUMMYFUNCTION("GOOGLETRANSLATE(B103, ""en"", ""zh"")"),"柴油机")</f>
        <v>柴油机</v>
      </c>
      <c r="K103" s="25" t="str">
        <f>IFERROR(__xludf.DUMMYFUNCTION("GOOGLETRANSLATE(B103, ""en"", ""vi"")"),"Dungium hatchet.")</f>
        <v>Dungium hatchet.</v>
      </c>
      <c r="L103" s="26" t="str">
        <f>IFERROR(__xludf.DUMMYFUNCTION("GOOGLETRANSLATE(B103, ""en"", ""hr"")"),"Dungium Hatchet")</f>
        <v>Dungium Hatchet</v>
      </c>
      <c r="M103" s="28"/>
      <c r="N103" s="28"/>
      <c r="O103" s="28"/>
      <c r="P103" s="28"/>
      <c r="Q103" s="28"/>
      <c r="R103" s="28"/>
      <c r="S103" s="28"/>
      <c r="T103" s="28"/>
      <c r="U103" s="28"/>
      <c r="V103" s="28"/>
      <c r="W103" s="28"/>
      <c r="X103" s="28"/>
      <c r="Y103" s="28"/>
      <c r="Z103" s="28"/>
      <c r="AA103" s="28"/>
      <c r="AB103" s="28"/>
    </row>
    <row r="104">
      <c r="A104" s="21" t="s">
        <v>556</v>
      </c>
      <c r="B104" s="22" t="s">
        <v>519</v>
      </c>
      <c r="C104" s="23" t="str">
        <f>IFERROR(__xludf.DUMMYFUNCTION("GOOGLETRANSLATE(B104, ""en"", ""fr"")"),"Utilisé pour couper les arbres pour le bois.")</f>
        <v>Utilisé pour couper les arbres pour le bois.</v>
      </c>
      <c r="D104" s="23" t="str">
        <f>IFERROR(__xludf.DUMMYFUNCTION("GOOGLETRANSLATE(B104, ""en"", ""es"")"),"Se utiliza para cortar árboles para la madera.")</f>
        <v>Se utiliza para cortar árboles para la madera.</v>
      </c>
      <c r="E104" s="23" t="str">
        <f>IFERROR(__xludf.DUMMYFUNCTION("GOOGLETRANSLATE(B104, ""en"", ""ru"")"),"Используется для измельчения деревьев для дерева.")</f>
        <v>Используется для измельчения деревьев для дерева.</v>
      </c>
      <c r="F104" s="23" t="str">
        <f>IFERROR(__xludf.DUMMYFUNCTION("GOOGLETRANSLATE(B104, ""en"", ""tr"")"),"Ağaçları ahşap için kesmek için kullanılır.")</f>
        <v>Ağaçları ahşap için kesmek için kullanılır.</v>
      </c>
      <c r="G104" s="23" t="str">
        <f>IFERROR(__xludf.DUMMYFUNCTION("GOOGLETRANSLATE(B104, ""en"", ""pt"")"),"Usado para cortar árvores para madeira.")</f>
        <v>Usado para cortar árvores para madeira.</v>
      </c>
      <c r="H104" s="24" t="str">
        <f>IFERROR(__xludf.DUMMYFUNCTION("GOOGLETRANSLATE(B104, ""en"", ""de"")"),"Verwendet, um Bäume für Holz zu hacken.")</f>
        <v>Verwendet, um Bäume für Holz zu hacken.</v>
      </c>
      <c r="I104" s="23" t="str">
        <f>IFERROR(__xludf.DUMMYFUNCTION("GOOGLETRANSLATE(B104, ""en"", ""pl"")"),"Służy do spięcia drzew do drewna.")</f>
        <v>Służy do spięcia drzew do drewna.</v>
      </c>
      <c r="J104" s="25" t="str">
        <f>IFERROR(__xludf.DUMMYFUNCTION("GOOGLETRANSLATE(B104, ""en"", ""zh"")"),"用来砍伐树木的树木。")</f>
        <v>用来砍伐树木的树木。</v>
      </c>
      <c r="K104" s="25" t="str">
        <f>IFERROR(__xludf.DUMMYFUNCTION("GOOGLETRANSLATE(B104, ""en"", ""vi"")"),"Dùng để chặt cây cho gỗ.")</f>
        <v>Dùng để chặt cây cho gỗ.</v>
      </c>
      <c r="L104" s="26" t="str">
        <f>IFERROR(__xludf.DUMMYFUNCTION("GOOGLETRANSLATE(B104, ""en"", ""hr"")"),"Koristi se za usitnjavanje drveća za drvo.")</f>
        <v>Koristi se za usitnjavanje drveća za drvo.</v>
      </c>
      <c r="M104" s="28"/>
      <c r="N104" s="28"/>
      <c r="O104" s="28"/>
      <c r="P104" s="28"/>
      <c r="Q104" s="28"/>
      <c r="R104" s="28"/>
      <c r="S104" s="28"/>
      <c r="T104" s="28"/>
      <c r="U104" s="28"/>
      <c r="V104" s="28"/>
      <c r="W104" s="28"/>
      <c r="X104" s="28"/>
      <c r="Y104" s="28"/>
      <c r="Z104" s="28"/>
      <c r="AA104" s="28"/>
      <c r="AB104" s="28"/>
    </row>
    <row r="105">
      <c r="A105" s="21" t="s">
        <v>557</v>
      </c>
      <c r="B105" s="22" t="s">
        <v>558</v>
      </c>
      <c r="C105" s="23" t="str">
        <f>IFERROR(__xludf.DUMMYFUNCTION("GOOGLETRANSLATE(B105, ""en"", ""fr"")"),"Pickaxe Dungium")</f>
        <v>Pickaxe Dungium</v>
      </c>
      <c r="D105" s="23" t="str">
        <f>IFERROR(__xludf.DUMMYFUNCTION("GOOGLETRANSLATE(B105, ""en"", ""es"")"),"Pico de dunmium")</f>
        <v>Pico de dunmium</v>
      </c>
      <c r="E105" s="23" t="str">
        <f>IFERROR(__xludf.DUMMYFUNCTION("GOOGLETRANSLATE(B105, ""en"", ""ru"")"),"Викторина Dungium")</f>
        <v>Викторина Dungium</v>
      </c>
      <c r="F105" s="23" t="str">
        <f>IFERROR(__xludf.DUMMYFUNCTION("GOOGLETRANSLATE(B105, ""en"", ""tr"")"),"Dungium kazmaxe")</f>
        <v>Dungium kazmaxe</v>
      </c>
      <c r="G105" s="23" t="str">
        <f>IFERROR(__xludf.DUMMYFUNCTION("GOOGLETRANSLATE(B105, ""en"", ""pt"")"),"Dungium Pickaxe.")</f>
        <v>Dungium Pickaxe.</v>
      </c>
      <c r="H105" s="24" t="str">
        <f>IFERROR(__xludf.DUMMYFUNCTION("GOOGLETRANSLATE(B105, ""en"", ""de"")"),"Dungium Picker")</f>
        <v>Dungium Picker</v>
      </c>
      <c r="I105" s="23" t="str">
        <f>IFERROR(__xludf.DUMMYFUNCTION("GOOGLETRANSLATE(B105, ""en"", ""pl"")"),"Dungaxe.")</f>
        <v>Dungaxe.</v>
      </c>
      <c r="J105" s="25" t="str">
        <f>IFERROR(__xludf.DUMMYFUNCTION("GOOGLETRANSLATE(B105, ""en"", ""zh"")"),"pick镐")</f>
        <v>pick镐</v>
      </c>
      <c r="K105" s="25" t="str">
        <f>IFERROR(__xludf.DUMMYFUNCTION("GOOGLETRANSLATE(B105, ""en"", ""vi"")"),"Dungium Pickaxe.")</f>
        <v>Dungium Pickaxe.</v>
      </c>
      <c r="L105" s="26" t="str">
        <f>IFERROR(__xludf.DUMMYFUNCTION("GOOGLETRANSLATE(B105, ""en"", ""hr"")"),"Dungium Pickexe")</f>
        <v>Dungium Pickexe</v>
      </c>
      <c r="M105" s="28"/>
      <c r="N105" s="28"/>
      <c r="O105" s="28"/>
      <c r="P105" s="28"/>
      <c r="Q105" s="28"/>
      <c r="R105" s="28"/>
      <c r="S105" s="28"/>
      <c r="T105" s="28"/>
      <c r="U105" s="28"/>
      <c r="V105" s="28"/>
      <c r="W105" s="28"/>
      <c r="X105" s="28"/>
      <c r="Y105" s="28"/>
      <c r="Z105" s="28"/>
      <c r="AA105" s="28"/>
      <c r="AB105" s="28"/>
    </row>
    <row r="106">
      <c r="A106" s="21" t="s">
        <v>559</v>
      </c>
      <c r="B106" s="22" t="s">
        <v>523</v>
      </c>
      <c r="C106" s="23" t="str">
        <f>IFERROR(__xludf.DUMMYFUNCTION("GOOGLETRANSLATE(B106, ""en"", ""fr"")"),"Utilisé pour mine rochers pour minerai.")</f>
        <v>Utilisé pour mine rochers pour minerai.</v>
      </c>
      <c r="D106" s="23" t="str">
        <f>IFERROR(__xludf.DUMMYFUNCTION("GOOGLETRANSLATE(B106, ""en"", ""es"")"),"Acostumbrado a minar rocas para mineral.")</f>
        <v>Acostumbrado a minar rocas para mineral.</v>
      </c>
      <c r="E106" s="23" t="str">
        <f>IFERROR(__xludf.DUMMYFUNCTION("GOOGLETRANSLATE(B106, ""en"", ""ru"")"),"Используется для моих скал для руды.")</f>
        <v>Используется для моих скал для руды.</v>
      </c>
      <c r="F106" s="23" t="str">
        <f>IFERROR(__xludf.DUMMYFUNCTION("GOOGLETRANSLATE(B106, ""en"", ""tr"")"),"Cevher için kayalar için kullanılır.")</f>
        <v>Cevher için kayalar için kullanılır.</v>
      </c>
      <c r="G106" s="23" t="str">
        <f>IFERROR(__xludf.DUMMYFUNCTION("GOOGLETRANSLATE(B106, ""en"", ""pt"")"),"Usado para minerar pedras para minério.")</f>
        <v>Usado para minerar pedras para minério.</v>
      </c>
      <c r="H106" s="24" t="str">
        <f>IFERROR(__xludf.DUMMYFUNCTION("GOOGLETRANSLATE(B106, ""en"", ""de"")"),"Verwendet, um Felsen für Erz zu gestalten.")</f>
        <v>Verwendet, um Felsen für Erz zu gestalten.</v>
      </c>
      <c r="I106" s="23" t="str">
        <f>IFERROR(__xludf.DUMMYFUNCTION("GOOGLETRANSLATE(B106, ""en"", ""pl"")"),"Używane do moich skał dla rudy.")</f>
        <v>Używane do moich skał dla rudy.</v>
      </c>
      <c r="J106" s="25" t="str">
        <f>IFERROR(__xludf.DUMMYFUNCTION("GOOGLETRANSLATE(B106, ""en"", ""zh"")"),"用于挖掘矿石的岩石。")</f>
        <v>用于挖掘矿石的岩石。</v>
      </c>
      <c r="K106" s="25" t="str">
        <f>IFERROR(__xludf.DUMMYFUNCTION("GOOGLETRANSLATE(B106, ""en"", ""vi"")"),"Được sử dụng để khai thác đá cho quặng.")</f>
        <v>Được sử dụng để khai thác đá cho quặng.</v>
      </c>
      <c r="L106" s="26" t="str">
        <f>IFERROR(__xludf.DUMMYFUNCTION("GOOGLETRANSLATE(B106, ""en"", ""hr"")"),"Koristi se za ručne stijene za rudu.")</f>
        <v>Koristi se za ručne stijene za rudu.</v>
      </c>
      <c r="M106" s="28"/>
      <c r="N106" s="28"/>
      <c r="O106" s="28"/>
      <c r="P106" s="28"/>
      <c r="Q106" s="28"/>
      <c r="R106" s="28"/>
      <c r="S106" s="28"/>
      <c r="T106" s="28"/>
      <c r="U106" s="28"/>
      <c r="V106" s="28"/>
      <c r="W106" s="28"/>
      <c r="X106" s="28"/>
      <c r="Y106" s="28"/>
      <c r="Z106" s="28"/>
      <c r="AA106" s="28"/>
      <c r="AB106" s="28"/>
    </row>
    <row r="107">
      <c r="A107" s="21" t="s">
        <v>560</v>
      </c>
      <c r="B107" s="22" t="s">
        <v>561</v>
      </c>
      <c r="C107" s="23" t="str">
        <f>IFERROR(__xludf.DUMMYFUNCTION("GOOGLETRANSLATE(B107, ""en"", ""fr"")"),"Panneaux de dungium")</f>
        <v>Panneaux de dungium</v>
      </c>
      <c r="D107" s="23" t="str">
        <f>IFERROR(__xludf.DUMMYFUNCTION("GOOGLETRANSLATE(B107, ""en"", ""es"")"),"Hoz de dungium")</f>
        <v>Hoz de dungium</v>
      </c>
      <c r="E107" s="23" t="str">
        <f>IFERROR(__xludf.DUMMYFUNCTION("GOOGLETRANSLATE(B107, ""en"", ""ru"")"),"Дангуй")</f>
        <v>Дангуй</v>
      </c>
      <c r="F107" s="23" t="str">
        <f>IFERROR(__xludf.DUMMYFUNCTION("GOOGLETRANSLATE(B107, ""en"", ""tr"")"),"Dungium orak")</f>
        <v>Dungium orak</v>
      </c>
      <c r="G107" s="23" t="str">
        <f>IFERROR(__xludf.DUMMYFUNCTION("GOOGLETRANSLATE(B107, ""en"", ""pt"")"),"Dungium Sickle.")</f>
        <v>Dungium Sickle.</v>
      </c>
      <c r="H107" s="24" t="str">
        <f>IFERROR(__xludf.DUMMYFUNCTION("GOOGLETRANSLATE(B107, ""en"", ""de"")"),"Dungium Sichel.")</f>
        <v>Dungium Sichel.</v>
      </c>
      <c r="I107" s="23" t="str">
        <f>IFERROR(__xludf.DUMMYFUNCTION("GOOGLETRANSLATE(B107, ""en"", ""pl"")"),"Sierp Dungowy")</f>
        <v>Sierp Dungowy</v>
      </c>
      <c r="J107" s="25" t="str">
        <f>IFERROR(__xludf.DUMMYFUNCTION("GOOGLETRANSLATE(B107, ""en"", ""zh"")"),"Dungium镰刀")</f>
        <v>Dungium镰刀</v>
      </c>
      <c r="K107" s="25" t="str">
        <f>IFERROR(__xludf.DUMMYFUNCTION("GOOGLETRANSLATE(B107, ""en"", ""vi"")"),"Liềm hóa dung")</f>
        <v>Liềm hóa dung</v>
      </c>
      <c r="L107" s="26" t="str">
        <f>IFERROR(__xludf.DUMMYFUNCTION("GOOGLETRANSLATE(B107, ""en"", ""hr"")"),"Dungium srp")</f>
        <v>Dungium srp</v>
      </c>
      <c r="M107" s="28"/>
      <c r="N107" s="28"/>
      <c r="O107" s="28"/>
      <c r="P107" s="28"/>
      <c r="Q107" s="28"/>
      <c r="R107" s="28"/>
      <c r="S107" s="28"/>
      <c r="T107" s="28"/>
      <c r="U107" s="28"/>
      <c r="V107" s="28"/>
      <c r="W107" s="28"/>
      <c r="X107" s="28"/>
      <c r="Y107" s="28"/>
      <c r="Z107" s="28"/>
      <c r="AA107" s="28"/>
      <c r="AB107" s="28"/>
    </row>
    <row r="108">
      <c r="A108" s="21" t="s">
        <v>562</v>
      </c>
      <c r="B108" s="22" t="s">
        <v>533</v>
      </c>
      <c r="C108" s="23" t="str">
        <f>IFERROR(__xludf.DUMMYFUNCTION("GOOGLETRANSLATE(B108, ""en"", ""fr"")"),"Utilisé pour recueillir des plantes.")</f>
        <v>Utilisé pour recueillir des plantes.</v>
      </c>
      <c r="D108" s="23" t="str">
        <f>IFERROR(__xludf.DUMMYFUNCTION("GOOGLETRANSLATE(B108, ""en"", ""es"")"),"Se utiliza para recoger plantas.")</f>
        <v>Se utiliza para recoger plantas.</v>
      </c>
      <c r="E108" s="23" t="str">
        <f>IFERROR(__xludf.DUMMYFUNCTION("GOOGLETRANSLATE(B108, ""en"", ""ru"")"),"Используется для собрания растений.")</f>
        <v>Используется для собрания растений.</v>
      </c>
      <c r="F108" s="23" t="str">
        <f>IFERROR(__xludf.DUMMYFUNCTION("GOOGLETRANSLATE(B108, ""en"", ""tr"")"),"Bitkileri toplamak için kullanılır.")</f>
        <v>Bitkileri toplamak için kullanılır.</v>
      </c>
      <c r="G108" s="23" t="str">
        <f>IFERROR(__xludf.DUMMYFUNCTION("GOOGLETRANSLATE(B108, ""en"", ""pt"")"),"Usado para reunir plantas.")</f>
        <v>Usado para reunir plantas.</v>
      </c>
      <c r="H108" s="24" t="str">
        <f>IFERROR(__xludf.DUMMYFUNCTION("GOOGLETRANSLATE(B108, ""en"", ""de"")"),"Verwendet, um Pflanzen zu sammeln.")</f>
        <v>Verwendet, um Pflanzen zu sammeln.</v>
      </c>
      <c r="I108" s="23" t="str">
        <f>IFERROR(__xludf.DUMMYFUNCTION("GOOGLETRANSLATE(B108, ""en"", ""pl"")"),"Używane do zbierania roślin.")</f>
        <v>Używane do zbierania roślin.</v>
      </c>
      <c r="J108" s="25" t="str">
        <f>IFERROR(__xludf.DUMMYFUNCTION("GOOGLETRANSLATE(B108, ""en"", ""zh"")"),"用来收集植物。")</f>
        <v>用来收集植物。</v>
      </c>
      <c r="K108" s="25" t="str">
        <f>IFERROR(__xludf.DUMMYFUNCTION("GOOGLETRANSLATE(B108, ""en"", ""vi"")"),"Dùng để thu thập cây.")</f>
        <v>Dùng để thu thập cây.</v>
      </c>
      <c r="L108" s="26" t="str">
        <f>IFERROR(__xludf.DUMMYFUNCTION("GOOGLETRANSLATE(B108, ""en"", ""hr"")"),"Koristi se za prikupljanje biljaka.")</f>
        <v>Koristi se za prikupljanje biljaka.</v>
      </c>
      <c r="M108" s="28"/>
      <c r="N108" s="28"/>
      <c r="O108" s="28"/>
      <c r="P108" s="28"/>
      <c r="Q108" s="28"/>
      <c r="R108" s="28"/>
      <c r="S108" s="28"/>
      <c r="T108" s="28"/>
      <c r="U108" s="28"/>
      <c r="V108" s="28"/>
      <c r="W108" s="28"/>
      <c r="X108" s="28"/>
      <c r="Y108" s="28"/>
      <c r="Z108" s="28"/>
      <c r="AA108" s="28"/>
      <c r="AB108" s="28"/>
    </row>
    <row r="109">
      <c r="A109" s="21" t="s">
        <v>563</v>
      </c>
      <c r="B109" s="22" t="s">
        <v>564</v>
      </c>
      <c r="C109" s="23" t="str">
        <f>IFERROR(__xludf.DUMMYFUNCTION("GOOGLETRANSLATE(B109, ""en"", ""fr"")"),"Flèches de Dungium")</f>
        <v>Flèches de Dungium</v>
      </c>
      <c r="D109" s="23" t="str">
        <f>IFERROR(__xludf.DUMMYFUNCTION("GOOGLETRANSLATE(B109, ""en"", ""es"")"),"Flechas de Dungium")</f>
        <v>Flechas de Dungium</v>
      </c>
      <c r="E109" s="23" t="str">
        <f>IFERROR(__xludf.DUMMYFUNCTION("GOOGLETRANSLATE(B109, ""en"", ""ru"")"),"Стрелки на дюнгуи")</f>
        <v>Стрелки на дюнгуи</v>
      </c>
      <c r="F109" s="23" t="str">
        <f>IFERROR(__xludf.DUMMYFUNCTION("GOOGLETRANSLATE(B109, ""en"", ""tr"")"),"Dungium okları")</f>
        <v>Dungium okları</v>
      </c>
      <c r="G109" s="23" t="str">
        <f>IFERROR(__xludf.DUMMYFUNCTION("GOOGLETRANSLATE(B109, ""en"", ""pt"")"),"Flechas de dungium")</f>
        <v>Flechas de dungium</v>
      </c>
      <c r="H109" s="24" t="str">
        <f>IFERROR(__xludf.DUMMYFUNCTION("GOOGLETRANSLATE(B109, ""en"", ""de"")"),"Dungium-Pfeile")</f>
        <v>Dungium-Pfeile</v>
      </c>
      <c r="I109" s="23" t="str">
        <f>IFERROR(__xludf.DUMMYFUNCTION("GOOGLETRANSLATE(B109, ""en"", ""pl"")"),"Strzałki")</f>
        <v>Strzałki</v>
      </c>
      <c r="J109" s="25" t="str">
        <f>IFERROR(__xludf.DUMMYFUNCTION("GOOGLETRANSLATE(B109, ""en"", ""zh"")"),"平衡箭头")</f>
        <v>平衡箭头</v>
      </c>
      <c r="K109" s="25" t="str">
        <f>IFERROR(__xludf.DUMMYFUNCTION("GOOGLETRANSLATE(B109, ""en"", ""vi"")"),"Mũi tên dungium.")</f>
        <v>Mũi tên dungium.</v>
      </c>
      <c r="L109" s="26" t="str">
        <f>IFERROR(__xludf.DUMMYFUNCTION("GOOGLETRANSLATE(B109, ""en"", ""hr"")"),"Dungium strelice")</f>
        <v>Dungium strelice</v>
      </c>
      <c r="M109" s="28"/>
      <c r="N109" s="28"/>
      <c r="O109" s="28"/>
      <c r="P109" s="28"/>
      <c r="Q109" s="28"/>
      <c r="R109" s="28"/>
      <c r="S109" s="28"/>
      <c r="T109" s="28"/>
      <c r="U109" s="28"/>
      <c r="V109" s="28"/>
      <c r="W109" s="28"/>
      <c r="X109" s="28"/>
      <c r="Y109" s="28"/>
      <c r="Z109" s="28"/>
      <c r="AA109" s="28"/>
      <c r="AB109" s="28"/>
    </row>
    <row r="110">
      <c r="A110" s="21" t="s">
        <v>565</v>
      </c>
      <c r="B110" s="22" t="s">
        <v>537</v>
      </c>
      <c r="C110" s="23" t="str">
        <f>IFERROR(__xludf.DUMMYFUNCTION("GOOGLETRANSLATE(B110, ""en"", ""fr"")"),"Utilisé comme munition pour un arc.")</f>
        <v>Utilisé comme munition pour un arc.</v>
      </c>
      <c r="D110" s="23" t="str">
        <f>IFERROR(__xludf.DUMMYFUNCTION("GOOGLETRANSLATE(B110, ""en"", ""es"")"),"Utilizado como municiones para un arco.")</f>
        <v>Utilizado como municiones para un arco.</v>
      </c>
      <c r="E110" s="23" t="str">
        <f>IFERROR(__xludf.DUMMYFUNCTION("GOOGLETRANSLATE(B110, ""en"", ""ru"")"),"Используется в качестве боеприпасов для лука.")</f>
        <v>Используется в качестве боеприпасов для лука.</v>
      </c>
      <c r="F110" s="23" t="str">
        <f>IFERROR(__xludf.DUMMYFUNCTION("GOOGLETRANSLATE(B110, ""en"", ""tr"")"),"Bir yay için mühimmat olarak kullanılır.")</f>
        <v>Bir yay için mühimmat olarak kullanılır.</v>
      </c>
      <c r="G110" s="23" t="str">
        <f>IFERROR(__xludf.DUMMYFUNCTION("GOOGLETRANSLATE(B110, ""en"", ""pt"")"),"Usado como munição para um arco.")</f>
        <v>Usado como munição para um arco.</v>
      </c>
      <c r="H110" s="24" t="str">
        <f>IFERROR(__xludf.DUMMYFUNCTION("GOOGLETRANSLATE(B110, ""en"", ""de"")"),"Als Munition für einen Bogen verwendet.")</f>
        <v>Als Munition für einen Bogen verwendet.</v>
      </c>
      <c r="I110" s="23" t="str">
        <f>IFERROR(__xludf.DUMMYFUNCTION("GOOGLETRANSLATE(B110, ""en"", ""pl"")"),"Używany jako amunicja na łuk.")</f>
        <v>Używany jako amunicja na łuk.</v>
      </c>
      <c r="J110" s="25" t="str">
        <f>IFERROR(__xludf.DUMMYFUNCTION("GOOGLETRANSLATE(B110, ""en"", ""zh"")"),"用作弓的弹药。")</f>
        <v>用作弓的弹药。</v>
      </c>
      <c r="K110" s="25" t="str">
        <f>IFERROR(__xludf.DUMMYFUNCTION("GOOGLETRANSLATE(B110, ""en"", ""vi"")"),"Dùng làm đạn cho một cây cung.")</f>
        <v>Dùng làm đạn cho một cây cung.</v>
      </c>
      <c r="L110" s="26" t="str">
        <f>IFERROR(__xludf.DUMMYFUNCTION("GOOGLETRANSLATE(B110, ""en"", ""hr"")"),"Koristi se kao streljivo za luk.")</f>
        <v>Koristi se kao streljivo za luk.</v>
      </c>
      <c r="M110" s="28"/>
      <c r="N110" s="28"/>
      <c r="O110" s="28"/>
      <c r="P110" s="28"/>
      <c r="Q110" s="28"/>
      <c r="R110" s="28"/>
      <c r="S110" s="28"/>
      <c r="T110" s="28"/>
      <c r="U110" s="28"/>
      <c r="V110" s="28"/>
      <c r="W110" s="28"/>
      <c r="X110" s="28"/>
      <c r="Y110" s="28"/>
      <c r="Z110" s="28"/>
      <c r="AA110" s="28"/>
      <c r="AB110" s="28"/>
    </row>
    <row r="111">
      <c r="A111" s="21" t="s">
        <v>566</v>
      </c>
      <c r="B111" s="22" t="s">
        <v>567</v>
      </c>
      <c r="C111" s="23" t="str">
        <f>IFERROR(__xludf.DUMMYFUNCTION("GOOGLETRANSLATE(B111, ""en"", ""fr"")"),"Poignée de dungium")</f>
        <v>Poignée de dungium</v>
      </c>
      <c r="D111" s="23" t="str">
        <f>IFERROR(__xludf.DUMMYFUNCTION("GOOGLETRANSLATE(B111, ""en"", ""es"")"),"Daga de dungio")</f>
        <v>Daga de dungio</v>
      </c>
      <c r="E111" s="23" t="str">
        <f>IFERROR(__xludf.DUMMYFUNCTION("GOOGLETRANSLATE(B111, ""en"", ""ru"")"),"Дунгуйский кинжал")</f>
        <v>Дунгуйский кинжал</v>
      </c>
      <c r="F111" s="23" t="str">
        <f>IFERROR(__xludf.DUMMYFUNCTION("GOOGLETRANSLATE(B111, ""en"", ""tr"")"),"Dungium hançer")</f>
        <v>Dungium hançer</v>
      </c>
      <c r="G111" s="23" t="str">
        <f>IFERROR(__xludf.DUMMYFUNCTION("GOOGLETRANSLATE(B111, ""en"", ""pt"")"),"Dungium Dagger.")</f>
        <v>Dungium Dagger.</v>
      </c>
      <c r="H111" s="24" t="str">
        <f>IFERROR(__xludf.DUMMYFUNCTION("GOOGLETRANSLATE(B111, ""en"", ""de"")"),"Dungium Dolch.")</f>
        <v>Dungium Dolch.</v>
      </c>
      <c r="I111" s="23" t="str">
        <f>IFERROR(__xludf.DUMMYFUNCTION("GOOGLETRANSLATE(B111, ""en"", ""pl"")"),"Dungagium Dagger.")</f>
        <v>Dungagium Dagger.</v>
      </c>
      <c r="J111" s="25" t="str">
        <f>IFERROR(__xludf.DUMMYFUNCTION("GOOGLETRANSLATE(B111, ""en"", ""zh"")"),"Dungium匕首")</f>
        <v>Dungium匕首</v>
      </c>
      <c r="K111" s="25" t="str">
        <f>IFERROR(__xludf.DUMMYFUNCTION("GOOGLETRANSLATE(B111, ""en"", ""vi"")"),"Dungium Dagger.")</f>
        <v>Dungium Dagger.</v>
      </c>
      <c r="L111" s="26" t="str">
        <f>IFERROR(__xludf.DUMMYFUNCTION("GOOGLETRANSLATE(B111, ""en"", ""hr"")"),"Dungijski bodež")</f>
        <v>Dungijski bodež</v>
      </c>
      <c r="M111" s="28"/>
      <c r="N111" s="28"/>
      <c r="O111" s="28"/>
      <c r="P111" s="28"/>
      <c r="Q111" s="28"/>
      <c r="R111" s="28"/>
      <c r="S111" s="28"/>
      <c r="T111" s="28"/>
      <c r="U111" s="28"/>
      <c r="V111" s="28"/>
      <c r="W111" s="28"/>
      <c r="X111" s="28"/>
      <c r="Y111" s="28"/>
      <c r="Z111" s="28"/>
      <c r="AA111" s="28"/>
      <c r="AB111" s="28"/>
    </row>
    <row r="112">
      <c r="A112" s="21" t="s">
        <v>568</v>
      </c>
      <c r="B112" s="22" t="s">
        <v>541</v>
      </c>
      <c r="C112" s="23" t="str">
        <f>IFERROR(__xludf.DUMMYFUNCTION("GOOGLETRANSLATE(B112, ""en"", ""fr"")"),"Une arme de mêlée à courte portée. Traite des dégâts de bonus quand il frappe derrière lui.")</f>
        <v>Une arme de mêlée à courte portée. Traite des dégâts de bonus quand il frappe derrière lui.</v>
      </c>
      <c r="D112" s="23" t="str">
        <f>IFERROR(__xludf.DUMMYFUNCTION("GOOGLETRANSLATE(B112, ""en"", ""es"")"),"Un breve arma cuerpo a cuerpo. Ofrece daño de bonificación cuando llega por detrás.")</f>
        <v>Un breve arma cuerpo a cuerpo. Ofrece daño de bonificación cuando llega por detrás.</v>
      </c>
      <c r="E112" s="23" t="str">
        <f>IFERROR(__xludf.DUMMYFUNCTION("GOOGLETRANSLATE(B112, ""en"", ""ru"")"),"Оружие ближнего уровня ближнего действия. Надет бонусный урон, когда он попадает сзади.")</f>
        <v>Оружие ближнего уровня ближнего действия. Надет бонусный урон, когда он попадает сзади.</v>
      </c>
      <c r="F112" s="23" t="str">
        <f>IFERROR(__xludf.DUMMYFUNCTION("GOOGLETRANSLATE(B112, ""en"", ""tr"")"),"Kısa menzilli bir yakın dövüş silahı. Arkadan isabet ettiğinde bonus hasarı fırsatlar.")</f>
        <v>Kısa menzilli bir yakın dövüş silahı. Arkadan isabet ettiğinde bonus hasarı fırsatlar.</v>
      </c>
      <c r="G112" s="23" t="str">
        <f>IFERROR(__xludf.DUMMYFUNCTION("GOOGLETRANSLATE(B112, ""en"", ""pt"")"),"Uma arma de corpo a corpo de curto alcance. Oferece dano de bônus quando atinge por trás.")</f>
        <v>Uma arma de corpo a corpo de curto alcance. Oferece dano de bônus quando atinge por trás.</v>
      </c>
      <c r="H112" s="24" t="str">
        <f>IFERROR(__xludf.DUMMYFUNCTION("GOOGLETRANSLATE(B112, ""en"", ""de"")"),"Eine kurze Reichweite-Nahkampfwaffe. Befasst sich mit Bonusschäden, wenn sie von hinten trifft.")</f>
        <v>Eine kurze Reichweite-Nahkampfwaffe. Befasst sich mit Bonusschäden, wenn sie von hinten trifft.</v>
      </c>
      <c r="I112" s="23" t="str">
        <f>IFERROR(__xludf.DUMMYFUNCTION("GOOGLETRANSLATE(B112, ""en"", ""pl"")"),"Broń wręcz broni. Oferty bonusowe uszkodzenia, gdy uderza od tyłu.")</f>
        <v>Broń wręcz broni. Oferty bonusowe uszkodzenia, gdy uderza od tyłu.</v>
      </c>
      <c r="J112" s="25" t="str">
        <f>IFERROR(__xludf.DUMMYFUNCTION("GOOGLETRANSLATE(B112, ""en"", ""zh"")"),"短程近战武器。从后面击中时造成奖金损坏。")</f>
        <v>短程近战武器。从后面击中时造成奖金损坏。</v>
      </c>
      <c r="K112" s="25" t="str">
        <f>IFERROR(__xludf.DUMMYFUNCTION("GOOGLETRANSLATE(B112, ""en"", ""vi"")"),"Một vũ khí cận chiến ngắn. Gây sát thương tiền thưởng khi nó đánh từ phía sau.")</f>
        <v>Một vũ khí cận chiến ngắn. Gây sát thương tiền thưởng khi nó đánh từ phía sau.</v>
      </c>
      <c r="L112" s="26" t="str">
        <f>IFERROR(__xludf.DUMMYFUNCTION("GOOGLETRANSLATE(B112, ""en"", ""hr"")"),"Kratki prostor za gužvu. Bavi bonus štete kada pogodi iza sebe.")</f>
        <v>Kratki prostor za gužvu. Bavi bonus štete kada pogodi iza sebe.</v>
      </c>
      <c r="M112" s="28"/>
      <c r="N112" s="28"/>
      <c r="O112" s="28"/>
      <c r="P112" s="28"/>
      <c r="Q112" s="28"/>
      <c r="R112" s="28"/>
      <c r="S112" s="28"/>
      <c r="T112" s="28"/>
      <c r="U112" s="28"/>
      <c r="V112" s="28"/>
      <c r="W112" s="28"/>
      <c r="X112" s="28"/>
      <c r="Y112" s="28"/>
      <c r="Z112" s="28"/>
      <c r="AA112" s="28"/>
      <c r="AB112" s="28"/>
    </row>
    <row r="113">
      <c r="A113" s="21" t="s">
        <v>569</v>
      </c>
      <c r="B113" s="22" t="s">
        <v>570</v>
      </c>
      <c r="C113" s="23" t="str">
        <f>IFERROR(__xludf.DUMMYFUNCTION("GOOGLETRANSLATE(B113, ""en"", ""fr"")"),"Épée de dungium")</f>
        <v>Épée de dungium</v>
      </c>
      <c r="D113" s="23" t="str">
        <f>IFERROR(__xludf.DUMMYFUNCTION("GOOGLETRANSLATE(B113, ""en"", ""es"")"),"Espada de dungium")</f>
        <v>Espada de dungium</v>
      </c>
      <c r="E113" s="23" t="str">
        <f>IFERROR(__xludf.DUMMYFUNCTION("GOOGLETRANSLATE(B113, ""en"", ""ru"")"),"Дунгуйский меч")</f>
        <v>Дунгуйский меч</v>
      </c>
      <c r="F113" s="23" t="str">
        <f>IFERROR(__xludf.DUMMYFUNCTION("GOOGLETRANSLATE(B113, ""en"", ""tr"")"),"Dungium kılıcı")</f>
        <v>Dungium kılıcı</v>
      </c>
      <c r="G113" s="23" t="str">
        <f>IFERROR(__xludf.DUMMYFUNCTION("GOOGLETRANSLATE(B113, ""en"", ""pt"")"),"Espada de dungium")</f>
        <v>Espada de dungium</v>
      </c>
      <c r="H113" s="24" t="str">
        <f>IFERROR(__xludf.DUMMYFUNCTION("GOOGLETRANSLATE(B113, ""en"", ""de"")"),"Dungium-Schwert")</f>
        <v>Dungium-Schwert</v>
      </c>
      <c r="I113" s="23" t="str">
        <f>IFERROR(__xludf.DUMMYFUNCTION("GOOGLETRANSLATE(B113, ""en"", ""pl"")"),"Miecz pozbawiony")</f>
        <v>Miecz pozbawiony</v>
      </c>
      <c r="J113" s="25" t="str">
        <f>IFERROR(__xludf.DUMMYFUNCTION("GOOGLETRANSLATE(B113, ""en"", ""zh"")"),"Dungium剑")</f>
        <v>Dungium剑</v>
      </c>
      <c r="K113" s="25" t="str">
        <f>IFERROR(__xludf.DUMMYFUNCTION("GOOGLETRANSLATE(B113, ""en"", ""vi"")"),"Thanh kiếm dungium.")</f>
        <v>Thanh kiếm dungium.</v>
      </c>
      <c r="L113" s="26" t="str">
        <f>IFERROR(__xludf.DUMMYFUNCTION("GOOGLETRANSLATE(B113, ""en"", ""hr"")"),"Dungijski mač")</f>
        <v>Dungijski mač</v>
      </c>
      <c r="M113" s="28"/>
      <c r="N113" s="28"/>
      <c r="O113" s="28"/>
      <c r="P113" s="28"/>
      <c r="Q113" s="28"/>
      <c r="R113" s="28"/>
      <c r="S113" s="28"/>
      <c r="T113" s="28"/>
      <c r="U113" s="28"/>
      <c r="V113" s="28"/>
      <c r="W113" s="28"/>
      <c r="X113" s="28"/>
      <c r="Y113" s="28"/>
      <c r="Z113" s="28"/>
      <c r="AA113" s="28"/>
      <c r="AB113" s="28"/>
    </row>
    <row r="114">
      <c r="A114" s="21" t="s">
        <v>571</v>
      </c>
      <c r="B114" s="22" t="s">
        <v>545</v>
      </c>
      <c r="C114" s="23" t="str">
        <f>IFERROR(__xludf.DUMMYFUNCTION("GOOGLETRANSLATE(B114, ""en"", ""fr"")"),"Arme de mêlée. Utilisé pour attaquer une courte distance.")</f>
        <v>Arme de mêlée. Utilisé pour attaquer une courte distance.</v>
      </c>
      <c r="D114" s="23" t="str">
        <f>IFERROR(__xludf.DUMMYFUNCTION("GOOGLETRANSLATE(B114, ""en"", ""es"")"),"Arma cuerpo a cuerpo. Se utiliza para atacar a una corta distancia.")</f>
        <v>Arma cuerpo a cuerpo. Se utiliza para atacar a una corta distancia.</v>
      </c>
      <c r="E114" s="23" t="str">
        <f>IFERROR(__xludf.DUMMYFUNCTION("GOOGLETRANSLATE(B114, ""en"", ""ru"")"),"Оружие ближнего боя. Используется для атаки на на небольшом расстоянии.")</f>
        <v>Оружие ближнего боя. Используется для атаки на на небольшом расстоянии.</v>
      </c>
      <c r="F114" s="23" t="str">
        <f>IFERROR(__xludf.DUMMYFUNCTION("GOOGLETRANSLATE(B114, ""en"", ""tr"")"),"Yakın dövüş silahı. Kısa bir mesafeye saldırmak için kullanılır.")</f>
        <v>Yakın dövüş silahı. Kısa bir mesafeye saldırmak için kullanılır.</v>
      </c>
      <c r="G114" s="23" t="str">
        <f>IFERROR(__xludf.DUMMYFUNCTION("GOOGLETRANSLATE(B114, ""en"", ""pt"")"),"Arma branca. Usado para atacar uma curta distância.")</f>
        <v>Arma branca. Usado para atacar uma curta distância.</v>
      </c>
      <c r="H114" s="24" t="str">
        <f>IFERROR(__xludf.DUMMYFUNCTION("GOOGLETRANSLATE(B114, ""en"", ""de"")"),"Nahkampfwaffe. Verwendet, um eine kurze Entfernung anzugreifen.")</f>
        <v>Nahkampfwaffe. Verwendet, um eine kurze Entfernung anzugreifen.</v>
      </c>
      <c r="I114" s="23" t="str">
        <f>IFERROR(__xludf.DUMMYFUNCTION("GOOGLETRANSLATE(B114, ""en"", ""pl"")"),"Broń biała. Używany do ataku w niewielkiej odległości.")</f>
        <v>Broń biała. Używany do ataku w niewielkiej odległości.</v>
      </c>
      <c r="J114" s="25" t="str">
        <f>IFERROR(__xludf.DUMMYFUNCTION("GOOGLETRANSLATE(B114, ""en"", ""zh"")"),"近战武器。用来攻击很短的距离。")</f>
        <v>近战武器。用来攻击很短的距离。</v>
      </c>
      <c r="K114" s="25" t="str">
        <f>IFERROR(__xludf.DUMMYFUNCTION("GOOGLETRANSLATE(B114, ""en"", ""vi"")"),"Vũ khí cận chiến. Được sử dụng để tấn công một khoảng cách ngắn đi.")</f>
        <v>Vũ khí cận chiến. Được sử dụng để tấn công một khoảng cách ngắn đi.</v>
      </c>
      <c r="L114" s="26" t="str">
        <f>IFERROR(__xludf.DUMMYFUNCTION("GOOGLETRANSLATE(B114, ""en"", ""hr"")"),"Melee Oružje. Koristi se za napad na kratku udaljenost.")</f>
        <v>Melee Oružje. Koristi se za napad na kratku udaljenost.</v>
      </c>
      <c r="M114" s="28"/>
      <c r="N114" s="28"/>
      <c r="O114" s="28"/>
      <c r="P114" s="28"/>
      <c r="Q114" s="28"/>
      <c r="R114" s="28"/>
      <c r="S114" s="28"/>
      <c r="T114" s="28"/>
      <c r="U114" s="28"/>
      <c r="V114" s="28"/>
      <c r="W114" s="28"/>
      <c r="X114" s="28"/>
      <c r="Y114" s="28"/>
      <c r="Z114" s="28"/>
      <c r="AA114" s="28"/>
      <c r="AB114" s="28"/>
    </row>
    <row r="115">
      <c r="A115" s="21" t="s">
        <v>572</v>
      </c>
      <c r="B115" s="22" t="s">
        <v>573</v>
      </c>
      <c r="C115" s="23" t="str">
        <f>IFERROR(__xludf.DUMMYFUNCTION("GOOGLETRANSLATE(B115, ""en"", ""fr"")"),"Marteau de dungium")</f>
        <v>Marteau de dungium</v>
      </c>
      <c r="D115" s="23" t="str">
        <f>IFERROR(__xludf.DUMMYFUNCTION("GOOGLETRANSLATE(B115, ""en"", ""es"")"),"Dungium martillo")</f>
        <v>Dungium martillo</v>
      </c>
      <c r="E115" s="23" t="str">
        <f>IFERROR(__xludf.DUMMYFUNCTION("GOOGLETRANSLATE(B115, ""en"", ""ru"")"),"Дунджский молоток")</f>
        <v>Дунджский молоток</v>
      </c>
      <c r="F115" s="23" t="str">
        <f>IFERROR(__xludf.DUMMYFUNCTION("GOOGLETRANSLATE(B115, ""en"", ""tr"")"),"Dungium çekiç")</f>
        <v>Dungium çekiç</v>
      </c>
      <c r="G115" s="23" t="str">
        <f>IFERROR(__xludf.DUMMYFUNCTION("GOOGLETRANSLATE(B115, ""en"", ""pt"")"),"Martelo de dungium")</f>
        <v>Martelo de dungium</v>
      </c>
      <c r="H115" s="24" t="str">
        <f>IFERROR(__xludf.DUMMYFUNCTION("GOOGLETRANSLATE(B115, ""en"", ""de"")"),"Dungium Hammer")</f>
        <v>Dungium Hammer</v>
      </c>
      <c r="I115" s="23" t="str">
        <f>IFERROR(__xludf.DUMMYFUNCTION("GOOGLETRANSLATE(B115, ""en"", ""pl"")"),"Dungium Hammer.")</f>
        <v>Dungium Hammer.</v>
      </c>
      <c r="J115" s="25" t="str">
        <f>IFERROR(__xludf.DUMMYFUNCTION("GOOGLETRANSLATE(B115, ""en"", ""zh"")"),"锤锤")</f>
        <v>锤锤</v>
      </c>
      <c r="K115" s="25" t="str">
        <f>IFERROR(__xludf.DUMMYFUNCTION("GOOGLETRANSLATE(B115, ""en"", ""vi"")"),"Búa dungium.")</f>
        <v>Búa dungium.</v>
      </c>
      <c r="L115" s="26" t="str">
        <f>IFERROR(__xludf.DUMMYFUNCTION("GOOGLETRANSLATE(B115, ""en"", ""hr"")"),"Dumgium čekić")</f>
        <v>Dumgium čekić</v>
      </c>
      <c r="M115" s="28"/>
      <c r="N115" s="28"/>
      <c r="O115" s="28"/>
      <c r="P115" s="28"/>
      <c r="Q115" s="28"/>
      <c r="R115" s="28"/>
      <c r="S115" s="28"/>
      <c r="T115" s="28"/>
      <c r="U115" s="28"/>
      <c r="V115" s="28"/>
      <c r="W115" s="28"/>
      <c r="X115" s="28"/>
      <c r="Y115" s="28"/>
      <c r="Z115" s="28"/>
      <c r="AA115" s="28"/>
      <c r="AB115" s="28"/>
    </row>
    <row r="116">
      <c r="A116" s="21" t="s">
        <v>574</v>
      </c>
      <c r="B116" s="22" t="s">
        <v>549</v>
      </c>
      <c r="C116" s="23" t="str">
        <f>IFERROR(__xludf.DUMMYFUNCTION("GOOGLETRANSLATE(B116, ""en"", ""fr"")"),"Arme de mêlée. Pousse les choses en arrière un espace quand il frappe.")</f>
        <v>Arme de mêlée. Pousse les choses en arrière un espace quand il frappe.</v>
      </c>
      <c r="D116" s="23" t="str">
        <f>IFERROR(__xludf.DUMMYFUNCTION("GOOGLETRANSLATE(B116, ""en"", ""es"")"),"Arma cuerpo a cuerpo. Empuja las cosas de vuelta un espacio cuando golpea.")</f>
        <v>Arma cuerpo a cuerpo. Empuja las cosas de vuelta un espacio cuando golpea.</v>
      </c>
      <c r="E116" s="23" t="str">
        <f>IFERROR(__xludf.DUMMYFUNCTION("GOOGLETRANSLATE(B116, ""en"", ""ru"")"),"Оружие ближнего боя. Толкает вещи назад одно пространство, когда он попадает.")</f>
        <v>Оружие ближнего боя. Толкает вещи назад одно пространство, когда он попадает.</v>
      </c>
      <c r="F116" s="23" t="str">
        <f>IFERROR(__xludf.DUMMYFUNCTION("GOOGLETRANSLATE(B116, ""en"", ""tr"")"),"Yakın dövüş silahı. Şeyleri vururken bir şeyi geri iter.")</f>
        <v>Yakın dövüş silahı. Şeyleri vururken bir şeyi geri iter.</v>
      </c>
      <c r="G116" s="23" t="str">
        <f>IFERROR(__xludf.DUMMYFUNCTION("GOOGLETRANSLATE(B116, ""en"", ""pt"")"),"Arma branca. Empurra as coisas de volta um espaço quando ele atinge.")</f>
        <v>Arma branca. Empurra as coisas de volta um espaço quando ele atinge.</v>
      </c>
      <c r="H116" s="24" t="str">
        <f>IFERROR(__xludf.DUMMYFUNCTION("GOOGLETRANSLATE(B116, ""en"", ""de"")"),"Nahkampfwaffe. Schiebt die Dinge zurück, wenn es trifft.")</f>
        <v>Nahkampfwaffe. Schiebt die Dinge zurück, wenn es trifft.</v>
      </c>
      <c r="I116" s="23" t="str">
        <f>IFERROR(__xludf.DUMMYFUNCTION("GOOGLETRANSLATE(B116, ""en"", ""pl"")"),"Broń biała. Popycha rzeczy z powrotem jedną przestrzeń, gdy uderza.")</f>
        <v>Broń biała. Popycha rzeczy z powrotem jedną przestrzeń, gdy uderza.</v>
      </c>
      <c r="J116" s="25" t="str">
        <f>IFERROR(__xludf.DUMMYFUNCTION("GOOGLETRANSLATE(B116, ""en"", ""zh"")"),"近战武器。当它命中时，将物质推回一个空间。")</f>
        <v>近战武器。当它命中时，将物质推回一个空间。</v>
      </c>
      <c r="K116" s="25" t="str">
        <f>IFERROR(__xludf.DUMMYFUNCTION("GOOGLETRANSLATE(B116, ""en"", ""vi"")"),"Vũ khí cận chiến. Đẩy mọi thứ trở lại một không gian khi nó hit.")</f>
        <v>Vũ khí cận chiến. Đẩy mọi thứ trở lại một không gian khi nó hit.</v>
      </c>
      <c r="L116" s="26" t="str">
        <f>IFERROR(__xludf.DUMMYFUNCTION("GOOGLETRANSLATE(B116, ""en"", ""hr"")"),"Melee Oružje. Gura stvari natrag jedan prostor kada pogodi.")</f>
        <v>Melee Oružje. Gura stvari natrag jedan prostor kada pogodi.</v>
      </c>
      <c r="M116" s="28"/>
      <c r="N116" s="28"/>
      <c r="O116" s="28"/>
      <c r="P116" s="28"/>
      <c r="Q116" s="28"/>
      <c r="R116" s="28"/>
      <c r="S116" s="28"/>
      <c r="T116" s="28"/>
      <c r="U116" s="28"/>
      <c r="V116" s="28"/>
      <c r="W116" s="28"/>
      <c r="X116" s="28"/>
      <c r="Y116" s="28"/>
      <c r="Z116" s="28"/>
      <c r="AA116" s="28"/>
      <c r="AB116" s="28"/>
    </row>
    <row r="117">
      <c r="A117" s="21" t="s">
        <v>575</v>
      </c>
      <c r="B117" s="22" t="s">
        <v>576</v>
      </c>
      <c r="C117" s="23" t="str">
        <f>IFERROR(__xludf.DUMMYFUNCTION("GOOGLETRANSLATE(B117, ""en"", ""fr"")"),"Armure de dunkium")</f>
        <v>Armure de dunkium</v>
      </c>
      <c r="D117" s="23" t="str">
        <f>IFERROR(__xludf.DUMMYFUNCTION("GOOGLETRANSLATE(B117, ""en"", ""es"")"),"Armadura de dungio")</f>
        <v>Armadura de dungio</v>
      </c>
      <c r="E117" s="23" t="str">
        <f>IFERROR(__xludf.DUMMYFUNCTION("GOOGLETRANSLATE(B117, ""en"", ""ru"")"),"Дунгульская броня")</f>
        <v>Дунгульская броня</v>
      </c>
      <c r="F117" s="23" t="str">
        <f>IFERROR(__xludf.DUMMYFUNCTION("GOOGLETRANSLATE(B117, ""en"", ""tr"")"),"Dungium zırhı")</f>
        <v>Dungium zırhı</v>
      </c>
      <c r="G117" s="23" t="str">
        <f>IFERROR(__xludf.DUMMYFUNCTION("GOOGLETRANSLATE(B117, ""en"", ""pt"")"),"Armadura de dungium.")</f>
        <v>Armadura de dungium.</v>
      </c>
      <c r="H117" s="24" t="str">
        <f>IFERROR(__xludf.DUMMYFUNCTION("GOOGLETRANSLATE(B117, ""en"", ""de"")"),"Dungium-Rüstung")</f>
        <v>Dungium-Rüstung</v>
      </c>
      <c r="I117" s="23" t="str">
        <f>IFERROR(__xludf.DUMMYFUNCTION("GOOGLETRANSLATE(B117, ""en"", ""pl"")"),"Armor Dungium.")</f>
        <v>Armor Dungium.</v>
      </c>
      <c r="J117" s="25" t="str">
        <f>IFERROR(__xludf.DUMMYFUNCTION("GOOGLETRANSLATE(B117, ""en"", ""zh"")"),"平安盔甲")</f>
        <v>平安盔甲</v>
      </c>
      <c r="K117" s="25" t="str">
        <f>IFERROR(__xludf.DUMMYFUNCTION("GOOGLETRANSLATE(B117, ""en"", ""vi"")"),"Giáp dungium")</f>
        <v>Giáp dungium</v>
      </c>
      <c r="L117" s="26" t="str">
        <f>IFERROR(__xludf.DUMMYFUNCTION("GOOGLETRANSLATE(B117, ""en"", ""hr"")"),"Dungium oklop")</f>
        <v>Dungium oklop</v>
      </c>
      <c r="M117" s="28"/>
      <c r="N117" s="28"/>
      <c r="O117" s="28"/>
      <c r="P117" s="28"/>
      <c r="Q117" s="28"/>
      <c r="R117" s="28"/>
      <c r="S117" s="28"/>
      <c r="T117" s="28"/>
      <c r="U117" s="28"/>
      <c r="V117" s="28"/>
      <c r="W117" s="28"/>
      <c r="X117" s="28"/>
      <c r="Y117" s="28"/>
      <c r="Z117" s="28"/>
      <c r="AA117" s="28"/>
      <c r="AB117" s="28"/>
    </row>
    <row r="118">
      <c r="A118" s="21" t="s">
        <v>577</v>
      </c>
      <c r="B118" s="22" t="s">
        <v>578</v>
      </c>
      <c r="C118" s="23" t="str">
        <f>IFERROR(__xludf.DUMMYFUNCTION("GOOGLETRANSLATE(B118, ""en"", ""fr"")"),"Brillant! Augmente votre statistique de mêlée tout en porté.")</f>
        <v>Brillant! Augmente votre statistique de mêlée tout en porté.</v>
      </c>
      <c r="D118" s="23" t="str">
        <f>IFERROR(__xludf.DUMMYFUNCTION("GOOGLETRANSLATE(B118, ""en"", ""es"")"),"¡Brillante! Aumenta tu estadística de Melee mientras se usa.")</f>
        <v>¡Brillante! Aumenta tu estadística de Melee mientras se usa.</v>
      </c>
      <c r="E118" s="23" t="str">
        <f>IFERROR(__xludf.DUMMYFUNCTION("GOOGLETRANSLATE(B118, ""en"", ""ru"")"),"Блестящий! Увеличивает вашу статую ближнего боя в ношу.")</f>
        <v>Блестящий! Увеличивает вашу статую ближнего боя в ношу.</v>
      </c>
      <c r="F118" s="23" t="str">
        <f>IFERROR(__xludf.DUMMYFUNCTION("GOOGLETRANSLATE(B118, ""en"", ""tr"")"),"Parlak! Yıpranırken yakın dövüş statünüzü arttırır.")</f>
        <v>Parlak! Yıpranırken yakın dövüş statünüzü arttırır.</v>
      </c>
      <c r="G118" s="23" t="str">
        <f>IFERROR(__xludf.DUMMYFUNCTION("GOOGLETRANSLATE(B118, ""en"", ""pt"")"),"Brilhante! Aumenta sua estatística corpo-a-corpo enquanto estiver desgastada.")</f>
        <v>Brilhante! Aumenta sua estatística corpo-a-corpo enquanto estiver desgastada.</v>
      </c>
      <c r="H118" s="24" t="str">
        <f>IFERROR(__xludf.DUMMYFUNCTION("GOOGLETRANSLATE(B118, ""en"", ""de"")"),"Glänzend! Erhöht Ihren Nahkampfstat während getragen.")</f>
        <v>Glänzend! Erhöht Ihren Nahkampfstat während getragen.</v>
      </c>
      <c r="I118" s="23" t="str">
        <f>IFERROR(__xludf.DUMMYFUNCTION("GOOGLETRANSLATE(B118, ""en"", ""pl"")"),"Błyszczący! Zwiększa statystykę w walce w walce podczas noszenia.")</f>
        <v>Błyszczący! Zwiększa statystykę w walce w walce podczas noszenia.</v>
      </c>
      <c r="J118" s="25" t="str">
        <f>IFERROR(__xludf.DUMMYFUNCTION("GOOGLETRANSLATE(B118, ""en"", ""zh"")"),"闪亮的！磨损时增加了近战统计数据。")</f>
        <v>闪亮的！磨损时增加了近战统计数据。</v>
      </c>
      <c r="K118" s="25" t="str">
        <f>IFERROR(__xludf.DUMMYFUNCTION("GOOGLETRANSLATE(B118, ""en"", ""vi"")"),"Sáng bóng! Tăng số liệu thống kê cận chiến của bạn trong khi bị mòn.")</f>
        <v>Sáng bóng! Tăng số liệu thống kê cận chiến của bạn trong khi bị mòn.</v>
      </c>
      <c r="L118" s="26" t="str">
        <f>IFERROR(__xludf.DUMMYFUNCTION("GOOGLETRANSLATE(B118, ""en"", ""hr"")"),"Sjajan! Povećava vašu gužvu stat dok se nosi.")</f>
        <v>Sjajan! Povećava vašu gužvu stat dok se nosi.</v>
      </c>
      <c r="M118" s="28"/>
      <c r="N118" s="28"/>
      <c r="O118" s="28"/>
      <c r="P118" s="28"/>
      <c r="Q118" s="28"/>
      <c r="R118" s="28"/>
      <c r="S118" s="28"/>
      <c r="T118" s="28"/>
      <c r="U118" s="28"/>
      <c r="V118" s="28"/>
      <c r="W118" s="28"/>
      <c r="X118" s="28"/>
      <c r="Y118" s="28"/>
      <c r="Z118" s="28"/>
      <c r="AA118" s="28"/>
      <c r="AB118" s="28"/>
    </row>
    <row r="119">
      <c r="A119" s="21" t="s">
        <v>579</v>
      </c>
      <c r="B119" s="22" t="s">
        <v>580</v>
      </c>
      <c r="C119" s="23" t="str">
        <f>IFERROR(__xludf.DUMMYFUNCTION("GOOGLETRANSLATE(B119, ""en"", ""fr"")"),"Hache d'agonite")</f>
        <v>Hache d'agonite</v>
      </c>
      <c r="D119" s="23" t="str">
        <f>IFERROR(__xludf.DUMMYFUNCTION("GOOGLETRANSLATE(B119, ""en"", ""es"")"),"Hacha de agonita")</f>
        <v>Hacha de agonita</v>
      </c>
      <c r="E119" s="23" t="str">
        <f>IFERROR(__xludf.DUMMYFUNCTION("GOOGLETRANSLATE(B119, ""en"", ""ru"")"),"Агонит топора")</f>
        <v>Агонит топора</v>
      </c>
      <c r="F119" s="23" t="str">
        <f>IFERROR(__xludf.DUMMYFUNCTION("GOOGLETRANSLATE(B119, ""en"", ""tr"")"),"Agonite balta")</f>
        <v>Agonite balta</v>
      </c>
      <c r="G119" s="23" t="str">
        <f>IFERROR(__xludf.DUMMYFUNCTION("GOOGLETRANSLATE(B119, ""en"", ""pt"")"),"Machadinha de agonite.")</f>
        <v>Machadinha de agonite.</v>
      </c>
      <c r="H119" s="24" t="str">
        <f>IFERROR(__xludf.DUMMYFUNCTION("GOOGLETRANSLATE(B119, ""en"", ""de"")"),"Agonite-Beil")</f>
        <v>Agonite-Beil</v>
      </c>
      <c r="I119" s="23" t="str">
        <f>IFERROR(__xludf.DUMMYFUNCTION("GOOGLETRANSLATE(B119, ""en"", ""pl"")"),"Agonite Hatchet.")</f>
        <v>Agonite Hatchet.</v>
      </c>
      <c r="J119" s="25" t="str">
        <f>IFERROR(__xludf.DUMMYFUNCTION("GOOGLETRANSLATE(B119, ""en"", ""zh"")"),"艾莫尼斯柴刀")</f>
        <v>艾莫尼斯柴刀</v>
      </c>
      <c r="K119" s="25" t="str">
        <f>IFERROR(__xludf.DUMMYFUNCTION("GOOGLETRANSLATE(B119, ""en"", ""vi"")"),"Agonite hatchet.")</f>
        <v>Agonite hatchet.</v>
      </c>
      <c r="L119" s="26" t="str">
        <f>IFERROR(__xludf.DUMMYFUNCTION("GOOGLETRANSLATE(B119, ""en"", ""hr"")"),"Agonitska sješt")</f>
        <v>Agonitska sješt</v>
      </c>
      <c r="M119" s="28"/>
      <c r="N119" s="28"/>
      <c r="O119" s="28"/>
      <c r="P119" s="28"/>
      <c r="Q119" s="28"/>
      <c r="R119" s="28"/>
      <c r="S119" s="28"/>
      <c r="T119" s="28"/>
      <c r="U119" s="28"/>
      <c r="V119" s="28"/>
      <c r="W119" s="28"/>
      <c r="X119" s="28"/>
      <c r="Y119" s="28"/>
      <c r="Z119" s="28"/>
      <c r="AA119" s="28"/>
      <c r="AB119" s="28"/>
    </row>
    <row r="120">
      <c r="A120" s="21" t="s">
        <v>581</v>
      </c>
      <c r="B120" s="22" t="s">
        <v>519</v>
      </c>
      <c r="C120" s="23" t="str">
        <f>IFERROR(__xludf.DUMMYFUNCTION("GOOGLETRANSLATE(B120, ""en"", ""fr"")"),"Utilisé pour couper les arbres pour le bois.")</f>
        <v>Utilisé pour couper les arbres pour le bois.</v>
      </c>
      <c r="D120" s="23" t="str">
        <f>IFERROR(__xludf.DUMMYFUNCTION("GOOGLETRANSLATE(B120, ""en"", ""es"")"),"Se utiliza para cortar árboles para la madera.")</f>
        <v>Se utiliza para cortar árboles para la madera.</v>
      </c>
      <c r="E120" s="23" t="str">
        <f>IFERROR(__xludf.DUMMYFUNCTION("GOOGLETRANSLATE(B120, ""en"", ""ru"")"),"Используется для измельчения деревьев для дерева.")</f>
        <v>Используется для измельчения деревьев для дерева.</v>
      </c>
      <c r="F120" s="23" t="str">
        <f>IFERROR(__xludf.DUMMYFUNCTION("GOOGLETRANSLATE(B120, ""en"", ""tr"")"),"Ağaçları ahşap için kesmek için kullanılır.")</f>
        <v>Ağaçları ahşap için kesmek için kullanılır.</v>
      </c>
      <c r="G120" s="23" t="str">
        <f>IFERROR(__xludf.DUMMYFUNCTION("GOOGLETRANSLATE(B120, ""en"", ""pt"")"),"Usado para cortar árvores para madeira.")</f>
        <v>Usado para cortar árvores para madeira.</v>
      </c>
      <c r="H120" s="24" t="str">
        <f>IFERROR(__xludf.DUMMYFUNCTION("GOOGLETRANSLATE(B120, ""en"", ""de"")"),"Verwendet, um Bäume für Holz zu hacken.")</f>
        <v>Verwendet, um Bäume für Holz zu hacken.</v>
      </c>
      <c r="I120" s="23" t="str">
        <f>IFERROR(__xludf.DUMMYFUNCTION("GOOGLETRANSLATE(B120, ""en"", ""pl"")"),"Służy do spięcia drzew do drewna.")</f>
        <v>Służy do spięcia drzew do drewna.</v>
      </c>
      <c r="J120" s="25" t="str">
        <f>IFERROR(__xludf.DUMMYFUNCTION("GOOGLETRANSLATE(B120, ""en"", ""zh"")"),"用来砍伐树木的树木。")</f>
        <v>用来砍伐树木的树木。</v>
      </c>
      <c r="K120" s="25" t="str">
        <f>IFERROR(__xludf.DUMMYFUNCTION("GOOGLETRANSLATE(B120, ""en"", ""vi"")"),"Dùng để chặt cây cho gỗ.")</f>
        <v>Dùng để chặt cây cho gỗ.</v>
      </c>
      <c r="L120" s="26" t="str">
        <f>IFERROR(__xludf.DUMMYFUNCTION("GOOGLETRANSLATE(B120, ""en"", ""hr"")"),"Koristi se za usitnjavanje drveća za drvo.")</f>
        <v>Koristi se za usitnjavanje drveća za drvo.</v>
      </c>
      <c r="M120" s="28"/>
      <c r="N120" s="28"/>
      <c r="O120" s="28"/>
      <c r="P120" s="28"/>
      <c r="Q120" s="28"/>
      <c r="R120" s="28"/>
      <c r="S120" s="28"/>
      <c r="T120" s="28"/>
      <c r="U120" s="28"/>
      <c r="V120" s="28"/>
      <c r="W120" s="28"/>
      <c r="X120" s="28"/>
      <c r="Y120" s="28"/>
      <c r="Z120" s="28"/>
      <c r="AA120" s="28"/>
      <c r="AB120" s="28"/>
    </row>
    <row r="121">
      <c r="A121" s="21" t="s">
        <v>582</v>
      </c>
      <c r="B121" s="22" t="s">
        <v>583</v>
      </c>
      <c r="C121" s="23" t="str">
        <f>IFERROR(__xludf.DUMMYFUNCTION("GOOGLETRANSLATE(B121, ""en"", ""fr"")"),"Agonite Pickaxe")</f>
        <v>Agonite Pickaxe</v>
      </c>
      <c r="D121" s="23" t="str">
        <f>IFERROR(__xludf.DUMMYFUNCTION("GOOGLETRANSLATE(B121, ""en"", ""es"")"),"Pico de agonita")</f>
        <v>Pico de agonita</v>
      </c>
      <c r="E121" s="23" t="str">
        <f>IFERROR(__xludf.DUMMYFUNCTION("GOOGLETRANSLATE(B121, ""en"", ""ru"")"),"Агонита Пикакс")</f>
        <v>Агонита Пикакс</v>
      </c>
      <c r="F121" s="23" t="str">
        <f>IFERROR(__xludf.DUMMYFUNCTION("GOOGLETRANSLATE(B121, ""en"", ""tr"")"),"Agonite kazma")</f>
        <v>Agonite kazma</v>
      </c>
      <c r="G121" s="23" t="str">
        <f>IFERROR(__xludf.DUMMYFUNCTION("GOOGLETRANSLATE(B121, ""en"", ""pt"")"),"Agonite picaxe.")</f>
        <v>Agonite picaxe.</v>
      </c>
      <c r="H121" s="24" t="str">
        <f>IFERROR(__xludf.DUMMYFUNCTION("GOOGLETRANSLATE(B121, ""en"", ""de"")"),"Agonite Picker")</f>
        <v>Agonite Picker</v>
      </c>
      <c r="I121" s="23" t="str">
        <f>IFERROR(__xludf.DUMMYFUNCTION("GOOGLETRANSLATE(B121, ""en"", ""pl"")"),"Agonite Pickaxe.")</f>
        <v>Agonite Pickaxe.</v>
      </c>
      <c r="J121" s="25" t="str">
        <f>IFERROR(__xludf.DUMMYFUNCTION("GOOGLETRANSLATE(B121, ""en"", ""zh"")"),"Agonite镐")</f>
        <v>Agonite镐</v>
      </c>
      <c r="K121" s="25" t="str">
        <f>IFERROR(__xludf.DUMMYFUNCTION("GOOGLETRANSLATE(B121, ""en"", ""vi"")"),"Agonite Pickaxe.")</f>
        <v>Agonite Pickaxe.</v>
      </c>
      <c r="L121" s="26" t="str">
        <f>IFERROR(__xludf.DUMMYFUNCTION("GOOGLETRANSLATE(B121, ""en"", ""hr"")"),"Agonit pikaksi")</f>
        <v>Agonit pikaksi</v>
      </c>
      <c r="M121" s="28"/>
      <c r="N121" s="28"/>
      <c r="O121" s="28"/>
      <c r="P121" s="28"/>
      <c r="Q121" s="28"/>
      <c r="R121" s="28"/>
      <c r="S121" s="28"/>
      <c r="T121" s="28"/>
      <c r="U121" s="28"/>
      <c r="V121" s="28"/>
      <c r="W121" s="28"/>
      <c r="X121" s="28"/>
      <c r="Y121" s="28"/>
      <c r="Z121" s="28"/>
      <c r="AA121" s="28"/>
      <c r="AB121" s="28"/>
    </row>
    <row r="122">
      <c r="A122" s="21" t="s">
        <v>584</v>
      </c>
      <c r="B122" s="22" t="s">
        <v>523</v>
      </c>
      <c r="C122" s="23" t="str">
        <f>IFERROR(__xludf.DUMMYFUNCTION("GOOGLETRANSLATE(B122, ""en"", ""fr"")"),"Utilisé pour mine rochers pour minerai.")</f>
        <v>Utilisé pour mine rochers pour minerai.</v>
      </c>
      <c r="D122" s="23" t="str">
        <f>IFERROR(__xludf.DUMMYFUNCTION("GOOGLETRANSLATE(B122, ""en"", ""es"")"),"Acostumbrado a minar rocas para mineral.")</f>
        <v>Acostumbrado a minar rocas para mineral.</v>
      </c>
      <c r="E122" s="23" t="str">
        <f>IFERROR(__xludf.DUMMYFUNCTION("GOOGLETRANSLATE(B122, ""en"", ""ru"")"),"Используется для моих скал для руды.")</f>
        <v>Используется для моих скал для руды.</v>
      </c>
      <c r="F122" s="23" t="str">
        <f>IFERROR(__xludf.DUMMYFUNCTION("GOOGLETRANSLATE(B122, ""en"", ""tr"")"),"Cevher için kayalar için kullanılır.")</f>
        <v>Cevher için kayalar için kullanılır.</v>
      </c>
      <c r="G122" s="23" t="str">
        <f>IFERROR(__xludf.DUMMYFUNCTION("GOOGLETRANSLATE(B122, ""en"", ""pt"")"),"Usado para minerar pedras para minério.")</f>
        <v>Usado para minerar pedras para minério.</v>
      </c>
      <c r="H122" s="24" t="str">
        <f>IFERROR(__xludf.DUMMYFUNCTION("GOOGLETRANSLATE(B122, ""en"", ""de"")"),"Verwendet, um Felsen für Erz zu gestalten.")</f>
        <v>Verwendet, um Felsen für Erz zu gestalten.</v>
      </c>
      <c r="I122" s="23" t="str">
        <f>IFERROR(__xludf.DUMMYFUNCTION("GOOGLETRANSLATE(B122, ""en"", ""pl"")"),"Używane do moich skał dla rudy.")</f>
        <v>Używane do moich skał dla rudy.</v>
      </c>
      <c r="J122" s="25" t="str">
        <f>IFERROR(__xludf.DUMMYFUNCTION("GOOGLETRANSLATE(B122, ""en"", ""zh"")"),"用于挖掘矿石的岩石。")</f>
        <v>用于挖掘矿石的岩石。</v>
      </c>
      <c r="K122" s="25" t="str">
        <f>IFERROR(__xludf.DUMMYFUNCTION("GOOGLETRANSLATE(B122, ""en"", ""vi"")"),"Được sử dụng để khai thác đá cho quặng.")</f>
        <v>Được sử dụng để khai thác đá cho quặng.</v>
      </c>
      <c r="L122" s="26" t="str">
        <f>IFERROR(__xludf.DUMMYFUNCTION("GOOGLETRANSLATE(B122, ""en"", ""hr"")"),"Koristi se za ručne stijene za rudu.")</f>
        <v>Koristi se za ručne stijene za rudu.</v>
      </c>
      <c r="M122" s="28"/>
      <c r="N122" s="28"/>
      <c r="O122" s="28"/>
      <c r="P122" s="28"/>
      <c r="Q122" s="28"/>
      <c r="R122" s="28"/>
      <c r="S122" s="28"/>
      <c r="T122" s="28"/>
      <c r="U122" s="28"/>
      <c r="V122" s="28"/>
      <c r="W122" s="28"/>
      <c r="X122" s="28"/>
      <c r="Y122" s="28"/>
      <c r="Z122" s="28"/>
      <c r="AA122" s="28"/>
      <c r="AB122" s="28"/>
    </row>
    <row r="123">
      <c r="A123" s="21" t="s">
        <v>585</v>
      </c>
      <c r="B123" s="22" t="s">
        <v>586</v>
      </c>
      <c r="C123" s="23" t="str">
        <f>IFERROR(__xludf.DUMMYFUNCTION("GOOGLETRANSLATE(B123, ""en"", ""fr"")"),"Fauconite")</f>
        <v>Fauconite</v>
      </c>
      <c r="D123" s="23" t="str">
        <f>IFERROR(__xludf.DUMMYFUNCTION("GOOGLETRANSLATE(B123, ""en"", ""es"")"),"Hoz de agonita")</f>
        <v>Hoz de agonita</v>
      </c>
      <c r="E123" s="23" t="str">
        <f>IFERROR(__xludf.DUMMYFUNCTION("GOOGLETRANSLATE(B123, ""en"", ""ru"")"),"Агонит серп")</f>
        <v>Агонит серп</v>
      </c>
      <c r="F123" s="23" t="str">
        <f>IFERROR(__xludf.DUMMYFUNCTION("GOOGLETRANSLATE(B123, ""en"", ""tr"")"),"Agonit orak")</f>
        <v>Agonit orak</v>
      </c>
      <c r="G123" s="23" t="str">
        <f>IFERROR(__xludf.DUMMYFUNCTION("GOOGLETRANSLATE(B123, ""en"", ""pt"")"),"Foice de agonite")</f>
        <v>Foice de agonite</v>
      </c>
      <c r="H123" s="24" t="str">
        <f>IFERROR(__xludf.DUMMYFUNCTION("GOOGLETRANSLATE(B123, ""en"", ""de"")"),"Agonite Sichel")</f>
        <v>Agonite Sichel</v>
      </c>
      <c r="I123" s="23" t="str">
        <f>IFERROR(__xludf.DUMMYFUNCTION("GOOGLETRANSLATE(B123, ""en"", ""pl"")"),"Sierp Agonite.")</f>
        <v>Sierp Agonite.</v>
      </c>
      <c r="J123" s="25" t="str">
        <f>IFERROR(__xludf.DUMMYFUNCTION("GOOGLETRANSLATE(B123, ""en"", ""zh"")"),"艾莫氏镰刀")</f>
        <v>艾莫氏镰刀</v>
      </c>
      <c r="K123" s="25" t="str">
        <f>IFERROR(__xludf.DUMMYFUNCTION("GOOGLETRANSLATE(B123, ""en"", ""vi"")"),"Lưỡi liềm Agonite")</f>
        <v>Lưỡi liềm Agonite</v>
      </c>
      <c r="L123" s="26" t="str">
        <f>IFERROR(__xludf.DUMMYFUNCTION("GOOGLETRANSLATE(B123, ""en"", ""hr"")"),"Agonitne srp")</f>
        <v>Agonitne srp</v>
      </c>
      <c r="M123" s="28"/>
      <c r="N123" s="28"/>
      <c r="O123" s="28"/>
      <c r="P123" s="28"/>
      <c r="Q123" s="28"/>
      <c r="R123" s="28"/>
      <c r="S123" s="28"/>
      <c r="T123" s="28"/>
      <c r="U123" s="28"/>
      <c r="V123" s="28"/>
      <c r="W123" s="28"/>
      <c r="X123" s="28"/>
      <c r="Y123" s="28"/>
      <c r="Z123" s="28"/>
      <c r="AA123" s="28"/>
      <c r="AB123" s="28"/>
    </row>
    <row r="124">
      <c r="A124" s="21" t="s">
        <v>587</v>
      </c>
      <c r="B124" s="22" t="s">
        <v>533</v>
      </c>
      <c r="C124" s="23" t="str">
        <f>IFERROR(__xludf.DUMMYFUNCTION("GOOGLETRANSLATE(B124, ""en"", ""fr"")"),"Utilisé pour recueillir des plantes.")</f>
        <v>Utilisé pour recueillir des plantes.</v>
      </c>
      <c r="D124" s="23" t="str">
        <f>IFERROR(__xludf.DUMMYFUNCTION("GOOGLETRANSLATE(B124, ""en"", ""es"")"),"Se utiliza para recoger plantas.")</f>
        <v>Se utiliza para recoger plantas.</v>
      </c>
      <c r="E124" s="23" t="str">
        <f>IFERROR(__xludf.DUMMYFUNCTION("GOOGLETRANSLATE(B124, ""en"", ""ru"")"),"Используется для собрания растений.")</f>
        <v>Используется для собрания растений.</v>
      </c>
      <c r="F124" s="23" t="str">
        <f>IFERROR(__xludf.DUMMYFUNCTION("GOOGLETRANSLATE(B124, ""en"", ""tr"")"),"Bitkileri toplamak için kullanılır.")</f>
        <v>Bitkileri toplamak için kullanılır.</v>
      </c>
      <c r="G124" s="23" t="str">
        <f>IFERROR(__xludf.DUMMYFUNCTION("GOOGLETRANSLATE(B124, ""en"", ""pt"")"),"Usado para reunir plantas.")</f>
        <v>Usado para reunir plantas.</v>
      </c>
      <c r="H124" s="24" t="str">
        <f>IFERROR(__xludf.DUMMYFUNCTION("GOOGLETRANSLATE(B124, ""en"", ""de"")"),"Verwendet, um Pflanzen zu sammeln.")</f>
        <v>Verwendet, um Pflanzen zu sammeln.</v>
      </c>
      <c r="I124" s="23" t="str">
        <f>IFERROR(__xludf.DUMMYFUNCTION("GOOGLETRANSLATE(B124, ""en"", ""pl"")"),"Używane do zbierania roślin.")</f>
        <v>Używane do zbierania roślin.</v>
      </c>
      <c r="J124" s="25" t="str">
        <f>IFERROR(__xludf.DUMMYFUNCTION("GOOGLETRANSLATE(B124, ""en"", ""zh"")"),"用来收集植物。")</f>
        <v>用来收集植物。</v>
      </c>
      <c r="K124" s="25" t="str">
        <f>IFERROR(__xludf.DUMMYFUNCTION("GOOGLETRANSLATE(B124, ""en"", ""vi"")"),"Dùng để thu thập cây.")</f>
        <v>Dùng để thu thập cây.</v>
      </c>
      <c r="L124" s="26" t="str">
        <f>IFERROR(__xludf.DUMMYFUNCTION("GOOGLETRANSLATE(B124, ""en"", ""hr"")"),"Koristi se za prikupljanje biljaka.")</f>
        <v>Koristi se za prikupljanje biljaka.</v>
      </c>
      <c r="M124" s="28"/>
      <c r="N124" s="28"/>
      <c r="O124" s="28"/>
      <c r="P124" s="28"/>
      <c r="Q124" s="28"/>
      <c r="R124" s="28"/>
      <c r="S124" s="28"/>
      <c r="T124" s="28"/>
      <c r="U124" s="28"/>
      <c r="V124" s="28"/>
      <c r="W124" s="28"/>
      <c r="X124" s="28"/>
      <c r="Y124" s="28"/>
      <c r="Z124" s="28"/>
      <c r="AA124" s="28"/>
      <c r="AB124" s="28"/>
    </row>
    <row r="125">
      <c r="A125" s="21" t="s">
        <v>588</v>
      </c>
      <c r="B125" s="22" t="s">
        <v>589</v>
      </c>
      <c r="C125" s="23" t="str">
        <f>IFERROR(__xludf.DUMMYFUNCTION("GOOGLETRANSLATE(B125, ""en"", ""fr"")"),"Flèches d'agonite")</f>
        <v>Flèches d'agonite</v>
      </c>
      <c r="D125" s="23" t="str">
        <f>IFERROR(__xludf.DUMMYFUNCTION("GOOGLETRANSLATE(B125, ""en"", ""es"")"),"Flechas de agonita")</f>
        <v>Flechas de agonita</v>
      </c>
      <c r="E125" s="23" t="str">
        <f>IFERROR(__xludf.DUMMYFUNCTION("GOOGLETRANSLATE(B125, ""en"", ""ru"")"),"Стрелы агонита")</f>
        <v>Стрелы агонита</v>
      </c>
      <c r="F125" s="23" t="str">
        <f>IFERROR(__xludf.DUMMYFUNCTION("GOOGLETRANSLATE(B125, ""en"", ""tr"")"),"Agonite okları")</f>
        <v>Agonite okları</v>
      </c>
      <c r="G125" s="23" t="str">
        <f>IFERROR(__xludf.DUMMYFUNCTION("GOOGLETRANSLATE(B125, ""en"", ""pt"")"),"Flechas de agonite")</f>
        <v>Flechas de agonite</v>
      </c>
      <c r="H125" s="24" t="str">
        <f>IFERROR(__xludf.DUMMYFUNCTION("GOOGLETRANSLATE(B125, ""en"", ""de"")"),"Agonitpfeile")</f>
        <v>Agonitpfeile</v>
      </c>
      <c r="I125" s="23" t="str">
        <f>IFERROR(__xludf.DUMMYFUNCTION("GOOGLETRANSLATE(B125, ""en"", ""pl"")"),"Agonite strzałki")</f>
        <v>Agonite strzałki</v>
      </c>
      <c r="J125" s="25" t="str">
        <f>IFERROR(__xludf.DUMMYFUNCTION("GOOGLETRANSLATE(B125, ""en"", ""zh"")"),"Agonite箭头")</f>
        <v>Agonite箭头</v>
      </c>
      <c r="K125" s="25" t="str">
        <f>IFERROR(__xludf.DUMMYFUNCTION("GOOGLETRANSLATE(B125, ""en"", ""vi"")"),"Mũi tên Agonite")</f>
        <v>Mũi tên Agonite</v>
      </c>
      <c r="L125" s="26" t="str">
        <f>IFERROR(__xludf.DUMMYFUNCTION("GOOGLETRANSLATE(B125, ""en"", ""hr"")"),"Agonite strijele")</f>
        <v>Agonite strijele</v>
      </c>
      <c r="M125" s="28"/>
      <c r="N125" s="28"/>
      <c r="O125" s="28"/>
      <c r="P125" s="28"/>
      <c r="Q125" s="28"/>
      <c r="R125" s="28"/>
      <c r="S125" s="28"/>
      <c r="T125" s="28"/>
      <c r="U125" s="28"/>
      <c r="V125" s="28"/>
      <c r="W125" s="28"/>
      <c r="X125" s="28"/>
      <c r="Y125" s="28"/>
      <c r="Z125" s="28"/>
      <c r="AA125" s="28"/>
      <c r="AB125" s="28"/>
    </row>
    <row r="126">
      <c r="A126" s="21" t="s">
        <v>590</v>
      </c>
      <c r="B126" s="22" t="s">
        <v>537</v>
      </c>
      <c r="C126" s="23" t="str">
        <f>IFERROR(__xludf.DUMMYFUNCTION("GOOGLETRANSLATE(B126, ""en"", ""fr"")"),"Utilisé comme munition pour un arc.")</f>
        <v>Utilisé comme munition pour un arc.</v>
      </c>
      <c r="D126" s="23" t="str">
        <f>IFERROR(__xludf.DUMMYFUNCTION("GOOGLETRANSLATE(B126, ""en"", ""es"")"),"Utilizado como municiones para un arco.")</f>
        <v>Utilizado como municiones para un arco.</v>
      </c>
      <c r="E126" s="23" t="str">
        <f>IFERROR(__xludf.DUMMYFUNCTION("GOOGLETRANSLATE(B126, ""en"", ""ru"")"),"Используется в качестве боеприпасов для лука.")</f>
        <v>Используется в качестве боеприпасов для лука.</v>
      </c>
      <c r="F126" s="23" t="str">
        <f>IFERROR(__xludf.DUMMYFUNCTION("GOOGLETRANSLATE(B126, ""en"", ""tr"")"),"Bir yay için mühimmat olarak kullanılır.")</f>
        <v>Bir yay için mühimmat olarak kullanılır.</v>
      </c>
      <c r="G126" s="23" t="str">
        <f>IFERROR(__xludf.DUMMYFUNCTION("GOOGLETRANSLATE(B126, ""en"", ""pt"")"),"Usado como munição para um arco.")</f>
        <v>Usado como munição para um arco.</v>
      </c>
      <c r="H126" s="24" t="str">
        <f>IFERROR(__xludf.DUMMYFUNCTION("GOOGLETRANSLATE(B126, ""en"", ""de"")"),"Als Munition für einen Bogen verwendet.")</f>
        <v>Als Munition für einen Bogen verwendet.</v>
      </c>
      <c r="I126" s="23" t="str">
        <f>IFERROR(__xludf.DUMMYFUNCTION("GOOGLETRANSLATE(B126, ""en"", ""pl"")"),"Używany jako amunicja na łuk.")</f>
        <v>Używany jako amunicja na łuk.</v>
      </c>
      <c r="J126" s="25" t="str">
        <f>IFERROR(__xludf.DUMMYFUNCTION("GOOGLETRANSLATE(B126, ""en"", ""zh"")"),"用作弓的弹药。")</f>
        <v>用作弓的弹药。</v>
      </c>
      <c r="K126" s="25" t="str">
        <f>IFERROR(__xludf.DUMMYFUNCTION("GOOGLETRANSLATE(B126, ""en"", ""vi"")"),"Dùng làm đạn cho một cây cung.")</f>
        <v>Dùng làm đạn cho một cây cung.</v>
      </c>
      <c r="L126" s="26" t="str">
        <f>IFERROR(__xludf.DUMMYFUNCTION("GOOGLETRANSLATE(B126, ""en"", ""hr"")"),"Koristi se kao streljivo za luk.")</f>
        <v>Koristi se kao streljivo za luk.</v>
      </c>
      <c r="M126" s="28"/>
      <c r="N126" s="28"/>
      <c r="O126" s="28"/>
      <c r="P126" s="28"/>
      <c r="Q126" s="28"/>
      <c r="R126" s="28"/>
      <c r="S126" s="28"/>
      <c r="T126" s="28"/>
      <c r="U126" s="28"/>
      <c r="V126" s="28"/>
      <c r="W126" s="28"/>
      <c r="X126" s="28"/>
      <c r="Y126" s="28"/>
      <c r="Z126" s="28"/>
      <c r="AA126" s="28"/>
      <c r="AB126" s="28"/>
    </row>
    <row r="127">
      <c r="A127" s="21" t="s">
        <v>591</v>
      </c>
      <c r="B127" s="22" t="s">
        <v>592</v>
      </c>
      <c r="C127" s="23" t="str">
        <f>IFERROR(__xludf.DUMMYFUNCTION("GOOGLETRANSLATE(B127, ""en"", ""fr"")"),"Angonite poignard")</f>
        <v>Angonite poignard</v>
      </c>
      <c r="D127" s="23" t="str">
        <f>IFERROR(__xludf.DUMMYFUNCTION("GOOGLETRANSLATE(B127, ""en"", ""es"")"),"Daga de agonita")</f>
        <v>Daga de agonita</v>
      </c>
      <c r="E127" s="23" t="str">
        <f>IFERROR(__xludf.DUMMYFUNCTION("GOOGLETRANSLATE(B127, ""en"", ""ru"")"),"Агонитный кинжал")</f>
        <v>Агонитный кинжал</v>
      </c>
      <c r="F127" s="23" t="str">
        <f>IFERROR(__xludf.DUMMYFUNCTION("GOOGLETRANSLATE(B127, ""en"", ""tr"")"),"Agonite hançer")</f>
        <v>Agonite hançer</v>
      </c>
      <c r="G127" s="23" t="str">
        <f>IFERROR(__xludf.DUMMYFUNCTION("GOOGLETRANSLATE(B127, ""en"", ""pt"")"),"Punhal de agonite")</f>
        <v>Punhal de agonite</v>
      </c>
      <c r="H127" s="24" t="str">
        <f>IFERROR(__xludf.DUMMYFUNCTION("GOOGLETRANSLATE(B127, ""en"", ""de"")"),"Agonite Dolch.")</f>
        <v>Agonite Dolch.</v>
      </c>
      <c r="I127" s="23" t="str">
        <f>IFERROR(__xludf.DUMMYFUNCTION("GOOGLETRANSLATE(B127, ""en"", ""pl"")"),"Agonite sztylet.")</f>
        <v>Agonite sztylet.</v>
      </c>
      <c r="J127" s="25" t="str">
        <f>IFERROR(__xludf.DUMMYFUNCTION("GOOGLETRANSLATE(B127, ""en"", ""zh"")"),"艾蒙蒂匕首")</f>
        <v>艾蒙蒂匕首</v>
      </c>
      <c r="K127" s="25" t="str">
        <f>IFERROR(__xludf.DUMMYFUNCTION("GOOGLETRANSLATE(B127, ""en"", ""vi"")"),"Dagger agonite")</f>
        <v>Dagger agonite</v>
      </c>
      <c r="L127" s="26" t="str">
        <f>IFERROR(__xludf.DUMMYFUNCTION("GOOGLETRANSLATE(B127, ""en"", ""hr"")"),"Agonitni bodež")</f>
        <v>Agonitni bodež</v>
      </c>
      <c r="M127" s="28"/>
      <c r="N127" s="28"/>
      <c r="O127" s="28"/>
      <c r="P127" s="28"/>
      <c r="Q127" s="28"/>
      <c r="R127" s="28"/>
      <c r="S127" s="28"/>
      <c r="T127" s="28"/>
      <c r="U127" s="28"/>
      <c r="V127" s="28"/>
      <c r="W127" s="28"/>
      <c r="X127" s="28"/>
      <c r="Y127" s="28"/>
      <c r="Z127" s="28"/>
      <c r="AA127" s="28"/>
      <c r="AB127" s="28"/>
    </row>
    <row r="128">
      <c r="A128" s="21" t="s">
        <v>593</v>
      </c>
      <c r="B128" s="22" t="s">
        <v>541</v>
      </c>
      <c r="C128" s="23" t="str">
        <f>IFERROR(__xludf.DUMMYFUNCTION("GOOGLETRANSLATE(B128, ""en"", ""fr"")"),"Une arme de mêlée à courte portée. Traite des dégâts de bonus quand il frappe derrière lui.")</f>
        <v>Une arme de mêlée à courte portée. Traite des dégâts de bonus quand il frappe derrière lui.</v>
      </c>
      <c r="D128" s="23" t="str">
        <f>IFERROR(__xludf.DUMMYFUNCTION("GOOGLETRANSLATE(B128, ""en"", ""es"")"),"Un breve arma cuerpo a cuerpo. Ofrece daño de bonificación cuando llega por detrás.")</f>
        <v>Un breve arma cuerpo a cuerpo. Ofrece daño de bonificación cuando llega por detrás.</v>
      </c>
      <c r="E128" s="23" t="str">
        <f>IFERROR(__xludf.DUMMYFUNCTION("GOOGLETRANSLATE(B128, ""en"", ""ru"")"),"Оружие ближнего уровня ближнего действия. Надет бонусный урон, когда он попадает сзади.")</f>
        <v>Оружие ближнего уровня ближнего действия. Надет бонусный урон, когда он попадает сзади.</v>
      </c>
      <c r="F128" s="23" t="str">
        <f>IFERROR(__xludf.DUMMYFUNCTION("GOOGLETRANSLATE(B128, ""en"", ""tr"")"),"Kısa menzilli bir yakın dövüş silahı. Arkadan isabet ettiğinde bonus hasarı fırsatlar.")</f>
        <v>Kısa menzilli bir yakın dövüş silahı. Arkadan isabet ettiğinde bonus hasarı fırsatlar.</v>
      </c>
      <c r="G128" s="23" t="str">
        <f>IFERROR(__xludf.DUMMYFUNCTION("GOOGLETRANSLATE(B128, ""en"", ""pt"")"),"Uma arma de corpo a corpo de curto alcance. Oferece dano de bônus quando atinge por trás.")</f>
        <v>Uma arma de corpo a corpo de curto alcance. Oferece dano de bônus quando atinge por trás.</v>
      </c>
      <c r="H128" s="24" t="str">
        <f>IFERROR(__xludf.DUMMYFUNCTION("GOOGLETRANSLATE(B128, ""en"", ""de"")"),"Eine kurze Reichweite-Nahkampfwaffe. Befasst sich mit Bonusschäden, wenn sie von hinten trifft.")</f>
        <v>Eine kurze Reichweite-Nahkampfwaffe. Befasst sich mit Bonusschäden, wenn sie von hinten trifft.</v>
      </c>
      <c r="I128" s="23" t="str">
        <f>IFERROR(__xludf.DUMMYFUNCTION("GOOGLETRANSLATE(B128, ""en"", ""pl"")"),"Broń wręcz broni. Oferty bonusowe uszkodzenia, gdy uderza od tyłu.")</f>
        <v>Broń wręcz broni. Oferty bonusowe uszkodzenia, gdy uderza od tyłu.</v>
      </c>
      <c r="J128" s="25" t="str">
        <f>IFERROR(__xludf.DUMMYFUNCTION("GOOGLETRANSLATE(B128, ""en"", ""zh"")"),"短程近战武器。从后面击中时造成奖金损坏。")</f>
        <v>短程近战武器。从后面击中时造成奖金损坏。</v>
      </c>
      <c r="K128" s="25" t="str">
        <f>IFERROR(__xludf.DUMMYFUNCTION("GOOGLETRANSLATE(B128, ""en"", ""vi"")"),"Một vũ khí cận chiến ngắn. Gây sát thương tiền thưởng khi nó đánh từ phía sau.")</f>
        <v>Một vũ khí cận chiến ngắn. Gây sát thương tiền thưởng khi nó đánh từ phía sau.</v>
      </c>
      <c r="L128" s="26" t="str">
        <f>IFERROR(__xludf.DUMMYFUNCTION("GOOGLETRANSLATE(B128, ""en"", ""hr"")"),"Kratki prostor za gužvu. Bavi bonus štete kada pogodi iza sebe.")</f>
        <v>Kratki prostor za gužvu. Bavi bonus štete kada pogodi iza sebe.</v>
      </c>
      <c r="M128" s="28"/>
      <c r="N128" s="28"/>
      <c r="O128" s="28"/>
      <c r="P128" s="28"/>
      <c r="Q128" s="28"/>
      <c r="R128" s="28"/>
      <c r="S128" s="28"/>
      <c r="T128" s="28"/>
      <c r="U128" s="28"/>
      <c r="V128" s="28"/>
      <c r="W128" s="28"/>
      <c r="X128" s="28"/>
      <c r="Y128" s="28"/>
      <c r="Z128" s="28"/>
      <c r="AA128" s="28"/>
      <c r="AB128" s="28"/>
    </row>
    <row r="129">
      <c r="A129" s="21" t="s">
        <v>594</v>
      </c>
      <c r="B129" s="22" t="s">
        <v>595</v>
      </c>
      <c r="C129" s="23" t="str">
        <f>IFERROR(__xludf.DUMMYFUNCTION("GOOGLETRANSLATE(B129, ""en"", ""fr"")"),"Agonite Sword")</f>
        <v>Agonite Sword</v>
      </c>
      <c r="D129" s="23" t="str">
        <f>IFERROR(__xludf.DUMMYFUNCTION("GOOGLETRANSLATE(B129, ""en"", ""es"")"),"Espada de agonita")</f>
        <v>Espada de agonita</v>
      </c>
      <c r="E129" s="23" t="str">
        <f>IFERROR(__xludf.DUMMYFUNCTION("GOOGLETRANSLATE(B129, ""en"", ""ru"")"),"Агонит меч")</f>
        <v>Агонит меч</v>
      </c>
      <c r="F129" s="23" t="str">
        <f>IFERROR(__xludf.DUMMYFUNCTION("GOOGLETRANSLATE(B129, ""en"", ""tr"")"),"Agonit kılıç")</f>
        <v>Agonit kılıç</v>
      </c>
      <c r="G129" s="23" t="str">
        <f>IFERROR(__xludf.DUMMYFUNCTION("GOOGLETRANSLATE(B129, ""en"", ""pt"")"),"Espada de agonite")</f>
        <v>Espada de agonite</v>
      </c>
      <c r="H129" s="24" t="str">
        <f>IFERROR(__xludf.DUMMYFUNCTION("GOOGLETRANSLATE(B129, ""en"", ""de"")"),"Agonitschwert")</f>
        <v>Agonitschwert</v>
      </c>
      <c r="I129" s="23" t="str">
        <f>IFERROR(__xludf.DUMMYFUNCTION("GOOGLETRANSLATE(B129, ""en"", ""pl"")"),"Miecz agonite.")</f>
        <v>Miecz agonite.</v>
      </c>
      <c r="J129" s="25" t="str">
        <f>IFERROR(__xludf.DUMMYFUNCTION("GOOGLETRANSLATE(B129, ""en"", ""zh"")"),"艾莫尼石剑")</f>
        <v>艾莫尼石剑</v>
      </c>
      <c r="K129" s="25" t="str">
        <f>IFERROR(__xludf.DUMMYFUNCTION("GOOGLETRANSLATE(B129, ""en"", ""vi"")"),"Thanh kiếm Agonite.")</f>
        <v>Thanh kiếm Agonite.</v>
      </c>
      <c r="L129" s="26" t="str">
        <f>IFERROR(__xludf.DUMMYFUNCTION("GOOGLETRANSLATE(B129, ""en"", ""hr"")"),"Agonitni mač")</f>
        <v>Agonitni mač</v>
      </c>
      <c r="M129" s="28"/>
      <c r="N129" s="28"/>
      <c r="O129" s="28"/>
      <c r="P129" s="28"/>
      <c r="Q129" s="28"/>
      <c r="R129" s="28"/>
      <c r="S129" s="28"/>
      <c r="T129" s="28"/>
      <c r="U129" s="28"/>
      <c r="V129" s="28"/>
      <c r="W129" s="28"/>
      <c r="X129" s="28"/>
      <c r="Y129" s="28"/>
      <c r="Z129" s="28"/>
      <c r="AA129" s="28"/>
      <c r="AB129" s="28"/>
    </row>
    <row r="130">
      <c r="A130" s="21" t="s">
        <v>596</v>
      </c>
      <c r="B130" s="22" t="s">
        <v>545</v>
      </c>
      <c r="C130" s="23" t="str">
        <f>IFERROR(__xludf.DUMMYFUNCTION("GOOGLETRANSLATE(B130, ""en"", ""fr"")"),"Arme de mêlée. Utilisé pour attaquer une courte distance.")</f>
        <v>Arme de mêlée. Utilisé pour attaquer une courte distance.</v>
      </c>
      <c r="D130" s="23" t="str">
        <f>IFERROR(__xludf.DUMMYFUNCTION("GOOGLETRANSLATE(B130, ""en"", ""es"")"),"Arma cuerpo a cuerpo. Se utiliza para atacar a una corta distancia.")</f>
        <v>Arma cuerpo a cuerpo. Se utiliza para atacar a una corta distancia.</v>
      </c>
      <c r="E130" s="23" t="str">
        <f>IFERROR(__xludf.DUMMYFUNCTION("GOOGLETRANSLATE(B130, ""en"", ""ru"")"),"Оружие ближнего боя. Используется для атаки на на небольшом расстоянии.")</f>
        <v>Оружие ближнего боя. Используется для атаки на на небольшом расстоянии.</v>
      </c>
      <c r="F130" s="23" t="str">
        <f>IFERROR(__xludf.DUMMYFUNCTION("GOOGLETRANSLATE(B130, ""en"", ""tr"")"),"Yakın dövüş silahı. Kısa bir mesafeye saldırmak için kullanılır.")</f>
        <v>Yakın dövüş silahı. Kısa bir mesafeye saldırmak için kullanılır.</v>
      </c>
      <c r="G130" s="23" t="str">
        <f>IFERROR(__xludf.DUMMYFUNCTION("GOOGLETRANSLATE(B130, ""en"", ""pt"")"),"Arma branca. Usado para atacar uma curta distância.")</f>
        <v>Arma branca. Usado para atacar uma curta distância.</v>
      </c>
      <c r="H130" s="24" t="str">
        <f>IFERROR(__xludf.DUMMYFUNCTION("GOOGLETRANSLATE(B130, ""en"", ""de"")"),"Nahkampfwaffe. Verwendet, um eine kurze Entfernung anzugreifen.")</f>
        <v>Nahkampfwaffe. Verwendet, um eine kurze Entfernung anzugreifen.</v>
      </c>
      <c r="I130" s="23" t="str">
        <f>IFERROR(__xludf.DUMMYFUNCTION("GOOGLETRANSLATE(B130, ""en"", ""pl"")"),"Broń biała. Używany do ataku w niewielkiej odległości.")</f>
        <v>Broń biała. Używany do ataku w niewielkiej odległości.</v>
      </c>
      <c r="J130" s="25" t="str">
        <f>IFERROR(__xludf.DUMMYFUNCTION("GOOGLETRANSLATE(B130, ""en"", ""zh"")"),"近战武器。用来攻击很短的距离。")</f>
        <v>近战武器。用来攻击很短的距离。</v>
      </c>
      <c r="K130" s="25" t="str">
        <f>IFERROR(__xludf.DUMMYFUNCTION("GOOGLETRANSLATE(B130, ""en"", ""vi"")"),"Vũ khí cận chiến. Được sử dụng để tấn công một khoảng cách ngắn đi.")</f>
        <v>Vũ khí cận chiến. Được sử dụng để tấn công một khoảng cách ngắn đi.</v>
      </c>
      <c r="L130" s="26" t="str">
        <f>IFERROR(__xludf.DUMMYFUNCTION("GOOGLETRANSLATE(B130, ""en"", ""hr"")"),"Melee Oružje. Koristi se za napad na kratku udaljenost.")</f>
        <v>Melee Oružje. Koristi se za napad na kratku udaljenost.</v>
      </c>
      <c r="M130" s="28"/>
      <c r="N130" s="28"/>
      <c r="O130" s="28"/>
      <c r="P130" s="28"/>
      <c r="Q130" s="28"/>
      <c r="R130" s="28"/>
      <c r="S130" s="28"/>
      <c r="T130" s="28"/>
      <c r="U130" s="28"/>
      <c r="V130" s="28"/>
      <c r="W130" s="28"/>
      <c r="X130" s="28"/>
      <c r="Y130" s="28"/>
      <c r="Z130" s="28"/>
      <c r="AA130" s="28"/>
      <c r="AB130" s="28"/>
    </row>
    <row r="131">
      <c r="A131" s="21" t="s">
        <v>597</v>
      </c>
      <c r="B131" s="22" t="s">
        <v>598</v>
      </c>
      <c r="C131" s="23" t="str">
        <f>IFERROR(__xludf.DUMMYFUNCTION("GOOGLETRANSLATE(B131, ""en"", ""fr"")"),"Agonite marteau")</f>
        <v>Agonite marteau</v>
      </c>
      <c r="D131" s="23" t="str">
        <f>IFERROR(__xludf.DUMMYFUNCTION("GOOGLETRANSLATE(B131, ""en"", ""es"")"),"Martillo de agonita")</f>
        <v>Martillo de agonita</v>
      </c>
      <c r="E131" s="23" t="str">
        <f>IFERROR(__xludf.DUMMYFUNCTION("GOOGLETRANSLATE(B131, ""en"", ""ru"")"),"Агонит молоток")</f>
        <v>Агонит молоток</v>
      </c>
      <c r="F131" s="23" t="str">
        <f>IFERROR(__xludf.DUMMYFUNCTION("GOOGLETRANSLATE(B131, ""en"", ""tr"")"),"Agonit çekiç")</f>
        <v>Agonit çekiç</v>
      </c>
      <c r="G131" s="23" t="str">
        <f>IFERROR(__xludf.DUMMYFUNCTION("GOOGLETRANSLATE(B131, ""en"", ""pt"")"),"Martelo de agonite")</f>
        <v>Martelo de agonite</v>
      </c>
      <c r="H131" s="24" t="str">
        <f>IFERROR(__xludf.DUMMYFUNCTION("GOOGLETRANSLATE(B131, ""en"", ""de"")"),"Agonithammer")</f>
        <v>Agonithammer</v>
      </c>
      <c r="I131" s="23" t="str">
        <f>IFERROR(__xludf.DUMMYFUNCTION("GOOGLETRANSLATE(B131, ""en"", ""pl"")"),"Agonite Hammer.")</f>
        <v>Agonite Hammer.</v>
      </c>
      <c r="J131" s="25" t="str">
        <f>IFERROR(__xludf.DUMMYFUNCTION("GOOGLETRANSLATE(B131, ""en"", ""zh"")"),"Agonite Hammer.")</f>
        <v>Agonite Hammer.</v>
      </c>
      <c r="K131" s="25" t="str">
        <f>IFERROR(__xludf.DUMMYFUNCTION("GOOGLETRANSLATE(B131, ""en"", ""vi"")"),"Búa agonite.")</f>
        <v>Búa agonite.</v>
      </c>
      <c r="L131" s="26" t="str">
        <f>IFERROR(__xludf.DUMMYFUNCTION("GOOGLETRANSLATE(B131, ""en"", ""hr"")"),"Agonit čekić")</f>
        <v>Agonit čekić</v>
      </c>
      <c r="M131" s="28"/>
      <c r="N131" s="28"/>
      <c r="O131" s="28"/>
      <c r="P131" s="28"/>
      <c r="Q131" s="28"/>
      <c r="R131" s="28"/>
      <c r="S131" s="28"/>
      <c r="T131" s="28"/>
      <c r="U131" s="28"/>
      <c r="V131" s="28"/>
      <c r="W131" s="28"/>
      <c r="X131" s="28"/>
      <c r="Y131" s="28"/>
      <c r="Z131" s="28"/>
      <c r="AA131" s="28"/>
      <c r="AB131" s="28"/>
    </row>
    <row r="132">
      <c r="A132" s="21" t="s">
        <v>599</v>
      </c>
      <c r="B132" s="22" t="s">
        <v>549</v>
      </c>
      <c r="C132" s="23" t="str">
        <f>IFERROR(__xludf.DUMMYFUNCTION("GOOGLETRANSLATE(B132, ""en"", ""fr"")"),"Arme de mêlée. Pousse les choses en arrière un espace quand il frappe.")</f>
        <v>Arme de mêlée. Pousse les choses en arrière un espace quand il frappe.</v>
      </c>
      <c r="D132" s="23" t="str">
        <f>IFERROR(__xludf.DUMMYFUNCTION("GOOGLETRANSLATE(B132, ""en"", ""es"")"),"Arma cuerpo a cuerpo. Empuja las cosas de vuelta un espacio cuando golpea.")</f>
        <v>Arma cuerpo a cuerpo. Empuja las cosas de vuelta un espacio cuando golpea.</v>
      </c>
      <c r="E132" s="23" t="str">
        <f>IFERROR(__xludf.DUMMYFUNCTION("GOOGLETRANSLATE(B132, ""en"", ""ru"")"),"Оружие ближнего боя. Толкает вещи назад одно пространство, когда он попадает.")</f>
        <v>Оружие ближнего боя. Толкает вещи назад одно пространство, когда он попадает.</v>
      </c>
      <c r="F132" s="23" t="str">
        <f>IFERROR(__xludf.DUMMYFUNCTION("GOOGLETRANSLATE(B132, ""en"", ""tr"")"),"Yakın dövüş silahı. Şeyleri vururken bir şeyi geri iter.")</f>
        <v>Yakın dövüş silahı. Şeyleri vururken bir şeyi geri iter.</v>
      </c>
      <c r="G132" s="23" t="str">
        <f>IFERROR(__xludf.DUMMYFUNCTION("GOOGLETRANSLATE(B132, ""en"", ""pt"")"),"Arma branca. Empurra as coisas de volta um espaço quando ele atinge.")</f>
        <v>Arma branca. Empurra as coisas de volta um espaço quando ele atinge.</v>
      </c>
      <c r="H132" s="24" t="str">
        <f>IFERROR(__xludf.DUMMYFUNCTION("GOOGLETRANSLATE(B132, ""en"", ""de"")"),"Nahkampfwaffe. Schiebt die Dinge zurück, wenn es trifft.")</f>
        <v>Nahkampfwaffe. Schiebt die Dinge zurück, wenn es trifft.</v>
      </c>
      <c r="I132" s="23" t="str">
        <f>IFERROR(__xludf.DUMMYFUNCTION("GOOGLETRANSLATE(B132, ""en"", ""pl"")"),"Broń biała. Popycha rzeczy z powrotem jedną przestrzeń, gdy uderza.")</f>
        <v>Broń biała. Popycha rzeczy z powrotem jedną przestrzeń, gdy uderza.</v>
      </c>
      <c r="J132" s="25" t="str">
        <f>IFERROR(__xludf.DUMMYFUNCTION("GOOGLETRANSLATE(B132, ""en"", ""zh"")"),"近战武器。当它命中时，将物质推回一个空间。")</f>
        <v>近战武器。当它命中时，将物质推回一个空间。</v>
      </c>
      <c r="K132" s="25" t="str">
        <f>IFERROR(__xludf.DUMMYFUNCTION("GOOGLETRANSLATE(B132, ""en"", ""vi"")"),"Vũ khí cận chiến. Đẩy mọi thứ trở lại một không gian khi nó hit.")</f>
        <v>Vũ khí cận chiến. Đẩy mọi thứ trở lại một không gian khi nó hit.</v>
      </c>
      <c r="L132" s="26" t="str">
        <f>IFERROR(__xludf.DUMMYFUNCTION("GOOGLETRANSLATE(B132, ""en"", ""hr"")"),"Melee Oružje. Gura stvari natrag jedan prostor kada pogodi.")</f>
        <v>Melee Oružje. Gura stvari natrag jedan prostor kada pogodi.</v>
      </c>
      <c r="M132" s="28"/>
      <c r="N132" s="28"/>
      <c r="O132" s="28"/>
      <c r="P132" s="28"/>
      <c r="Q132" s="28"/>
      <c r="R132" s="28"/>
      <c r="S132" s="28"/>
      <c r="T132" s="28"/>
      <c r="U132" s="28"/>
      <c r="V132" s="28"/>
      <c r="W132" s="28"/>
      <c r="X132" s="28"/>
      <c r="Y132" s="28"/>
      <c r="Z132" s="28"/>
      <c r="AA132" s="28"/>
      <c r="AB132" s="28"/>
    </row>
    <row r="133">
      <c r="A133" s="21" t="s">
        <v>600</v>
      </c>
      <c r="B133" s="22" t="s">
        <v>601</v>
      </c>
      <c r="C133" s="23" t="str">
        <f>IFERROR(__xludf.DUMMYFUNCTION("GOOGLETRANSLATE(B133, ""en"", ""fr"")"),"Agonite Armor")</f>
        <v>Agonite Armor</v>
      </c>
      <c r="D133" s="23" t="str">
        <f>IFERROR(__xludf.DUMMYFUNCTION("GOOGLETRANSLATE(B133, ""en"", ""es"")"),"Armadura de agonita")</f>
        <v>Armadura de agonita</v>
      </c>
      <c r="E133" s="23" t="str">
        <f>IFERROR(__xludf.DUMMYFUNCTION("GOOGLETRANSLATE(B133, ""en"", ""ru"")"),"Агонитная броня")</f>
        <v>Агонитная броня</v>
      </c>
      <c r="F133" s="23" t="str">
        <f>IFERROR(__xludf.DUMMYFUNCTION("GOOGLETRANSLATE(B133, ""en"", ""tr"")"),"Agonite zırhı")</f>
        <v>Agonite zırhı</v>
      </c>
      <c r="G133" s="23" t="str">
        <f>IFERROR(__xludf.DUMMYFUNCTION("GOOGLETRANSLATE(B133, ""en"", ""pt"")"),"Armadura de agonite")</f>
        <v>Armadura de agonite</v>
      </c>
      <c r="H133" s="24" t="str">
        <f>IFERROR(__xludf.DUMMYFUNCTION("GOOGLETRANSLATE(B133, ""en"", ""de"")"),"Agonite-Rüstung")</f>
        <v>Agonite-Rüstung</v>
      </c>
      <c r="I133" s="23" t="str">
        <f>IFERROR(__xludf.DUMMYFUNCTION("GOOGLETRANSLATE(B133, ""en"", ""pl"")"),"Agonite Armor.")</f>
        <v>Agonite Armor.</v>
      </c>
      <c r="J133" s="25" t="str">
        <f>IFERROR(__xludf.DUMMYFUNCTION("GOOGLETRANSLATE(B133, ""en"", ""zh"")"),"Agonite Armor.")</f>
        <v>Agonite Armor.</v>
      </c>
      <c r="K133" s="25" t="str">
        <f>IFERROR(__xludf.DUMMYFUNCTION("GOOGLETRANSLATE(B133, ""en"", ""vi"")"),"Giáp Agonite")</f>
        <v>Giáp Agonite</v>
      </c>
      <c r="L133" s="26" t="str">
        <f>IFERROR(__xludf.DUMMYFUNCTION("GOOGLETRANSLATE(B133, ""en"", ""hr"")"),"Agonitni oklop")</f>
        <v>Agonitni oklop</v>
      </c>
      <c r="M133" s="28"/>
      <c r="N133" s="28"/>
      <c r="O133" s="28"/>
      <c r="P133" s="28"/>
      <c r="Q133" s="28"/>
      <c r="R133" s="28"/>
      <c r="S133" s="28"/>
      <c r="T133" s="28"/>
      <c r="U133" s="28"/>
      <c r="V133" s="28"/>
      <c r="W133" s="28"/>
      <c r="X133" s="28"/>
      <c r="Y133" s="28"/>
      <c r="Z133" s="28"/>
      <c r="AA133" s="28"/>
      <c r="AB133" s="28"/>
    </row>
    <row r="134">
      <c r="A134" s="21" t="s">
        <v>602</v>
      </c>
      <c r="B134" s="22" t="s">
        <v>603</v>
      </c>
      <c r="C134" s="23" t="str">
        <f>IFERROR(__xludf.DUMMYFUNCTION("GOOGLETRANSLATE(B134, ""en"", ""fr"")"),"Semble dangereux! Augmente votre statistique de mêlée tout en porté.")</f>
        <v>Semble dangereux! Augmente votre statistique de mêlée tout en porté.</v>
      </c>
      <c r="D134" s="23" t="str">
        <f>IFERROR(__xludf.DUMMYFUNCTION("GOOGLETRANSLATE(B134, ""en"", ""es"")"),"¡Se ve peligroso! Aumenta tu estadística de Melee mientras se usa.")</f>
        <v>¡Se ve peligroso! Aumenta tu estadística de Melee mientras se usa.</v>
      </c>
      <c r="E134" s="23" t="str">
        <f>IFERROR(__xludf.DUMMYFUNCTION("GOOGLETRANSLATE(B134, ""en"", ""ru"")"),"Выглядит опасно! Увеличивает вашу статую ближнего боя в ношу.")</f>
        <v>Выглядит опасно! Увеличивает вашу статую ближнего боя в ношу.</v>
      </c>
      <c r="F134" s="23" t="str">
        <f>IFERROR(__xludf.DUMMYFUNCTION("GOOGLETRANSLATE(B134, ""en"", ""tr"")"),"Tehlikeli görünüyor! Yıpranırken yakın dövüş statünüzü arttırır.")</f>
        <v>Tehlikeli görünüyor! Yıpranırken yakın dövüş statünüzü arttırır.</v>
      </c>
      <c r="G134" s="23" t="str">
        <f>IFERROR(__xludf.DUMMYFUNCTION("GOOGLETRANSLATE(B134, ""en"", ""pt"")"),"Parece perigoso! Aumenta sua estatística corpo-a-corpo enquanto estiver desgastada.")</f>
        <v>Parece perigoso! Aumenta sua estatística corpo-a-corpo enquanto estiver desgastada.</v>
      </c>
      <c r="H134" s="24" t="str">
        <f>IFERROR(__xludf.DUMMYFUNCTION("GOOGLETRANSLATE(B134, ""en"", ""de"")"),"Sieht gefährlich aus! Erhöht Ihren Nahkampfstat während getragen.")</f>
        <v>Sieht gefährlich aus! Erhöht Ihren Nahkampfstat während getragen.</v>
      </c>
      <c r="I134" s="23" t="str">
        <f>IFERROR(__xludf.DUMMYFUNCTION("GOOGLETRANSLATE(B134, ""en"", ""pl"")"),"Wygląda niebezpiecznie! Zwiększa statystykę w walce w walce podczas noszenia.")</f>
        <v>Wygląda niebezpiecznie! Zwiększa statystykę w walce w walce podczas noszenia.</v>
      </c>
      <c r="J134" s="25" t="str">
        <f>IFERROR(__xludf.DUMMYFUNCTION("GOOGLETRANSLATE(B134, ""en"", ""zh"")"),"看起来很危险！磨损时增加了近战统计数据。")</f>
        <v>看起来很危险！磨损时增加了近战统计数据。</v>
      </c>
      <c r="K134" s="25" t="str">
        <f>IFERROR(__xludf.DUMMYFUNCTION("GOOGLETRANSLATE(B134, ""en"", ""vi"")"),"Trông thật nguy hiểm! Tăng số liệu thống kê cận chiến của bạn trong khi bị mòn.")</f>
        <v>Trông thật nguy hiểm! Tăng số liệu thống kê cận chiến của bạn trong khi bị mòn.</v>
      </c>
      <c r="L134" s="26" t="str">
        <f>IFERROR(__xludf.DUMMYFUNCTION("GOOGLETRANSLATE(B134, ""en"", ""hr"")"),"Izgleda opasno! Povećava vašu gužvu stat dok se nosi.")</f>
        <v>Izgleda opasno! Povećava vašu gužvu stat dok se nosi.</v>
      </c>
      <c r="M134" s="28"/>
      <c r="N134" s="28"/>
      <c r="O134" s="28"/>
      <c r="P134" s="28"/>
      <c r="Q134" s="28"/>
      <c r="R134" s="28"/>
      <c r="S134" s="28"/>
      <c r="T134" s="28"/>
      <c r="U134" s="28"/>
      <c r="V134" s="28"/>
      <c r="W134" s="28"/>
      <c r="X134" s="28"/>
      <c r="Y134" s="28"/>
      <c r="Z134" s="28"/>
      <c r="AA134" s="28"/>
      <c r="AB134" s="28"/>
    </row>
    <row r="135">
      <c r="A135" s="21" t="s">
        <v>604</v>
      </c>
      <c r="B135" s="22" t="s">
        <v>605</v>
      </c>
      <c r="C135" s="23" t="str">
        <f>IFERROR(__xludf.DUMMYFUNCTION("GOOGLETRANSLATE(B135, ""en"", ""fr"")"),"Noctishret")</f>
        <v>Noctishret</v>
      </c>
      <c r="D135" s="23" t="str">
        <f>IFERROR(__xludf.DUMMYFUNCTION("GOOGLETRANSLATE(B135, ""en"", ""es"")"),"Noctis hacha")</f>
        <v>Noctis hacha</v>
      </c>
      <c r="E135" s="23" t="str">
        <f>IFERROR(__xludf.DUMMYFUNCTION("GOOGLETRANSLATE(B135, ""en"", ""ru"")"),"Ноктис топора")</f>
        <v>Ноктис топора</v>
      </c>
      <c r="F135" s="23" t="str">
        <f>IFERROR(__xludf.DUMMYFUNCTION("GOOGLETRANSLATE(B135, ""en"", ""tr"")"),"Noctis balta")</f>
        <v>Noctis balta</v>
      </c>
      <c r="G135" s="23" t="str">
        <f>IFERROR(__xludf.DUMMYFUNCTION("GOOGLETRANSLATE(B135, ""en"", ""pt"")"),"Machadinha de noctis.")</f>
        <v>Machadinha de noctis.</v>
      </c>
      <c r="H135" s="24" t="str">
        <f>IFERROR(__xludf.DUMMYFUNCTION("GOOGLETRANSLATE(B135, ""en"", ""de"")"),"Noctis-Hatchet.")</f>
        <v>Noctis-Hatchet.</v>
      </c>
      <c r="I135" s="23" t="str">
        <f>IFERROR(__xludf.DUMMYFUNCTION("GOOGLETRANSLATE(B135, ""en"", ""pl"")"),"Noctis hatchet.")</f>
        <v>Noctis hatchet.</v>
      </c>
      <c r="J135" s="25" t="str">
        <f>IFERROR(__xludf.DUMMYFUNCTION("GOOGLETRANSLATE(B135, ""en"", ""zh"")"),"夜游柴油")</f>
        <v>夜游柴油</v>
      </c>
      <c r="K135" s="25" t="str">
        <f>IFERROR(__xludf.DUMMYFUNCTION("GOOGLETRANSLATE(B135, ""en"", ""vi"")"),"Noctis hatchet.")</f>
        <v>Noctis hatchet.</v>
      </c>
      <c r="L135" s="26" t="str">
        <f>IFERROR(__xludf.DUMMYFUNCTION("GOOGLETRANSLATE(B135, ""en"", ""hr"")"),"Noctis Hatchet")</f>
        <v>Noctis Hatchet</v>
      </c>
      <c r="M135" s="28"/>
      <c r="N135" s="28"/>
      <c r="O135" s="28"/>
      <c r="P135" s="28"/>
      <c r="Q135" s="28"/>
      <c r="R135" s="28"/>
      <c r="S135" s="28"/>
      <c r="T135" s="28"/>
      <c r="U135" s="28"/>
      <c r="V135" s="28"/>
      <c r="W135" s="28"/>
      <c r="X135" s="28"/>
      <c r="Y135" s="28"/>
      <c r="Z135" s="28"/>
      <c r="AA135" s="28"/>
      <c r="AB135" s="28"/>
    </row>
    <row r="136">
      <c r="A136" s="21" t="s">
        <v>606</v>
      </c>
      <c r="B136" s="22" t="s">
        <v>519</v>
      </c>
      <c r="C136" s="23" t="str">
        <f>IFERROR(__xludf.DUMMYFUNCTION("GOOGLETRANSLATE(B136, ""en"", ""fr"")"),"Utilisé pour couper les arbres pour le bois.")</f>
        <v>Utilisé pour couper les arbres pour le bois.</v>
      </c>
      <c r="D136" s="23" t="str">
        <f>IFERROR(__xludf.DUMMYFUNCTION("GOOGLETRANSLATE(B136, ""en"", ""es"")"),"Se utiliza para cortar árboles para la madera.")</f>
        <v>Se utiliza para cortar árboles para la madera.</v>
      </c>
      <c r="E136" s="23" t="str">
        <f>IFERROR(__xludf.DUMMYFUNCTION("GOOGLETRANSLATE(B136, ""en"", ""ru"")"),"Используется для измельчения деревьев для дерева.")</f>
        <v>Используется для измельчения деревьев для дерева.</v>
      </c>
      <c r="F136" s="23" t="str">
        <f>IFERROR(__xludf.DUMMYFUNCTION("GOOGLETRANSLATE(B136, ""en"", ""tr"")"),"Ağaçları ahşap için kesmek için kullanılır.")</f>
        <v>Ağaçları ahşap için kesmek için kullanılır.</v>
      </c>
      <c r="G136" s="23" t="str">
        <f>IFERROR(__xludf.DUMMYFUNCTION("GOOGLETRANSLATE(B136, ""en"", ""pt"")"),"Usado para cortar árvores para madeira.")</f>
        <v>Usado para cortar árvores para madeira.</v>
      </c>
      <c r="H136" s="24" t="str">
        <f>IFERROR(__xludf.DUMMYFUNCTION("GOOGLETRANSLATE(B136, ""en"", ""de"")"),"Verwendet, um Bäume für Holz zu hacken.")</f>
        <v>Verwendet, um Bäume für Holz zu hacken.</v>
      </c>
      <c r="I136" s="23" t="str">
        <f>IFERROR(__xludf.DUMMYFUNCTION("GOOGLETRANSLATE(B136, ""en"", ""pl"")"),"Służy do spięcia drzew do drewna.")</f>
        <v>Służy do spięcia drzew do drewna.</v>
      </c>
      <c r="J136" s="25" t="str">
        <f>IFERROR(__xludf.DUMMYFUNCTION("GOOGLETRANSLATE(B136, ""en"", ""zh"")"),"用来砍伐树木的树木。")</f>
        <v>用来砍伐树木的树木。</v>
      </c>
      <c r="K136" s="25" t="str">
        <f>IFERROR(__xludf.DUMMYFUNCTION("GOOGLETRANSLATE(B136, ""en"", ""vi"")"),"Dùng để chặt cây cho gỗ.")</f>
        <v>Dùng để chặt cây cho gỗ.</v>
      </c>
      <c r="L136" s="26" t="str">
        <f>IFERROR(__xludf.DUMMYFUNCTION("GOOGLETRANSLATE(B136, ""en"", ""hr"")"),"Koristi se za usitnjavanje drveća za drvo.")</f>
        <v>Koristi se za usitnjavanje drveća za drvo.</v>
      </c>
      <c r="M136" s="28"/>
      <c r="N136" s="28"/>
      <c r="O136" s="28"/>
      <c r="P136" s="28"/>
      <c r="Q136" s="28"/>
      <c r="R136" s="28"/>
      <c r="S136" s="28"/>
      <c r="T136" s="28"/>
      <c r="U136" s="28"/>
      <c r="V136" s="28"/>
      <c r="W136" s="28"/>
      <c r="X136" s="28"/>
      <c r="Y136" s="28"/>
      <c r="Z136" s="28"/>
      <c r="AA136" s="28"/>
      <c r="AB136" s="28"/>
    </row>
    <row r="137">
      <c r="A137" s="21" t="s">
        <v>607</v>
      </c>
      <c r="B137" s="22" t="s">
        <v>608</v>
      </c>
      <c r="C137" s="23" t="str">
        <f>IFERROR(__xludf.DUMMYFUNCTION("GOOGLETRANSLATE(B137, ""en"", ""fr"")"),"Noctis pickaxe")</f>
        <v>Noctis pickaxe</v>
      </c>
      <c r="D137" s="23" t="str">
        <f>IFERROR(__xludf.DUMMYFUNCTION("GOOGLETRANSLATE(B137, ""en"", ""es"")"),"Noctis PickAxe")</f>
        <v>Noctis PickAxe</v>
      </c>
      <c r="E137" s="23" t="str">
        <f>IFERROR(__xludf.DUMMYFUNCTION("GOOGLETRANSLATE(B137, ""en"", ""ru"")"),"Noctis Pickaxe.")</f>
        <v>Noctis Pickaxe.</v>
      </c>
      <c r="F137" s="23" t="str">
        <f>IFERROR(__xludf.DUMMYFUNCTION("GOOGLETRANSLATE(B137, ""en"", ""tr"")"),"Noctis kazmaxe")</f>
        <v>Noctis kazmaxe</v>
      </c>
      <c r="G137" s="23" t="str">
        <f>IFERROR(__xludf.DUMMYFUNCTION("GOOGLETRANSLATE(B137, ""en"", ""pt"")"),"Noctis picaxe.")</f>
        <v>Noctis picaxe.</v>
      </c>
      <c r="H137" s="24" t="str">
        <f>IFERROR(__xludf.DUMMYFUNCTION("GOOGLETRANSLATE(B137, ""en"", ""de"")"),"NOCTIS Pickaxe.")</f>
        <v>NOCTIS Pickaxe.</v>
      </c>
      <c r="I137" s="23" t="str">
        <f>IFERROR(__xludf.DUMMYFUNCTION("GOOGLETRANSLATE(B137, ""en"", ""pl"")"),"Noctis Pickaxe.")</f>
        <v>Noctis Pickaxe.</v>
      </c>
      <c r="J137" s="25" t="str">
        <f>IFERROR(__xludf.DUMMYFUNCTION("GOOGLETRANSLATE(B137, ""en"", ""zh"")"),"夜耳镐")</f>
        <v>夜耳镐</v>
      </c>
      <c r="K137" s="25" t="str">
        <f>IFERROR(__xludf.DUMMYFUNCTION("GOOGLETRANSLATE(B137, ""en"", ""vi"")"),"Pickaxe Noctis.")</f>
        <v>Pickaxe Noctis.</v>
      </c>
      <c r="L137" s="26" t="str">
        <f>IFERROR(__xludf.DUMMYFUNCTION("GOOGLETRANSLATE(B137, ""en"", ""hr"")"),"Noctis Pickexe")</f>
        <v>Noctis Pickexe</v>
      </c>
      <c r="M137" s="28"/>
      <c r="N137" s="28"/>
      <c r="O137" s="28"/>
      <c r="P137" s="28"/>
      <c r="Q137" s="28"/>
      <c r="R137" s="28"/>
      <c r="S137" s="28"/>
      <c r="T137" s="28"/>
      <c r="U137" s="28"/>
      <c r="V137" s="28"/>
      <c r="W137" s="28"/>
      <c r="X137" s="28"/>
      <c r="Y137" s="28"/>
      <c r="Z137" s="28"/>
      <c r="AA137" s="28"/>
      <c r="AB137" s="28"/>
    </row>
    <row r="138">
      <c r="A138" s="21" t="s">
        <v>609</v>
      </c>
      <c r="B138" s="22" t="s">
        <v>523</v>
      </c>
      <c r="C138" s="23" t="str">
        <f>IFERROR(__xludf.DUMMYFUNCTION("GOOGLETRANSLATE(B138, ""en"", ""fr"")"),"Utilisé pour mine rochers pour minerai.")</f>
        <v>Utilisé pour mine rochers pour minerai.</v>
      </c>
      <c r="D138" s="23" t="str">
        <f>IFERROR(__xludf.DUMMYFUNCTION("GOOGLETRANSLATE(B138, ""en"", ""es"")"),"Acostumbrado a minar rocas para mineral.")</f>
        <v>Acostumbrado a minar rocas para mineral.</v>
      </c>
      <c r="E138" s="23" t="str">
        <f>IFERROR(__xludf.DUMMYFUNCTION("GOOGLETRANSLATE(B138, ""en"", ""ru"")"),"Используется для моих скал для руды.")</f>
        <v>Используется для моих скал для руды.</v>
      </c>
      <c r="F138" s="23" t="str">
        <f>IFERROR(__xludf.DUMMYFUNCTION("GOOGLETRANSLATE(B138, ""en"", ""tr"")"),"Cevher için kayalar için kullanılır.")</f>
        <v>Cevher için kayalar için kullanılır.</v>
      </c>
      <c r="G138" s="23" t="str">
        <f>IFERROR(__xludf.DUMMYFUNCTION("GOOGLETRANSLATE(B138, ""en"", ""pt"")"),"Usado para minerar pedras para minério.")</f>
        <v>Usado para minerar pedras para minério.</v>
      </c>
      <c r="H138" s="24" t="str">
        <f>IFERROR(__xludf.DUMMYFUNCTION("GOOGLETRANSLATE(B138, ""en"", ""de"")"),"Verwendet, um Felsen für Erz zu gestalten.")</f>
        <v>Verwendet, um Felsen für Erz zu gestalten.</v>
      </c>
      <c r="I138" s="23" t="str">
        <f>IFERROR(__xludf.DUMMYFUNCTION("GOOGLETRANSLATE(B138, ""en"", ""pl"")"),"Używane do moich skał dla rudy.")</f>
        <v>Używane do moich skał dla rudy.</v>
      </c>
      <c r="J138" s="25" t="str">
        <f>IFERROR(__xludf.DUMMYFUNCTION("GOOGLETRANSLATE(B138, ""en"", ""zh"")"),"用于挖掘矿石的岩石。")</f>
        <v>用于挖掘矿石的岩石。</v>
      </c>
      <c r="K138" s="25" t="str">
        <f>IFERROR(__xludf.DUMMYFUNCTION("GOOGLETRANSLATE(B138, ""en"", ""vi"")"),"Được sử dụng để khai thác đá cho quặng.")</f>
        <v>Được sử dụng để khai thác đá cho quặng.</v>
      </c>
      <c r="L138" s="26" t="str">
        <f>IFERROR(__xludf.DUMMYFUNCTION("GOOGLETRANSLATE(B138, ""en"", ""hr"")"),"Koristi se za ručne stijene za rudu.")</f>
        <v>Koristi se za ručne stijene za rudu.</v>
      </c>
      <c r="M138" s="28"/>
      <c r="N138" s="28"/>
      <c r="O138" s="28"/>
      <c r="P138" s="28"/>
      <c r="Q138" s="28"/>
      <c r="R138" s="28"/>
      <c r="S138" s="28"/>
      <c r="T138" s="28"/>
      <c r="U138" s="28"/>
      <c r="V138" s="28"/>
      <c r="W138" s="28"/>
      <c r="X138" s="28"/>
      <c r="Y138" s="28"/>
      <c r="Z138" s="28"/>
      <c r="AA138" s="28"/>
      <c r="AB138" s="28"/>
    </row>
    <row r="139">
      <c r="A139" s="21" t="s">
        <v>610</v>
      </c>
      <c r="B139" s="22" t="s">
        <v>611</v>
      </c>
      <c r="C139" s="23" t="str">
        <f>IFERROR(__xludf.DUMMYFUNCTION("GOOGLETRANSLATE(B139, ""en"", ""fr"")"),"Faucille noctis")</f>
        <v>Faucille noctis</v>
      </c>
      <c r="D139" s="23" t="str">
        <f>IFERROR(__xludf.DUMMYFUNCTION("GOOGLETRANSLATE(B139, ""en"", ""es"")"),"Sickle noctis")</f>
        <v>Sickle noctis</v>
      </c>
      <c r="E139" s="23" t="str">
        <f>IFERROR(__xludf.DUMMYFUNCTION("GOOGLETRANSLATE(B139, ""en"", ""ru"")"),"Noctis Silley")</f>
        <v>Noctis Silley</v>
      </c>
      <c r="F139" s="23" t="str">
        <f>IFERROR(__xludf.DUMMYFUNCTION("GOOGLETRANSLATE(B139, ""en"", ""tr"")"),"Noctis orak")</f>
        <v>Noctis orak</v>
      </c>
      <c r="G139" s="23" t="str">
        <f>IFERROR(__xludf.DUMMYFUNCTION("GOOGLETRANSLATE(B139, ""en"", ""pt"")"),"Noctis foice")</f>
        <v>Noctis foice</v>
      </c>
      <c r="H139" s="24" t="str">
        <f>IFERROR(__xludf.DUMMYFUNCTION("GOOGLETRANSLATE(B139, ""en"", ""de"")"),"Noctis Sichel")</f>
        <v>Noctis Sichel</v>
      </c>
      <c r="I139" s="23" t="str">
        <f>IFERROR(__xludf.DUMMYFUNCTION("GOOGLETRANSLATE(B139, ""en"", ""pl"")"),"Sierp Noctis.")</f>
        <v>Sierp Noctis.</v>
      </c>
      <c r="J139" s="25" t="str">
        <f>IFERROR(__xludf.DUMMYFUNCTION("GOOGLETRANSLATE(B139, ""en"", ""zh"")"),"诺克斯镰刀")</f>
        <v>诺克斯镰刀</v>
      </c>
      <c r="K139" s="25" t="str">
        <f>IFERROR(__xludf.DUMMYFUNCTION("GOOGLETRANSLATE(B139, ""en"", ""vi"")"),"Noctis liềm")</f>
        <v>Noctis liềm</v>
      </c>
      <c r="L139" s="26" t="str">
        <f>IFERROR(__xludf.DUMMYFUNCTION("GOOGLETRANSLATE(B139, ""en"", ""hr"")"),"Noctis srp")</f>
        <v>Noctis srp</v>
      </c>
      <c r="M139" s="28"/>
      <c r="N139" s="28"/>
      <c r="O139" s="28"/>
      <c r="P139" s="28"/>
      <c r="Q139" s="28"/>
      <c r="R139" s="28"/>
      <c r="S139" s="28"/>
      <c r="T139" s="28"/>
      <c r="U139" s="28"/>
      <c r="V139" s="28"/>
      <c r="W139" s="28"/>
      <c r="X139" s="28"/>
      <c r="Y139" s="28"/>
      <c r="Z139" s="28"/>
      <c r="AA139" s="28"/>
      <c r="AB139" s="28"/>
    </row>
    <row r="140">
      <c r="A140" s="21" t="s">
        <v>612</v>
      </c>
      <c r="B140" s="22" t="s">
        <v>533</v>
      </c>
      <c r="C140" s="23" t="str">
        <f>IFERROR(__xludf.DUMMYFUNCTION("GOOGLETRANSLATE(B140, ""en"", ""fr"")"),"Utilisé pour recueillir des plantes.")</f>
        <v>Utilisé pour recueillir des plantes.</v>
      </c>
      <c r="D140" s="23" t="str">
        <f>IFERROR(__xludf.DUMMYFUNCTION("GOOGLETRANSLATE(B140, ""en"", ""es"")"),"Se utiliza para recoger plantas.")</f>
        <v>Se utiliza para recoger plantas.</v>
      </c>
      <c r="E140" s="23" t="str">
        <f>IFERROR(__xludf.DUMMYFUNCTION("GOOGLETRANSLATE(B140, ""en"", ""ru"")"),"Используется для собрания растений.")</f>
        <v>Используется для собрания растений.</v>
      </c>
      <c r="F140" s="23" t="str">
        <f>IFERROR(__xludf.DUMMYFUNCTION("GOOGLETRANSLATE(B140, ""en"", ""tr"")"),"Bitkileri toplamak için kullanılır.")</f>
        <v>Bitkileri toplamak için kullanılır.</v>
      </c>
      <c r="G140" s="23" t="str">
        <f>IFERROR(__xludf.DUMMYFUNCTION("GOOGLETRANSLATE(B140, ""en"", ""pt"")"),"Usado para reunir plantas.")</f>
        <v>Usado para reunir plantas.</v>
      </c>
      <c r="H140" s="24" t="str">
        <f>IFERROR(__xludf.DUMMYFUNCTION("GOOGLETRANSLATE(B140, ""en"", ""de"")"),"Verwendet, um Pflanzen zu sammeln.")</f>
        <v>Verwendet, um Pflanzen zu sammeln.</v>
      </c>
      <c r="I140" s="23" t="str">
        <f>IFERROR(__xludf.DUMMYFUNCTION("GOOGLETRANSLATE(B140, ""en"", ""pl"")"),"Używane do zbierania roślin.")</f>
        <v>Używane do zbierania roślin.</v>
      </c>
      <c r="J140" s="25" t="str">
        <f>IFERROR(__xludf.DUMMYFUNCTION("GOOGLETRANSLATE(B140, ""en"", ""zh"")"),"用来收集植物。")</f>
        <v>用来收集植物。</v>
      </c>
      <c r="K140" s="25" t="str">
        <f>IFERROR(__xludf.DUMMYFUNCTION("GOOGLETRANSLATE(B140, ""en"", ""vi"")"),"Dùng để thu thập cây.")</f>
        <v>Dùng để thu thập cây.</v>
      </c>
      <c r="L140" s="26" t="str">
        <f>IFERROR(__xludf.DUMMYFUNCTION("GOOGLETRANSLATE(B140, ""en"", ""hr"")"),"Koristi se za prikupljanje biljaka.")</f>
        <v>Koristi se za prikupljanje biljaka.</v>
      </c>
      <c r="M140" s="28"/>
      <c r="N140" s="28"/>
      <c r="O140" s="28"/>
      <c r="P140" s="28"/>
      <c r="Q140" s="28"/>
      <c r="R140" s="28"/>
      <c r="S140" s="28"/>
      <c r="T140" s="28"/>
      <c r="U140" s="28"/>
      <c r="V140" s="28"/>
      <c r="W140" s="28"/>
      <c r="X140" s="28"/>
      <c r="Y140" s="28"/>
      <c r="Z140" s="28"/>
      <c r="AA140" s="28"/>
      <c r="AB140" s="28"/>
    </row>
    <row r="141">
      <c r="A141" s="21" t="s">
        <v>613</v>
      </c>
      <c r="B141" s="22" t="s">
        <v>614</v>
      </c>
      <c r="C141" s="23" t="str">
        <f>IFERROR(__xludf.DUMMYFUNCTION("GOOGLETRANSLATE(B141, ""en"", ""fr"")"),"Noctis flèches")</f>
        <v>Noctis flèches</v>
      </c>
      <c r="D141" s="23" t="str">
        <f>IFERROR(__xludf.DUMMYFUNCTION("GOOGLETRANSLATE(B141, ""en"", ""es"")"),"Flechas nocturnas")</f>
        <v>Flechas nocturnas</v>
      </c>
      <c r="E141" s="23" t="str">
        <f>IFERROR(__xludf.DUMMYFUNCTION("GOOGLETRANSLATE(B141, ""en"", ""ru"")"),"Стрелки ноктиса")</f>
        <v>Стрелки ноктиса</v>
      </c>
      <c r="F141" s="23" t="str">
        <f>IFERROR(__xludf.DUMMYFUNCTION("GOOGLETRANSLATE(B141, ""en"", ""tr"")"),"Noctis okları")</f>
        <v>Noctis okları</v>
      </c>
      <c r="G141" s="23" t="str">
        <f>IFERROR(__xludf.DUMMYFUNCTION("GOOGLETRANSLATE(B141, ""en"", ""pt"")"),"Flechas noctis.")</f>
        <v>Flechas noctis.</v>
      </c>
      <c r="H141" s="24" t="str">
        <f>IFERROR(__xludf.DUMMYFUNCTION("GOOGLETRANSLATE(B141, ""en"", ""de"")"),"Noctis-Pfeile")</f>
        <v>Noctis-Pfeile</v>
      </c>
      <c r="I141" s="23" t="str">
        <f>IFERROR(__xludf.DUMMYFUNCTION("GOOGLETRANSLATE(B141, ""en"", ""pl"")"),"Strzałki Noctis.")</f>
        <v>Strzałki Noctis.</v>
      </c>
      <c r="J141" s="25" t="str">
        <f>IFERROR(__xludf.DUMMYFUNCTION("GOOGLETRANSLATE(B141, ""en"", ""zh"")"),"诺克斯箭头")</f>
        <v>诺克斯箭头</v>
      </c>
      <c r="K141" s="25" t="str">
        <f>IFERROR(__xludf.DUMMYFUNCTION("GOOGLETRANSLATE(B141, ""en"", ""vi"")"),"Mũi tên noctis.")</f>
        <v>Mũi tên noctis.</v>
      </c>
      <c r="L141" s="26" t="str">
        <f>IFERROR(__xludf.DUMMYFUNCTION("GOOGLETRANSLATE(B141, ""en"", ""hr"")"),"Noctis strelice")</f>
        <v>Noctis strelice</v>
      </c>
      <c r="M141" s="28"/>
      <c r="N141" s="28"/>
      <c r="O141" s="28"/>
      <c r="P141" s="28"/>
      <c r="Q141" s="28"/>
      <c r="R141" s="28"/>
      <c r="S141" s="28"/>
      <c r="T141" s="28"/>
      <c r="U141" s="28"/>
      <c r="V141" s="28"/>
      <c r="W141" s="28"/>
      <c r="X141" s="28"/>
      <c r="Y141" s="28"/>
      <c r="Z141" s="28"/>
      <c r="AA141" s="28"/>
      <c r="AB141" s="28"/>
    </row>
    <row r="142">
      <c r="A142" s="21" t="s">
        <v>615</v>
      </c>
      <c r="B142" s="22" t="s">
        <v>537</v>
      </c>
      <c r="C142" s="23" t="str">
        <f>IFERROR(__xludf.DUMMYFUNCTION("GOOGLETRANSLATE(B142, ""en"", ""fr"")"),"Utilisé comme munition pour un arc.")</f>
        <v>Utilisé comme munition pour un arc.</v>
      </c>
      <c r="D142" s="23" t="str">
        <f>IFERROR(__xludf.DUMMYFUNCTION("GOOGLETRANSLATE(B142, ""en"", ""es"")"),"Utilizado como municiones para un arco.")</f>
        <v>Utilizado como municiones para un arco.</v>
      </c>
      <c r="E142" s="23" t="str">
        <f>IFERROR(__xludf.DUMMYFUNCTION("GOOGLETRANSLATE(B142, ""en"", ""ru"")"),"Используется в качестве боеприпасов для лука.")</f>
        <v>Используется в качестве боеприпасов для лука.</v>
      </c>
      <c r="F142" s="23" t="str">
        <f>IFERROR(__xludf.DUMMYFUNCTION("GOOGLETRANSLATE(B142, ""en"", ""tr"")"),"Bir yay için mühimmat olarak kullanılır.")</f>
        <v>Bir yay için mühimmat olarak kullanılır.</v>
      </c>
      <c r="G142" s="23" t="str">
        <f>IFERROR(__xludf.DUMMYFUNCTION("GOOGLETRANSLATE(B142, ""en"", ""pt"")"),"Usado como munição para um arco.")</f>
        <v>Usado como munição para um arco.</v>
      </c>
      <c r="H142" s="24" t="str">
        <f>IFERROR(__xludf.DUMMYFUNCTION("GOOGLETRANSLATE(B142, ""en"", ""de"")"),"Als Munition für einen Bogen verwendet.")</f>
        <v>Als Munition für einen Bogen verwendet.</v>
      </c>
      <c r="I142" s="23" t="str">
        <f>IFERROR(__xludf.DUMMYFUNCTION("GOOGLETRANSLATE(B142, ""en"", ""pl"")"),"Używany jako amunicja na łuk.")</f>
        <v>Używany jako amunicja na łuk.</v>
      </c>
      <c r="J142" s="25" t="str">
        <f>IFERROR(__xludf.DUMMYFUNCTION("GOOGLETRANSLATE(B142, ""en"", ""zh"")"),"用作弓的弹药。")</f>
        <v>用作弓的弹药。</v>
      </c>
      <c r="K142" s="25" t="str">
        <f>IFERROR(__xludf.DUMMYFUNCTION("GOOGLETRANSLATE(B142, ""en"", ""vi"")"),"Dùng làm đạn cho một cây cung.")</f>
        <v>Dùng làm đạn cho một cây cung.</v>
      </c>
      <c r="L142" s="26" t="str">
        <f>IFERROR(__xludf.DUMMYFUNCTION("GOOGLETRANSLATE(B142, ""en"", ""hr"")"),"Koristi se kao streljivo za luk.")</f>
        <v>Koristi se kao streljivo za luk.</v>
      </c>
      <c r="M142" s="28"/>
      <c r="N142" s="28"/>
      <c r="O142" s="28"/>
      <c r="P142" s="28"/>
      <c r="Q142" s="28"/>
      <c r="R142" s="28"/>
      <c r="S142" s="28"/>
      <c r="T142" s="28"/>
      <c r="U142" s="28"/>
      <c r="V142" s="28"/>
      <c r="W142" s="28"/>
      <c r="X142" s="28"/>
      <c r="Y142" s="28"/>
      <c r="Z142" s="28"/>
      <c r="AA142" s="28"/>
      <c r="AB142" s="28"/>
    </row>
    <row r="143">
      <c r="A143" s="21" t="s">
        <v>616</v>
      </c>
      <c r="B143" s="22" t="s">
        <v>617</v>
      </c>
      <c r="C143" s="23" t="str">
        <f>IFERROR(__xludf.DUMMYFUNCTION("GOOGLETRANSLATE(B143, ""en"", ""fr"")"),"Poignard noctis")</f>
        <v>Poignard noctis</v>
      </c>
      <c r="D143" s="23" t="str">
        <f>IFERROR(__xludf.DUMMYFUNCTION("GOOGLETRANSLATE(B143, ""en"", ""es"")"),"Noctis Daga")</f>
        <v>Noctis Daga</v>
      </c>
      <c r="E143" s="23" t="str">
        <f>IFERROR(__xludf.DUMMYFUNCTION("GOOGLETRANSLATE(B143, ""en"", ""ru"")"),"Ноктис Кинжинг")</f>
        <v>Ноктис Кинжинг</v>
      </c>
      <c r="F143" s="23" t="str">
        <f>IFERROR(__xludf.DUMMYFUNCTION("GOOGLETRANSLATE(B143, ""en"", ""tr"")"),"Noctis hançer")</f>
        <v>Noctis hançer</v>
      </c>
      <c r="G143" s="23" t="str">
        <f>IFERROR(__xludf.DUMMYFUNCTION("GOOGLETRANSLATE(B143, ""en"", ""pt"")"),"Noctis Dagger.")</f>
        <v>Noctis Dagger.</v>
      </c>
      <c r="H143" s="24" t="str">
        <f>IFERROR(__xludf.DUMMYFUNCTION("GOOGLETRANSLATE(B143, ""en"", ""de"")"),"Noctis Dolch.")</f>
        <v>Noctis Dolch.</v>
      </c>
      <c r="I143" s="23" t="str">
        <f>IFERROR(__xludf.DUMMYFUNCTION("GOOGLETRANSLATE(B143, ""en"", ""pl"")"),"Noctis Dagger.")</f>
        <v>Noctis Dagger.</v>
      </c>
      <c r="J143" s="25" t="str">
        <f>IFERROR(__xludf.DUMMYFUNCTION("GOOGLETRANSLATE(B143, ""en"", ""zh"")"),"诺克斯匕首")</f>
        <v>诺克斯匕首</v>
      </c>
      <c r="K143" s="25" t="str">
        <f>IFERROR(__xludf.DUMMYFUNCTION("GOOGLETRANSLATE(B143, ""en"", ""vi"")"),"Daggeris Noctis.")</f>
        <v>Daggeris Noctis.</v>
      </c>
      <c r="L143" s="26" t="str">
        <f>IFERROR(__xludf.DUMMYFUNCTION("GOOGLETRANSLATE(B143, ""en"", ""hr"")"),"Noctis bodež")</f>
        <v>Noctis bodež</v>
      </c>
      <c r="M143" s="28"/>
      <c r="N143" s="28"/>
      <c r="O143" s="28"/>
      <c r="P143" s="28"/>
      <c r="Q143" s="28"/>
      <c r="R143" s="28"/>
      <c r="S143" s="28"/>
      <c r="T143" s="28"/>
      <c r="U143" s="28"/>
      <c r="V143" s="28"/>
      <c r="W143" s="28"/>
      <c r="X143" s="28"/>
      <c r="Y143" s="28"/>
      <c r="Z143" s="28"/>
      <c r="AA143" s="28"/>
      <c r="AB143" s="28"/>
    </row>
    <row r="144">
      <c r="A144" s="21" t="s">
        <v>618</v>
      </c>
      <c r="B144" s="22" t="s">
        <v>541</v>
      </c>
      <c r="C144" s="23" t="str">
        <f>IFERROR(__xludf.DUMMYFUNCTION("GOOGLETRANSLATE(B144, ""en"", ""fr"")"),"Une arme de mêlée à courte portée. Traite des dégâts de bonus quand il frappe derrière lui.")</f>
        <v>Une arme de mêlée à courte portée. Traite des dégâts de bonus quand il frappe derrière lui.</v>
      </c>
      <c r="D144" s="23" t="str">
        <f>IFERROR(__xludf.DUMMYFUNCTION("GOOGLETRANSLATE(B144, ""en"", ""es"")"),"Un breve arma cuerpo a cuerpo. Ofrece daño de bonificación cuando llega por detrás.")</f>
        <v>Un breve arma cuerpo a cuerpo. Ofrece daño de bonificación cuando llega por detrás.</v>
      </c>
      <c r="E144" s="23" t="str">
        <f>IFERROR(__xludf.DUMMYFUNCTION("GOOGLETRANSLATE(B144, ""en"", ""ru"")"),"Оружие ближнего уровня ближнего действия. Надет бонусный урон, когда он попадает сзади.")</f>
        <v>Оружие ближнего уровня ближнего действия. Надет бонусный урон, когда он попадает сзади.</v>
      </c>
      <c r="F144" s="23" t="str">
        <f>IFERROR(__xludf.DUMMYFUNCTION("GOOGLETRANSLATE(B144, ""en"", ""tr"")"),"Kısa menzilli bir yakın dövüş silahı. Arkadan isabet ettiğinde bonus hasarı fırsatlar.")</f>
        <v>Kısa menzilli bir yakın dövüş silahı. Arkadan isabet ettiğinde bonus hasarı fırsatlar.</v>
      </c>
      <c r="G144" s="23" t="str">
        <f>IFERROR(__xludf.DUMMYFUNCTION("GOOGLETRANSLATE(B144, ""en"", ""pt"")"),"Uma arma de corpo a corpo de curto alcance. Oferece dano de bônus quando atinge por trás.")</f>
        <v>Uma arma de corpo a corpo de curto alcance. Oferece dano de bônus quando atinge por trás.</v>
      </c>
      <c r="H144" s="24" t="str">
        <f>IFERROR(__xludf.DUMMYFUNCTION("GOOGLETRANSLATE(B144, ""en"", ""de"")"),"Eine kurze Reichweite-Nahkampfwaffe. Befasst sich mit Bonusschäden, wenn sie von hinten trifft.")</f>
        <v>Eine kurze Reichweite-Nahkampfwaffe. Befasst sich mit Bonusschäden, wenn sie von hinten trifft.</v>
      </c>
      <c r="I144" s="23" t="str">
        <f>IFERROR(__xludf.DUMMYFUNCTION("GOOGLETRANSLATE(B144, ""en"", ""pl"")"),"Broń wręcz broni. Oferty bonusowe uszkodzenia, gdy uderza od tyłu.")</f>
        <v>Broń wręcz broni. Oferty bonusowe uszkodzenia, gdy uderza od tyłu.</v>
      </c>
      <c r="J144" s="25" t="str">
        <f>IFERROR(__xludf.DUMMYFUNCTION("GOOGLETRANSLATE(B144, ""en"", ""zh"")"),"短程近战武器。从后面击中时造成奖金损坏。")</f>
        <v>短程近战武器。从后面击中时造成奖金损坏。</v>
      </c>
      <c r="K144" s="25" t="str">
        <f>IFERROR(__xludf.DUMMYFUNCTION("GOOGLETRANSLATE(B144, ""en"", ""vi"")"),"Một vũ khí cận chiến ngắn. Gây sát thương tiền thưởng khi nó đánh từ phía sau.")</f>
        <v>Một vũ khí cận chiến ngắn. Gây sát thương tiền thưởng khi nó đánh từ phía sau.</v>
      </c>
      <c r="L144" s="26" t="str">
        <f>IFERROR(__xludf.DUMMYFUNCTION("GOOGLETRANSLATE(B144, ""en"", ""hr"")"),"Kratki prostor za gužvu. Bavi bonus štete kada pogodi iza sebe.")</f>
        <v>Kratki prostor za gužvu. Bavi bonus štete kada pogodi iza sebe.</v>
      </c>
      <c r="M144" s="28"/>
      <c r="N144" s="28"/>
      <c r="O144" s="28"/>
      <c r="P144" s="28"/>
      <c r="Q144" s="28"/>
      <c r="R144" s="28"/>
      <c r="S144" s="28"/>
      <c r="T144" s="28"/>
      <c r="U144" s="28"/>
      <c r="V144" s="28"/>
      <c r="W144" s="28"/>
      <c r="X144" s="28"/>
      <c r="Y144" s="28"/>
      <c r="Z144" s="28"/>
      <c r="AA144" s="28"/>
      <c r="AB144" s="28"/>
    </row>
    <row r="145">
      <c r="A145" s="21" t="s">
        <v>619</v>
      </c>
      <c r="B145" s="22" t="s">
        <v>620</v>
      </c>
      <c r="C145" s="23" t="str">
        <f>IFERROR(__xludf.DUMMYFUNCTION("GOOGLETRANSLATE(B145, ""en"", ""fr"")"),"Épée de noctis")</f>
        <v>Épée de noctis</v>
      </c>
      <c r="D145" s="23" t="str">
        <f>IFERROR(__xludf.DUMMYFUNCTION("GOOGLETRANSLATE(B145, ""en"", ""es"")"),"Espada noctis")</f>
        <v>Espada noctis</v>
      </c>
      <c r="E145" s="23" t="str">
        <f>IFERROR(__xludf.DUMMYFUNCTION("GOOGLETRANSLATE(B145, ""en"", ""ru"")"),"Меча ноктиса")</f>
        <v>Меча ноктиса</v>
      </c>
      <c r="F145" s="23" t="str">
        <f>IFERROR(__xludf.DUMMYFUNCTION("GOOGLETRANSLATE(B145, ""en"", ""tr"")"),"Noctis kılıç")</f>
        <v>Noctis kılıç</v>
      </c>
      <c r="G145" s="23" t="str">
        <f>IFERROR(__xludf.DUMMYFUNCTION("GOOGLETRANSLATE(B145, ""en"", ""pt"")"),"Espada de noctis.")</f>
        <v>Espada de noctis.</v>
      </c>
      <c r="H145" s="24" t="str">
        <f>IFERROR(__xludf.DUMMYFUNCTION("GOOGLETRANSLATE(B145, ""en"", ""de"")"),"Noctis-Schwert")</f>
        <v>Noctis-Schwert</v>
      </c>
      <c r="I145" s="23" t="str">
        <f>IFERROR(__xludf.DUMMYFUNCTION("GOOGLETRANSLATE(B145, ""en"", ""pl"")"),"Sword Noctis.")</f>
        <v>Sword Noctis.</v>
      </c>
      <c r="J145" s="25" t="str">
        <f>IFERROR(__xludf.DUMMYFUNCTION("GOOGLETRANSLATE(B145, ""en"", ""zh"")"),"诺克斯剑")</f>
        <v>诺克斯剑</v>
      </c>
      <c r="K145" s="25" t="str">
        <f>IFERROR(__xludf.DUMMYFUNCTION("GOOGLETRANSLATE(B145, ""en"", ""vi"")"),"Thanh kiếm Noctis.")</f>
        <v>Thanh kiếm Noctis.</v>
      </c>
      <c r="L145" s="26" t="str">
        <f>IFERROR(__xludf.DUMMYFUNCTION("GOOGLETRANSLATE(B145, ""en"", ""hr"")"),"Noctis mač")</f>
        <v>Noctis mač</v>
      </c>
      <c r="M145" s="28"/>
      <c r="N145" s="28"/>
      <c r="O145" s="28"/>
      <c r="P145" s="28"/>
      <c r="Q145" s="28"/>
      <c r="R145" s="28"/>
      <c r="S145" s="28"/>
      <c r="T145" s="28"/>
      <c r="U145" s="28"/>
      <c r="V145" s="28"/>
      <c r="W145" s="28"/>
      <c r="X145" s="28"/>
      <c r="Y145" s="28"/>
      <c r="Z145" s="28"/>
      <c r="AA145" s="28"/>
      <c r="AB145" s="28"/>
    </row>
    <row r="146">
      <c r="A146" s="21" t="s">
        <v>621</v>
      </c>
      <c r="B146" s="22" t="s">
        <v>545</v>
      </c>
      <c r="C146" s="23" t="str">
        <f>IFERROR(__xludf.DUMMYFUNCTION("GOOGLETRANSLATE(B146, ""en"", ""fr"")"),"Arme de mêlée. Utilisé pour attaquer une courte distance.")</f>
        <v>Arme de mêlée. Utilisé pour attaquer une courte distance.</v>
      </c>
      <c r="D146" s="23" t="str">
        <f>IFERROR(__xludf.DUMMYFUNCTION("GOOGLETRANSLATE(B146, ""en"", ""es"")"),"Arma cuerpo a cuerpo. Se utiliza para atacar a una corta distancia.")</f>
        <v>Arma cuerpo a cuerpo. Se utiliza para atacar a una corta distancia.</v>
      </c>
      <c r="E146" s="23" t="str">
        <f>IFERROR(__xludf.DUMMYFUNCTION("GOOGLETRANSLATE(B146, ""en"", ""ru"")"),"Оружие ближнего боя. Используется для атаки на на небольшом расстоянии.")</f>
        <v>Оружие ближнего боя. Используется для атаки на на небольшом расстоянии.</v>
      </c>
      <c r="F146" s="23" t="str">
        <f>IFERROR(__xludf.DUMMYFUNCTION("GOOGLETRANSLATE(B146, ""en"", ""tr"")"),"Yakın dövüş silahı. Kısa bir mesafeye saldırmak için kullanılır.")</f>
        <v>Yakın dövüş silahı. Kısa bir mesafeye saldırmak için kullanılır.</v>
      </c>
      <c r="G146" s="23" t="str">
        <f>IFERROR(__xludf.DUMMYFUNCTION("GOOGLETRANSLATE(B146, ""en"", ""pt"")"),"Arma branca. Usado para atacar uma curta distância.")</f>
        <v>Arma branca. Usado para atacar uma curta distância.</v>
      </c>
      <c r="H146" s="24" t="str">
        <f>IFERROR(__xludf.DUMMYFUNCTION("GOOGLETRANSLATE(B146, ""en"", ""de"")"),"Nahkampfwaffe. Verwendet, um eine kurze Entfernung anzugreifen.")</f>
        <v>Nahkampfwaffe. Verwendet, um eine kurze Entfernung anzugreifen.</v>
      </c>
      <c r="I146" s="23" t="str">
        <f>IFERROR(__xludf.DUMMYFUNCTION("GOOGLETRANSLATE(B146, ""en"", ""pl"")"),"Broń biała. Używany do ataku w niewielkiej odległości.")</f>
        <v>Broń biała. Używany do ataku w niewielkiej odległości.</v>
      </c>
      <c r="J146" s="25" t="str">
        <f>IFERROR(__xludf.DUMMYFUNCTION("GOOGLETRANSLATE(B146, ""en"", ""zh"")"),"近战武器。用来攻击很短的距离。")</f>
        <v>近战武器。用来攻击很短的距离。</v>
      </c>
      <c r="K146" s="25" t="str">
        <f>IFERROR(__xludf.DUMMYFUNCTION("GOOGLETRANSLATE(B146, ""en"", ""vi"")"),"Vũ khí cận chiến. Được sử dụng để tấn công một khoảng cách ngắn đi.")</f>
        <v>Vũ khí cận chiến. Được sử dụng để tấn công một khoảng cách ngắn đi.</v>
      </c>
      <c r="L146" s="26" t="str">
        <f>IFERROR(__xludf.DUMMYFUNCTION("GOOGLETRANSLATE(B146, ""en"", ""hr"")"),"Melee Oružje. Koristi se za napad na kratku udaljenost.")</f>
        <v>Melee Oružje. Koristi se za napad na kratku udaljenost.</v>
      </c>
      <c r="M146" s="28"/>
      <c r="N146" s="28"/>
      <c r="O146" s="28"/>
      <c r="P146" s="28"/>
      <c r="Q146" s="28"/>
      <c r="R146" s="28"/>
      <c r="S146" s="28"/>
      <c r="T146" s="28"/>
      <c r="U146" s="28"/>
      <c r="V146" s="28"/>
      <c r="W146" s="28"/>
      <c r="X146" s="28"/>
      <c r="Y146" s="28"/>
      <c r="Z146" s="28"/>
      <c r="AA146" s="28"/>
      <c r="AB146" s="28"/>
    </row>
    <row r="147">
      <c r="A147" s="21" t="s">
        <v>622</v>
      </c>
      <c r="B147" s="22" t="s">
        <v>623</v>
      </c>
      <c r="C147" s="23" t="str">
        <f>IFERROR(__xludf.DUMMYFUNCTION("GOOGLETRANSLATE(B147, ""en"", ""fr"")"),"Marteau noctis")</f>
        <v>Marteau noctis</v>
      </c>
      <c r="D147" s="23" t="str">
        <f>IFERROR(__xludf.DUMMYFUNCTION("GOOGLETRANSLATE(B147, ""en"", ""es"")"),"Noctis martillo")</f>
        <v>Noctis martillo</v>
      </c>
      <c r="E147" s="23" t="str">
        <f>IFERROR(__xludf.DUMMYFUNCTION("GOOGLETRANSLATE(B147, ""en"", ""ru"")"),"Ноктис молоток")</f>
        <v>Ноктис молоток</v>
      </c>
      <c r="F147" s="23" t="str">
        <f>IFERROR(__xludf.DUMMYFUNCTION("GOOGLETRANSLATE(B147, ""en"", ""tr"")"),"Noctis çekiç")</f>
        <v>Noctis çekiç</v>
      </c>
      <c r="G147" s="23" t="str">
        <f>IFERROR(__xludf.DUMMYFUNCTION("GOOGLETRANSLATE(B147, ""en"", ""pt"")"),"Martelo de noctis.")</f>
        <v>Martelo de noctis.</v>
      </c>
      <c r="H147" s="24" t="str">
        <f>IFERROR(__xludf.DUMMYFUNCTION("GOOGLETRANSLATE(B147, ""en"", ""de"")"),"Noctis Hammer")</f>
        <v>Noctis Hammer</v>
      </c>
      <c r="I147" s="23" t="str">
        <f>IFERROR(__xludf.DUMMYFUNCTION("GOOGLETRANSLATE(B147, ""en"", ""pl"")"),"Młot Noctis.")</f>
        <v>Młot Noctis.</v>
      </c>
      <c r="J147" s="25" t="str">
        <f>IFERROR(__xludf.DUMMYFUNCTION("GOOGLETRANSLATE(B147, ""en"", ""zh"")"),"夜耳锤")</f>
        <v>夜耳锤</v>
      </c>
      <c r="K147" s="25" t="str">
        <f>IFERROR(__xludf.DUMMYFUNCTION("GOOGLETRANSLATE(B147, ""en"", ""vi"")"),"Búa noctis.")</f>
        <v>Búa noctis.</v>
      </c>
      <c r="L147" s="26" t="str">
        <f>IFERROR(__xludf.DUMMYFUNCTION("GOOGLETRANSLATE(B147, ""en"", ""hr"")"),"Noctis čekić")</f>
        <v>Noctis čekić</v>
      </c>
      <c r="M147" s="28"/>
      <c r="N147" s="28"/>
      <c r="O147" s="28"/>
      <c r="P147" s="28"/>
      <c r="Q147" s="28"/>
      <c r="R147" s="28"/>
      <c r="S147" s="28"/>
      <c r="T147" s="28"/>
      <c r="U147" s="28"/>
      <c r="V147" s="28"/>
      <c r="W147" s="28"/>
      <c r="X147" s="28"/>
      <c r="Y147" s="28"/>
      <c r="Z147" s="28"/>
      <c r="AA147" s="28"/>
      <c r="AB147" s="28"/>
    </row>
    <row r="148">
      <c r="A148" s="21" t="s">
        <v>624</v>
      </c>
      <c r="B148" s="22" t="s">
        <v>549</v>
      </c>
      <c r="C148" s="23" t="str">
        <f>IFERROR(__xludf.DUMMYFUNCTION("GOOGLETRANSLATE(B148, ""en"", ""fr"")"),"Arme de mêlée. Pousse les choses en arrière un espace quand il frappe.")</f>
        <v>Arme de mêlée. Pousse les choses en arrière un espace quand il frappe.</v>
      </c>
      <c r="D148" s="23" t="str">
        <f>IFERROR(__xludf.DUMMYFUNCTION("GOOGLETRANSLATE(B148, ""en"", ""es"")"),"Arma cuerpo a cuerpo. Empuja las cosas de vuelta un espacio cuando golpea.")</f>
        <v>Arma cuerpo a cuerpo. Empuja las cosas de vuelta un espacio cuando golpea.</v>
      </c>
      <c r="E148" s="23" t="str">
        <f>IFERROR(__xludf.DUMMYFUNCTION("GOOGLETRANSLATE(B148, ""en"", ""ru"")"),"Оружие ближнего боя. Толкает вещи назад одно пространство, когда он попадает.")</f>
        <v>Оружие ближнего боя. Толкает вещи назад одно пространство, когда он попадает.</v>
      </c>
      <c r="F148" s="23" t="str">
        <f>IFERROR(__xludf.DUMMYFUNCTION("GOOGLETRANSLATE(B148, ""en"", ""tr"")"),"Yakın dövüş silahı. Şeyleri vururken bir şeyi geri iter.")</f>
        <v>Yakın dövüş silahı. Şeyleri vururken bir şeyi geri iter.</v>
      </c>
      <c r="G148" s="23" t="str">
        <f>IFERROR(__xludf.DUMMYFUNCTION("GOOGLETRANSLATE(B148, ""en"", ""pt"")"),"Arma branca. Empurra as coisas de volta um espaço quando ele atinge.")</f>
        <v>Arma branca. Empurra as coisas de volta um espaço quando ele atinge.</v>
      </c>
      <c r="H148" s="24" t="str">
        <f>IFERROR(__xludf.DUMMYFUNCTION("GOOGLETRANSLATE(B148, ""en"", ""de"")"),"Nahkampfwaffe. Schiebt die Dinge zurück, wenn es trifft.")</f>
        <v>Nahkampfwaffe. Schiebt die Dinge zurück, wenn es trifft.</v>
      </c>
      <c r="I148" s="23" t="str">
        <f>IFERROR(__xludf.DUMMYFUNCTION("GOOGLETRANSLATE(B148, ""en"", ""pl"")"),"Broń biała. Popycha rzeczy z powrotem jedną przestrzeń, gdy uderza.")</f>
        <v>Broń biała. Popycha rzeczy z powrotem jedną przestrzeń, gdy uderza.</v>
      </c>
      <c r="J148" s="25" t="str">
        <f>IFERROR(__xludf.DUMMYFUNCTION("GOOGLETRANSLATE(B148, ""en"", ""zh"")"),"近战武器。当它命中时，将物质推回一个空间。")</f>
        <v>近战武器。当它命中时，将物质推回一个空间。</v>
      </c>
      <c r="K148" s="25" t="str">
        <f>IFERROR(__xludf.DUMMYFUNCTION("GOOGLETRANSLATE(B148, ""en"", ""vi"")"),"Vũ khí cận chiến. Đẩy mọi thứ trở lại một không gian khi nó hit.")</f>
        <v>Vũ khí cận chiến. Đẩy mọi thứ trở lại một không gian khi nó hit.</v>
      </c>
      <c r="L148" s="26" t="str">
        <f>IFERROR(__xludf.DUMMYFUNCTION("GOOGLETRANSLATE(B148, ""en"", ""hr"")"),"Melee Oružje. Gura stvari natrag jedan prostor kada pogodi.")</f>
        <v>Melee Oružje. Gura stvari natrag jedan prostor kada pogodi.</v>
      </c>
      <c r="M148" s="28"/>
      <c r="N148" s="28"/>
      <c r="O148" s="28"/>
      <c r="P148" s="28"/>
      <c r="Q148" s="28"/>
      <c r="R148" s="28"/>
      <c r="S148" s="28"/>
      <c r="T148" s="28"/>
      <c r="U148" s="28"/>
      <c r="V148" s="28"/>
      <c r="W148" s="28"/>
      <c r="X148" s="28"/>
      <c r="Y148" s="28"/>
      <c r="Z148" s="28"/>
      <c r="AA148" s="28"/>
      <c r="AB148" s="28"/>
    </row>
    <row r="149">
      <c r="A149" s="21" t="s">
        <v>625</v>
      </c>
      <c r="B149" s="22" t="s">
        <v>626</v>
      </c>
      <c r="C149" s="23" t="str">
        <f>IFERROR(__xludf.DUMMYFUNCTION("GOOGLETRANSLATE(B149, ""en"", ""fr"")"),"Armure noctis")</f>
        <v>Armure noctis</v>
      </c>
      <c r="D149" s="23" t="str">
        <f>IFERROR(__xludf.DUMMYFUNCTION("GOOGLETRANSLATE(B149, ""en"", ""es"")"),"Noctis Armor")</f>
        <v>Noctis Armor</v>
      </c>
      <c r="E149" s="23" t="str">
        <f>IFERROR(__xludf.DUMMYFUNCTION("GOOGLETRANSLATE(B149, ""en"", ""ru"")"),"Доспехи Noctis")</f>
        <v>Доспехи Noctis</v>
      </c>
      <c r="F149" s="23" t="str">
        <f>IFERROR(__xludf.DUMMYFUNCTION("GOOGLETRANSLATE(B149, ""en"", ""tr"")"),"Noctis zırhı")</f>
        <v>Noctis zırhı</v>
      </c>
      <c r="G149" s="23" t="str">
        <f>IFERROR(__xludf.DUMMYFUNCTION("GOOGLETRANSLATE(B149, ""en"", ""pt"")"),"Armadura de Noctis.")</f>
        <v>Armadura de Noctis.</v>
      </c>
      <c r="H149" s="24" t="str">
        <f>IFERROR(__xludf.DUMMYFUNCTION("GOOGLETRANSLATE(B149, ""en"", ""de"")"),"Noctis-Rüstung")</f>
        <v>Noctis-Rüstung</v>
      </c>
      <c r="I149" s="23" t="str">
        <f>IFERROR(__xludf.DUMMYFUNCTION("GOOGLETRANSLATE(B149, ""en"", ""pl"")"),"Noctis Armor.")</f>
        <v>Noctis Armor.</v>
      </c>
      <c r="J149" s="25" t="str">
        <f>IFERROR(__xludf.DUMMYFUNCTION("GOOGLETRANSLATE(B149, ""en"", ""zh"")"),"Noctis Armor.")</f>
        <v>Noctis Armor.</v>
      </c>
      <c r="K149" s="25" t="str">
        <f>IFERROR(__xludf.DUMMYFUNCTION("GOOGLETRANSLATE(B149, ""en"", ""vi"")"),"Giáp Noctis.")</f>
        <v>Giáp Noctis.</v>
      </c>
      <c r="L149" s="26" t="str">
        <f>IFERROR(__xludf.DUMMYFUNCTION("GOOGLETRANSLATE(B149, ""en"", ""hr"")"),"Noctis oklop")</f>
        <v>Noctis oklop</v>
      </c>
      <c r="M149" s="28"/>
      <c r="N149" s="28"/>
      <c r="O149" s="28"/>
      <c r="P149" s="28"/>
      <c r="Q149" s="28"/>
      <c r="R149" s="28"/>
      <c r="S149" s="28"/>
      <c r="T149" s="28"/>
      <c r="U149" s="28"/>
      <c r="V149" s="28"/>
      <c r="W149" s="28"/>
      <c r="X149" s="28"/>
      <c r="Y149" s="28"/>
      <c r="Z149" s="28"/>
      <c r="AA149" s="28"/>
      <c r="AB149" s="28"/>
    </row>
    <row r="150">
      <c r="A150" s="21" t="s">
        <v>627</v>
      </c>
      <c r="B150" s="22" t="s">
        <v>628</v>
      </c>
      <c r="C150" s="23" t="str">
        <f>IFERROR(__xludf.DUMMYFUNCTION("GOOGLETRANSLATE(B150, ""en"", ""fr"")"),"Angoissant! Augmente votre statistique de mêlée tout en porté.")</f>
        <v>Angoissant! Augmente votre statistique de mêlée tout en porté.</v>
      </c>
      <c r="D150" s="23" t="str">
        <f>IFERROR(__xludf.DUMMYFUNCTION("GOOGLETRANSLATE(B150, ""en"", ""es"")"),"¡De miedo! Aumenta tu estadística de Melee mientras se usa.")</f>
        <v>¡De miedo! Aumenta tu estadística de Melee mientras se usa.</v>
      </c>
      <c r="E150" s="23" t="str">
        <f>IFERROR(__xludf.DUMMYFUNCTION("GOOGLETRANSLATE(B150, ""en"", ""ru"")"),"Страшный! Увеличивает вашу статую ближнего боя в ношу.")</f>
        <v>Страшный! Увеличивает вашу статую ближнего боя в ношу.</v>
      </c>
      <c r="F150" s="23" t="str">
        <f>IFERROR(__xludf.DUMMYFUNCTION("GOOGLETRANSLATE(B150, ""en"", ""tr"")"),"Korkutucu! Yıpranırken yakın dövüş statünüzü arttırır.")</f>
        <v>Korkutucu! Yıpranırken yakın dövüş statünüzü arttırır.</v>
      </c>
      <c r="G150" s="23" t="str">
        <f>IFERROR(__xludf.DUMMYFUNCTION("GOOGLETRANSLATE(B150, ""en"", ""pt"")"),"Apavorante! Aumenta sua estatística corpo-a-corpo enquanto estiver desgastada.")</f>
        <v>Apavorante! Aumenta sua estatística corpo-a-corpo enquanto estiver desgastada.</v>
      </c>
      <c r="H150" s="24" t="str">
        <f>IFERROR(__xludf.DUMMYFUNCTION("GOOGLETRANSLATE(B150, ""en"", ""de"")"),"Unheimlich! Erhöht Ihren Nahkampfstat während getragen.")</f>
        <v>Unheimlich! Erhöht Ihren Nahkampfstat während getragen.</v>
      </c>
      <c r="I150" s="23" t="str">
        <f>IFERROR(__xludf.DUMMYFUNCTION("GOOGLETRANSLATE(B150, ""en"", ""pl"")"),"Straszny! Zwiększa statystykę w walce w walce podczas noszenia.")</f>
        <v>Straszny! Zwiększa statystykę w walce w walce podczas noszenia.</v>
      </c>
      <c r="J150" s="25" t="str">
        <f>IFERROR(__xludf.DUMMYFUNCTION("GOOGLETRANSLATE(B150, ""en"", ""zh"")"),"害怕！磨损时增加了近战统计数据。")</f>
        <v>害怕！磨损时增加了近战统计数据。</v>
      </c>
      <c r="K150" s="25" t="str">
        <f>IFERROR(__xludf.DUMMYFUNCTION("GOOGLETRANSLATE(B150, ""en"", ""vi"")"),"Đáng sợ! Tăng số liệu thống kê cận chiến của bạn trong khi bị mòn.")</f>
        <v>Đáng sợ! Tăng số liệu thống kê cận chiến của bạn trong khi bị mòn.</v>
      </c>
      <c r="L150" s="26" t="str">
        <f>IFERROR(__xludf.DUMMYFUNCTION("GOOGLETRANSLATE(B150, ""en"", ""hr"")"),"Scary! Povećava vašu gužvu stat dok se nosi.")</f>
        <v>Scary! Povećava vašu gužvu stat dok se nosi.</v>
      </c>
      <c r="M150" s="28"/>
      <c r="N150" s="28"/>
      <c r="O150" s="28"/>
      <c r="P150" s="28"/>
      <c r="Q150" s="28"/>
      <c r="R150" s="28"/>
      <c r="S150" s="28"/>
      <c r="T150" s="28"/>
      <c r="U150" s="28"/>
      <c r="V150" s="28"/>
      <c r="W150" s="28"/>
      <c r="X150" s="28"/>
      <c r="Y150" s="28"/>
      <c r="Z150" s="28"/>
      <c r="AA150" s="28"/>
      <c r="AB150" s="28"/>
    </row>
    <row r="151">
      <c r="A151" s="21" t="s">
        <v>629</v>
      </c>
      <c r="B151" s="22" t="s">
        <v>630</v>
      </c>
      <c r="C151" s="23" t="str">
        <f>IFERROR(__xludf.DUMMYFUNCTION("GOOGLETRANSLATE(B151, ""en"", ""fr"")"),"Vampire fang")</f>
        <v>Vampire fang</v>
      </c>
      <c r="D151" s="23" t="str">
        <f>IFERROR(__xludf.DUMMYFUNCTION("GOOGLETRANSLATE(B151, ""en"", ""es"")"),"Vampiro colmillo")</f>
        <v>Vampiro colmillo</v>
      </c>
      <c r="E151" s="23" t="str">
        <f>IFERROR(__xludf.DUMMYFUNCTION("GOOGLETRANSLATE(B151, ""en"", ""ru"")"),"Вампир фанг")</f>
        <v>Вампир фанг</v>
      </c>
      <c r="F151" s="23" t="str">
        <f>IFERROR(__xludf.DUMMYFUNCTION("GOOGLETRANSLATE(B151, ""en"", ""tr"")"),"Vampir fang")</f>
        <v>Vampir fang</v>
      </c>
      <c r="G151" s="23" t="str">
        <f>IFERROR(__xludf.DUMMYFUNCTION("GOOGLETRANSLATE(B151, ""en"", ""pt"")"),"Vampire Fang.")</f>
        <v>Vampire Fang.</v>
      </c>
      <c r="H151" s="24" t="str">
        <f>IFERROR(__xludf.DUMMYFUNCTION("GOOGLETRANSLATE(B151, ""en"", ""de"")"),"Vampir Fang.")</f>
        <v>Vampir Fang.</v>
      </c>
      <c r="I151" s="23" t="str">
        <f>IFERROR(__xludf.DUMMYFUNCTION("GOOGLETRANSLATE(B151, ""en"", ""pl"")"),"Vampire Fang.")</f>
        <v>Vampire Fang.</v>
      </c>
      <c r="J151" s="25" t="str">
        <f>IFERROR(__xludf.DUMMYFUNCTION("GOOGLETRANSLATE(B151, ""en"", ""zh"")"),"吸血鬼方")</f>
        <v>吸血鬼方</v>
      </c>
      <c r="K151" s="25" t="str">
        <f>IFERROR(__xludf.DUMMYFUNCTION("GOOGLETRANSLATE(B151, ""en"", ""vi"")"),"Ma cà rồng Fang.")</f>
        <v>Ma cà rồng Fang.</v>
      </c>
      <c r="L151" s="26" t="str">
        <f>IFERROR(__xludf.DUMMYFUNCTION("GOOGLETRANSLATE(B151, ""en"", ""hr"")"),"Vampir")</f>
        <v>Vampir</v>
      </c>
      <c r="M151" s="28"/>
      <c r="N151" s="28"/>
      <c r="O151" s="28"/>
      <c r="P151" s="28"/>
      <c r="Q151" s="28"/>
      <c r="R151" s="28"/>
      <c r="S151" s="28"/>
      <c r="T151" s="28"/>
      <c r="U151" s="28"/>
      <c r="V151" s="28"/>
      <c r="W151" s="28"/>
      <c r="X151" s="28"/>
      <c r="Y151" s="28"/>
      <c r="Z151" s="28"/>
      <c r="AA151" s="28"/>
      <c r="AB151" s="28"/>
    </row>
    <row r="152">
      <c r="A152" s="21" t="s">
        <v>631</v>
      </c>
      <c r="B152" s="22" t="s">
        <v>632</v>
      </c>
      <c r="C152" s="23" t="str">
        <f>IFERROR(__xludf.DUMMYFUNCTION("GOOGLETRANSLATE(B152, ""en"", ""fr"")"),"Arme de mêlée. Très courte portée, mais vous guérit quand il frappe.")</f>
        <v>Arme de mêlée. Très courte portée, mais vous guérit quand il frappe.</v>
      </c>
      <c r="D152" s="23" t="str">
        <f>IFERROR(__xludf.DUMMYFUNCTION("GOOGLETRANSLATE(B152, ""en"", ""es"")"),"Arma cuerpo a cuerpo. Muy corto, pero te cura cuando golpea.")</f>
        <v>Arma cuerpo a cuerpo. Muy corto, pero te cura cuando golpea.</v>
      </c>
      <c r="E152" s="23" t="str">
        <f>IFERROR(__xludf.DUMMYFUNCTION("GOOGLETRANSLATE(B152, ""en"", ""ru"")"),"Оружие ближнего боя. Очень короткий диапазон, но исцеляет вас, когда он попадает.")</f>
        <v>Оружие ближнего боя. Очень короткий диапазон, но исцеляет вас, когда он попадает.</v>
      </c>
      <c r="F152" s="23" t="str">
        <f>IFERROR(__xludf.DUMMYFUNCTION("GOOGLETRANSLATE(B152, ""en"", ""tr"")"),"Yakın dövüş silahı. Çok kısa menzil, ama vurduğunda seni iyileştirir.")</f>
        <v>Yakın dövüş silahı. Çok kısa menzil, ama vurduğunda seni iyileştirir.</v>
      </c>
      <c r="G152" s="23" t="str">
        <f>IFERROR(__xludf.DUMMYFUNCTION("GOOGLETRANSLATE(B152, ""en"", ""pt"")"),"Arma branca. Cama muito curta, mas cura quando ele atinge.")</f>
        <v>Arma branca. Cama muito curta, mas cura quando ele atinge.</v>
      </c>
      <c r="H152" s="24" t="str">
        <f>IFERROR(__xludf.DUMMYFUNCTION("GOOGLETRANSLATE(B152, ""en"", ""de"")"),"Nahkampfwaffe. Sehr kurze Reichweite, heilt dich aber, wenn es trifft.")</f>
        <v>Nahkampfwaffe. Sehr kurze Reichweite, heilt dich aber, wenn es trifft.</v>
      </c>
      <c r="I152" s="23" t="str">
        <f>IFERROR(__xludf.DUMMYFUNCTION("GOOGLETRANSLATE(B152, ""en"", ""pl"")"),"Broń biała. Bardzo krótki zasięg, ale uzdrawia cię, gdy trafia.")</f>
        <v>Broń biała. Bardzo krótki zasięg, ale uzdrawia cię, gdy trafia.</v>
      </c>
      <c r="J152" s="25" t="str">
        <f>IFERROR(__xludf.DUMMYFUNCTION("GOOGLETRANSLATE(B152, ""en"", ""zh"")"),"近战武器。很短的范围，但是当它命中时会治愈你。")</f>
        <v>近战武器。很短的范围，但是当它命中时会治愈你。</v>
      </c>
      <c r="K152" s="25" t="str">
        <f>IFERROR(__xludf.DUMMYFUNCTION("GOOGLETRANSLATE(B152, ""en"", ""vi"")"),"Vũ khí cận chiến. Phạm vi rất ngắn, nhưng chữa lành cho bạn khi nó hit.")</f>
        <v>Vũ khí cận chiến. Phạm vi rất ngắn, nhưng chữa lành cho bạn khi nó hit.</v>
      </c>
      <c r="L152" s="26" t="str">
        <f>IFERROR(__xludf.DUMMYFUNCTION("GOOGLETRANSLATE(B152, ""en"", ""hr"")"),"Melee Oružje. Vrlo kratak raspon, ali vas liječi kada pogodi.")</f>
        <v>Melee Oružje. Vrlo kratak raspon, ali vas liječi kada pogodi.</v>
      </c>
      <c r="M152" s="28"/>
      <c r="N152" s="28"/>
      <c r="O152" s="28"/>
      <c r="P152" s="28"/>
      <c r="Q152" s="28"/>
      <c r="R152" s="28"/>
      <c r="S152" s="28"/>
      <c r="T152" s="28"/>
      <c r="U152" s="28"/>
      <c r="V152" s="28"/>
      <c r="W152" s="28"/>
      <c r="X152" s="28"/>
      <c r="Y152" s="28"/>
      <c r="Z152" s="28"/>
      <c r="AA152" s="28"/>
      <c r="AB152" s="28"/>
    </row>
    <row r="153">
      <c r="A153" s="21" t="s">
        <v>633</v>
      </c>
      <c r="B153" s="22" t="s">
        <v>634</v>
      </c>
      <c r="C153" s="23" t="str">
        <f>IFERROR(__xludf.DUMMYFUNCTION("GOOGLETRANSLATE(B153, ""en"", ""fr"")"),"Pincement")</f>
        <v>Pincement</v>
      </c>
      <c r="D153" s="23" t="str">
        <f>IFERROR(__xludf.DUMMYFUNCTION("GOOGLETRANSLATE(B153, ""en"", ""es"")"),"Arco de pino")</f>
        <v>Arco de pino</v>
      </c>
      <c r="E153" s="23" t="str">
        <f>IFERROR(__xludf.DUMMYFUNCTION("GOOGLETRANSLATE(B153, ""en"", ""ru"")"),"Сосновый бант")</f>
        <v>Сосновый бант</v>
      </c>
      <c r="F153" s="23" t="str">
        <f>IFERROR(__xludf.DUMMYFUNCTION("GOOGLETRANSLATE(B153, ""en"", ""tr"")"),"Çam yayı")</f>
        <v>Çam yayı</v>
      </c>
      <c r="G153" s="23" t="str">
        <f>IFERROR(__xludf.DUMMYFUNCTION("GOOGLETRANSLATE(B153, ""en"", ""pt"")"),"Arco de pinho")</f>
        <v>Arco de pinho</v>
      </c>
      <c r="H153" s="24" t="str">
        <f>IFERROR(__xludf.DUMMYFUNCTION("GOOGLETRANSLATE(B153, ""en"", ""de"")"),"Kiefernbogen")</f>
        <v>Kiefernbogen</v>
      </c>
      <c r="I153" s="23" t="str">
        <f>IFERROR(__xludf.DUMMYFUNCTION("GOOGLETRANSLATE(B153, ""en"", ""pl"")"),"Posine Bow.")</f>
        <v>Posine Bow.</v>
      </c>
      <c r="J153" s="25" t="str">
        <f>IFERROR(__xludf.DUMMYFUNCTION("GOOGLETRANSLATE(B153, ""en"", ""zh"")"),"松弓")</f>
        <v>松弓</v>
      </c>
      <c r="K153" s="25" t="str">
        <f>IFERROR(__xludf.DUMMYFUNCTION("GOOGLETRANSLATE(B153, ""en"", ""vi"")"),"Pine Bow.")</f>
        <v>Pine Bow.</v>
      </c>
      <c r="L153" s="26" t="str">
        <f>IFERROR(__xludf.DUMMYFUNCTION("GOOGLETRANSLATE(B153, ""en"", ""hr"")"),"Boroviti")</f>
        <v>Boroviti</v>
      </c>
      <c r="M153" s="28"/>
      <c r="N153" s="28"/>
      <c r="O153" s="28"/>
      <c r="P153" s="28"/>
      <c r="Q153" s="28"/>
      <c r="R153" s="28"/>
      <c r="S153" s="28"/>
      <c r="T153" s="28"/>
      <c r="U153" s="28"/>
      <c r="V153" s="28"/>
      <c r="W153" s="28"/>
      <c r="X153" s="28"/>
      <c r="Y153" s="28"/>
      <c r="Z153" s="28"/>
      <c r="AA153" s="28"/>
      <c r="AB153" s="28"/>
    </row>
    <row r="154">
      <c r="A154" s="21" t="s">
        <v>635</v>
      </c>
      <c r="B154" s="22" t="s">
        <v>636</v>
      </c>
      <c r="C154" s="23" t="str">
        <f>IFERROR(__xludf.DUMMYFUNCTION("GOOGLETRANSLATE(B154, ""en"", ""fr"")"),"Une arme faible longue portée pour tirer des flèches.")</f>
        <v>Une arme faible longue portée pour tirer des flèches.</v>
      </c>
      <c r="D154" s="23" t="str">
        <f>IFERROR(__xludf.DUMMYFUNCTION("GOOGLETRANSLATE(B154, ""en"", ""es"")"),"Una arma de largo y largo y débil para disparar flechas.")</f>
        <v>Una arma de largo y largo y débil para disparar flechas.</v>
      </c>
      <c r="E154" s="23" t="str">
        <f>IFERROR(__xludf.DUMMYFUNCTION("GOOGLETRANSLATE(B154, ""en"", ""ru"")"),"Слабое длительное ореховое оружие, чтобы стрелять стрелы.")</f>
        <v>Слабое длительное ореховое оружие, чтобы стрелять стрелы.</v>
      </c>
      <c r="F154" s="23" t="str">
        <f>IFERROR(__xludf.DUMMYFUNCTION("GOOGLETRANSLATE(B154, ""en"", ""tr"")"),"Okları vurmak için zayıf bir uzun menzilli silah.")</f>
        <v>Okları vurmak için zayıf bir uzun menzilli silah.</v>
      </c>
      <c r="G154" s="23" t="str">
        <f>IFERROR(__xludf.DUMMYFUNCTION("GOOGLETRANSLATE(B154, ""en"", ""pt"")"),"Uma arma fraca longa distância para atirar flechas.")</f>
        <v>Uma arma fraca longa distância para atirar flechas.</v>
      </c>
      <c r="H154" s="24" t="str">
        <f>IFERROR(__xludf.DUMMYFUNCTION("GOOGLETRANSLATE(B154, ""en"", ""de"")"),"Eine schwache lange Fernkampfwaffe, um Pfeile zu schießen.")</f>
        <v>Eine schwache lange Fernkampfwaffe, um Pfeile zu schießen.</v>
      </c>
      <c r="I154" s="23" t="str">
        <f>IFERROR(__xludf.DUMMYFUNCTION("GOOGLETRANSLATE(B154, ""en"", ""pl"")"),"Słaba długą broń do strzelania strzał.")</f>
        <v>Słaba długą broń do strzelania strzał.</v>
      </c>
      <c r="J154" s="25" t="str">
        <f>IFERROR(__xludf.DUMMYFUNCTION("GOOGLETRANSLATE(B154, ""en"", ""zh"")"),"击落箭头的弱长远程武器。")</f>
        <v>击落箭头的弱长远程武器。</v>
      </c>
      <c r="K154" s="25" t="str">
        <f>IFERROR(__xludf.DUMMYFUNCTION("GOOGLETRANSLATE(B154, ""en"", ""vi"")"),"Một vũ khí dài tầm xa để bắn mũi tên.")</f>
        <v>Một vũ khí dài tầm xa để bắn mũi tên.</v>
      </c>
      <c r="L154" s="26" t="str">
        <f>IFERROR(__xludf.DUMMYFUNCTION("GOOGLETRANSLATE(B154, ""en"", ""hr"")"),"Slabog dugog oružja za pucanje strelica.")</f>
        <v>Slabog dugog oružja za pucanje strelica.</v>
      </c>
      <c r="M154" s="28"/>
      <c r="N154" s="28"/>
      <c r="O154" s="28"/>
      <c r="P154" s="28"/>
      <c r="Q154" s="28"/>
      <c r="R154" s="28"/>
      <c r="S154" s="28"/>
      <c r="T154" s="28"/>
      <c r="U154" s="28"/>
      <c r="V154" s="28"/>
      <c r="W154" s="28"/>
      <c r="X154" s="28"/>
      <c r="Y154" s="28"/>
      <c r="Z154" s="28"/>
      <c r="AA154" s="28"/>
      <c r="AB154" s="28"/>
    </row>
    <row r="155">
      <c r="A155" s="21" t="s">
        <v>637</v>
      </c>
      <c r="B155" s="22" t="s">
        <v>638</v>
      </c>
      <c r="C155" s="23" t="str">
        <f>IFERROR(__xludf.DUMMYFUNCTION("GOOGLETRANSLATE(B155, ""en"", ""fr"")"),"Willow arc")</f>
        <v>Willow arc</v>
      </c>
      <c r="D155" s="23" t="str">
        <f>IFERROR(__xludf.DUMMYFUNCTION("GOOGLETRANSLATE(B155, ""en"", ""es"")"),"Arco de sauce")</f>
        <v>Arco de sauce</v>
      </c>
      <c r="E155" s="23" t="str">
        <f>IFERROR(__xludf.DUMMYFUNCTION("GOOGLETRANSLATE(B155, ""en"", ""ru"")"),"Ивы лук")</f>
        <v>Ивы лук</v>
      </c>
      <c r="F155" s="23" t="str">
        <f>IFERROR(__xludf.DUMMYFUNCTION("GOOGLETRANSLATE(B155, ""en"", ""tr"")"),"Söğüt yay")</f>
        <v>Söğüt yay</v>
      </c>
      <c r="G155" s="23" t="str">
        <f>IFERROR(__xludf.DUMMYFUNCTION("GOOGLETRANSLATE(B155, ""en"", ""pt"")"),"Arco de salgueiro")</f>
        <v>Arco de salgueiro</v>
      </c>
      <c r="H155" s="24" t="str">
        <f>IFERROR(__xludf.DUMMYFUNCTION("GOOGLETRANSLATE(B155, ""en"", ""de"")"),"Willow Bow")</f>
        <v>Willow Bow</v>
      </c>
      <c r="I155" s="23" t="str">
        <f>IFERROR(__xludf.DUMMYFUNCTION("GOOGLETRANSLATE(B155, ""en"", ""pl"")"),"Willow Bow.")</f>
        <v>Willow Bow.</v>
      </c>
      <c r="J155" s="25" t="str">
        <f>IFERROR(__xludf.DUMMYFUNCTION("GOOGLETRANSLATE(B155, ""en"", ""zh"")"),"柳树弓")</f>
        <v>柳树弓</v>
      </c>
      <c r="K155" s="25" t="str">
        <f>IFERROR(__xludf.DUMMYFUNCTION("GOOGLETRANSLATE(B155, ""en"", ""vi"")"),"Willow Bow.")</f>
        <v>Willow Bow.</v>
      </c>
      <c r="L155" s="26" t="str">
        <f>IFERROR(__xludf.DUMMYFUNCTION("GOOGLETRANSLATE(B155, ""en"", ""hr"")"),"Vrbovo")</f>
        <v>Vrbovo</v>
      </c>
      <c r="M155" s="28"/>
      <c r="N155" s="28"/>
      <c r="O155" s="28"/>
      <c r="P155" s="28"/>
      <c r="Q155" s="28"/>
      <c r="R155" s="28"/>
      <c r="S155" s="28"/>
      <c r="T155" s="28"/>
      <c r="U155" s="28"/>
      <c r="V155" s="28"/>
      <c r="W155" s="28"/>
      <c r="X155" s="28"/>
      <c r="Y155" s="28"/>
      <c r="Z155" s="28"/>
      <c r="AA155" s="28"/>
      <c r="AB155" s="28"/>
    </row>
    <row r="156">
      <c r="A156" s="21" t="s">
        <v>639</v>
      </c>
      <c r="B156" s="22" t="s">
        <v>640</v>
      </c>
      <c r="C156" s="23" t="str">
        <f>IFERROR(__xludf.DUMMYFUNCTION("GOOGLETRANSLATE(B156, ""en"", ""fr"")"),"Une bonne arme longue à distance pour tirer des flèches.")</f>
        <v>Une bonne arme longue à distance pour tirer des flèches.</v>
      </c>
      <c r="D156" s="23" t="str">
        <f>IFERROR(__xludf.DUMMYFUNCTION("GOOGLETRANSLATE(B156, ""en"", ""es"")"),"Una buena arma a largo plazo para disparar flechas.")</f>
        <v>Una buena arma a largo plazo para disparar flechas.</v>
      </c>
      <c r="E156" s="23" t="str">
        <f>IFERROR(__xludf.DUMMYFUNCTION("GOOGLETRANSLATE(B156, ""en"", ""ru"")"),"Хорошее длительное ореховое оружие для стрелок.")</f>
        <v>Хорошее длительное ореховое оружие для стрелок.</v>
      </c>
      <c r="F156" s="23" t="str">
        <f>IFERROR(__xludf.DUMMYFUNCTION("GOOGLETRANSLATE(B156, ""en"", ""tr"")"),"Okları vurmak için iyi bir uzun mesafeli bir silah.")</f>
        <v>Okları vurmak için iyi bir uzun mesafeli bir silah.</v>
      </c>
      <c r="G156" s="23" t="str">
        <f>IFERROR(__xludf.DUMMYFUNCTION("GOOGLETRANSLATE(B156, ""en"", ""pt"")"),"Uma boa arma longa para atirar flechas.")</f>
        <v>Uma boa arma longa para atirar flechas.</v>
      </c>
      <c r="H156" s="24" t="str">
        <f>IFERROR(__xludf.DUMMYFUNCTION("GOOGLETRANSLATE(B156, ""en"", ""de"")"),"Eine gute lange Fernwaffe, um Pfeile zu schießen.")</f>
        <v>Eine gute lange Fernwaffe, um Pfeile zu schießen.</v>
      </c>
      <c r="I156" s="23" t="str">
        <f>IFERROR(__xludf.DUMMYFUNCTION("GOOGLETRANSLATE(B156, ""en"", ""pl"")"),"Dobra długotrwała broń do strzelania strzałek.")</f>
        <v>Dobra długotrwała broń do strzelania strzałek.</v>
      </c>
      <c r="J156" s="25" t="str">
        <f>IFERROR(__xludf.DUMMYFUNCTION("GOOGLETRANSLATE(B156, ""en"", ""zh"")"),"一个很好的长距离武器来射箭。")</f>
        <v>一个很好的长距离武器来射箭。</v>
      </c>
      <c r="K156" s="25" t="str">
        <f>IFERROR(__xludf.DUMMYFUNCTION("GOOGLETRANSLATE(B156, ""en"", ""vi"")"),"Một vũ khí tầm xa tốt để bắn mũi tên.")</f>
        <v>Một vũ khí tầm xa tốt để bắn mũi tên.</v>
      </c>
      <c r="L156" s="26" t="str">
        <f>IFERROR(__xludf.DUMMYFUNCTION("GOOGLETRANSLATE(B156, ""en"", ""hr"")"),"Dobro je puno oružje za pucanje strelica.")</f>
        <v>Dobro je puno oružje za pucanje strelica.</v>
      </c>
      <c r="M156" s="28"/>
      <c r="N156" s="28"/>
      <c r="O156" s="28"/>
      <c r="P156" s="28"/>
      <c r="Q156" s="28"/>
      <c r="R156" s="28"/>
      <c r="S156" s="28"/>
      <c r="T156" s="28"/>
      <c r="U156" s="28"/>
      <c r="V156" s="28"/>
      <c r="W156" s="28"/>
      <c r="X156" s="28"/>
      <c r="Y156" s="28"/>
      <c r="Z156" s="28"/>
      <c r="AA156" s="28"/>
      <c r="AB156" s="28"/>
    </row>
    <row r="157">
      <c r="A157" s="21" t="s">
        <v>641</v>
      </c>
      <c r="B157" s="22" t="s">
        <v>642</v>
      </c>
      <c r="C157" s="23" t="str">
        <f>IFERROR(__xludf.DUMMYFUNCTION("GOOGLETRANSLATE(B157, ""en"", ""fr"")"),"Chêne")</f>
        <v>Chêne</v>
      </c>
      <c r="D157" s="23" t="str">
        <f>IFERROR(__xludf.DUMMYFUNCTION("GOOGLETRANSLATE(B157, ""en"", ""es"")"),"Arco de roble")</f>
        <v>Arco de roble</v>
      </c>
      <c r="E157" s="23" t="str">
        <f>IFERROR(__xludf.DUMMYFUNCTION("GOOGLETRANSLATE(B157, ""en"", ""ru"")"),"Дубовый бант")</f>
        <v>Дубовый бант</v>
      </c>
      <c r="F157" s="23" t="str">
        <f>IFERROR(__xludf.DUMMYFUNCTION("GOOGLETRANSLATE(B157, ""en"", ""tr"")"),"Meşe yay")</f>
        <v>Meşe yay</v>
      </c>
      <c r="G157" s="23" t="str">
        <f>IFERROR(__xludf.DUMMYFUNCTION("GOOGLETRANSLATE(B157, ""en"", ""pt"")"),"Arco de carvalho")</f>
        <v>Arco de carvalho</v>
      </c>
      <c r="H157" s="24" t="str">
        <f>IFERROR(__xludf.DUMMYFUNCTION("GOOGLETRANSLATE(B157, ""en"", ""de"")"),"Eichenbögen")</f>
        <v>Eichenbögen</v>
      </c>
      <c r="I157" s="23" t="str">
        <f>IFERROR(__xludf.DUMMYFUNCTION("GOOGLETRANSLATE(B157, ""en"", ""pl"")"),"Dębowy łuk")</f>
        <v>Dębowy łuk</v>
      </c>
      <c r="J157" s="25" t="str">
        <f>IFERROR(__xludf.DUMMYFUNCTION("GOOGLETRANSLATE(B157, ""en"", ""zh"")"),"橡木弓")</f>
        <v>橡木弓</v>
      </c>
      <c r="K157" s="25" t="str">
        <f>IFERROR(__xludf.DUMMYFUNCTION("GOOGLETRANSLATE(B157, ""en"", ""vi"")"),"Bow Bow.")</f>
        <v>Bow Bow.</v>
      </c>
      <c r="L157" s="26" t="str">
        <f>IFERROR(__xludf.DUMMYFUNCTION("GOOGLETRANSLATE(B157, ""en"", ""hr"")"),"Hrast")</f>
        <v>Hrast</v>
      </c>
      <c r="M157" s="28"/>
      <c r="N157" s="28"/>
      <c r="O157" s="28"/>
      <c r="P157" s="28"/>
      <c r="Q157" s="28"/>
      <c r="R157" s="28"/>
      <c r="S157" s="28"/>
      <c r="T157" s="28"/>
      <c r="U157" s="28"/>
      <c r="V157" s="28"/>
      <c r="W157" s="28"/>
      <c r="X157" s="28"/>
      <c r="Y157" s="28"/>
      <c r="Z157" s="28"/>
      <c r="AA157" s="28"/>
      <c r="AB157" s="28"/>
    </row>
    <row r="158">
      <c r="A158" s="21" t="s">
        <v>643</v>
      </c>
      <c r="B158" s="22" t="s">
        <v>644</v>
      </c>
      <c r="C158" s="23" t="str">
        <f>IFERROR(__xludf.DUMMYFUNCTION("GOOGLETRANSLATE(B158, ""en"", ""fr"")"),"Une forte arme longue à distance pour tirer des flèches.")</f>
        <v>Une forte arme longue à distance pour tirer des flèches.</v>
      </c>
      <c r="D158" s="23" t="str">
        <f>IFERROR(__xludf.DUMMYFUNCTION("GOOGLETRANSLATE(B158, ""en"", ""es"")"),"Una fuerte arma a largo plazo para disparar flechas.")</f>
        <v>Una fuerte arma a largo plazo para disparar flechas.</v>
      </c>
      <c r="E158" s="23" t="str">
        <f>IFERROR(__xludf.DUMMYFUNCTION("GOOGLETRANSLATE(B158, ""en"", ""ru"")"),"Сильное длительное ореховое оружие, чтобы снимать стрелки.")</f>
        <v>Сильное длительное ореховое оружие, чтобы снимать стрелки.</v>
      </c>
      <c r="F158" s="23" t="str">
        <f>IFERROR(__xludf.DUMMYFUNCTION("GOOGLETRANSLATE(B158, ""en"", ""tr"")"),"Okları vurmak için güçlü bir uzun menzilli silah.")</f>
        <v>Okları vurmak için güçlü bir uzun menzilli silah.</v>
      </c>
      <c r="G158" s="23" t="str">
        <f>IFERROR(__xludf.DUMMYFUNCTION("GOOGLETRANSLATE(B158, ""en"", ""pt"")"),"Uma arma forte longa distância para atirar flechas.")</f>
        <v>Uma arma forte longa distância para atirar flechas.</v>
      </c>
      <c r="H158" s="24" t="str">
        <f>IFERROR(__xludf.DUMMYFUNCTION("GOOGLETRANSLATE(B158, ""en"", ""de"")"),"Eine starke lange Fernkampfwaffe, um Pfeile zu schießen.")</f>
        <v>Eine starke lange Fernkampfwaffe, um Pfeile zu schießen.</v>
      </c>
      <c r="I158" s="23" t="str">
        <f>IFERROR(__xludf.DUMMYFUNCTION("GOOGLETRANSLATE(B158, ""en"", ""pl"")"),"Silna długa broń dystansowa do strzelania strzałek.")</f>
        <v>Silna długa broń dystansowa do strzelania strzałek.</v>
      </c>
      <c r="J158" s="25" t="str">
        <f>IFERROR(__xludf.DUMMYFUNCTION("GOOGLETRANSLATE(B158, ""en"", ""zh"")"),"一个强大的长距离武器来射箭。")</f>
        <v>一个强大的长距离武器来射箭。</v>
      </c>
      <c r="K158" s="25" t="str">
        <f>IFERROR(__xludf.DUMMYFUNCTION("GOOGLETRANSLATE(B158, ""en"", ""vi"")"),"Một vũ khí dài mạnh mẽ để bắn mũi tên.")</f>
        <v>Một vũ khí dài mạnh mẽ để bắn mũi tên.</v>
      </c>
      <c r="L158" s="26" t="str">
        <f>IFERROR(__xludf.DUMMYFUNCTION("GOOGLETRANSLATE(B158, ""en"", ""hr"")"),"Snažno duže oružje za pucanje strelica.")</f>
        <v>Snažno duže oružje za pucanje strelica.</v>
      </c>
      <c r="M158" s="28"/>
      <c r="N158" s="28"/>
      <c r="O158" s="28"/>
      <c r="P158" s="28"/>
      <c r="Q158" s="28"/>
      <c r="R158" s="28"/>
      <c r="S158" s="28"/>
      <c r="T158" s="28"/>
      <c r="U158" s="28"/>
      <c r="V158" s="28"/>
      <c r="W158" s="28"/>
      <c r="X158" s="28"/>
      <c r="Y158" s="28"/>
      <c r="Z158" s="28"/>
      <c r="AA158" s="28"/>
      <c r="AB158" s="28"/>
    </row>
    <row r="159">
      <c r="A159" s="21" t="s">
        <v>645</v>
      </c>
      <c r="B159" s="22" t="s">
        <v>646</v>
      </c>
      <c r="C159" s="23" t="str">
        <f>IFERROR(__xludf.DUMMYFUNCTION("GOOGLETRANSLATE(B159, ""en"", ""fr"")"),"Flèches de poison")</f>
        <v>Flèches de poison</v>
      </c>
      <c r="D159" s="23" t="str">
        <f>IFERROR(__xludf.DUMMYFUNCTION("GOOGLETRANSLATE(B159, ""en"", ""es"")"),"Flechas de veneno")</f>
        <v>Flechas de veneno</v>
      </c>
      <c r="E159" s="23" t="str">
        <f>IFERROR(__xludf.DUMMYFUNCTION("GOOGLETRANSLATE(B159, ""en"", ""ru"")"),"Ядовитые стрелы")</f>
        <v>Ядовитые стрелы</v>
      </c>
      <c r="F159" s="23" t="str">
        <f>IFERROR(__xludf.DUMMYFUNCTION("GOOGLETRANSLATE(B159, ""en"", ""tr"")"),"Zehir okları")</f>
        <v>Zehir okları</v>
      </c>
      <c r="G159" s="23" t="str">
        <f>IFERROR(__xludf.DUMMYFUNCTION("GOOGLETRANSLATE(B159, ""en"", ""pt"")"),"Flechas de veneno")</f>
        <v>Flechas de veneno</v>
      </c>
      <c r="H159" s="24" t="str">
        <f>IFERROR(__xludf.DUMMYFUNCTION("GOOGLETRANSLATE(B159, ""en"", ""de"")"),"Giftpfeile")</f>
        <v>Giftpfeile</v>
      </c>
      <c r="I159" s="23" t="str">
        <f>IFERROR(__xludf.DUMMYFUNCTION("GOOGLETRANSLATE(B159, ""en"", ""pl"")"),"Trucizny strzałki")</f>
        <v>Trucizny strzałki</v>
      </c>
      <c r="J159" s="25" t="str">
        <f>IFERROR(__xludf.DUMMYFUNCTION("GOOGLETRANSLATE(B159, ""en"", ""zh"")"),"毒箭")</f>
        <v>毒箭</v>
      </c>
      <c r="K159" s="25" t="str">
        <f>IFERROR(__xludf.DUMMYFUNCTION("GOOGLETRANSLATE(B159, ""en"", ""vi"")"),"Mũi tên độc")</f>
        <v>Mũi tên độc</v>
      </c>
      <c r="L159" s="26" t="str">
        <f>IFERROR(__xludf.DUMMYFUNCTION("GOOGLETRANSLATE(B159, ""en"", ""hr"")"),"Strelice otrova")</f>
        <v>Strelice otrova</v>
      </c>
      <c r="M159" s="28"/>
      <c r="N159" s="28"/>
      <c r="O159" s="28"/>
      <c r="P159" s="28"/>
      <c r="Q159" s="28"/>
      <c r="R159" s="28"/>
      <c r="S159" s="28"/>
      <c r="T159" s="28"/>
      <c r="U159" s="28"/>
      <c r="V159" s="28"/>
      <c r="W159" s="28"/>
      <c r="X159" s="28"/>
      <c r="Y159" s="28"/>
      <c r="Z159" s="28"/>
      <c r="AA159" s="28"/>
      <c r="AB159" s="28"/>
    </row>
    <row r="160">
      <c r="A160" s="21" t="s">
        <v>647</v>
      </c>
      <c r="B160" s="22" t="s">
        <v>648</v>
      </c>
      <c r="C160" s="23" t="str">
        <f>IFERROR(__xludf.DUMMYFUNCTION("GOOGLETRANSLATE(B160, ""en"", ""fr"")"),"Utilisé comme munition pour un arc. Inflige un poison quand il frappe.")</f>
        <v>Utilisé comme munition pour un arc. Inflige un poison quand il frappe.</v>
      </c>
      <c r="D160" s="23" t="str">
        <f>IFERROR(__xludf.DUMMYFUNCTION("GOOGLETRANSLATE(B160, ""en"", ""es"")"),"Utilizado como municiones para un arco. Inflige veneno cuando golpea.")</f>
        <v>Utilizado como municiones para un arco. Inflige veneno cuando golpea.</v>
      </c>
      <c r="E160" s="23" t="str">
        <f>IFERROR(__xludf.DUMMYFUNCTION("GOOGLETRANSLATE(B160, ""en"", ""ru"")"),"Используется в качестве боеприпасов для лука. Наносит яду, когда он попадает.")</f>
        <v>Используется в качестве боеприпасов для лука. Наносит яду, когда он попадает.</v>
      </c>
      <c r="F160" s="23" t="str">
        <f>IFERROR(__xludf.DUMMYFUNCTION("GOOGLETRANSLATE(B160, ""en"", ""tr"")"),"Bir yay için mühimmat olarak kullanılır. Vurduğunda zehir verir.")</f>
        <v>Bir yay için mühimmat olarak kullanılır. Vurduğunda zehir verir.</v>
      </c>
      <c r="G160" s="23" t="str">
        <f>IFERROR(__xludf.DUMMYFUNCTION("GOOGLETRANSLATE(B160, ""en"", ""pt"")"),"Usado como munição para um arco. Inflige veneno quando atinge.")</f>
        <v>Usado como munição para um arco. Inflige veneno quando atinge.</v>
      </c>
      <c r="H160" s="24" t="str">
        <f>IFERROR(__xludf.DUMMYFUNCTION("GOOGLETRANSLATE(B160, ""en"", ""de"")"),"Als Munition für einen Bogen verwendet. Fügt Gift, wenn es trifft.")</f>
        <v>Als Munition für einen Bogen verwendet. Fügt Gift, wenn es trifft.</v>
      </c>
      <c r="I160" s="23" t="str">
        <f>IFERROR(__xludf.DUMMYFUNCTION("GOOGLETRANSLATE(B160, ""en"", ""pl"")"),"Używany jako amunicja na łuk. Zadawaj truciznę, gdy uderza.")</f>
        <v>Używany jako amunicja na łuk. Zadawaj truciznę, gdy uderza.</v>
      </c>
      <c r="J160" s="25" t="str">
        <f>IFERROR(__xludf.DUMMYFUNCTION("GOOGLETRANSLATE(B160, ""en"", ""zh"")"),"用作弓的弹药。当它命中时造成毒药。")</f>
        <v>用作弓的弹药。当它命中时造成毒药。</v>
      </c>
      <c r="K160" s="25" t="str">
        <f>IFERROR(__xludf.DUMMYFUNCTION("GOOGLETRANSLATE(B160, ""en"", ""vi"")"),"Dùng làm đạn cho một cây cung. Gây độc khi nó đánh.")</f>
        <v>Dùng làm đạn cho một cây cung. Gây độc khi nó đánh.</v>
      </c>
      <c r="L160" s="26" t="str">
        <f>IFERROR(__xludf.DUMMYFUNCTION("GOOGLETRANSLATE(B160, ""en"", ""hr"")"),"Koristi se kao streljivo za luk. Nanosi otrov kad udari.")</f>
        <v>Koristi se kao streljivo za luk. Nanosi otrov kad udari.</v>
      </c>
      <c r="M160" s="28"/>
      <c r="N160" s="28"/>
      <c r="O160" s="28"/>
      <c r="P160" s="28"/>
      <c r="Q160" s="28"/>
      <c r="R160" s="28"/>
      <c r="S160" s="28"/>
      <c r="T160" s="28"/>
      <c r="U160" s="28"/>
      <c r="V160" s="28"/>
      <c r="W160" s="28"/>
      <c r="X160" s="28"/>
      <c r="Y160" s="28"/>
      <c r="Z160" s="28"/>
      <c r="AA160" s="28"/>
      <c r="AB160" s="28"/>
    </row>
    <row r="161">
      <c r="A161" s="21" t="s">
        <v>649</v>
      </c>
      <c r="B161" s="22" t="s">
        <v>650</v>
      </c>
      <c r="C161" s="23" t="str">
        <f>IFERROR(__xludf.DUMMYFUNCTION("GOOGLETRANSLATE(B161, ""en"", ""fr"")"),"Shuriken")</f>
        <v>Shuriken</v>
      </c>
      <c r="D161" s="23" t="str">
        <f>IFERROR(__xludf.DUMMYFUNCTION("GOOGLETRANSLATE(B161, ""en"", ""es"")"),"Shuriken")</f>
        <v>Shuriken</v>
      </c>
      <c r="E161" s="23" t="str">
        <f>IFERROR(__xludf.DUMMYFUNCTION("GOOGLETRANSLATE(B161, ""en"", ""ru"")"),"Шурикен")</f>
        <v>Шурикен</v>
      </c>
      <c r="F161" s="23" t="str">
        <f>IFERROR(__xludf.DUMMYFUNCTION("GOOGLETRANSLATE(B161, ""en"", ""tr"")"),"Shuriken")</f>
        <v>Shuriken</v>
      </c>
      <c r="G161" s="23" t="str">
        <f>IFERROR(__xludf.DUMMYFUNCTION("GOOGLETRANSLATE(B161, ""en"", ""pt"")"),"Shuriken.")</f>
        <v>Shuriken.</v>
      </c>
      <c r="H161" s="24" t="str">
        <f>IFERROR(__xludf.DUMMYFUNCTION("GOOGLETRANSLATE(B161, ""en"", ""de"")"),"Shuriken")</f>
        <v>Shuriken</v>
      </c>
      <c r="I161" s="23" t="str">
        <f>IFERROR(__xludf.DUMMYFUNCTION("GOOGLETRANSLATE(B161, ""en"", ""pl"")"),"Shuriken.")</f>
        <v>Shuriken.</v>
      </c>
      <c r="J161" s="25" t="str">
        <f>IFERROR(__xludf.DUMMYFUNCTION("GOOGLETRANSLATE(B161, ""en"", ""zh"")"),"Shuriken.")</f>
        <v>Shuriken.</v>
      </c>
      <c r="K161" s="25" t="str">
        <f>IFERROR(__xludf.DUMMYFUNCTION("GOOGLETRANSLATE(B161, ""en"", ""vi"")"),"Shuriken.")</f>
        <v>Shuriken.</v>
      </c>
      <c r="L161" s="26" t="str">
        <f>IFERROR(__xludf.DUMMYFUNCTION("GOOGLETRANSLATE(B161, ""en"", ""hr"")"),"Shuriken")</f>
        <v>Shuriken</v>
      </c>
      <c r="M161" s="28"/>
      <c r="N161" s="28"/>
      <c r="O161" s="28"/>
      <c r="P161" s="28"/>
      <c r="Q161" s="28"/>
      <c r="R161" s="28"/>
      <c r="S161" s="28"/>
      <c r="T161" s="28"/>
      <c r="U161" s="28"/>
      <c r="V161" s="28"/>
      <c r="W161" s="28"/>
      <c r="X161" s="28"/>
      <c r="Y161" s="28"/>
      <c r="Z161" s="28"/>
      <c r="AA161" s="28"/>
      <c r="AB161" s="28"/>
    </row>
    <row r="162">
      <c r="A162" s="21" t="s">
        <v>651</v>
      </c>
      <c r="B162" s="22" t="s">
        <v>652</v>
      </c>
      <c r="C162" s="23" t="str">
        <f>IFERROR(__xludf.DUMMYFUNCTION("GOOGLETRANSLATE(B162, ""en"", ""fr"")"),"Une arme à distance rapide déplaçante.")</f>
        <v>Une arme à distance rapide déplaçante.</v>
      </c>
      <c r="D162" s="23" t="str">
        <f>IFERROR(__xludf.DUMMYFUNCTION("GOOGLETRANSLATE(B162, ""en"", ""es"")"),"Una arma a distancia mediana rápida.")</f>
        <v>Una arma a distancia mediana rápida.</v>
      </c>
      <c r="E162" s="23" t="str">
        <f>IFERROR(__xludf.DUMMYFUNCTION("GOOGLETRANSLATE(B162, ""en"", ""ru"")"),"Быстрое перемещение среднего оружия.")</f>
        <v>Быстрое перемещение среднего оружия.</v>
      </c>
      <c r="F162" s="23" t="str">
        <f>IFERROR(__xludf.DUMMYFUNCTION("GOOGLETRANSLATE(B162, ""en"", ""tr"")"),"Hızlı hareket eden ortamlı bir silah.")</f>
        <v>Hızlı hareket eden ortamlı bir silah.</v>
      </c>
      <c r="G162" s="23" t="str">
        <f>IFERROR(__xludf.DUMMYFUNCTION("GOOGLETRANSLATE(B162, ""en"", ""pt"")"),"Uma arma movente rápida variou arma.")</f>
        <v>Uma arma movente rápida variou arma.</v>
      </c>
      <c r="H162" s="24" t="str">
        <f>IFERROR(__xludf.DUMMYFUNCTION("GOOGLETRANSLATE(B162, ""en"", ""de"")"),"Eine schnelles bewegte mittlere Waffe.")</f>
        <v>Eine schnelles bewegte mittlere Waffe.</v>
      </c>
      <c r="I162" s="23" t="str">
        <f>IFERROR(__xludf.DUMMYFUNCTION("GOOGLETRANSLATE(B162, ""en"", ""pl"")"),"Szybka przenoszona broń dystansowa.")</f>
        <v>Szybka przenoszona broń dystansowa.</v>
      </c>
      <c r="J162" s="25" t="str">
        <f>IFERROR(__xludf.DUMMYFUNCTION("GOOGLETRANSLATE(B162, ""en"", ""zh"")"),"快速移动的介质远程武器。")</f>
        <v>快速移动的介质远程武器。</v>
      </c>
      <c r="K162" s="25" t="str">
        <f>IFERROR(__xludf.DUMMYFUNCTION("GOOGLETRANSLATE(B162, ""en"", ""vi"")"),"Một vũ khí di chuyển nhanh chóng.")</f>
        <v>Một vũ khí di chuyển nhanh chóng.</v>
      </c>
      <c r="L162" s="26" t="str">
        <f>IFERROR(__xludf.DUMMYFUNCTION("GOOGLETRANSLATE(B162, ""en"", ""hr"")"),"Brzo kreće medijsko oružje.")</f>
        <v>Brzo kreće medijsko oružje.</v>
      </c>
      <c r="M162" s="28"/>
      <c r="N162" s="28"/>
      <c r="O162" s="28"/>
      <c r="P162" s="28"/>
      <c r="Q162" s="28"/>
      <c r="R162" s="28"/>
      <c r="S162" s="28"/>
      <c r="T162" s="28"/>
      <c r="U162" s="28"/>
      <c r="V162" s="28"/>
      <c r="W162" s="28"/>
      <c r="X162" s="28"/>
      <c r="Y162" s="28"/>
      <c r="Z162" s="28"/>
      <c r="AA162" s="28"/>
      <c r="AB162" s="28"/>
    </row>
    <row r="163">
      <c r="A163" s="21" t="s">
        <v>653</v>
      </c>
      <c r="B163" s="22" t="s">
        <v>654</v>
      </c>
      <c r="C163" s="23" t="str">
        <f>IFERROR(__xludf.DUMMYFUNCTION("GOOGLETRANSLATE(B163, ""en"", ""fr"")"),"Piéger")</f>
        <v>Piéger</v>
      </c>
      <c r="D163" s="23" t="str">
        <f>IFERROR(__xludf.DUMMYFUNCTION("GOOGLETRANSLATE(B163, ""en"", ""es"")"),"Trampa")</f>
        <v>Trampa</v>
      </c>
      <c r="E163" s="23" t="str">
        <f>IFERROR(__xludf.DUMMYFUNCTION("GOOGLETRANSLATE(B163, ""en"", ""ru"")"),"Ловушка")</f>
        <v>Ловушка</v>
      </c>
      <c r="F163" s="23" t="str">
        <f>IFERROR(__xludf.DUMMYFUNCTION("GOOGLETRANSLATE(B163, ""en"", ""tr"")"),"Tuzak kurmak")</f>
        <v>Tuzak kurmak</v>
      </c>
      <c r="G163" s="23" t="str">
        <f>IFERROR(__xludf.DUMMYFUNCTION("GOOGLETRANSLATE(B163, ""en"", ""pt"")"),"Armadilha")</f>
        <v>Armadilha</v>
      </c>
      <c r="H163" s="24" t="str">
        <f>IFERROR(__xludf.DUMMYFUNCTION("GOOGLETRANSLATE(B163, ""en"", ""de"")"),"Fangen")</f>
        <v>Fangen</v>
      </c>
      <c r="I163" s="23" t="str">
        <f>IFERROR(__xludf.DUMMYFUNCTION("GOOGLETRANSLATE(B163, ""en"", ""pl"")"),"Pułapka")</f>
        <v>Pułapka</v>
      </c>
      <c r="J163" s="25" t="str">
        <f>IFERROR(__xludf.DUMMYFUNCTION("GOOGLETRANSLATE(B163, ""en"", ""zh"")"),"陷阱")</f>
        <v>陷阱</v>
      </c>
      <c r="K163" s="25" t="str">
        <f>IFERROR(__xludf.DUMMYFUNCTION("GOOGLETRANSLATE(B163, ""en"", ""vi"")"),"Cạm bẫy")</f>
        <v>Cạm bẫy</v>
      </c>
      <c r="L163" s="26" t="str">
        <f>IFERROR(__xludf.DUMMYFUNCTION("GOOGLETRANSLATE(B163, ""en"", ""hr"")"),"Zamka")</f>
        <v>Zamka</v>
      </c>
      <c r="M163" s="28"/>
      <c r="N163" s="28"/>
      <c r="O163" s="28"/>
      <c r="P163" s="28"/>
      <c r="Q163" s="28"/>
      <c r="R163" s="28"/>
      <c r="S163" s="28"/>
      <c r="T163" s="28"/>
      <c r="U163" s="28"/>
      <c r="V163" s="28"/>
      <c r="W163" s="28"/>
      <c r="X163" s="28"/>
      <c r="Y163" s="28"/>
      <c r="Z163" s="28"/>
      <c r="AA163" s="28"/>
      <c r="AB163" s="28"/>
    </row>
    <row r="164">
      <c r="A164" s="21" t="s">
        <v>655</v>
      </c>
      <c r="B164" s="22" t="s">
        <v>656</v>
      </c>
      <c r="C164" s="23" t="str">
        <f>IFERROR(__xludf.DUMMYFUNCTION("GOOGLETRANSLATE(B164, ""en"", ""fr"")"),"Endommage quelque chose qui marche sur elle.")</f>
        <v>Endommage quelque chose qui marche sur elle.</v>
      </c>
      <c r="D164" s="23" t="str">
        <f>IFERROR(__xludf.DUMMYFUNCTION("GOOGLETRANSLATE(B164, ""en"", ""es"")"),"Daña cualquier cosa que eso le pasa.")</f>
        <v>Daña cualquier cosa que eso le pasa.</v>
      </c>
      <c r="E164" s="23" t="str">
        <f>IFERROR(__xludf.DUMMYFUNCTION("GOOGLETRANSLATE(B164, ""en"", ""ru"")"),"Ущерб чему по этим шагам на нем.")</f>
        <v>Ущерб чему по этим шагам на нем.</v>
      </c>
      <c r="F164" s="23" t="str">
        <f>IFERROR(__xludf.DUMMYFUNCTION("GOOGLETRANSLATE(B164, ""en"", ""tr"")"),"Üzerinde adım atan bir şeye zarar verir.")</f>
        <v>Üzerinde adım atan bir şeye zarar verir.</v>
      </c>
      <c r="G164" s="23" t="str">
        <f>IFERROR(__xludf.DUMMYFUNCTION("GOOGLETRANSLATE(B164, ""en"", ""pt"")"),"Danifica qualquer coisa que passe nele.")</f>
        <v>Danifica qualquer coisa que passe nele.</v>
      </c>
      <c r="H164" s="24" t="str">
        <f>IFERROR(__xludf.DUMMYFUNCTION("GOOGLETRANSLATE(B164, ""en"", ""de"")"),"Beschädigt alles, was dran ist.")</f>
        <v>Beschädigt alles, was dran ist.</v>
      </c>
      <c r="I164" s="23" t="str">
        <f>IFERROR(__xludf.DUMMYFUNCTION("GOOGLETRANSLATE(B164, ""en"", ""pl"")"),"Uszkadza wszystko, co się na niej kroki.")</f>
        <v>Uszkadza wszystko, co się na niej kroki.</v>
      </c>
      <c r="J164" s="25" t="str">
        <f>IFERROR(__xludf.DUMMYFUNCTION("GOOGLETRANSLATE(B164, ""en"", ""zh"")"),"损害任何踩到它的东西。")</f>
        <v>损害任何踩到它的东西。</v>
      </c>
      <c r="K164" s="25" t="str">
        <f>IFERROR(__xludf.DUMMYFUNCTION("GOOGLETRANSLATE(B164, ""en"", ""vi"")"),"Làm hỏng bất cứ điều gì các bước trên nó.")</f>
        <v>Làm hỏng bất cứ điều gì các bước trên nó.</v>
      </c>
      <c r="L164" s="26" t="str">
        <f>IFERROR(__xludf.DUMMYFUNCTION("GOOGLETRANSLATE(B164, ""en"", ""hr"")"),"Šteti sve što se kreće na njega.")</f>
        <v>Šteti sve što se kreće na njega.</v>
      </c>
      <c r="M164" s="28"/>
      <c r="N164" s="28"/>
      <c r="O164" s="28"/>
      <c r="P164" s="28"/>
      <c r="Q164" s="28"/>
      <c r="R164" s="28"/>
      <c r="S164" s="28"/>
      <c r="T164" s="28"/>
      <c r="U164" s="28"/>
      <c r="V164" s="28"/>
      <c r="W164" s="28"/>
      <c r="X164" s="28"/>
      <c r="Y164" s="28"/>
      <c r="Z164" s="28"/>
      <c r="AA164" s="28"/>
      <c r="AB164" s="28"/>
    </row>
    <row r="165">
      <c r="A165" s="21" t="s">
        <v>657</v>
      </c>
      <c r="B165" s="22" t="s">
        <v>658</v>
      </c>
      <c r="C165" s="23" t="str">
        <f>IFERROR(__xludf.DUMMYFUNCTION("GOOGLETRANSLATE(B165, ""en"", ""fr"")"),"Gemme")</f>
        <v>Gemme</v>
      </c>
      <c r="D165" s="23" t="str">
        <f>IFERROR(__xludf.DUMMYFUNCTION("GOOGLETRANSLATE(B165, ""en"", ""es"")"),"Joya")</f>
        <v>Joya</v>
      </c>
      <c r="E165" s="23" t="str">
        <f>IFERROR(__xludf.DUMMYFUNCTION("GOOGLETRANSLATE(B165, ""en"", ""ru"")"),"Драгоценность")</f>
        <v>Драгоценность</v>
      </c>
      <c r="F165" s="23" t="str">
        <f>IFERROR(__xludf.DUMMYFUNCTION("GOOGLETRANSLATE(B165, ""en"", ""tr"")"),"Mücevher")</f>
        <v>Mücevher</v>
      </c>
      <c r="G165" s="23" t="str">
        <f>IFERROR(__xludf.DUMMYFUNCTION("GOOGLETRANSLATE(B165, ""en"", ""pt"")"),"Gema")</f>
        <v>Gema</v>
      </c>
      <c r="H165" s="24" t="str">
        <f>IFERROR(__xludf.DUMMYFUNCTION("GOOGLETRANSLATE(B165, ""en"", ""de"")"),"Juwel")</f>
        <v>Juwel</v>
      </c>
      <c r="I165" s="23" t="str">
        <f>IFERROR(__xludf.DUMMYFUNCTION("GOOGLETRANSLATE(B165, ""en"", ""pl"")"),"Klejnot")</f>
        <v>Klejnot</v>
      </c>
      <c r="J165" s="25" t="str">
        <f>IFERROR(__xludf.DUMMYFUNCTION("GOOGLETRANSLATE(B165, ""en"", ""zh"")"),"宝石")</f>
        <v>宝石</v>
      </c>
      <c r="K165" s="25" t="str">
        <f>IFERROR(__xludf.DUMMYFUNCTION("GOOGLETRANSLATE(B165, ""en"", ""vi"")"),"Gem.")</f>
        <v>Gem.</v>
      </c>
      <c r="L165" s="26" t="str">
        <f>IFERROR(__xludf.DUMMYFUNCTION("GOOGLETRANSLATE(B165, ""en"", ""hr"")"),"Dragulj")</f>
        <v>Dragulj</v>
      </c>
      <c r="M165" s="28"/>
      <c r="N165" s="28"/>
      <c r="O165" s="28"/>
      <c r="P165" s="28"/>
      <c r="Q165" s="28"/>
      <c r="R165" s="28"/>
      <c r="S165" s="28"/>
      <c r="T165" s="28"/>
      <c r="U165" s="28"/>
      <c r="V165" s="28"/>
      <c r="W165" s="28"/>
      <c r="X165" s="28"/>
      <c r="Y165" s="28"/>
      <c r="Z165" s="28"/>
      <c r="AA165" s="28"/>
      <c r="AB165" s="28"/>
    </row>
    <row r="166">
      <c r="A166" s="21" t="s">
        <v>659</v>
      </c>
      <c r="B166" s="22" t="s">
        <v>660</v>
      </c>
      <c r="C166" s="23" t="str">
        <f>IFERROR(__xludf.DUMMYFUNCTION("GOOGLETRANSLATE(B166, ""en"", ""fr"")"),"Peut être chargé à un autel magique à l'aide de la gloire pour ajouter un effet élémentaire.")</f>
        <v>Peut être chargé à un autel magique à l'aide de la gloire pour ajouter un effet élémentaire.</v>
      </c>
      <c r="D166" s="23" t="str">
        <f>IFERROR(__xludf.DUMMYFUNCTION("GOOGLETRANSLATE(B166, ""en"", ""es"")"),"Se puede cargar en un altar mágico con gloria para agregar un efecto elemental.")</f>
        <v>Se puede cargar en un altar mágico con gloria para agregar un efecto elemental.</v>
      </c>
      <c r="E166" s="23" t="str">
        <f>IFERROR(__xludf.DUMMYFUNCTION("GOOGLETRANSLATE(B166, ""en"", ""ru"")"),"Может быть заряжен на волшебном алтаре, используя славу, чтобы добавить элементный эффект.")</f>
        <v>Может быть заряжен на волшебном алтаре, используя славу, чтобы добавить элементный эффект.</v>
      </c>
      <c r="F166" s="23" t="str">
        <f>IFERROR(__xludf.DUMMYFUNCTION("GOOGLETRANSLATE(B166, ""en"", ""tr"")"),"Elemental bir etki eklemek için zafer kullanarak sihirli bir sunakta şarj edilebilir.")</f>
        <v>Elemental bir etki eklemek için zafer kullanarak sihirli bir sunakta şarj edilebilir.</v>
      </c>
      <c r="G166" s="23" t="str">
        <f>IFERROR(__xludf.DUMMYFUNCTION("GOOGLETRANSLATE(B166, ""en"", ""pt"")"),"Pode ser cobrado em um altar mágico usando glória para adicionar um efeito elementar.")</f>
        <v>Pode ser cobrado em um altar mágico usando glória para adicionar um efeito elementar.</v>
      </c>
      <c r="H166" s="24" t="str">
        <f>IFERROR(__xludf.DUMMYFUNCTION("GOOGLETRANSLATE(B166, ""en"", ""de"")"),"Kann in einem magischen Altar mit Ehre aufgeladen werden, um einen elementaren Effekt hinzuzufügen.")</f>
        <v>Kann in einem magischen Altar mit Ehre aufgeladen werden, um einen elementaren Effekt hinzuzufügen.</v>
      </c>
      <c r="I166" s="23" t="str">
        <f>IFERROR(__xludf.DUMMYFUNCTION("GOOGLETRANSLATE(B166, ""en"", ""pl"")"),"Może być ładowany w magicznym ołtarzu przy użyciu chwały, aby dodać efekt elementarny.")</f>
        <v>Może być ładowany w magicznym ołtarzu przy użyciu chwały, aby dodać efekt elementarny.</v>
      </c>
      <c r="J166" s="25" t="str">
        <f>IFERROR(__xludf.DUMMYFUNCTION("GOOGLETRANSLATE(B166, ""en"", ""zh"")"),"可以在魔术祭坛上充电，使用辉光添加元素效果。")</f>
        <v>可以在魔术祭坛上充电，使用辉光添加元素效果。</v>
      </c>
      <c r="K166" s="25" t="str">
        <f>IFERROR(__xludf.DUMMYFUNCTION("GOOGLETRANSLATE(B166, ""en"", ""vi"")"),"Có thể bị buộc tội tại một bàn thờ ma thuật sử dụng vinh quang để thêm một hiệu ứng nguyên tố.")</f>
        <v>Có thể bị buộc tội tại một bàn thờ ma thuật sử dụng vinh quang để thêm một hiệu ứng nguyên tố.</v>
      </c>
      <c r="L166" s="26" t="str">
        <f>IFERROR(__xludf.DUMMYFUNCTION("GOOGLETRANSLATE(B166, ""en"", ""hr"")"),"Može se naplaćivati ​​na čarobnom oltaru pomoću slave za dodavanje elementarnog učinka.")</f>
        <v>Može se naplaćivati ​​na čarobnom oltaru pomoću slave za dodavanje elementarnog učinka.</v>
      </c>
      <c r="M166" s="28"/>
      <c r="N166" s="28"/>
      <c r="O166" s="28"/>
      <c r="P166" s="28"/>
      <c r="Q166" s="28"/>
      <c r="R166" s="28"/>
      <c r="S166" s="28"/>
      <c r="T166" s="28"/>
      <c r="U166" s="28"/>
      <c r="V166" s="28"/>
      <c r="W166" s="28"/>
      <c r="X166" s="28"/>
      <c r="Y166" s="28"/>
      <c r="Z166" s="28"/>
      <c r="AA166" s="28"/>
      <c r="AB166" s="28"/>
    </row>
    <row r="167">
      <c r="A167" s="21" t="s">
        <v>661</v>
      </c>
      <c r="B167" s="22" t="s">
        <v>662</v>
      </c>
      <c r="C167" s="23" t="str">
        <f>IFERROR(__xludf.DUMMYFUNCTION("GOOGLETRANSLATE(B167, ""en"", ""fr"")"),"Gemme de feu")</f>
        <v>Gemme de feu</v>
      </c>
      <c r="D167" s="23" t="str">
        <f>IFERROR(__xludf.DUMMYFUNCTION("GOOGLETRANSLATE(B167, ""en"", ""es"")"),"Gema de fuego")</f>
        <v>Gema de fuego</v>
      </c>
      <c r="E167" s="23" t="str">
        <f>IFERROR(__xludf.DUMMYFUNCTION("GOOGLETRANSLATE(B167, ""en"", ""ru"")"),"Пожарная драгоценность")</f>
        <v>Пожарная драгоценность</v>
      </c>
      <c r="F167" s="23" t="str">
        <f>IFERROR(__xludf.DUMMYFUNCTION("GOOGLETRANSLATE(B167, ""en"", ""tr"")"),"Ateş mücevher")</f>
        <v>Ateş mücevher</v>
      </c>
      <c r="G167" s="23" t="str">
        <f>IFERROR(__xludf.DUMMYFUNCTION("GOOGLETRANSLATE(B167, ""en"", ""pt"")"),"Gema de fogo")</f>
        <v>Gema de fogo</v>
      </c>
      <c r="H167" s="24" t="str">
        <f>IFERROR(__xludf.DUMMYFUNCTION("GOOGLETRANSLATE(B167, ""en"", ""de"")"),"Feuerwein")</f>
        <v>Feuerwein</v>
      </c>
      <c r="I167" s="23" t="str">
        <f>IFERROR(__xludf.DUMMYFUNCTION("GOOGLETRANSLATE(B167, ""en"", ""pl"")"),"Gem ognia")</f>
        <v>Gem ognia</v>
      </c>
      <c r="J167" s="25" t="str">
        <f>IFERROR(__xludf.DUMMYFUNCTION("GOOGLETRANSLATE(B167, ""en"", ""zh"")"),"火宝石")</f>
        <v>火宝石</v>
      </c>
      <c r="K167" s="25" t="str">
        <f>IFERROR(__xludf.DUMMYFUNCTION("GOOGLETRANSLATE(B167, ""en"", ""vi"")"),"Ngọc hỏa")</f>
        <v>Ngọc hỏa</v>
      </c>
      <c r="L167" s="26" t="str">
        <f>IFERROR(__xludf.DUMMYFUNCTION("GOOGLETRANSLATE(B167, ""en"", ""hr"")"),"Vatra")</f>
        <v>Vatra</v>
      </c>
      <c r="M167" s="28"/>
      <c r="N167" s="28"/>
      <c r="O167" s="28"/>
      <c r="P167" s="28"/>
      <c r="Q167" s="28"/>
      <c r="R167" s="28"/>
      <c r="S167" s="28"/>
      <c r="T167" s="28"/>
      <c r="U167" s="28"/>
      <c r="V167" s="28"/>
      <c r="W167" s="28"/>
      <c r="X167" s="28"/>
      <c r="Y167" s="28"/>
      <c r="Z167" s="28"/>
      <c r="AA167" s="28"/>
      <c r="AB167" s="28"/>
    </row>
    <row r="168">
      <c r="A168" s="21" t="s">
        <v>663</v>
      </c>
      <c r="B168" s="22" t="s">
        <v>664</v>
      </c>
      <c r="C168" s="23" t="str">
        <f>IFERROR(__xludf.DUMMYFUNCTION("GOOGLETRANSLATE(B168, ""en"", ""fr"")"),"Utilisé pour fabriquer des objets avec un effet de feu.")</f>
        <v>Utilisé pour fabriquer des objets avec un effet de feu.</v>
      </c>
      <c r="D168" s="23" t="str">
        <f>IFERROR(__xludf.DUMMYFUNCTION("GOOGLETRANSLATE(B168, ""en"", ""es"")"),"Se utiliza para crear artículos con un efecto de incendio.")</f>
        <v>Se utiliza para crear artículos con un efecto de incendio.</v>
      </c>
      <c r="E168" s="23" t="str">
        <f>IFERROR(__xludf.DUMMYFUNCTION("GOOGLETRANSLATE(B168, ""en"", ""ru"")"),"Используется для создания предметов с пожарным эффектом.")</f>
        <v>Используется для создания предметов с пожарным эффектом.</v>
      </c>
      <c r="F168" s="23" t="str">
        <f>IFERROR(__xludf.DUMMYFUNCTION("GOOGLETRANSLATE(B168, ""en"", ""tr"")"),"Yangın etkisi olan eşyaları zanaat etmek için kullanılır.")</f>
        <v>Yangın etkisi olan eşyaları zanaat etmek için kullanılır.</v>
      </c>
      <c r="G168" s="23" t="str">
        <f>IFERROR(__xludf.DUMMYFUNCTION("GOOGLETRANSLATE(B168, ""en"", ""pt"")"),"Usado para artesanais com efeito de incêndio.")</f>
        <v>Usado para artesanais com efeito de incêndio.</v>
      </c>
      <c r="H168" s="24" t="str">
        <f>IFERROR(__xludf.DUMMYFUNCTION("GOOGLETRANSLATE(B168, ""en"", ""de"")"),"Verwendet, um Gegenstände mit einem Brandwirkung zu erzeugen.")</f>
        <v>Verwendet, um Gegenstände mit einem Brandwirkung zu erzeugen.</v>
      </c>
      <c r="I168" s="23" t="str">
        <f>IFERROR(__xludf.DUMMYFUNCTION("GOOGLETRANSLATE(B168, ""en"", ""pl"")"),"Używane do rzemiosła przedmiotów z efektem pożarowym.")</f>
        <v>Używane do rzemiosła przedmiotów z efektem pożarowym.</v>
      </c>
      <c r="J168" s="25" t="str">
        <f>IFERROR(__xludf.DUMMYFUNCTION("GOOGLETRANSLATE(B168, ""en"", ""zh"")"),"用来用火效效果来制作物品。")</f>
        <v>用来用火效效果来制作物品。</v>
      </c>
      <c r="K168" s="25" t="str">
        <f>IFERROR(__xludf.DUMMYFUNCTION("GOOGLETRANSLATE(B168, ""en"", ""vi"")"),"Được sử dụng để thủ công các vật phẩm có hiệu ứng hỏa hoạn.")</f>
        <v>Được sử dụng để thủ công các vật phẩm có hiệu ứng hỏa hoạn.</v>
      </c>
      <c r="L168" s="26" t="str">
        <f>IFERROR(__xludf.DUMMYFUNCTION("GOOGLETRANSLATE(B168, ""en"", ""hr"")"),"Koristi se za obrt stavke s efektom požara.")</f>
        <v>Koristi se za obrt stavke s efektom požara.</v>
      </c>
      <c r="M168" s="28"/>
      <c r="N168" s="28"/>
      <c r="O168" s="28"/>
      <c r="P168" s="28"/>
      <c r="Q168" s="28"/>
      <c r="R168" s="28"/>
      <c r="S168" s="28"/>
      <c r="T168" s="28"/>
      <c r="U168" s="28"/>
      <c r="V168" s="28"/>
      <c r="W168" s="28"/>
      <c r="X168" s="28"/>
      <c r="Y168" s="28"/>
      <c r="Z168" s="28"/>
      <c r="AA168" s="28"/>
      <c r="AB168" s="28"/>
    </row>
    <row r="169">
      <c r="A169" s="21" t="s">
        <v>665</v>
      </c>
      <c r="B169" s="22" t="s">
        <v>666</v>
      </c>
      <c r="C169" s="23" t="str">
        <f>IFERROR(__xludf.DUMMYFUNCTION("GOOGLETRANSLATE(B169, ""en"", ""fr"")"),"Gemme de vent")</f>
        <v>Gemme de vent</v>
      </c>
      <c r="D169" s="23" t="str">
        <f>IFERROR(__xludf.DUMMYFUNCTION("GOOGLETRANSLATE(B169, ""en"", ""es"")"),"Gema de viento")</f>
        <v>Gema de viento</v>
      </c>
      <c r="E169" s="23" t="str">
        <f>IFERROR(__xludf.DUMMYFUNCTION("GOOGLETRANSLATE(B169, ""en"", ""ru"")"),"Ветер драгоценный")</f>
        <v>Ветер драгоценный</v>
      </c>
      <c r="F169" s="23" t="str">
        <f>IFERROR(__xludf.DUMMYFUNCTION("GOOGLETRANSLATE(B169, ""en"", ""tr"")"),"Rüzgâr mücevher")</f>
        <v>Rüzgâr mücevher</v>
      </c>
      <c r="G169" s="23" t="str">
        <f>IFERROR(__xludf.DUMMYFUNCTION("GOOGLETRANSLATE(B169, ""en"", ""pt"")"),"Jóia eólica")</f>
        <v>Jóia eólica</v>
      </c>
      <c r="H169" s="24" t="str">
        <f>IFERROR(__xludf.DUMMYFUNCTION("GOOGLETRANSLATE(B169, ""en"", ""de"")"),"Windseih")</f>
        <v>Windseih</v>
      </c>
      <c r="I169" s="23" t="str">
        <f>IFERROR(__xludf.DUMMYFUNCTION("GOOGLETRANSLATE(B169, ""en"", ""pl"")"),"Wiatrowy klejnot")</f>
        <v>Wiatrowy klejnot</v>
      </c>
      <c r="J169" s="25" t="str">
        <f>IFERROR(__xludf.DUMMYFUNCTION("GOOGLETRANSLATE(B169, ""en"", ""zh"")"),"风宝石")</f>
        <v>风宝石</v>
      </c>
      <c r="K169" s="25" t="str">
        <f>IFERROR(__xludf.DUMMYFUNCTION("GOOGLETRANSLATE(B169, ""en"", ""vi"")"),"Gem Gem.")</f>
        <v>Gem Gem.</v>
      </c>
      <c r="L169" s="26" t="str">
        <f>IFERROR(__xludf.DUMMYFUNCTION("GOOGLETRANSLATE(B169, ""en"", ""hr"")"),"Vjetar")</f>
        <v>Vjetar</v>
      </c>
      <c r="M169" s="28"/>
      <c r="N169" s="28"/>
      <c r="O169" s="28"/>
      <c r="P169" s="28"/>
      <c r="Q169" s="28"/>
      <c r="R169" s="28"/>
      <c r="S169" s="28"/>
      <c r="T169" s="28"/>
      <c r="U169" s="28"/>
      <c r="V169" s="28"/>
      <c r="W169" s="28"/>
      <c r="X169" s="28"/>
      <c r="Y169" s="28"/>
      <c r="Z169" s="28"/>
      <c r="AA169" s="28"/>
      <c r="AB169" s="28"/>
    </row>
    <row r="170">
      <c r="A170" s="21" t="s">
        <v>667</v>
      </c>
      <c r="B170" s="22" t="s">
        <v>668</v>
      </c>
      <c r="C170" s="23" t="str">
        <f>IFERROR(__xludf.DUMMYFUNCTION("GOOGLETRANSLATE(B170, ""en"", ""fr"")"),"Utilisé pour fabriquer des objets avec un effet de vent.")</f>
        <v>Utilisé pour fabriquer des objets avec un effet de vent.</v>
      </c>
      <c r="D170" s="23" t="str">
        <f>IFERROR(__xludf.DUMMYFUNCTION("GOOGLETRANSLATE(B170, ""en"", ""es"")"),"Se utiliza para crear artículos con un efecto eólico.")</f>
        <v>Se utiliza para crear artículos con un efecto eólico.</v>
      </c>
      <c r="E170" s="23" t="str">
        <f>IFERROR(__xludf.DUMMYFUNCTION("GOOGLETRANSLATE(B170, ""en"", ""ru"")"),"Используется для создания предметов с эффектом ветра.")</f>
        <v>Используется для создания предметов с эффектом ветра.</v>
      </c>
      <c r="F170" s="23" t="str">
        <f>IFERROR(__xludf.DUMMYFUNCTION("GOOGLETRANSLATE(B170, ""en"", ""tr"")"),"Rüzgar etkisi olan eşyaları zanaat etmek için kullanılır.")</f>
        <v>Rüzgar etkisi olan eşyaları zanaat etmek için kullanılır.</v>
      </c>
      <c r="G170" s="23" t="str">
        <f>IFERROR(__xludf.DUMMYFUNCTION("GOOGLETRANSLATE(B170, ""en"", ""pt"")"),"Usado para artesanais com efeito de vento.")</f>
        <v>Usado para artesanais com efeito de vento.</v>
      </c>
      <c r="H170" s="24" t="str">
        <f>IFERROR(__xludf.DUMMYFUNCTION("GOOGLETRANSLATE(B170, ""en"", ""de"")"),"Verwendet, um Gegenstände mit einem Wind-Effekt zu erzeugen.")</f>
        <v>Verwendet, um Gegenstände mit einem Wind-Effekt zu erzeugen.</v>
      </c>
      <c r="I170" s="23" t="str">
        <f>IFERROR(__xludf.DUMMYFUNCTION("GOOGLETRANSLATE(B170, ""en"", ""pl"")"),"Używany do rzemieślniczych przedmiotów z efektem wiatru.")</f>
        <v>Używany do rzemieślniczych przedmiotów z efektem wiatru.</v>
      </c>
      <c r="J170" s="25" t="str">
        <f>IFERROR(__xludf.DUMMYFUNCTION("GOOGLETRANSLATE(B170, ""en"", ""zh"")"),"用来用风效应制作物品。")</f>
        <v>用来用风效应制作物品。</v>
      </c>
      <c r="K170" s="25" t="str">
        <f>IFERROR(__xludf.DUMMYFUNCTION("GOOGLETRANSLATE(B170, ""en"", ""vi"")"),"Được sử dụng để thủ công các mặt hàng với một hiệu ứng gió.")</f>
        <v>Được sử dụng để thủ công các mặt hàng với một hiệu ứng gió.</v>
      </c>
      <c r="L170" s="26" t="str">
        <f>IFERROR(__xludf.DUMMYFUNCTION("GOOGLETRANSLATE(B170, ""en"", ""hr"")"),"Koristi se za obrt stavke s vjetrom.")</f>
        <v>Koristi se za obrt stavke s vjetrom.</v>
      </c>
      <c r="M170" s="28"/>
      <c r="N170" s="28"/>
      <c r="O170" s="28"/>
      <c r="P170" s="28"/>
      <c r="Q170" s="28"/>
      <c r="R170" s="28"/>
      <c r="S170" s="28"/>
      <c r="T170" s="28"/>
      <c r="U170" s="28"/>
      <c r="V170" s="28"/>
      <c r="W170" s="28"/>
      <c r="X170" s="28"/>
      <c r="Y170" s="28"/>
      <c r="Z170" s="28"/>
      <c r="AA170" s="28"/>
      <c r="AB170" s="28"/>
    </row>
    <row r="171">
      <c r="A171" s="21" t="s">
        <v>669</v>
      </c>
      <c r="B171" s="22" t="s">
        <v>670</v>
      </c>
      <c r="C171" s="23" t="str">
        <f>IFERROR(__xludf.DUMMYFUNCTION("GOOGLETRANSLATE(B171, ""en"", ""fr"")"),"Gemme de sang")</f>
        <v>Gemme de sang</v>
      </c>
      <c r="D171" s="23" t="str">
        <f>IFERROR(__xludf.DUMMYFUNCTION("GOOGLETRANSLATE(B171, ""en"", ""es"")"),"Gema de sangre")</f>
        <v>Gema de sangre</v>
      </c>
      <c r="E171" s="23" t="str">
        <f>IFERROR(__xludf.DUMMYFUNCTION("GOOGLETRANSLATE(B171, ""en"", ""ru"")"),"Кровная драгоценность")</f>
        <v>Кровная драгоценность</v>
      </c>
      <c r="F171" s="23" t="str">
        <f>IFERROR(__xludf.DUMMYFUNCTION("GOOGLETRANSLATE(B171, ""en"", ""tr"")"),"Kan Gem")</f>
        <v>Kan Gem</v>
      </c>
      <c r="G171" s="23" t="str">
        <f>IFERROR(__xludf.DUMMYFUNCTION("GOOGLETRANSLATE(B171, ""en"", ""pt"")"),"Gema do Sangue")</f>
        <v>Gema do Sangue</v>
      </c>
      <c r="H171" s="24" t="str">
        <f>IFERROR(__xludf.DUMMYFUNCTION("GOOGLETRANSLATE(B171, ""en"", ""de"")"),"Blutsohle")</f>
        <v>Blutsohle</v>
      </c>
      <c r="I171" s="23" t="str">
        <f>IFERROR(__xludf.DUMMYFUNCTION("GOOGLETRANSLATE(B171, ""en"", ""pl"")"),"Klejnot krwi")</f>
        <v>Klejnot krwi</v>
      </c>
      <c r="J171" s="25" t="str">
        <f>IFERROR(__xludf.DUMMYFUNCTION("GOOGLETRANSLATE(B171, ""en"", ""zh"")"),"血宝石")</f>
        <v>血宝石</v>
      </c>
      <c r="K171" s="25" t="str">
        <f>IFERROR(__xludf.DUMMYFUNCTION("GOOGLETRANSLATE(B171, ""en"", ""vi"")"),"Đá quý máu")</f>
        <v>Đá quý máu</v>
      </c>
      <c r="L171" s="26" t="str">
        <f>IFERROR(__xludf.DUMMYFUNCTION("GOOGLETRANSLATE(B171, ""en"", ""hr"")"),"Krvni dragulj")</f>
        <v>Krvni dragulj</v>
      </c>
      <c r="M171" s="28"/>
      <c r="N171" s="28"/>
      <c r="O171" s="28"/>
      <c r="P171" s="28"/>
      <c r="Q171" s="28"/>
      <c r="R171" s="28"/>
      <c r="S171" s="28"/>
      <c r="T171" s="28"/>
      <c r="U171" s="28"/>
      <c r="V171" s="28"/>
      <c r="W171" s="28"/>
      <c r="X171" s="28"/>
      <c r="Y171" s="28"/>
      <c r="Z171" s="28"/>
      <c r="AA171" s="28"/>
      <c r="AB171" s="28"/>
    </row>
    <row r="172">
      <c r="A172" s="21" t="s">
        <v>671</v>
      </c>
      <c r="B172" s="22" t="s">
        <v>672</v>
      </c>
      <c r="C172" s="23" t="str">
        <f>IFERROR(__xludf.DUMMYFUNCTION("GOOGLETRANSLATE(B172, ""en"", ""fr"")"),"Utilisé pour fabriquer des objets avec un effet de vie.")</f>
        <v>Utilisé pour fabriquer des objets avec un effet de vie.</v>
      </c>
      <c r="D172" s="23" t="str">
        <f>IFERROR(__xludf.DUMMYFUNCTION("GOOGLETRANSLATE(B172, ""en"", ""es"")"),"Se utiliza para crear artículos con un efecto de vida.")</f>
        <v>Se utiliza para crear artículos con un efecto de vida.</v>
      </c>
      <c r="E172" s="23" t="str">
        <f>IFERROR(__xludf.DUMMYFUNCTION("GOOGLETRANSLATE(B172, ""en"", ""ru"")"),"Используется для создания предметов с эффектом жизни.")</f>
        <v>Используется для создания предметов с эффектом жизни.</v>
      </c>
      <c r="F172" s="23" t="str">
        <f>IFERROR(__xludf.DUMMYFUNCTION("GOOGLETRANSLATE(B172, ""en"", ""tr"")"),"Bir yaşam etkisi olan eşyaları zanaat etmek için kullanılır.")</f>
        <v>Bir yaşam etkisi olan eşyaları zanaat etmek için kullanılır.</v>
      </c>
      <c r="G172" s="23" t="str">
        <f>IFERROR(__xludf.DUMMYFUNCTION("GOOGLETRANSLATE(B172, ""en"", ""pt"")"),"Usado para artesanais com efeito de vida.")</f>
        <v>Usado para artesanais com efeito de vida.</v>
      </c>
      <c r="H172" s="24" t="str">
        <f>IFERROR(__xludf.DUMMYFUNCTION("GOOGLETRANSLATE(B172, ""en"", ""de"")"),"Verwendet, um Gegenstände mit einem lebenslangen Effekt zu erzeugen.")</f>
        <v>Verwendet, um Gegenstände mit einem lebenslangen Effekt zu erzeugen.</v>
      </c>
      <c r="I172" s="23" t="str">
        <f>IFERROR(__xludf.DUMMYFUNCTION("GOOGLETRANSLATE(B172, ""en"", ""pl"")"),"Używany do rzemieślniczych przedmiotów z efektem życia.")</f>
        <v>Używany do rzemieślniczych przedmiotów z efektem życia.</v>
      </c>
      <c r="J172" s="25" t="str">
        <f>IFERROR(__xludf.DUMMYFUNCTION("GOOGLETRANSLATE(B172, ""en"", ""zh"")"),"用来用生活效应来制作物品。")</f>
        <v>用来用生活效应来制作物品。</v>
      </c>
      <c r="K172" s="25" t="str">
        <f>IFERROR(__xludf.DUMMYFUNCTION("GOOGLETRANSLATE(B172, ""en"", ""vi"")"),"Được sử dụng để thủ công các mặt hàng với một hiệu ứng sống.")</f>
        <v>Được sử dụng để thủ công các mặt hàng với một hiệu ứng sống.</v>
      </c>
      <c r="L172" s="26" t="str">
        <f>IFERROR(__xludf.DUMMYFUNCTION("GOOGLETRANSLATE(B172, ""en"", ""hr"")"),"Koristi se za obrt stavke s načinom života.")</f>
        <v>Koristi se za obrt stavke s načinom života.</v>
      </c>
      <c r="M172" s="28"/>
      <c r="N172" s="28"/>
      <c r="O172" s="28"/>
      <c r="P172" s="28"/>
      <c r="Q172" s="28"/>
      <c r="R172" s="28"/>
      <c r="S172" s="28"/>
      <c r="T172" s="28"/>
      <c r="U172" s="28"/>
      <c r="V172" s="28"/>
      <c r="W172" s="28"/>
      <c r="X172" s="28"/>
      <c r="Y172" s="28"/>
      <c r="Z172" s="28"/>
      <c r="AA172" s="28"/>
      <c r="AB172" s="28"/>
    </row>
    <row r="173">
      <c r="A173" s="21" t="s">
        <v>673</v>
      </c>
      <c r="B173" s="22" t="s">
        <v>674</v>
      </c>
      <c r="C173" s="23" t="str">
        <f>IFERROR(__xludf.DUMMYFUNCTION("GOOGLETRANSLATE(B173, ""en"", ""fr"")"),"Personnel d'incendie")</f>
        <v>Personnel d'incendie</v>
      </c>
      <c r="D173" s="23" t="str">
        <f>IFERROR(__xludf.DUMMYFUNCTION("GOOGLETRANSLATE(B173, ""en"", ""es"")"),"Personal de bomberos")</f>
        <v>Personal de bomberos</v>
      </c>
      <c r="E173" s="23" t="str">
        <f>IFERROR(__xludf.DUMMYFUNCTION("GOOGLETRANSLATE(B173, ""en"", ""ru"")"),"Пожарный персонал")</f>
        <v>Пожарный персонал</v>
      </c>
      <c r="F173" s="23" t="str">
        <f>IFERROR(__xludf.DUMMYFUNCTION("GOOGLETRANSLATE(B173, ""en"", ""tr"")"),"İtfaiyeci")</f>
        <v>İtfaiyeci</v>
      </c>
      <c r="G173" s="23" t="str">
        <f>IFERROR(__xludf.DUMMYFUNCTION("GOOGLETRANSLATE(B173, ""en"", ""pt"")"),"Equipe de fogo")</f>
        <v>Equipe de fogo</v>
      </c>
      <c r="H173" s="24" t="str">
        <f>IFERROR(__xludf.DUMMYFUNCTION("GOOGLETRANSLATE(B173, ""en"", ""de"")"),"Feuerpersonal")</f>
        <v>Feuerpersonal</v>
      </c>
      <c r="I173" s="23" t="str">
        <f>IFERROR(__xludf.DUMMYFUNCTION("GOOGLETRANSLATE(B173, ""en"", ""pl"")"),"Personel pożarowy")</f>
        <v>Personel pożarowy</v>
      </c>
      <c r="J173" s="25" t="str">
        <f>IFERROR(__xludf.DUMMYFUNCTION("GOOGLETRANSLATE(B173, ""en"", ""zh"")"),"消防人员")</f>
        <v>消防人员</v>
      </c>
      <c r="K173" s="25" t="str">
        <f>IFERROR(__xludf.DUMMYFUNCTION("GOOGLETRANSLATE(B173, ""en"", ""vi"")"),"Nhân viên cứu hỏa")</f>
        <v>Nhân viên cứu hỏa</v>
      </c>
      <c r="L173" s="26" t="str">
        <f>IFERROR(__xludf.DUMMYFUNCTION("GOOGLETRANSLATE(B173, ""en"", ""hr"")"),"Požar")</f>
        <v>Požar</v>
      </c>
      <c r="M173" s="28"/>
      <c r="N173" s="28"/>
      <c r="O173" s="28"/>
      <c r="P173" s="28"/>
      <c r="Q173" s="28"/>
      <c r="R173" s="28"/>
      <c r="S173" s="28"/>
      <c r="T173" s="28"/>
      <c r="U173" s="28"/>
      <c r="V173" s="28"/>
      <c r="W173" s="28"/>
      <c r="X173" s="28"/>
      <c r="Y173" s="28"/>
      <c r="Z173" s="28"/>
      <c r="AA173" s="28"/>
      <c r="AB173" s="28"/>
    </row>
    <row r="174">
      <c r="A174" s="21" t="s">
        <v>675</v>
      </c>
      <c r="B174" s="22" t="s">
        <v>676</v>
      </c>
      <c r="C174" s="23" t="str">
        <f>IFERROR(__xludf.DUMMYFUNCTION("GOOGLETRANSLATE(B174, ""en"", ""fr"")"),"Tire le feu qui inflige des dégâts.")</f>
        <v>Tire le feu qui inflige des dégâts.</v>
      </c>
      <c r="D174" s="23" t="str">
        <f>IFERROR(__xludf.DUMMYFUNCTION("GOOGLETRANSLATE(B174, ""en"", ""es"")"),"Dispara fuego que inflige daño.")</f>
        <v>Dispara fuego que inflige daño.</v>
      </c>
      <c r="E174" s="23" t="str">
        <f>IFERROR(__xludf.DUMMYFUNCTION("GOOGLETRANSLATE(B174, ""en"", ""ru"")"),"Стрелявает огонь, который наносит урон.")</f>
        <v>Стрелявает огонь, который наносит урон.</v>
      </c>
      <c r="F174" s="23" t="str">
        <f>IFERROR(__xludf.DUMMYFUNCTION("GOOGLETRANSLATE(B174, ""en"", ""tr"")"),"Hasar veren ateşi ateş eder.")</f>
        <v>Hasar veren ateşi ateş eder.</v>
      </c>
      <c r="G174" s="23" t="str">
        <f>IFERROR(__xludf.DUMMYFUNCTION("GOOGLETRANSLATE(B174, ""en"", ""pt"")"),"Atira fogo que causa dano.")</f>
        <v>Atira fogo que causa dano.</v>
      </c>
      <c r="H174" s="24" t="str">
        <f>IFERROR(__xludf.DUMMYFUNCTION("GOOGLETRANSLATE(B174, ""en"", ""de"")"),"Schießt Feuer, die Schaden zufügen.")</f>
        <v>Schießt Feuer, die Schaden zufügen.</v>
      </c>
      <c r="I174" s="23" t="str">
        <f>IFERROR(__xludf.DUMMYFUNCTION("GOOGLETRANSLATE(B174, ""en"", ""pl"")"),"Strzela ogień, który dotyczy obrażeń.")</f>
        <v>Strzela ogień, który dotyczy obrażeń.</v>
      </c>
      <c r="J174" s="25" t="str">
        <f>IFERROR(__xludf.DUMMYFUNCTION("GOOGLETRANSLATE(B174, ""en"", ""zh"")"),"射击造成伤害的火灾。")</f>
        <v>射击造成伤害的火灾。</v>
      </c>
      <c r="K174" s="25" t="str">
        <f>IFERROR(__xludf.DUMMYFUNCTION("GOOGLETRANSLATE(B174, ""en"", ""vi"")"),"Bắn lửa gây sát thương.")</f>
        <v>Bắn lửa gây sát thương.</v>
      </c>
      <c r="L174" s="26" t="str">
        <f>IFERROR(__xludf.DUMMYFUNCTION("GOOGLETRANSLATE(B174, ""en"", ""hr"")"),"Pucaj vatra koja se bavi štetom.")</f>
        <v>Pucaj vatra koja se bavi štetom.</v>
      </c>
      <c r="M174" s="28"/>
      <c r="N174" s="28"/>
      <c r="O174" s="28"/>
      <c r="P174" s="28"/>
      <c r="Q174" s="28"/>
      <c r="R174" s="28"/>
      <c r="S174" s="28"/>
      <c r="T174" s="28"/>
      <c r="U174" s="28"/>
      <c r="V174" s="28"/>
      <c r="W174" s="28"/>
      <c r="X174" s="28"/>
      <c r="Y174" s="28"/>
      <c r="Z174" s="28"/>
      <c r="AA174" s="28"/>
      <c r="AB174" s="28"/>
    </row>
    <row r="175">
      <c r="A175" s="21" t="s">
        <v>677</v>
      </c>
      <c r="B175" s="22" t="s">
        <v>678</v>
      </c>
      <c r="C175" s="23" t="str">
        <f>IFERROR(__xludf.DUMMYFUNCTION("GOOGLETRANSLATE(B175, ""en"", ""fr"")"),"Personnel Super Fire")</f>
        <v>Personnel Super Fire</v>
      </c>
      <c r="D175" s="23" t="str">
        <f>IFERROR(__xludf.DUMMYFUNCTION("GOOGLETRANSLATE(B175, ""en"", ""es"")"),"Personal de Super Fire")</f>
        <v>Personal de Super Fire</v>
      </c>
      <c r="E175" s="23" t="str">
        <f>IFERROR(__xludf.DUMMYFUNCTION("GOOGLETRANSLATE(B175, ""en"", ""ru"")"),"Супер пожарный персонал")</f>
        <v>Супер пожарный персонал</v>
      </c>
      <c r="F175" s="23" t="str">
        <f>IFERROR(__xludf.DUMMYFUNCTION("GOOGLETRANSLATE(B175, ""en"", ""tr"")"),"Süper ateş personeli")</f>
        <v>Süper ateş personeli</v>
      </c>
      <c r="G175" s="23" t="str">
        <f>IFERROR(__xludf.DUMMYFUNCTION("GOOGLETRANSLATE(B175, ""en"", ""pt"")"),"Super Fire Staff.")</f>
        <v>Super Fire Staff.</v>
      </c>
      <c r="H175" s="24" t="str">
        <f>IFERROR(__xludf.DUMMYFUNCTION("GOOGLETRANSLATE(B175, ""en"", ""de"")"),"Superfeuerpersonal")</f>
        <v>Superfeuerpersonal</v>
      </c>
      <c r="I175" s="23" t="str">
        <f>IFERROR(__xludf.DUMMYFUNCTION("GOOGLETRANSLATE(B175, ""en"", ""pl"")"),"Super Fire Staff.")</f>
        <v>Super Fire Staff.</v>
      </c>
      <c r="J175" s="25" t="str">
        <f>IFERROR(__xludf.DUMMYFUNCTION("GOOGLETRANSLATE(B175, ""en"", ""zh"")"),"超级火人员")</f>
        <v>超级火人员</v>
      </c>
      <c r="K175" s="25" t="str">
        <f>IFERROR(__xludf.DUMMYFUNCTION("GOOGLETRANSLATE(B175, ""en"", ""vi"")"),"Nhân viên siêu cháy")</f>
        <v>Nhân viên siêu cháy</v>
      </c>
      <c r="L175" s="26" t="str">
        <f>IFERROR(__xludf.DUMMYFUNCTION("GOOGLETRANSLATE(B175, ""en"", ""hr"")"),"Super vatrogasno osoblje")</f>
        <v>Super vatrogasno osoblje</v>
      </c>
      <c r="M175" s="28"/>
      <c r="N175" s="28"/>
      <c r="O175" s="28"/>
      <c r="P175" s="28"/>
      <c r="Q175" s="28"/>
      <c r="R175" s="28"/>
      <c r="S175" s="28"/>
      <c r="T175" s="28"/>
      <c r="U175" s="28"/>
      <c r="V175" s="28"/>
      <c r="W175" s="28"/>
      <c r="X175" s="28"/>
      <c r="Y175" s="28"/>
      <c r="Z175" s="28"/>
      <c r="AA175" s="28"/>
      <c r="AB175" s="28"/>
    </row>
    <row r="176">
      <c r="A176" s="21" t="s">
        <v>679</v>
      </c>
      <c r="B176" s="22" t="s">
        <v>680</v>
      </c>
      <c r="C176" s="23" t="str">
        <f>IFERROR(__xludf.DUMMYFUNCTION("GOOGLETRANSLATE(B176, ""en"", ""fr"")"),"Tire le feu qui tire plus de feu.")</f>
        <v>Tire le feu qui tire plus de feu.</v>
      </c>
      <c r="D176" s="23" t="str">
        <f>IFERROR(__xludf.DUMMYFUNCTION("GOOGLETRANSLATE(B176, ""en"", ""es"")"),"Dispara al fuego que dispara más fuego.")</f>
        <v>Dispara al fuego que dispara más fuego.</v>
      </c>
      <c r="E176" s="23" t="str">
        <f>IFERROR(__xludf.DUMMYFUNCTION("GOOGLETRANSLATE(B176, ""en"", ""ru"")"),"Стреляет огонь, который стреляет больше огня.")</f>
        <v>Стреляет огонь, который стреляет больше огня.</v>
      </c>
      <c r="F176" s="23" t="str">
        <f>IFERROR(__xludf.DUMMYFUNCTION("GOOGLETRANSLATE(B176, ""en"", ""tr"")"),"Daha fazla ateş çeken ateşi vurur.")</f>
        <v>Daha fazla ateş çeken ateşi vurur.</v>
      </c>
      <c r="G176" s="23" t="str">
        <f>IFERROR(__xludf.DUMMYFUNCTION("GOOGLETRANSLATE(B176, ""en"", ""pt"")"),"Atira fogo que atira mais fogo.")</f>
        <v>Atira fogo que atira mais fogo.</v>
      </c>
      <c r="H176" s="24" t="str">
        <f>IFERROR(__xludf.DUMMYFUNCTION("GOOGLETRANSLATE(B176, ""en"", ""de"")"),"Schießt Feuer, das mehr Feuer erschießt.")</f>
        <v>Schießt Feuer, das mehr Feuer erschießt.</v>
      </c>
      <c r="I176" s="23" t="str">
        <f>IFERROR(__xludf.DUMMYFUNCTION("GOOGLETRANSLATE(B176, ""en"", ""pl"")"),"Strzela ogień, który strzela więcej ognia.")</f>
        <v>Strzela ogień, który strzela więcej ognia.</v>
      </c>
      <c r="J176" s="25" t="str">
        <f>IFERROR(__xludf.DUMMYFUNCTION("GOOGLETRANSLATE(B176, ""en"", ""zh"")"),"射击射击更多火灾。")</f>
        <v>射击射击更多火灾。</v>
      </c>
      <c r="K176" s="25" t="str">
        <f>IFERROR(__xludf.DUMMYFUNCTION("GOOGLETRANSLATE(B176, ""en"", ""vi"")"),"Bắn lửa mà bắn súng nhiều hơn.")</f>
        <v>Bắn lửa mà bắn súng nhiều hơn.</v>
      </c>
      <c r="L176" s="26" t="str">
        <f>IFERROR(__xludf.DUMMYFUNCTION("GOOGLETRANSLATE(B176, ""en"", ""hr"")"),"Pucaj vatru koja puca više požara.")</f>
        <v>Pucaj vatru koja puca više požara.</v>
      </c>
      <c r="M176" s="28"/>
      <c r="N176" s="28"/>
      <c r="O176" s="28"/>
      <c r="P176" s="28"/>
      <c r="Q176" s="28"/>
      <c r="R176" s="28"/>
      <c r="S176" s="28"/>
      <c r="T176" s="28"/>
      <c r="U176" s="28"/>
      <c r="V176" s="28"/>
      <c r="W176" s="28"/>
      <c r="X176" s="28"/>
      <c r="Y176" s="28"/>
      <c r="Z176" s="28"/>
      <c r="AA176" s="28"/>
      <c r="AB176" s="28"/>
    </row>
    <row r="177">
      <c r="A177" s="21" t="s">
        <v>681</v>
      </c>
      <c r="B177" s="22" t="s">
        <v>682</v>
      </c>
      <c r="C177" s="23" t="str">
        <f>IFERROR(__xludf.DUMMYFUNCTION("GOOGLETRANSLATE(B177, ""en"", ""fr"")"),"Personnel éolien")</f>
        <v>Personnel éolien</v>
      </c>
      <c r="D177" s="23" t="str">
        <f>IFERROR(__xludf.DUMMYFUNCTION("GOOGLETRANSLATE(B177, ""en"", ""es"")"),"Estado de viento")</f>
        <v>Estado de viento</v>
      </c>
      <c r="E177" s="23" t="str">
        <f>IFERROR(__xludf.DUMMYFUNCTION("GOOGLETRANSLATE(B177, ""en"", ""ru"")"),"Ветер персонал")</f>
        <v>Ветер персонал</v>
      </c>
      <c r="F177" s="23" t="str">
        <f>IFERROR(__xludf.DUMMYFUNCTION("GOOGLETRANSLATE(B177, ""en"", ""tr"")"),"Rüzgar personeli")</f>
        <v>Rüzgar personeli</v>
      </c>
      <c r="G177" s="23" t="str">
        <f>IFERROR(__xludf.DUMMYFUNCTION("GOOGLETRANSLATE(B177, ""en"", ""pt"")"),"Equipe de vento")</f>
        <v>Equipe de vento</v>
      </c>
      <c r="H177" s="24" t="str">
        <f>IFERROR(__xludf.DUMMYFUNCTION("GOOGLETRANSLATE(B177, ""en"", ""de"")"),"Windpersonal")</f>
        <v>Windpersonal</v>
      </c>
      <c r="I177" s="23" t="str">
        <f>IFERROR(__xludf.DUMMYFUNCTION("GOOGLETRANSLATE(B177, ""en"", ""pl"")"),"Personel wiatru.")</f>
        <v>Personel wiatru.</v>
      </c>
      <c r="J177" s="25" t="str">
        <f>IFERROR(__xludf.DUMMYFUNCTION("GOOGLETRANSLATE(B177, ""en"", ""zh"")"),"风员工")</f>
        <v>风员工</v>
      </c>
      <c r="K177" s="25" t="str">
        <f>IFERROR(__xludf.DUMMYFUNCTION("GOOGLETRANSLATE(B177, ""en"", ""vi"")"),"Nhân viên gió")</f>
        <v>Nhân viên gió</v>
      </c>
      <c r="L177" s="26" t="str">
        <f>IFERROR(__xludf.DUMMYFUNCTION("GOOGLETRANSLATE(B177, ""en"", ""hr"")"),"Vjetropodžnjak")</f>
        <v>Vjetropodžnjak</v>
      </c>
      <c r="M177" s="28"/>
      <c r="N177" s="28"/>
      <c r="O177" s="28"/>
      <c r="P177" s="28"/>
      <c r="Q177" s="28"/>
      <c r="R177" s="28"/>
      <c r="S177" s="28"/>
      <c r="T177" s="28"/>
      <c r="U177" s="28"/>
      <c r="V177" s="28"/>
      <c r="W177" s="28"/>
      <c r="X177" s="28"/>
      <c r="Y177" s="28"/>
      <c r="Z177" s="28"/>
      <c r="AA177" s="28"/>
      <c r="AB177" s="28"/>
    </row>
    <row r="178">
      <c r="A178" s="21" t="s">
        <v>683</v>
      </c>
      <c r="B178" s="22" t="s">
        <v>684</v>
      </c>
      <c r="C178" s="23" t="str">
        <f>IFERROR(__xludf.DUMMYFUNCTION("GOOGLETRANSLATE(B178, ""en"", ""fr"")"),"Tire le vent qui frappe les choses.")</f>
        <v>Tire le vent qui frappe les choses.</v>
      </c>
      <c r="D178" s="23" t="str">
        <f>IFERROR(__xludf.DUMMYFUNCTION("GOOGLETRANSLATE(B178, ""en"", ""es"")"),"Dispara el viento que golpea las cosas.")</f>
        <v>Dispara el viento que golpea las cosas.</v>
      </c>
      <c r="E178" s="23" t="str">
        <f>IFERROR(__xludf.DUMMYFUNCTION("GOOGLETRANSLATE(B178, ""en"", ""ru"")"),"Стреляет ветер, который сбивает вещи обратно.")</f>
        <v>Стреляет ветер, который сбивает вещи обратно.</v>
      </c>
      <c r="F178" s="23" t="str">
        <f>IFERROR(__xludf.DUMMYFUNCTION("GOOGLETRANSLATE(B178, ""en"", ""tr"")"),"İşleri geri çeken rüzgarı vurur.")</f>
        <v>İşleri geri çeken rüzgarı vurur.</v>
      </c>
      <c r="G178" s="23" t="str">
        <f>IFERROR(__xludf.DUMMYFUNCTION("GOOGLETRANSLATE(B178, ""en"", ""pt"")"),"Atira o vento que bate as coisas de volta.")</f>
        <v>Atira o vento que bate as coisas de volta.</v>
      </c>
      <c r="H178" s="24" t="str">
        <f>IFERROR(__xludf.DUMMYFUNCTION("GOOGLETRANSLATE(B178, ""en"", ""de"")"),"Schießt Wind, der die Dinge zurückschlagen.")</f>
        <v>Schießt Wind, der die Dinge zurückschlagen.</v>
      </c>
      <c r="I178" s="23" t="str">
        <f>IFERROR(__xludf.DUMMYFUNCTION("GOOGLETRANSLATE(B178, ""en"", ""pl"")"),"Strzela wiatr, który puka rzeczy z powrotem.")</f>
        <v>Strzela wiatr, który puka rzeczy z powrotem.</v>
      </c>
      <c r="J178" s="25" t="str">
        <f>IFERROR(__xludf.DUMMYFUNCTION("GOOGLETRANSLATE(B178, ""en"", ""zh"")"),"射击击倒东西的风。")</f>
        <v>射击击倒东西的风。</v>
      </c>
      <c r="K178" s="25" t="str">
        <f>IFERROR(__xludf.DUMMYFUNCTION("GOOGLETRANSLATE(B178, ""en"", ""vi"")"),"Bắn gió đánh bật mọi thứ trở lại.")</f>
        <v>Bắn gió đánh bật mọi thứ trở lại.</v>
      </c>
      <c r="L178" s="26" t="str">
        <f>IFERROR(__xludf.DUMMYFUNCTION("GOOGLETRANSLATE(B178, ""en"", ""hr"")"),"Pucaj vjetar koji kuca stvari natrag.")</f>
        <v>Pucaj vjetar koji kuca stvari natrag.</v>
      </c>
      <c r="M178" s="28"/>
      <c r="N178" s="28"/>
      <c r="O178" s="28"/>
      <c r="P178" s="28"/>
      <c r="Q178" s="28"/>
      <c r="R178" s="28"/>
      <c r="S178" s="28"/>
      <c r="T178" s="28"/>
      <c r="U178" s="28"/>
      <c r="V178" s="28"/>
      <c r="W178" s="28"/>
      <c r="X178" s="28"/>
      <c r="Y178" s="28"/>
      <c r="Z178" s="28"/>
      <c r="AA178" s="28"/>
      <c r="AB178" s="28"/>
    </row>
    <row r="179">
      <c r="A179" s="21" t="s">
        <v>685</v>
      </c>
      <c r="B179" s="22" t="s">
        <v>686</v>
      </c>
      <c r="C179" s="23" t="str">
        <f>IFERROR(__xludf.DUMMYFUNCTION("GOOGLETRANSLATE(B179, ""en"", ""fr"")"),"Personnel Super Wind")</f>
        <v>Personnel Super Wind</v>
      </c>
      <c r="D179" s="23" t="str">
        <f>IFERROR(__xludf.DUMMYFUNCTION("GOOGLETRANSLATE(B179, ""en"", ""es"")"),"Súper personal")</f>
        <v>Súper personal</v>
      </c>
      <c r="E179" s="23" t="str">
        <f>IFERROR(__xludf.DUMMYFUNCTION("GOOGLETRANSLATE(B179, ""en"", ""ru"")"),"Супер ветер персонал")</f>
        <v>Супер ветер персонал</v>
      </c>
      <c r="F179" s="23" t="str">
        <f>IFERROR(__xludf.DUMMYFUNCTION("GOOGLETRANSLATE(B179, ""en"", ""tr"")"),"Süper rüzgar personeli")</f>
        <v>Süper rüzgar personeli</v>
      </c>
      <c r="G179" s="23" t="str">
        <f>IFERROR(__xludf.DUMMYFUNCTION("GOOGLETRANSLATE(B179, ""en"", ""pt"")"),"Super Wind Staff.")</f>
        <v>Super Wind Staff.</v>
      </c>
      <c r="H179" s="24" t="str">
        <f>IFERROR(__xludf.DUMMYFUNCTION("GOOGLETRANSLATE(B179, ""en"", ""de"")"),"Super Windpersonal.")</f>
        <v>Super Windpersonal.</v>
      </c>
      <c r="I179" s="23" t="str">
        <f>IFERROR(__xludf.DUMMYFUNCTION("GOOGLETRANSLATE(B179, ""en"", ""pl"")"),"Super personel wiatrowy")</f>
        <v>Super personel wiatrowy</v>
      </c>
      <c r="J179" s="25" t="str">
        <f>IFERROR(__xludf.DUMMYFUNCTION("GOOGLETRANSLATE(B179, ""en"", ""zh"")"),"超级风员工")</f>
        <v>超级风员工</v>
      </c>
      <c r="K179" s="25" t="str">
        <f>IFERROR(__xludf.DUMMYFUNCTION("GOOGLETRANSLATE(B179, ""en"", ""vi"")"),"Nhân viên siêu gió")</f>
        <v>Nhân viên siêu gió</v>
      </c>
      <c r="L179" s="26" t="str">
        <f>IFERROR(__xludf.DUMMYFUNCTION("GOOGLETRANSLATE(B179, ""en"", ""hr"")"),"Osoblje super vjetrom")</f>
        <v>Osoblje super vjetrom</v>
      </c>
      <c r="M179" s="28"/>
      <c r="N179" s="28"/>
      <c r="O179" s="28"/>
      <c r="P179" s="28"/>
      <c r="Q179" s="28"/>
      <c r="R179" s="28"/>
      <c r="S179" s="28"/>
      <c r="T179" s="28"/>
      <c r="U179" s="28"/>
      <c r="V179" s="28"/>
      <c r="W179" s="28"/>
      <c r="X179" s="28"/>
      <c r="Y179" s="28"/>
      <c r="Z179" s="28"/>
      <c r="AA179" s="28"/>
      <c r="AB179" s="28"/>
    </row>
    <row r="180">
      <c r="A180" s="21" t="s">
        <v>687</v>
      </c>
      <c r="B180" s="22" t="s">
        <v>688</v>
      </c>
      <c r="C180" s="23" t="str">
        <f>IFERROR(__xludf.DUMMYFUNCTION("GOOGLETRANSLATE(B180, ""en"", ""fr"")"),"Pousse le vent qui tire plus de vent.")</f>
        <v>Pousse le vent qui tire plus de vent.</v>
      </c>
      <c r="D180" s="23" t="str">
        <f>IFERROR(__xludf.DUMMYFUNCTION("GOOGLETRANSLATE(B180, ""en"", ""es"")"),"Dispara el viento que dispara más viento.")</f>
        <v>Dispara el viento que dispara más viento.</v>
      </c>
      <c r="E180" s="23" t="str">
        <f>IFERROR(__xludf.DUMMYFUNCTION("GOOGLETRANSLATE(B180, ""en"", ""ru"")"),"Стреляет ветер, который стреляет больше ветра.")</f>
        <v>Стреляет ветер, который стреляет больше ветра.</v>
      </c>
      <c r="F180" s="23" t="str">
        <f>IFERROR(__xludf.DUMMYFUNCTION("GOOGLETRANSLATE(B180, ""en"", ""tr"")"),"Daha fazla rüzgar çeken rüzgarı vurur.")</f>
        <v>Daha fazla rüzgar çeken rüzgarı vurur.</v>
      </c>
      <c r="G180" s="23" t="str">
        <f>IFERROR(__xludf.DUMMYFUNCTION("GOOGLETRANSLATE(B180, ""en"", ""pt"")"),"Atira o vento que atira mais vento.")</f>
        <v>Atira o vento que atira mais vento.</v>
      </c>
      <c r="H180" s="24" t="str">
        <f>IFERROR(__xludf.DUMMYFUNCTION("GOOGLETRANSLATE(B180, ""en"", ""de"")"),"Schießt Wind, der mehr Wind erschießt.")</f>
        <v>Schießt Wind, der mehr Wind erschießt.</v>
      </c>
      <c r="I180" s="23" t="str">
        <f>IFERROR(__xludf.DUMMYFUNCTION("GOOGLETRANSLATE(B180, ""en"", ""pl"")"),"Strzela wiatr, który strzela więcej wiatr.")</f>
        <v>Strzela wiatr, który strzela więcej wiatr.</v>
      </c>
      <c r="J180" s="25" t="str">
        <f>IFERROR(__xludf.DUMMYFUNCTION("GOOGLETRANSLATE(B180, ""en"", ""zh"")"),"射击射击更多风的风。")</f>
        <v>射击射击更多风的风。</v>
      </c>
      <c r="K180" s="25" t="str">
        <f>IFERROR(__xludf.DUMMYFUNCTION("GOOGLETRANSLATE(B180, ""en"", ""vi"")"),"Bắn gió mà bắn nhiều gió hơn.")</f>
        <v>Bắn gió mà bắn nhiều gió hơn.</v>
      </c>
      <c r="L180" s="26" t="str">
        <f>IFERROR(__xludf.DUMMYFUNCTION("GOOGLETRANSLATE(B180, ""en"", ""hr"")"),"Pucaj vjetar koji puca više vjetra.")</f>
        <v>Pucaj vjetar koji puca više vjetra.</v>
      </c>
      <c r="M180" s="28"/>
      <c r="N180" s="28"/>
      <c r="O180" s="28"/>
      <c r="P180" s="28"/>
      <c r="Q180" s="28"/>
      <c r="R180" s="28"/>
      <c r="S180" s="28"/>
      <c r="T180" s="28"/>
      <c r="U180" s="28"/>
      <c r="V180" s="28"/>
      <c r="W180" s="28"/>
      <c r="X180" s="28"/>
      <c r="Y180" s="28"/>
      <c r="Z180" s="28"/>
      <c r="AA180" s="28"/>
      <c r="AB180" s="28"/>
    </row>
    <row r="181">
      <c r="A181" s="21" t="s">
        <v>689</v>
      </c>
      <c r="B181" s="22" t="s">
        <v>690</v>
      </c>
      <c r="C181" s="23" t="str">
        <f>IFERROR(__xludf.DUMMYFUNCTION("GOOGLETRANSLATE(B181, ""en"", ""fr"")"),"Personnel de sang")</f>
        <v>Personnel de sang</v>
      </c>
      <c r="D181" s="23" t="str">
        <f>IFERROR(__xludf.DUMMYFUNCTION("GOOGLETRANSLATE(B181, ""en"", ""es"")"),"Personal de sangre")</f>
        <v>Personal de sangre</v>
      </c>
      <c r="E181" s="23" t="str">
        <f>IFERROR(__xludf.DUMMYFUNCTION("GOOGLETRANSLATE(B181, ""en"", ""ru"")"),"Персонал крови")</f>
        <v>Персонал крови</v>
      </c>
      <c r="F181" s="23" t="str">
        <f>IFERROR(__xludf.DUMMYFUNCTION("GOOGLETRANSLATE(B181, ""en"", ""tr"")"),"Kanocu")</f>
        <v>Kanocu</v>
      </c>
      <c r="G181" s="23" t="str">
        <f>IFERROR(__xludf.DUMMYFUNCTION("GOOGLETRANSLATE(B181, ""en"", ""pt"")"),"Pessoal de sangue")</f>
        <v>Pessoal de sangue</v>
      </c>
      <c r="H181" s="24" t="str">
        <f>IFERROR(__xludf.DUMMYFUNCTION("GOOGLETRANSLATE(B181, ""en"", ""de"")"),"Blutpersonal")</f>
        <v>Blutpersonal</v>
      </c>
      <c r="I181" s="23" t="str">
        <f>IFERROR(__xludf.DUMMYFUNCTION("GOOGLETRANSLATE(B181, ""en"", ""pl"")"),"Personel krwi")</f>
        <v>Personel krwi</v>
      </c>
      <c r="J181" s="25" t="str">
        <f>IFERROR(__xludf.DUMMYFUNCTION("GOOGLETRANSLATE(B181, ""en"", ""zh"")"),"血员工")</f>
        <v>血员工</v>
      </c>
      <c r="K181" s="25" t="str">
        <f>IFERROR(__xludf.DUMMYFUNCTION("GOOGLETRANSLATE(B181, ""en"", ""vi"")"),"Nhân viên máu")</f>
        <v>Nhân viên máu</v>
      </c>
      <c r="L181" s="26" t="str">
        <f>IFERROR(__xludf.DUMMYFUNCTION("GOOGLETRANSLATE(B181, ""en"", ""hr"")"),"Osoblje krvi")</f>
        <v>Osoblje krvi</v>
      </c>
      <c r="M181" s="28"/>
      <c r="N181" s="28"/>
      <c r="O181" s="28"/>
      <c r="P181" s="28"/>
      <c r="Q181" s="28"/>
      <c r="R181" s="28"/>
      <c r="S181" s="28"/>
      <c r="T181" s="28"/>
      <c r="U181" s="28"/>
      <c r="V181" s="28"/>
      <c r="W181" s="28"/>
      <c r="X181" s="28"/>
      <c r="Y181" s="28"/>
      <c r="Z181" s="28"/>
      <c r="AA181" s="28"/>
      <c r="AB181" s="28"/>
    </row>
    <row r="182">
      <c r="A182" s="21" t="s">
        <v>691</v>
      </c>
      <c r="B182" s="22" t="s">
        <v>692</v>
      </c>
      <c r="C182" s="23" t="str">
        <f>IFERROR(__xludf.DUMMYFUNCTION("GOOGLETRANSLATE(B182, ""en"", ""fr"")"),"Tire un projectile qui vole les points de vie. Consomme des points de vie lorsqu'il est utilisé.")</f>
        <v>Tire un projectile qui vole les points de vie. Consomme des points de vie lorsqu'il est utilisé.</v>
      </c>
      <c r="D182" s="23" t="str">
        <f>IFERROR(__xludf.DUMMYFUNCTION("GOOGLETRANSLATE(B182, ""en"", ""es"")"),"Dispara un proyectil que roba los puntos de golpe. Consume puntos de golpe cuando se usa.")</f>
        <v>Dispara un proyectil que roba los puntos de golpe. Consume puntos de golpe cuando se usa.</v>
      </c>
      <c r="E182" s="23" t="str">
        <f>IFERROR(__xludf.DUMMYFUNCTION("GOOGLETRANSLATE(B182, ""en"", ""ru"")"),"Удаляет снаряда, который крадет хит-точки. Потребляет хит-точки при использовании.")</f>
        <v>Удаляет снаряда, который крадет хит-точки. Потребляет хит-точки при использовании.</v>
      </c>
      <c r="F182" s="23" t="str">
        <f>IFERROR(__xludf.DUMMYFUNCTION("GOOGLETRANSLATE(B182, ""en"", ""tr"")"),"Hitpoints çalan bir mermi vuruyor. Kullanıldığında hitpoints tüketir.")</f>
        <v>Hitpoints çalan bir mermi vuruyor. Kullanıldığında hitpoints tüketir.</v>
      </c>
      <c r="G182" s="23" t="str">
        <f>IFERROR(__xludf.DUMMYFUNCTION("GOOGLETRANSLATE(B182, ""en"", ""pt"")"),"Atira um projétil que rouba os pontos de vida. Consome hitpoints quando usado.")</f>
        <v>Atira um projétil que rouba os pontos de vida. Consome hitpoints quando usado.</v>
      </c>
      <c r="H182" s="24" t="str">
        <f>IFERROR(__xludf.DUMMYFUNCTION("GOOGLETRANSLATE(B182, ""en"", ""de"")"),"Schießt ein Projektil, das HITPOINTs stiehlt. Verbraucht HITPOINTs bei Verwendung.")</f>
        <v>Schießt ein Projektil, das HITPOINTs stiehlt. Verbraucht HITPOINTs bei Verwendung.</v>
      </c>
      <c r="I182" s="23" t="str">
        <f>IFERROR(__xludf.DUMMYFUNCTION("GOOGLETRANSLATE(B182, ""en"", ""pl"")"),"Strzela pocisk, który kradnie punkty życia. Zużywa punkty HIT, gdy są używane.")</f>
        <v>Strzela pocisk, który kradnie punkty życia. Zużywa punkty HIT, gdy są używane.</v>
      </c>
      <c r="J182" s="25" t="str">
        <f>IFERROR(__xludf.DUMMYFUNCTION("GOOGLETRANSLATE(B182, ""en"", ""zh"")"),"射击偷窃杀头点的射弹。使用时消耗Hitpoints。")</f>
        <v>射击偷窃杀头点的射弹。使用时消耗Hitpoints。</v>
      </c>
      <c r="K182" s="25" t="str">
        <f>IFERROR(__xludf.DUMMYFUNCTION("GOOGLETRANSLATE(B182, ""en"", ""vi"")"),"Bắn một viên đạn đánh cắp điểm nhấn. Tiêu thụ các điểm nhấn khi sử dụng.")</f>
        <v>Bắn một viên đạn đánh cắp điểm nhấn. Tiêu thụ các điểm nhấn khi sử dụng.</v>
      </c>
      <c r="L182" s="26" t="str">
        <f>IFERROR(__xludf.DUMMYFUNCTION("GOOGLETRANSLATE(B182, ""en"", ""hr"")"),"Snima projektil koji krade HitPoints. Troši hitpoints kada se koristi.")</f>
        <v>Snima projektil koji krade HitPoints. Troši hitpoints kada se koristi.</v>
      </c>
      <c r="M182" s="28"/>
      <c r="N182" s="28"/>
      <c r="O182" s="28"/>
      <c r="P182" s="28"/>
      <c r="Q182" s="28"/>
      <c r="R182" s="28"/>
      <c r="S182" s="28"/>
      <c r="T182" s="28"/>
      <c r="U182" s="28"/>
      <c r="V182" s="28"/>
      <c r="W182" s="28"/>
      <c r="X182" s="28"/>
      <c r="Y182" s="28"/>
      <c r="Z182" s="28"/>
      <c r="AA182" s="28"/>
      <c r="AB182" s="28"/>
    </row>
    <row r="183">
      <c r="A183" s="21" t="s">
        <v>693</v>
      </c>
      <c r="B183" s="22" t="s">
        <v>694</v>
      </c>
      <c r="C183" s="23" t="str">
        <f>IFERROR(__xludf.DUMMYFUNCTION("GOOGLETRANSLATE(B183, ""en"", ""fr"")"),"Personnel Super Blood")</f>
        <v>Personnel Super Blood</v>
      </c>
      <c r="D183" s="23" t="str">
        <f>IFERROR(__xludf.DUMMYFUNCTION("GOOGLETRANSLATE(B183, ""en"", ""es"")"),"Personal Super Blood")</f>
        <v>Personal Super Blood</v>
      </c>
      <c r="E183" s="23" t="str">
        <f>IFERROR(__xludf.DUMMYFUNCTION("GOOGLETRANSLATE(B183, ""en"", ""ru"")"),"Super крови персонал")</f>
        <v>Super крови персонал</v>
      </c>
      <c r="F183" s="23" t="str">
        <f>IFERROR(__xludf.DUMMYFUNCTION("GOOGLETRANSLATE(B183, ""en"", ""tr"")"),"Süper kan personeli")</f>
        <v>Süper kan personeli</v>
      </c>
      <c r="G183" s="23" t="str">
        <f>IFERROR(__xludf.DUMMYFUNCTION("GOOGLETRANSLATE(B183, ""en"", ""pt"")"),"Pessoal super de sangue")</f>
        <v>Pessoal super de sangue</v>
      </c>
      <c r="H183" s="24" t="str">
        <f>IFERROR(__xludf.DUMMYFUNCTION("GOOGLETRANSLATE(B183, ""en"", ""de"")"),"Super Blutpersonal")</f>
        <v>Super Blutpersonal</v>
      </c>
      <c r="I183" s="23" t="str">
        <f>IFERROR(__xludf.DUMMYFUNCTION("GOOGLETRANSLATE(B183, ""en"", ""pl"")"),"Super Blood Staff.")</f>
        <v>Super Blood Staff.</v>
      </c>
      <c r="J183" s="25" t="str">
        <f>IFERROR(__xludf.DUMMYFUNCTION("GOOGLETRANSLATE(B183, ""en"", ""zh"")"),"超级血员工")</f>
        <v>超级血员工</v>
      </c>
      <c r="K183" s="25" t="str">
        <f>IFERROR(__xludf.DUMMYFUNCTION("GOOGLETRANSLATE(B183, ""en"", ""vi"")"),"Nhân viên siêu máu")</f>
        <v>Nhân viên siêu máu</v>
      </c>
      <c r="L183" s="26" t="str">
        <f>IFERROR(__xludf.DUMMYFUNCTION("GOOGLETRANSLATE(B183, ""en"", ""hr"")"),"Osoblje super krvi")</f>
        <v>Osoblje super krvi</v>
      </c>
      <c r="M183" s="28"/>
      <c r="N183" s="28"/>
      <c r="O183" s="28"/>
      <c r="P183" s="28"/>
      <c r="Q183" s="28"/>
      <c r="R183" s="28"/>
      <c r="S183" s="28"/>
      <c r="T183" s="28"/>
      <c r="U183" s="28"/>
      <c r="V183" s="28"/>
      <c r="W183" s="28"/>
      <c r="X183" s="28"/>
      <c r="Y183" s="28"/>
      <c r="Z183" s="28"/>
      <c r="AA183" s="28"/>
      <c r="AB183" s="28"/>
    </row>
    <row r="184">
      <c r="A184" s="21" t="s">
        <v>695</v>
      </c>
      <c r="B184" s="22" t="s">
        <v>696</v>
      </c>
      <c r="C184" s="23" t="str">
        <f>IFERROR(__xludf.DUMMYFUNCTION("GOOGLETRANSLATE(B184, ""en"", ""fr"")"),"Tire un projectile de vie qui tire plus de projectiles de vie.")</f>
        <v>Tire un projectile de vie qui tire plus de projectiles de vie.</v>
      </c>
      <c r="D184" s="23" t="str">
        <f>IFERROR(__xludf.DUMMYFUNCTION("GOOGLETRANSLATE(B184, ""en"", ""es"")"),"Dispara a un proyectil de vida que dispara más proyectiles de forma de vida.")</f>
        <v>Dispara a un proyectil de vida que dispara más proyectiles de forma de vida.</v>
      </c>
      <c r="E184" s="23" t="str">
        <f>IFERROR(__xludf.DUMMYFUNCTION("GOOGLETRANSLATE(B184, ""en"", ""ru"")"),"Стреляет на бесперебойное снаряжение, которое стреляет в большее количество жизненного снаряда.")</f>
        <v>Стреляет на бесперебойное снаряжение, которое стреляет в большее количество жизненного снаряда.</v>
      </c>
      <c r="F184" s="23" t="str">
        <f>IFERROR(__xludf.DUMMYFUNCTION("GOOGLETRANSLATE(B184, ""en"", ""tr"")"),"Daha fazla lifesteal mermi çeken bir yaşam mermi vuruyor.")</f>
        <v>Daha fazla lifesteal mermi çeken bir yaşam mermi vuruyor.</v>
      </c>
      <c r="G184" s="23" t="str">
        <f>IFERROR(__xludf.DUMMYFUNCTION("GOOGLETRANSLATE(B184, ""en"", ""pt"")"),"Atira um projétil de vida que atira mais projéteis de vida.")</f>
        <v>Atira um projétil de vida que atira mais projéteis de vida.</v>
      </c>
      <c r="H184" s="24" t="str">
        <f>IFERROR(__xludf.DUMMYFUNCTION("GOOGLETRANSLATE(B184, ""en"", ""de"")"),"Schießt ein lebenslesses Projektil, das mehr Lebensläufe schießt.")</f>
        <v>Schießt ein lebenslesses Projektil, das mehr Lebensläufe schießt.</v>
      </c>
      <c r="I184" s="23" t="str">
        <f>IFERROR(__xludf.DUMMYFUNCTION("GOOGLETRANSLATE(B184, ""en"", ""pl"")"),"Strzeleje pocisku całe życie, który strzela więcej pocisków w stylu życia.")</f>
        <v>Strzeleje pocisku całe życie, który strzela więcej pocisków w stylu życia.</v>
      </c>
      <c r="J184" s="25" t="str">
        <f>IFERROR(__xludf.DUMMYFUNCTION("GOOGLETRANSLATE(B184, ""en"", ""zh"")"),"射击一个射击更多生活射弹的生活射弹。")</f>
        <v>射击一个射击更多生活射弹的生活射弹。</v>
      </c>
      <c r="K184" s="25" t="str">
        <f>IFERROR(__xludf.DUMMYFUNCTION("GOOGLETRANSLATE(B184, ""en"", ""vi"")"),"Bắn một viên đạn vòng đời bắn nhiều hơn đạn cứu sinh.")</f>
        <v>Bắn một viên đạn vòng đời bắn nhiều hơn đạn cứu sinh.</v>
      </c>
      <c r="L184" s="26" t="str">
        <f>IFERROR(__xludf.DUMMYFUNCTION("GOOGLETRANSLATE(B184, ""en"", ""hr"")"),"Snima životni projektil koji puca više života projektila.")</f>
        <v>Snima životni projektil koji puca više života projektila.</v>
      </c>
      <c r="M184" s="28"/>
      <c r="N184" s="28"/>
      <c r="O184" s="28"/>
      <c r="P184" s="28"/>
      <c r="Q184" s="28"/>
      <c r="R184" s="28"/>
      <c r="S184" s="28"/>
      <c r="T184" s="28"/>
      <c r="U184" s="28"/>
      <c r="V184" s="28"/>
      <c r="W184" s="28"/>
      <c r="X184" s="28"/>
      <c r="Y184" s="28"/>
      <c r="Z184" s="28"/>
      <c r="AA184" s="28"/>
      <c r="AB184" s="28"/>
    </row>
    <row r="185">
      <c r="A185" s="21" t="s">
        <v>697</v>
      </c>
      <c r="B185" s="22" t="s">
        <v>698</v>
      </c>
      <c r="C185" s="23" t="str">
        <f>IFERROR(__xludf.DUMMYFUNCTION("GOOGLETRANSLATE(B185, ""en"", ""fr"")"),"Livre de lumière")</f>
        <v>Livre de lumière</v>
      </c>
      <c r="D185" s="23" t="str">
        <f>IFERROR(__xludf.DUMMYFUNCTION("GOOGLETRANSLATE(B185, ""en"", ""es"")"),"Libro de luz")</f>
        <v>Libro de luz</v>
      </c>
      <c r="E185" s="23" t="str">
        <f>IFERROR(__xludf.DUMMYFUNCTION("GOOGLETRANSLATE(B185, ""en"", ""ru"")"),"Книга света")</f>
        <v>Книга света</v>
      </c>
      <c r="F185" s="23" t="str">
        <f>IFERROR(__xludf.DUMMYFUNCTION("GOOGLETRANSLATE(B185, ""en"", ""tr"")"),"Işık kitabı")</f>
        <v>Işık kitabı</v>
      </c>
      <c r="G185" s="23" t="str">
        <f>IFERROR(__xludf.DUMMYFUNCTION("GOOGLETRANSLATE(B185, ""en"", ""pt"")"),"Livro de luz")</f>
        <v>Livro de luz</v>
      </c>
      <c r="H185" s="24" t="str">
        <f>IFERROR(__xludf.DUMMYFUNCTION("GOOGLETRANSLATE(B185, ""en"", ""de"")"),"Buch des Lichts.")</f>
        <v>Buch des Lichts.</v>
      </c>
      <c r="I185" s="23" t="str">
        <f>IFERROR(__xludf.DUMMYFUNCTION("GOOGLETRANSLATE(B185, ""en"", ""pl"")"),"Książka światła")</f>
        <v>Książka światła</v>
      </c>
      <c r="J185" s="25" t="str">
        <f>IFERROR(__xludf.DUMMYFUNCTION("GOOGLETRANSLATE(B185, ""en"", ""zh"")"),"光书")</f>
        <v>光书</v>
      </c>
      <c r="K185" s="25" t="str">
        <f>IFERROR(__xludf.DUMMYFUNCTION("GOOGLETRANSLATE(B185, ""en"", ""vi"")"),"Sách ánh sáng")</f>
        <v>Sách ánh sáng</v>
      </c>
      <c r="L185" s="26" t="str">
        <f>IFERROR(__xludf.DUMMYFUNCTION("GOOGLETRANSLATE(B185, ""en"", ""hr"")"),"Knjiga svjetla")</f>
        <v>Knjiga svjetla</v>
      </c>
      <c r="M185" s="28"/>
      <c r="N185" s="28"/>
      <c r="O185" s="28"/>
      <c r="P185" s="28"/>
      <c r="Q185" s="28"/>
      <c r="R185" s="28"/>
      <c r="S185" s="28"/>
      <c r="T185" s="28"/>
      <c r="U185" s="28"/>
      <c r="V185" s="28"/>
      <c r="W185" s="28"/>
      <c r="X185" s="28"/>
      <c r="Y185" s="28"/>
      <c r="Z185" s="28"/>
      <c r="AA185" s="28"/>
      <c r="AB185" s="28"/>
    </row>
    <row r="186">
      <c r="A186" s="21" t="s">
        <v>699</v>
      </c>
      <c r="B186" s="22" t="s">
        <v>700</v>
      </c>
      <c r="C186" s="23" t="str">
        <f>IFERROR(__xludf.DUMMYFUNCTION("GOOGLETRANSLATE(B186, ""en"", ""fr"")"),"Un livre de sorts de support.")</f>
        <v>Un livre de sorts de support.</v>
      </c>
      <c r="D186" s="23" t="str">
        <f>IFERROR(__xludf.DUMMYFUNCTION("GOOGLETRANSLATE(B186, ""en"", ""es"")"),"Un libro de hechizos de apoyo.")</f>
        <v>Un libro de hechizos de apoyo.</v>
      </c>
      <c r="E186" s="23" t="str">
        <f>IFERROR(__xludf.DUMMYFUNCTION("GOOGLETRANSLATE(B186, ""en"", ""ru"")"),"Книга поддержки заклинаний.")</f>
        <v>Книга поддержки заклинаний.</v>
      </c>
      <c r="F186" s="23" t="str">
        <f>IFERROR(__xludf.DUMMYFUNCTION("GOOGLETRANSLATE(B186, ""en"", ""tr"")"),"Bir destek kitabı büyü.")</f>
        <v>Bir destek kitabı büyü.</v>
      </c>
      <c r="G186" s="23" t="str">
        <f>IFERROR(__xludf.DUMMYFUNCTION("GOOGLETRANSLATE(B186, ""en"", ""pt"")"),"Um livro de feitiços de apoio.")</f>
        <v>Um livro de feitiços de apoio.</v>
      </c>
      <c r="H186" s="24" t="str">
        <f>IFERROR(__xludf.DUMMYFUNCTION("GOOGLETRANSLATE(B186, ""en"", ""de"")"),"Ein Buch von Unterstützungszauber.")</f>
        <v>Ein Buch von Unterstützungszauber.</v>
      </c>
      <c r="I186" s="23" t="str">
        <f>IFERROR(__xludf.DUMMYFUNCTION("GOOGLETRANSLATE(B186, ""en"", ""pl"")"),"Księga zaklęć wsparcia.")</f>
        <v>Księga zaklęć wsparcia.</v>
      </c>
      <c r="J186" s="25" t="str">
        <f>IFERROR(__xludf.DUMMYFUNCTION("GOOGLETRANSLATE(B186, ""en"", ""zh"")"),"一本支持咒语。")</f>
        <v>一本支持咒语。</v>
      </c>
      <c r="K186" s="25" t="str">
        <f>IFERROR(__xludf.DUMMYFUNCTION("GOOGLETRANSLATE(B186, ""en"", ""vi"")"),"Một cuốn sách các phép thuật hỗ trợ.")</f>
        <v>Một cuốn sách các phép thuật hỗ trợ.</v>
      </c>
      <c r="L186" s="26" t="str">
        <f>IFERROR(__xludf.DUMMYFUNCTION("GOOGLETRANSLATE(B186, ""en"", ""hr"")"),"Knjiga čarolija podrške.")</f>
        <v>Knjiga čarolija podrške.</v>
      </c>
      <c r="M186" s="28"/>
      <c r="N186" s="28"/>
      <c r="O186" s="28"/>
      <c r="P186" s="28"/>
      <c r="Q186" s="28"/>
      <c r="R186" s="28"/>
      <c r="S186" s="28"/>
      <c r="T186" s="28"/>
      <c r="U186" s="28"/>
      <c r="V186" s="28"/>
      <c r="W186" s="28"/>
      <c r="X186" s="28"/>
      <c r="Y186" s="28"/>
      <c r="Z186" s="28"/>
      <c r="AA186" s="28"/>
      <c r="AB186" s="28"/>
    </row>
    <row r="187">
      <c r="A187" s="21" t="s">
        <v>701</v>
      </c>
      <c r="B187" s="22" t="s">
        <v>702</v>
      </c>
      <c r="C187" s="23" t="str">
        <f>IFERROR(__xludf.DUMMYFUNCTION("GOOGLETRANSLATE(B187, ""en"", ""fr"")"),"Livre des âmes")</f>
        <v>Livre des âmes</v>
      </c>
      <c r="D187" s="23" t="str">
        <f>IFERROR(__xludf.DUMMYFUNCTION("GOOGLETRANSLATE(B187, ""en"", ""es"")"),"Libro de almas")</f>
        <v>Libro de almas</v>
      </c>
      <c r="E187" s="23" t="str">
        <f>IFERROR(__xludf.DUMMYFUNCTION("GOOGLETRANSLATE(B187, ""en"", ""ru"")"),"Книга душ")</f>
        <v>Книга душ</v>
      </c>
      <c r="F187" s="23" t="str">
        <f>IFERROR(__xludf.DUMMYFUNCTION("GOOGLETRANSLATE(B187, ""en"", ""tr"")"),"Ruhlerin Kitabı")</f>
        <v>Ruhlerin Kitabı</v>
      </c>
      <c r="G187" s="23" t="str">
        <f>IFERROR(__xludf.DUMMYFUNCTION("GOOGLETRANSLATE(B187, ""en"", ""pt"")"),"Livro das almas.")</f>
        <v>Livro das almas.</v>
      </c>
      <c r="H187" s="24" t="str">
        <f>IFERROR(__xludf.DUMMYFUNCTION("GOOGLETRANSLATE(B187, ""en"", ""de"")"),"Buch der Seelen")</f>
        <v>Buch der Seelen</v>
      </c>
      <c r="I187" s="23" t="str">
        <f>IFERROR(__xludf.DUMMYFUNCTION("GOOGLETRANSLATE(B187, ""en"", ""pl"")"),"Książka dusz")</f>
        <v>Książka dusz</v>
      </c>
      <c r="J187" s="25" t="str">
        <f>IFERROR(__xludf.DUMMYFUNCTION("GOOGLETRANSLATE(B187, ""en"", ""zh"")"),"灵魂书")</f>
        <v>灵魂书</v>
      </c>
      <c r="K187" s="25" t="str">
        <f>IFERROR(__xludf.DUMMYFUNCTION("GOOGLETRANSLATE(B187, ""en"", ""vi"")"),"Sách linh hồn")</f>
        <v>Sách linh hồn</v>
      </c>
      <c r="L187" s="26" t="str">
        <f>IFERROR(__xludf.DUMMYFUNCTION("GOOGLETRANSLATE(B187, ""en"", ""hr"")"),"Knjiga duša")</f>
        <v>Knjiga duša</v>
      </c>
      <c r="M187" s="28"/>
      <c r="N187" s="28"/>
      <c r="O187" s="28"/>
      <c r="P187" s="28"/>
      <c r="Q187" s="28"/>
      <c r="R187" s="28"/>
      <c r="S187" s="28"/>
      <c r="T187" s="28"/>
      <c r="U187" s="28"/>
      <c r="V187" s="28"/>
      <c r="W187" s="28"/>
      <c r="X187" s="28"/>
      <c r="Y187" s="28"/>
      <c r="Z187" s="28"/>
      <c r="AA187" s="28"/>
      <c r="AB187" s="28"/>
    </row>
    <row r="188">
      <c r="A188" s="21" t="s">
        <v>703</v>
      </c>
      <c r="B188" s="22" t="s">
        <v>704</v>
      </c>
      <c r="C188" s="23" t="str">
        <f>IFERROR(__xludf.DUMMYFUNCTION("GOOGLETRANSLATE(B188, ""en"", ""fr"")"),"Un livre de svhs de convocation.")</f>
        <v>Un livre de svhs de convocation.</v>
      </c>
      <c r="D188" s="23" t="str">
        <f>IFERROR(__xludf.DUMMYFUNCTION("GOOGLETRANSLATE(B188, ""en"", ""es"")"),"Un libro de invocaciones de hechizos.")</f>
        <v>Un libro de invocaciones de hechizos.</v>
      </c>
      <c r="E188" s="23" t="str">
        <f>IFERROR(__xludf.DUMMYFUNCTION("GOOGLETRANSLATE(B188, ""en"", ""ru"")"),"Книга заклинаний призывающих.")</f>
        <v>Книга заклинаний призывающих.</v>
      </c>
      <c r="F188" s="23" t="str">
        <f>IFERROR(__xludf.DUMMYFUNCTION("GOOGLETRANSLATE(B188, ""en"", ""tr"")"),"Büyü yapma kitabı.")</f>
        <v>Büyü yapma kitabı.</v>
      </c>
      <c r="G188" s="23" t="str">
        <f>IFERROR(__xludf.DUMMYFUNCTION("GOOGLETRANSLATE(B188, ""en"", ""pt"")"),"Um livro de convocação de feitiços.")</f>
        <v>Um livro de convocação de feitiços.</v>
      </c>
      <c r="H188" s="24" t="str">
        <f>IFERROR(__xludf.DUMMYFUNCTION("GOOGLETRANSLATE(B188, ""en"", ""de"")"),"Ein Buch der Beschwörung von Zaubersprüchen.")</f>
        <v>Ein Buch der Beschwörung von Zaubersprüchen.</v>
      </c>
      <c r="I188" s="23" t="str">
        <f>IFERROR(__xludf.DUMMYFUNCTION("GOOGLETRANSLATE(B188, ""en"", ""pl"")"),"Książka zaklęć przywołanych.")</f>
        <v>Książka zaklęć przywołanych.</v>
      </c>
      <c r="J188" s="25" t="str">
        <f>IFERROR(__xludf.DUMMYFUNCTION("GOOGLETRANSLATE(B188, ""en"", ""zh"")"),"一本召唤法术。")</f>
        <v>一本召唤法术。</v>
      </c>
      <c r="K188" s="25" t="str">
        <f>IFERROR(__xludf.DUMMYFUNCTION("GOOGLETRANSLATE(B188, ""en"", ""vi"")"),"Một cuốn sách triệu hồi phép thuật.")</f>
        <v>Một cuốn sách triệu hồi phép thuật.</v>
      </c>
      <c r="L188" s="26" t="str">
        <f>IFERROR(__xludf.DUMMYFUNCTION("GOOGLETRANSLATE(B188, ""en"", ""hr"")"),"Knjiga pozvanih čarolija.")</f>
        <v>Knjiga pozvanih čarolija.</v>
      </c>
      <c r="M188" s="28"/>
      <c r="N188" s="28"/>
      <c r="O188" s="28"/>
      <c r="P188" s="28"/>
      <c r="Q188" s="28"/>
      <c r="R188" s="28"/>
      <c r="S188" s="28"/>
      <c r="T188" s="28"/>
      <c r="U188" s="28"/>
      <c r="V188" s="28"/>
      <c r="W188" s="28"/>
      <c r="X188" s="28"/>
      <c r="Y188" s="28"/>
      <c r="Z188" s="28"/>
      <c r="AA188" s="28"/>
      <c r="AB188" s="28"/>
    </row>
    <row r="189">
      <c r="A189" s="21" t="s">
        <v>705</v>
      </c>
      <c r="B189" s="22" t="s">
        <v>706</v>
      </c>
      <c r="C189" s="23" t="str">
        <f>IFERROR(__xludf.DUMMYFUNCTION("GOOGLETRANSLATE(B189, ""en"", ""fr"")"),"Flèches osseuses")</f>
        <v>Flèches osseuses</v>
      </c>
      <c r="D189" s="23" t="str">
        <f>IFERROR(__xludf.DUMMYFUNCTION("GOOGLETRANSLATE(B189, ""en"", ""es"")"),"Flechas óseas")</f>
        <v>Flechas óseas</v>
      </c>
      <c r="E189" s="23" t="str">
        <f>IFERROR(__xludf.DUMMYFUNCTION("GOOGLETRANSLATE(B189, ""en"", ""ru"")"),"Стрелки костей")</f>
        <v>Стрелки костей</v>
      </c>
      <c r="F189" s="23" t="str">
        <f>IFERROR(__xludf.DUMMYFUNCTION("GOOGLETRANSLATE(B189, ""en"", ""tr"")"),"Kemik okları")</f>
        <v>Kemik okları</v>
      </c>
      <c r="G189" s="23" t="str">
        <f>IFERROR(__xludf.DUMMYFUNCTION("GOOGLETRANSLATE(B189, ""en"", ""pt"")"),"Flechas ósseas")</f>
        <v>Flechas ósseas</v>
      </c>
      <c r="H189" s="24" t="str">
        <f>IFERROR(__xludf.DUMMYFUNCTION("GOOGLETRANSLATE(B189, ""en"", ""de"")"),"Knochenpfeile")</f>
        <v>Knochenpfeile</v>
      </c>
      <c r="I189" s="23" t="str">
        <f>IFERROR(__xludf.DUMMYFUNCTION("GOOGLETRANSLATE(B189, ""en"", ""pl"")"),"Strzałki kości")</f>
        <v>Strzałki kości</v>
      </c>
      <c r="J189" s="25" t="str">
        <f>IFERROR(__xludf.DUMMYFUNCTION("GOOGLETRANSLATE(B189, ""en"", ""zh"")"),"骨箭头")</f>
        <v>骨箭头</v>
      </c>
      <c r="K189" s="25" t="str">
        <f>IFERROR(__xludf.DUMMYFUNCTION("GOOGLETRANSLATE(B189, ""en"", ""vi"")"),"Mũi tên xương")</f>
        <v>Mũi tên xương</v>
      </c>
      <c r="L189" s="26" t="str">
        <f>IFERROR(__xludf.DUMMYFUNCTION("GOOGLETRANSLATE(B189, ""en"", ""hr"")"),"Strijele kostiju")</f>
        <v>Strijele kostiju</v>
      </c>
      <c r="M189" s="28"/>
      <c r="N189" s="28"/>
      <c r="O189" s="28"/>
      <c r="P189" s="28"/>
      <c r="Q189" s="28"/>
      <c r="R189" s="28"/>
      <c r="S189" s="28"/>
      <c r="T189" s="28"/>
      <c r="U189" s="28"/>
      <c r="V189" s="28"/>
      <c r="W189" s="28"/>
      <c r="X189" s="28"/>
      <c r="Y189" s="28"/>
      <c r="Z189" s="28"/>
      <c r="AA189" s="28"/>
      <c r="AB189" s="28"/>
    </row>
    <row r="190">
      <c r="A190" s="21" t="s">
        <v>707</v>
      </c>
      <c r="B190" s="22" t="s">
        <v>537</v>
      </c>
      <c r="C190" s="23" t="str">
        <f>IFERROR(__xludf.DUMMYFUNCTION("GOOGLETRANSLATE(B190, ""en"", ""fr"")"),"Utilisé comme munition pour un arc.")</f>
        <v>Utilisé comme munition pour un arc.</v>
      </c>
      <c r="D190" s="23" t="str">
        <f>IFERROR(__xludf.DUMMYFUNCTION("GOOGLETRANSLATE(B190, ""en"", ""es"")"),"Utilizado como municiones para un arco.")</f>
        <v>Utilizado como municiones para un arco.</v>
      </c>
      <c r="E190" s="23" t="str">
        <f>IFERROR(__xludf.DUMMYFUNCTION("GOOGLETRANSLATE(B190, ""en"", ""ru"")"),"Используется в качестве боеприпасов для лука.")</f>
        <v>Используется в качестве боеприпасов для лука.</v>
      </c>
      <c r="F190" s="23" t="str">
        <f>IFERROR(__xludf.DUMMYFUNCTION("GOOGLETRANSLATE(B190, ""en"", ""tr"")"),"Bir yay için mühimmat olarak kullanılır.")</f>
        <v>Bir yay için mühimmat olarak kullanılır.</v>
      </c>
      <c r="G190" s="23" t="str">
        <f>IFERROR(__xludf.DUMMYFUNCTION("GOOGLETRANSLATE(B190, ""en"", ""pt"")"),"Usado como munição para um arco.")</f>
        <v>Usado como munição para um arco.</v>
      </c>
      <c r="H190" s="24" t="str">
        <f>IFERROR(__xludf.DUMMYFUNCTION("GOOGLETRANSLATE(B190, ""en"", ""de"")"),"Als Munition für einen Bogen verwendet.")</f>
        <v>Als Munition für einen Bogen verwendet.</v>
      </c>
      <c r="I190" s="23" t="str">
        <f>IFERROR(__xludf.DUMMYFUNCTION("GOOGLETRANSLATE(B190, ""en"", ""pl"")"),"Używany jako amunicja na łuk.")</f>
        <v>Używany jako amunicja na łuk.</v>
      </c>
      <c r="J190" s="25" t="str">
        <f>IFERROR(__xludf.DUMMYFUNCTION("GOOGLETRANSLATE(B190, ""en"", ""zh"")"),"用作弓的弹药。")</f>
        <v>用作弓的弹药。</v>
      </c>
      <c r="K190" s="25" t="str">
        <f>IFERROR(__xludf.DUMMYFUNCTION("GOOGLETRANSLATE(B190, ""en"", ""vi"")"),"Dùng làm đạn cho một cây cung.")</f>
        <v>Dùng làm đạn cho một cây cung.</v>
      </c>
      <c r="L190" s="26" t="str">
        <f>IFERROR(__xludf.DUMMYFUNCTION("GOOGLETRANSLATE(B190, ""en"", ""hr"")"),"Koristi se kao streljivo za luk.")</f>
        <v>Koristi se kao streljivo za luk.</v>
      </c>
      <c r="M190" s="28"/>
      <c r="N190" s="28"/>
      <c r="O190" s="28"/>
      <c r="P190" s="28"/>
      <c r="Q190" s="28"/>
      <c r="R190" s="28"/>
      <c r="S190" s="28"/>
      <c r="T190" s="28"/>
      <c r="U190" s="28"/>
      <c r="V190" s="28"/>
      <c r="W190" s="28"/>
      <c r="X190" s="28"/>
      <c r="Y190" s="28"/>
      <c r="Z190" s="28"/>
      <c r="AA190" s="28"/>
      <c r="AB190" s="28"/>
    </row>
    <row r="191">
      <c r="A191" s="21" t="s">
        <v>708</v>
      </c>
      <c r="B191" s="22" t="s">
        <v>709</v>
      </c>
      <c r="C191" s="23" t="str">
        <f>IFERROR(__xludf.DUMMYFUNCTION("GOOGLETRANSLATE(B191, ""en"", ""fr"")"),"Peignoir")</f>
        <v>Peignoir</v>
      </c>
      <c r="D191" s="23" t="str">
        <f>IFERROR(__xludf.DUMMYFUNCTION("GOOGLETRANSLATE(B191, ""en"", ""es"")"),"Túnica")</f>
        <v>Túnica</v>
      </c>
      <c r="E191" s="23" t="str">
        <f>IFERROR(__xludf.DUMMYFUNCTION("GOOGLETRANSLATE(B191, ""en"", ""ru"")"),"Халат")</f>
        <v>Халат</v>
      </c>
      <c r="F191" s="23" t="str">
        <f>IFERROR(__xludf.DUMMYFUNCTION("GOOGLETRANSLATE(B191, ""en"", ""tr"")"),"Elbise")</f>
        <v>Elbise</v>
      </c>
      <c r="G191" s="23" t="str">
        <f>IFERROR(__xludf.DUMMYFUNCTION("GOOGLETRANSLATE(B191, ""en"", ""pt"")"),"Robe.")</f>
        <v>Robe.</v>
      </c>
      <c r="H191" s="24" t="str">
        <f>IFERROR(__xludf.DUMMYFUNCTION("GOOGLETRANSLATE(B191, ""en"", ""de"")"),"Kleid")</f>
        <v>Kleid</v>
      </c>
      <c r="I191" s="23" t="str">
        <f>IFERROR(__xludf.DUMMYFUNCTION("GOOGLETRANSLATE(B191, ""en"", ""pl"")"),"Szata")</f>
        <v>Szata</v>
      </c>
      <c r="J191" s="25" t="str">
        <f>IFERROR(__xludf.DUMMYFUNCTION("GOOGLETRANSLATE(B191, ""en"", ""zh"")"),"长袍")</f>
        <v>长袍</v>
      </c>
      <c r="K191" s="25" t="str">
        <f>IFERROR(__xludf.DUMMYFUNCTION("GOOGLETRANSLATE(B191, ""en"", ""vi"")"),"Áo choàng")</f>
        <v>Áo choàng</v>
      </c>
      <c r="L191" s="26" t="str">
        <f>IFERROR(__xludf.DUMMYFUNCTION("GOOGLETRANSLATE(B191, ""en"", ""hr"")"),"Haljina")</f>
        <v>Haljina</v>
      </c>
      <c r="M191" s="28"/>
      <c r="N191" s="28"/>
      <c r="O191" s="28"/>
      <c r="P191" s="28"/>
      <c r="Q191" s="28"/>
      <c r="R191" s="28"/>
      <c r="S191" s="28"/>
      <c r="T191" s="28"/>
      <c r="U191" s="28"/>
      <c r="V191" s="28"/>
      <c r="W191" s="28"/>
      <c r="X191" s="28"/>
      <c r="Y191" s="28"/>
      <c r="Z191" s="28"/>
      <c r="AA191" s="28"/>
      <c r="AB191" s="28"/>
    </row>
    <row r="192">
      <c r="A192" s="21" t="s">
        <v>710</v>
      </c>
      <c r="B192" s="22" t="s">
        <v>711</v>
      </c>
      <c r="C192" s="23" t="str">
        <f>IFERROR(__xludf.DUMMYFUNCTION("GOOGLETRANSLATE(B192, ""en"", ""fr"")"),"Une robe simple. Augmente votre statistique de potionry tout en porté.")</f>
        <v>Une robe simple. Augmente votre statistique de potionry tout en porté.</v>
      </c>
      <c r="D192" s="23" t="str">
        <f>IFERROR(__xludf.DUMMYFUNCTION("GOOGLETRANSLATE(B192, ""en"", ""es"")"),"Una túnica llana. Aumenta tu estadística de Potión mientras se usa.")</f>
        <v>Una túnica llana. Aumenta tu estadística de Potión mientras se usa.</v>
      </c>
      <c r="E192" s="23" t="str">
        <f>IFERROR(__xludf.DUMMYFUNCTION("GOOGLETRANSLATE(B192, ""en"", ""ru"")"),"Простой халат. Увеличивает вашу статурию для носителя.")</f>
        <v>Простой халат. Увеличивает вашу статурию для носителя.</v>
      </c>
      <c r="F192" s="23" t="str">
        <f>IFERROR(__xludf.DUMMYFUNCTION("GOOGLETRANSLATE(B192, ""en"", ""tr"")"),"Düz bir bornoz. Yıpranırken kovsırı statünüzü arttırır.")</f>
        <v>Düz bir bornoz. Yıpranırken kovsırı statünüzü arttırır.</v>
      </c>
      <c r="G192" s="23" t="str">
        <f>IFERROR(__xludf.DUMMYFUNCTION("GOOGLETRANSLATE(B192, ""en"", ""pt"")"),"Um robe simples. Aumenta sua estatística de potionia enquanto estiver desgastada.")</f>
        <v>Um robe simples. Aumenta sua estatística de potionia enquanto estiver desgastada.</v>
      </c>
      <c r="H192" s="24" t="str">
        <f>IFERROR(__xludf.DUMMYFUNCTION("GOOGLETRANSLATE(B192, ""en"", ""de"")"),"Eine einfache Robe. Erhöht Ihre Potionry-Stat, während Sie getragen werden.")</f>
        <v>Eine einfache Robe. Erhöht Ihre Potionry-Stat, während Sie getragen werden.</v>
      </c>
      <c r="I192" s="23" t="str">
        <f>IFERROR(__xludf.DUMMYFUNCTION("GOOGLETRANSLATE(B192, ""en"", ""pl"")"),"Zwykła szata. Zwiększa statystykę Potionry podczas noszenia.")</f>
        <v>Zwykła szata. Zwiększa statystykę Potionry podczas noszenia.</v>
      </c>
      <c r="J192" s="25" t="str">
        <f>IFERROR(__xludf.DUMMYFUNCTION("GOOGLETRANSLATE(B192, ""en"", ""zh"")"),"一个普通的长袍。在磨损时增加了你的药水统计数据。")</f>
        <v>一个普通的长袍。在磨损时增加了你的药水统计数据。</v>
      </c>
      <c r="K192" s="25" t="str">
        <f>IFERROR(__xludf.DUMMYFUNCTION("GOOGLETRANSLATE(B192, ""en"", ""vi"")"),"Một chiếc áo choàng đơn giản. Tăng số liệu thống kê Potionry của bạn trong khi mặc.")</f>
        <v>Một chiếc áo choàng đơn giản. Tăng số liệu thống kê Potionry của bạn trong khi mặc.</v>
      </c>
      <c r="L192" s="26" t="str">
        <f>IFERROR(__xludf.DUMMYFUNCTION("GOOGLETRANSLATE(B192, ""en"", ""hr"")"),"Običan ogrtač. Povećava vašu stationry stat dok je nošen.")</f>
        <v>Običan ogrtač. Povećava vašu stationry stat dok je nošen.</v>
      </c>
      <c r="M192" s="28"/>
      <c r="N192" s="28"/>
      <c r="O192" s="28"/>
      <c r="P192" s="28"/>
      <c r="Q192" s="28"/>
      <c r="R192" s="28"/>
      <c r="S192" s="28"/>
      <c r="T192" s="28"/>
      <c r="U192" s="28"/>
      <c r="V192" s="28"/>
      <c r="W192" s="28"/>
      <c r="X192" s="28"/>
      <c r="Y192" s="28"/>
      <c r="Z192" s="28"/>
      <c r="AA192" s="28"/>
      <c r="AB192" s="28"/>
    </row>
    <row r="193">
      <c r="A193" s="21" t="s">
        <v>712</v>
      </c>
      <c r="B193" s="22" t="s">
        <v>713</v>
      </c>
      <c r="C193" s="23" t="str">
        <f>IFERROR(__xludf.DUMMYFUNCTION("GOOGLETRANSLATE(B193, ""en"", ""fr"")"),"Robe de mage")</f>
        <v>Robe de mage</v>
      </c>
      <c r="D193" s="23" t="str">
        <f>IFERROR(__xludf.DUMMYFUNCTION("GOOGLETRANSLATE(B193, ""en"", ""es"")"),"Mago túnica")</f>
        <v>Mago túnica</v>
      </c>
      <c r="E193" s="23" t="str">
        <f>IFERROR(__xludf.DUMMYFUNCTION("GOOGLETRANSLATE(B193, ""en"", ""ru"")"),"Маг халат")</f>
        <v>Маг халат</v>
      </c>
      <c r="F193" s="23" t="str">
        <f>IFERROR(__xludf.DUMMYFUNCTION("GOOGLETRANSLATE(B193, ""en"", ""tr"")"),"Kamçı borusu")</f>
        <v>Kamçı borusu</v>
      </c>
      <c r="G193" s="23" t="str">
        <f>IFERROR(__xludf.DUMMYFUNCTION("GOOGLETRANSLATE(B193, ""en"", ""pt"")"),"Mage roupão.")</f>
        <v>Mage roupão.</v>
      </c>
      <c r="H193" s="24" t="str">
        <f>IFERROR(__xludf.DUMMYFUNCTION("GOOGLETRANSLATE(B193, ""en"", ""de"")"),"Magierrobe")</f>
        <v>Magierrobe</v>
      </c>
      <c r="I193" s="23" t="str">
        <f>IFERROR(__xludf.DUMMYFUNCTION("GOOGLETRANSLATE(B193, ""en"", ""pl"")"),"Szata Maga.")</f>
        <v>Szata Maga.</v>
      </c>
      <c r="J193" s="25" t="str">
        <f>IFERROR(__xludf.DUMMYFUNCTION("GOOGLETRANSLATE(B193, ""en"", ""zh"")"),"法师长袍")</f>
        <v>法师长袍</v>
      </c>
      <c r="K193" s="25" t="str">
        <f>IFERROR(__xludf.DUMMYFUNCTION("GOOGLETRANSLATE(B193, ""en"", ""vi"")"),"Pháp sư robe.")</f>
        <v>Pháp sư robe.</v>
      </c>
      <c r="L193" s="26" t="str">
        <f>IFERROR(__xludf.DUMMYFUNCTION("GOOGLETRANSLATE(B193, ""en"", ""hr"")"),"Haljina")</f>
        <v>Haljina</v>
      </c>
      <c r="M193" s="28"/>
      <c r="N193" s="28"/>
      <c r="O193" s="28"/>
      <c r="P193" s="28"/>
      <c r="Q193" s="28"/>
      <c r="R193" s="28"/>
      <c r="S193" s="28"/>
      <c r="T193" s="28"/>
      <c r="U193" s="28"/>
      <c r="V193" s="28"/>
      <c r="W193" s="28"/>
      <c r="X193" s="28"/>
      <c r="Y193" s="28"/>
      <c r="Z193" s="28"/>
      <c r="AA193" s="28"/>
      <c r="AB193" s="28"/>
    </row>
    <row r="194">
      <c r="A194" s="21" t="s">
        <v>714</v>
      </c>
      <c r="B194" s="22" t="s">
        <v>715</v>
      </c>
      <c r="C194" s="23" t="str">
        <f>IFERROR(__xludf.DUMMYFUNCTION("GOOGLETRANSLATE(B194, ""en"", ""fr"")"),"Une robe de base pour faire de la magie. Augmente votre statistique magique tout en porté.")</f>
        <v>Une robe de base pour faire de la magie. Augmente votre statistique magique tout en porté.</v>
      </c>
      <c r="D194" s="23" t="str">
        <f>IFERROR(__xludf.DUMMYFUNCTION("GOOGLETRANSLATE(B194, ""en"", ""es"")"),"Una túnica básica para hacer magia. Aumenta tu estadística mágica mientras está usada.")</f>
        <v>Una túnica básica para hacer magia. Aumenta tu estadística mágica mientras está usada.</v>
      </c>
      <c r="E194" s="23" t="str">
        <f>IFERROR(__xludf.DUMMYFUNCTION("GOOGLETRANSLATE(B194, ""en"", ""ru"")"),"Базовый халат для магии. Увеличивает вашу волшебную статуровку, когда носить.")</f>
        <v>Базовый халат для магии. Увеличивает вашу волшебную статуровку, когда носить.</v>
      </c>
      <c r="F194" s="23" t="str">
        <f>IFERROR(__xludf.DUMMYFUNCTION("GOOGLETRANSLATE(B194, ""en"", ""tr"")"),"Büyü yapmak için temel bir bornoz. Yıpranırken sihirli statünüzü arttırır.")</f>
        <v>Büyü yapmak için temel bir bornoz. Yıpranırken sihirli statünüzü arttırır.</v>
      </c>
      <c r="G194" s="23" t="str">
        <f>IFERROR(__xludf.DUMMYFUNCTION("GOOGLETRANSLATE(B194, ""en"", ""pt"")"),"Um manto básico para fazer magia dentro Aumenta sua estatística mágica enquanto estiver desgastada.")</f>
        <v>Um manto básico para fazer magia dentro Aumenta sua estatística mágica enquanto estiver desgastada.</v>
      </c>
      <c r="H194" s="24" t="str">
        <f>IFERROR(__xludf.DUMMYFUNCTION("GOOGLETRANSLATE(B194, ""en"", ""de"")"),"Ein grundlegender Gewand für die Magie in. Erhöht Ihren Zauberstat während getragen.")</f>
        <v>Ein grundlegender Gewand für die Magie in. Erhöht Ihren Zauberstat während getragen.</v>
      </c>
      <c r="I194" s="23" t="str">
        <f>IFERROR(__xludf.DUMMYFUNCTION("GOOGLETRANSLATE(B194, ""en"", ""pl"")"),"Podstawowa szata do robienia magii. Zwiększa twoją magiczną statystykę podczas noszenia.")</f>
        <v>Podstawowa szata do robienia magii. Zwiększa twoją magiczną statystykę podczas noszenia.</v>
      </c>
      <c r="J194" s="25" t="str">
        <f>IFERROR(__xludf.DUMMYFUNCTION("GOOGLETRANSLATE(B194, ""en"", ""zh"")"),"一个基本的长袍做魔术。在磨损时增加了你的魔法统计数据。")</f>
        <v>一个基本的长袍做魔术。在磨损时增加了你的魔法统计数据。</v>
      </c>
      <c r="K194" s="25" t="str">
        <f>IFERROR(__xludf.DUMMYFUNCTION("GOOGLETRANSLATE(B194, ""en"", ""vi"")"),"Một chiếc áo choàng cơ bản để làm phép thuật trong. Tăng số liệu thống kê ma thuật của bạn trong khi mặc.")</f>
        <v>Một chiếc áo choàng cơ bản để làm phép thuật trong. Tăng số liệu thống kê ma thuật của bạn trong khi mặc.</v>
      </c>
      <c r="L194" s="26" t="str">
        <f>IFERROR(__xludf.DUMMYFUNCTION("GOOGLETRANSLATE(B194, ""en"", ""hr"")"),"Osnovna haljina za magiju. Povećava vašu čarobnu statistiku dok se nosi.")</f>
        <v>Osnovna haljina za magiju. Povećava vašu čarobnu statistiku dok se nosi.</v>
      </c>
      <c r="M194" s="28"/>
      <c r="N194" s="28"/>
      <c r="O194" s="28"/>
      <c r="P194" s="28"/>
      <c r="Q194" s="28"/>
      <c r="R194" s="28"/>
      <c r="S194" s="28"/>
      <c r="T194" s="28"/>
      <c r="U194" s="28"/>
      <c r="V194" s="28"/>
      <c r="W194" s="28"/>
      <c r="X194" s="28"/>
      <c r="Y194" s="28"/>
      <c r="Z194" s="28"/>
      <c r="AA194" s="28"/>
      <c r="AB194" s="28"/>
    </row>
    <row r="195">
      <c r="A195" s="21" t="s">
        <v>716</v>
      </c>
      <c r="B195" s="22" t="s">
        <v>717</v>
      </c>
      <c r="C195" s="23" t="str">
        <f>IFERROR(__xludf.DUMMYFUNCTION("GOOGLETRANSLATE(B195, ""en"", ""fr"")"),"Robe nécromancienne")</f>
        <v>Robe nécromancienne</v>
      </c>
      <c r="D195" s="23" t="str">
        <f>IFERROR(__xludf.DUMMYFUNCTION("GOOGLETRANSLATE(B195, ""en"", ""es"")"),"Bata de nigromante")</f>
        <v>Bata de nigromante</v>
      </c>
      <c r="E195" s="23" t="str">
        <f>IFERROR(__xludf.DUMMYFUNCTION("GOOGLETRANSLATE(B195, ""en"", ""ru"")"),"Некромансер")</f>
        <v>Некромансер</v>
      </c>
      <c r="F195" s="23" t="str">
        <f>IFERROR(__xludf.DUMMYFUNCTION("GOOGLETRANSLATE(B195, ""en"", ""tr"")"),"Necromancer robe")</f>
        <v>Necromancer robe</v>
      </c>
      <c r="G195" s="23" t="str">
        <f>IFERROR(__xludf.DUMMYFUNCTION("GOOGLETRANSLATE(B195, ""en"", ""pt"")"),"Robe do Necromancer.")</f>
        <v>Robe do Necromancer.</v>
      </c>
      <c r="H195" s="24" t="str">
        <f>IFERROR(__xludf.DUMMYFUNCTION("GOOGLETRANSLATE(B195, ""en"", ""de"")"),"Nekromantrobe")</f>
        <v>Nekromantrobe</v>
      </c>
      <c r="I195" s="23" t="str">
        <f>IFERROR(__xludf.DUMMYFUNCTION("GOOGLETRANSLATE(B195, ""en"", ""pl"")"),"Szata Nekromanta")</f>
        <v>Szata Nekromanta</v>
      </c>
      <c r="J195" s="25" t="str">
        <f>IFERROR(__xludf.DUMMYFUNCTION("GOOGLETRANSLATE(B195, ""en"", ""zh"")"),"死灵法师长袍")</f>
        <v>死灵法师长袍</v>
      </c>
      <c r="K195" s="25" t="str">
        <f>IFERROR(__xludf.DUMMYFUNCTION("GOOGLETRANSLATE(B195, ""en"", ""vi"")"),"Áo choàng necromancer.")</f>
        <v>Áo choàng necromancer.</v>
      </c>
      <c r="L195" s="26" t="str">
        <f>IFERROR(__xludf.DUMMYFUNCTION("GOOGLETRANSLATE(B195, ""en"", ""hr"")"),"Haljina nekromanta")</f>
        <v>Haljina nekromanta</v>
      </c>
      <c r="M195" s="28"/>
      <c r="N195" s="28"/>
      <c r="O195" s="28"/>
      <c r="P195" s="28"/>
      <c r="Q195" s="28"/>
      <c r="R195" s="28"/>
      <c r="S195" s="28"/>
      <c r="T195" s="28"/>
      <c r="U195" s="28"/>
      <c r="V195" s="28"/>
      <c r="W195" s="28"/>
      <c r="X195" s="28"/>
      <c r="Y195" s="28"/>
      <c r="Z195" s="28"/>
      <c r="AA195" s="28"/>
      <c r="AB195" s="28"/>
    </row>
    <row r="196">
      <c r="A196" s="21" t="s">
        <v>718</v>
      </c>
      <c r="B196" s="22" t="s">
        <v>715</v>
      </c>
      <c r="C196" s="23" t="str">
        <f>IFERROR(__xludf.DUMMYFUNCTION("GOOGLETRANSLATE(B196, ""en"", ""fr"")"),"Une robe de base pour faire de la magie. Augmente votre statistique magique tout en porté.")</f>
        <v>Une robe de base pour faire de la magie. Augmente votre statistique magique tout en porté.</v>
      </c>
      <c r="D196" s="23" t="str">
        <f>IFERROR(__xludf.DUMMYFUNCTION("GOOGLETRANSLATE(B196, ""en"", ""es"")"),"Una túnica básica para hacer magia. Aumenta tu estadística mágica mientras está usada.")</f>
        <v>Una túnica básica para hacer magia. Aumenta tu estadística mágica mientras está usada.</v>
      </c>
      <c r="E196" s="23" t="str">
        <f>IFERROR(__xludf.DUMMYFUNCTION("GOOGLETRANSLATE(B196, ""en"", ""ru"")"),"Базовый халат для магии. Увеличивает вашу волшебную статуровку, когда носить.")</f>
        <v>Базовый халат для магии. Увеличивает вашу волшебную статуровку, когда носить.</v>
      </c>
      <c r="F196" s="23" t="str">
        <f>IFERROR(__xludf.DUMMYFUNCTION("GOOGLETRANSLATE(B196, ""en"", ""tr"")"),"Büyü yapmak için temel bir bornoz. Yıpranırken sihirli statünüzü arttırır.")</f>
        <v>Büyü yapmak için temel bir bornoz. Yıpranırken sihirli statünüzü arttırır.</v>
      </c>
      <c r="G196" s="23" t="str">
        <f>IFERROR(__xludf.DUMMYFUNCTION("GOOGLETRANSLATE(B196, ""en"", ""pt"")"),"Um manto básico para fazer magia dentro Aumenta sua estatística mágica enquanto estiver desgastada.")</f>
        <v>Um manto básico para fazer magia dentro Aumenta sua estatística mágica enquanto estiver desgastada.</v>
      </c>
      <c r="H196" s="24" t="str">
        <f>IFERROR(__xludf.DUMMYFUNCTION("GOOGLETRANSLATE(B196, ""en"", ""de"")"),"Ein grundlegender Gewand für die Magie in. Erhöht Ihren Zauberstat während getragen.")</f>
        <v>Ein grundlegender Gewand für die Magie in. Erhöht Ihren Zauberstat während getragen.</v>
      </c>
      <c r="I196" s="23" t="str">
        <f>IFERROR(__xludf.DUMMYFUNCTION("GOOGLETRANSLATE(B196, ""en"", ""pl"")"),"Podstawowa szata do robienia magii. Zwiększa twoją magiczną statystykę podczas noszenia.")</f>
        <v>Podstawowa szata do robienia magii. Zwiększa twoją magiczną statystykę podczas noszenia.</v>
      </c>
      <c r="J196" s="25" t="str">
        <f>IFERROR(__xludf.DUMMYFUNCTION("GOOGLETRANSLATE(B196, ""en"", ""zh"")"),"一个基本的长袍做魔术。在磨损时增加了你的魔法统计数据。")</f>
        <v>一个基本的长袍做魔术。在磨损时增加了你的魔法统计数据。</v>
      </c>
      <c r="K196" s="25" t="str">
        <f>IFERROR(__xludf.DUMMYFUNCTION("GOOGLETRANSLATE(B196, ""en"", ""vi"")"),"Một chiếc áo choàng cơ bản để làm phép thuật trong. Tăng số liệu thống kê ma thuật của bạn trong khi mặc.")</f>
        <v>Một chiếc áo choàng cơ bản để làm phép thuật trong. Tăng số liệu thống kê ma thuật của bạn trong khi mặc.</v>
      </c>
      <c r="L196" s="26" t="str">
        <f>IFERROR(__xludf.DUMMYFUNCTION("GOOGLETRANSLATE(B196, ""en"", ""hr"")"),"Osnovna haljina za magiju. Povećava vašu čarobnu statistiku dok se nosi.")</f>
        <v>Osnovna haljina za magiju. Povećava vašu čarobnu statistiku dok se nosi.</v>
      </c>
      <c r="M196" s="28"/>
      <c r="N196" s="28"/>
      <c r="O196" s="28"/>
      <c r="P196" s="28"/>
      <c r="Q196" s="28"/>
      <c r="R196" s="28"/>
      <c r="S196" s="28"/>
      <c r="T196" s="28"/>
      <c r="U196" s="28"/>
      <c r="V196" s="28"/>
      <c r="W196" s="28"/>
      <c r="X196" s="28"/>
      <c r="Y196" s="28"/>
      <c r="Z196" s="28"/>
      <c r="AA196" s="28"/>
      <c r="AB196" s="28"/>
    </row>
    <row r="197">
      <c r="A197" s="21" t="s">
        <v>719</v>
      </c>
      <c r="B197" s="22" t="s">
        <v>720</v>
      </c>
      <c r="C197" s="23" t="str">
        <f>IFERROR(__xludf.DUMMYFUNCTION("GOOGLETRANSLATE(B197, ""en"", ""fr"")"),"Manteau")</f>
        <v>Manteau</v>
      </c>
      <c r="D197" s="23" t="str">
        <f>IFERROR(__xludf.DUMMYFUNCTION("GOOGLETRANSLATE(B197, ""en"", ""es"")"),"Capa")</f>
        <v>Capa</v>
      </c>
      <c r="E197" s="23" t="str">
        <f>IFERROR(__xludf.DUMMYFUNCTION("GOOGLETRANSLATE(B197, ""en"", ""ru"")"),"Плащ")</f>
        <v>Плащ</v>
      </c>
      <c r="F197" s="23" t="str">
        <f>IFERROR(__xludf.DUMMYFUNCTION("GOOGLETRANSLATE(B197, ""en"", ""tr"")"),"Pelerin")</f>
        <v>Pelerin</v>
      </c>
      <c r="G197" s="23" t="str">
        <f>IFERROR(__xludf.DUMMYFUNCTION("GOOGLETRANSLATE(B197, ""en"", ""pt"")"),"Capa")</f>
        <v>Capa</v>
      </c>
      <c r="H197" s="24" t="str">
        <f>IFERROR(__xludf.DUMMYFUNCTION("GOOGLETRANSLATE(B197, ""en"", ""de"")"),"Mantel")</f>
        <v>Mantel</v>
      </c>
      <c r="I197" s="23" t="str">
        <f>IFERROR(__xludf.DUMMYFUNCTION("GOOGLETRANSLATE(B197, ""en"", ""pl"")"),"Płaszcz")</f>
        <v>Płaszcz</v>
      </c>
      <c r="J197" s="25" t="str">
        <f>IFERROR(__xludf.DUMMYFUNCTION("GOOGLETRANSLATE(B197, ""en"", ""zh"")"),"披风")</f>
        <v>披风</v>
      </c>
      <c r="K197" s="25" t="str">
        <f>IFERROR(__xludf.DUMMYFUNCTION("GOOGLETRANSLATE(B197, ""en"", ""vi"")"),"Áo choàng")</f>
        <v>Áo choàng</v>
      </c>
      <c r="L197" s="26" t="str">
        <f>IFERROR(__xludf.DUMMYFUNCTION("GOOGLETRANSLATE(B197, ""en"", ""hr"")"),"Plašt")</f>
        <v>Plašt</v>
      </c>
      <c r="M197" s="28"/>
      <c r="N197" s="28"/>
      <c r="O197" s="28"/>
      <c r="P197" s="28"/>
      <c r="Q197" s="28"/>
      <c r="R197" s="28"/>
      <c r="S197" s="28"/>
      <c r="T197" s="28"/>
      <c r="U197" s="28"/>
      <c r="V197" s="28"/>
      <c r="W197" s="28"/>
      <c r="X197" s="28"/>
      <c r="Y197" s="28"/>
      <c r="Z197" s="28"/>
      <c r="AA197" s="28"/>
      <c r="AB197" s="28"/>
    </row>
    <row r="198">
      <c r="A198" s="21" t="s">
        <v>721</v>
      </c>
      <c r="B198" s="22" t="s">
        <v>722</v>
      </c>
      <c r="C198" s="23" t="str">
        <f>IFERROR(__xludf.DUMMYFUNCTION("GOOGLETRANSLATE(B198, ""en"", ""fr"")"),"Une manteau de base pour faire varie. Augmente votre statistique à distance tout en portant.")</f>
        <v>Une manteau de base pour faire varie. Augmente votre statistique à distance tout en portant.</v>
      </c>
      <c r="D198" s="23" t="str">
        <f>IFERROR(__xludf.DUMMYFUNCTION("GOOGLETRANSLATE(B198, ""en"", ""es"")"),"Una capa básica para hacer iban. Aumenta tu estadística a la izquierda mientras usa.")</f>
        <v>Una capa básica para hacer iban. Aumenta tu estadística a la izquierda mientras usa.</v>
      </c>
      <c r="E198" s="23" t="str">
        <f>IFERROR(__xludf.DUMMYFUNCTION("GOOGLETRANSLATE(B198, ""en"", ""ru"")"),"Базовый плащ для вытягивания. Увеличивает вашу валютую статуровку во время изношенности.")</f>
        <v>Базовый плащ для вытягивания. Увеличивает вашу валютую статуровку во время изношенности.</v>
      </c>
      <c r="F198" s="23" t="str">
        <f>IFERROR(__xludf.DUMMYFUNCTION("GOOGLETRANSLATE(B198, ""en"", ""tr"")"),"Değişmek için temel bir pelerin. Yıpranırken değişen statünüzü arttırır.")</f>
        <v>Değişmek için temel bir pelerin. Yıpranırken değişen statünüzü arttırır.</v>
      </c>
      <c r="G198" s="23" t="str">
        <f>IFERROR(__xludf.DUMMYFUNCTION("GOOGLETRANSLATE(B198, ""en"", ""pt"")"),"Um manto básico para fazer variou. Aumenta sua estatística à distância enquanto usava.")</f>
        <v>Um manto básico para fazer variou. Aumenta sua estatística à distância enquanto usava.</v>
      </c>
      <c r="H198" s="24" t="str">
        <f>IFERROR(__xludf.DUMMYFUNCTION("GOOGLETRANSLATE(B198, ""en"", ""de"")"),"Ein grundlegender Mantel für das Tuning in. Erhöht Ihre Fernkampfstat, während Sie getragen werden.")</f>
        <v>Ein grundlegender Mantel für das Tuning in. Erhöht Ihre Fernkampfstat, während Sie getragen werden.</v>
      </c>
      <c r="I198" s="23" t="str">
        <f>IFERROR(__xludf.DUMMYFUNCTION("GOOGLETRANSLATE(B198, ""en"", ""pl"")"),"Podstawowy płaszcz do wykrycia. Zwiększa twój dystansowy statystykę podczas noszenia.")</f>
        <v>Podstawowy płaszcz do wykrycia. Zwiększa twój dystansowy statystykę podczas noszenia.</v>
      </c>
      <c r="J198" s="25" t="str">
        <f>IFERROR(__xludf.DUMMYFUNCTION("GOOGLETRANSLATE(B198, ""en"", ""zh"")"),"用于做的基本斗篷。磨损时增加了你的范围的统计数据。")</f>
        <v>用于做的基本斗篷。磨损时增加了你的范围的统计数据。</v>
      </c>
      <c r="K198" s="25" t="str">
        <f>IFERROR(__xludf.DUMMYFUNCTION("GOOGLETRANSLATE(B198, ""en"", ""vi"")"),"Một chiếc áo choàng cơ bản để thực hiện trong. Tăng số liệu thống kê tầm xa của bạn trong khi mặc.")</f>
        <v>Một chiếc áo choàng cơ bản để thực hiện trong. Tăng số liệu thống kê tầm xa của bạn trong khi mặc.</v>
      </c>
      <c r="L198" s="26" t="str">
        <f>IFERROR(__xludf.DUMMYFUNCTION("GOOGLETRANSLATE(B198, ""en"", ""hr"")"),"Osnovni ogrtač za rad u rasponu. Povećava vašu statu dok je nosila.")</f>
        <v>Osnovni ogrtač za rad u rasponu. Povećava vašu statu dok je nosila.</v>
      </c>
      <c r="M198" s="28"/>
      <c r="N198" s="28"/>
      <c r="O198" s="28"/>
      <c r="P198" s="28"/>
      <c r="Q198" s="28"/>
      <c r="R198" s="28"/>
      <c r="S198" s="28"/>
      <c r="T198" s="28"/>
      <c r="U198" s="28"/>
      <c r="V198" s="28"/>
      <c r="W198" s="28"/>
      <c r="X198" s="28"/>
      <c r="Y198" s="28"/>
      <c r="Z198" s="28"/>
      <c r="AA198" s="28"/>
      <c r="AB198" s="28"/>
    </row>
    <row r="199">
      <c r="A199" s="21" t="s">
        <v>723</v>
      </c>
      <c r="B199" s="22" t="s">
        <v>724</v>
      </c>
      <c r="C199" s="23" t="str">
        <f>IFERROR(__xludf.DUMMYFUNCTION("GOOGLETRANSLATE(B199, ""en"", ""fr"")"),"Ninja Garb")</f>
        <v>Ninja Garb</v>
      </c>
      <c r="D199" s="23" t="str">
        <f>IFERROR(__xludf.DUMMYFUNCTION("GOOGLETRANSLATE(B199, ""en"", ""es"")"),"Ninja garb")</f>
        <v>Ninja garb</v>
      </c>
      <c r="E199" s="23" t="str">
        <f>IFERROR(__xludf.DUMMYFUNCTION("GOOGLETRANSLATE(B199, ""en"", ""ru"")"),"Ниндзя одеваться")</f>
        <v>Ниндзя одеваться</v>
      </c>
      <c r="F199" s="23" t="str">
        <f>IFERROR(__xludf.DUMMYFUNCTION("GOOGLETRANSLATE(B199, ""en"", ""tr"")"),"Ninja garb")</f>
        <v>Ninja garb</v>
      </c>
      <c r="G199" s="23" t="str">
        <f>IFERROR(__xludf.DUMMYFUNCTION("GOOGLETRANSLATE(B199, ""en"", ""pt"")"),"Ninja Garb.")</f>
        <v>Ninja Garb.</v>
      </c>
      <c r="H199" s="24" t="str">
        <f>IFERROR(__xludf.DUMMYFUNCTION("GOOGLETRANSLATE(B199, ""en"", ""de"")"),"Ninja GARB.")</f>
        <v>Ninja GARB.</v>
      </c>
      <c r="I199" s="23" t="str">
        <f>IFERROR(__xludf.DUMMYFUNCTION("GOOGLETRANSLATE(B199, ""en"", ""pl"")"),"Ninja Garb.")</f>
        <v>Ninja Garb.</v>
      </c>
      <c r="J199" s="25" t="str">
        <f>IFERROR(__xludf.DUMMYFUNCTION("GOOGLETRANSLATE(B199, ""en"", ""zh"")"),"忍者服装")</f>
        <v>忍者服装</v>
      </c>
      <c r="K199" s="25" t="str">
        <f>IFERROR(__xludf.DUMMYFUNCTION("GOOGLETRANSLATE(B199, ""en"", ""vi"")"),"Ninja Garb.")</f>
        <v>Ninja Garb.</v>
      </c>
      <c r="L199" s="26" t="str">
        <f>IFERROR(__xludf.DUMMYFUNCTION("GOOGLETRANSLATE(B199, ""en"", ""hr"")"),"Ninja odjeća")</f>
        <v>Ninja odjeća</v>
      </c>
      <c r="M199" s="28"/>
      <c r="N199" s="28"/>
      <c r="O199" s="28"/>
      <c r="P199" s="28"/>
      <c r="Q199" s="28"/>
      <c r="R199" s="28"/>
      <c r="S199" s="28"/>
      <c r="T199" s="28"/>
      <c r="U199" s="28"/>
      <c r="V199" s="28"/>
      <c r="W199" s="28"/>
      <c r="X199" s="28"/>
      <c r="Y199" s="28"/>
      <c r="Z199" s="28"/>
      <c r="AA199" s="28"/>
      <c r="AB199" s="28"/>
    </row>
    <row r="200">
      <c r="A200" s="21" t="s">
        <v>725</v>
      </c>
      <c r="B200" s="22" t="s">
        <v>726</v>
      </c>
      <c r="C200" s="23" t="str">
        <f>IFERROR(__xludf.DUMMYFUNCTION("GOOGLETRANSLATE(B200, ""en"", ""fr"")"),"Augmente vos statistiques de mêlée et à distance et cache votre nom tout en porté.")</f>
        <v>Augmente vos statistiques de mêlée et à distance et cache votre nom tout en porté.</v>
      </c>
      <c r="D200" s="23" t="str">
        <f>IFERROR(__xludf.DUMMYFUNCTION("GOOGLETRANSLATE(B200, ""en"", ""es"")"),"Aumenta tus estadísticas cuerpo a cuerpo y a distancia y esconde tu nombre mientras estaba usado.")</f>
        <v>Aumenta tus estadísticas cuerpo a cuerpo y a distancia y esconde tu nombre mientras estaba usado.</v>
      </c>
      <c r="E200" s="23" t="str">
        <f>IFERROR(__xludf.DUMMYFUNCTION("GOOGLETRANSLATE(B200, ""en"", ""ru"")"),"Увеличивает свое рукопашное бою и варьированную статистику и скрывает ваше имя, когда носить.")</f>
        <v>Увеличивает свое рукопашное бою и варьированную статистику и скрывает ваше имя, когда носить.</v>
      </c>
      <c r="F200" s="23" t="str">
        <f>IFERROR(__xludf.DUMMYFUNCTION("GOOGLETRANSLATE(B200, ""en"", ""tr"")"),"Yakın muharebeyi ve değişken istatistiklerinizi arttırır ve yıpranırken adınızı gizler.")</f>
        <v>Yakın muharebeyi ve değişken istatistiklerinizi arttırır ve yıpranırken adınızı gizler.</v>
      </c>
      <c r="G200" s="23" t="str">
        <f>IFERROR(__xludf.DUMMYFUNCTION("GOOGLETRANSLATE(B200, ""en"", ""pt"")"),"Aumenta suas estatísticas corpo-a-corpo e variadas e esconde seu nome enquanto estiver desgastado.")</f>
        <v>Aumenta suas estatísticas corpo-a-corpo e variadas e esconde seu nome enquanto estiver desgastado.</v>
      </c>
      <c r="H200" s="24" t="str">
        <f>IFERROR(__xludf.DUMMYFUNCTION("GOOGLETRANSLATE(B200, ""en"", ""de"")"),"Erhöht Ihren Nahkampf- und Fernbedienungsstat und versteckt Ihren Namen, während Sie getragen werden.")</f>
        <v>Erhöht Ihren Nahkampf- und Fernbedienungsstat und versteckt Ihren Namen, während Sie getragen werden.</v>
      </c>
      <c r="I200" s="23" t="str">
        <f>IFERROR(__xludf.DUMMYFUNCTION("GOOGLETRANSLATE(B200, ""en"", ""pl"")"),"Zwiększa statywy wręcz i dystansowały i ukrywa swoje imię podczas noszenia.")</f>
        <v>Zwiększa statywy wręcz i dystansowały i ukrywa swoje imię podczas noszenia.</v>
      </c>
      <c r="J200" s="25" t="str">
        <f>IFERROR(__xludf.DUMMYFUNCTION("GOOGLETRANSLATE(B200, ""en"", ""zh"")"),"增加你的近战和范围的统计数据，并在磨损时隐藏你的名字。")</f>
        <v>增加你的近战和范围的统计数据，并在磨损时隐藏你的名字。</v>
      </c>
      <c r="K200" s="25" t="str">
        <f>IFERROR(__xludf.DUMMYFUNCTION("GOOGLETRANSLATE(B200, ""en"", ""vi"")"),"Tăng số liệu thống kê cận chiến và tầm xa của bạn và che giấu tên của bạn trong khi bị mòn.")</f>
        <v>Tăng số liệu thống kê cận chiến và tầm xa của bạn và che giấu tên của bạn trong khi bị mòn.</v>
      </c>
      <c r="L200" s="26" t="str">
        <f>IFERROR(__xludf.DUMMYFUNCTION("GOOGLETRANSLATE(B200, ""en"", ""hr"")"),"Povećava gužvu i kreće se i skriva vaše ime dok je istrošeno.")</f>
        <v>Povećava gužvu i kreće se i skriva vaše ime dok je istrošeno.</v>
      </c>
      <c r="M200" s="28"/>
      <c r="N200" s="28"/>
      <c r="O200" s="28"/>
      <c r="P200" s="28"/>
      <c r="Q200" s="28"/>
      <c r="R200" s="28"/>
      <c r="S200" s="28"/>
      <c r="T200" s="28"/>
      <c r="U200" s="28"/>
      <c r="V200" s="28"/>
      <c r="W200" s="28"/>
      <c r="X200" s="28"/>
      <c r="Y200" s="28"/>
      <c r="Z200" s="28"/>
      <c r="AA200" s="28"/>
      <c r="AB200" s="28"/>
    </row>
    <row r="201">
      <c r="A201" s="21" t="s">
        <v>727</v>
      </c>
      <c r="B201" s="22" t="s">
        <v>728</v>
      </c>
      <c r="C201" s="23" t="str">
        <f>IFERROR(__xludf.DUMMYFUNCTION("GOOGLETRANSLATE(B201, ""en"", ""fr"")"),"Charte")</f>
        <v>Charte</v>
      </c>
      <c r="D201" s="23" t="str">
        <f>IFERROR(__xludf.DUMMYFUNCTION("GOOGLETRANSLATE(B201, ""en"", ""es"")"),"Carta")</f>
        <v>Carta</v>
      </c>
      <c r="E201" s="23" t="str">
        <f>IFERROR(__xludf.DUMMYFUNCTION("GOOGLETRANSLATE(B201, ""en"", ""ru"")"),"Шартер")</f>
        <v>Шартер</v>
      </c>
      <c r="F201" s="23" t="str">
        <f>IFERROR(__xludf.DUMMYFUNCTION("GOOGLETRANSLATE(B201, ""en"", ""tr"")"),"Tüzük")</f>
        <v>Tüzük</v>
      </c>
      <c r="G201" s="23" t="str">
        <f>IFERROR(__xludf.DUMMYFUNCTION("GOOGLETRANSLATE(B201, ""en"", ""pt"")"),"Carta")</f>
        <v>Carta</v>
      </c>
      <c r="H201" s="24" t="str">
        <f>IFERROR(__xludf.DUMMYFUNCTION("GOOGLETRANSLATE(B201, ""en"", ""de"")"),"Charta")</f>
        <v>Charta</v>
      </c>
      <c r="I201" s="23" t="str">
        <f>IFERROR(__xludf.DUMMYFUNCTION("GOOGLETRANSLATE(B201, ""en"", ""pl"")"),"Czarter")</f>
        <v>Czarter</v>
      </c>
      <c r="J201" s="25" t="str">
        <f>IFERROR(__xludf.DUMMYFUNCTION("GOOGLETRANSLATE(B201, ""en"", ""zh"")"),"宪章")</f>
        <v>宪章</v>
      </c>
      <c r="K201" s="25" t="str">
        <f>IFERROR(__xludf.DUMMYFUNCTION("GOOGLETRANSLATE(B201, ""en"", ""vi"")"),"Điều lệ")</f>
        <v>Điều lệ</v>
      </c>
      <c r="L201" s="26" t="str">
        <f>IFERROR(__xludf.DUMMYFUNCTION("GOOGLETRANSLATE(B201, ""en"", ""hr"")"),"Čarter")</f>
        <v>Čarter</v>
      </c>
      <c r="M201" s="28"/>
      <c r="N201" s="28"/>
      <c r="O201" s="28"/>
      <c r="P201" s="28"/>
      <c r="Q201" s="28"/>
      <c r="R201" s="28"/>
      <c r="S201" s="28"/>
      <c r="T201" s="28"/>
      <c r="U201" s="28"/>
      <c r="V201" s="28"/>
      <c r="W201" s="28"/>
      <c r="X201" s="28"/>
      <c r="Y201" s="28"/>
      <c r="Z201" s="28"/>
      <c r="AA201" s="28"/>
      <c r="AB201" s="28"/>
    </row>
    <row r="202">
      <c r="A202" s="21" t="s">
        <v>729</v>
      </c>
      <c r="B202" s="22" t="s">
        <v>730</v>
      </c>
      <c r="C202" s="23" t="str">
        <f>IFERROR(__xludf.DUMMYFUNCTION("GOOGLETRANSLATE(B202, ""en"", ""fr"")"),"Structure du clan. Endroit pour démarrer un clan. Utilisé pour créer d'autres structures de clan. Si cela est détruit, le clan et toutes les structures sont également détruits.")</f>
        <v>Structure du clan. Endroit pour démarrer un clan. Utilisé pour créer d'autres structures de clan. Si cela est détruit, le clan et toutes les structures sont également détruits.</v>
      </c>
      <c r="D202" s="23" t="str">
        <f>IFERROR(__xludf.DUMMYFUNCTION("GOOGLETRANSLATE(B202, ""en"", ""es"")"),"Estructura del clan. Lugar para iniciar un clan. Se utiliza para elaborar otras estructuras de clan. Si esto se destruye, el clan y todas las estructuras también se destruyen.")</f>
        <v>Estructura del clan. Lugar para iniciar un clan. Se utiliza para elaborar otras estructuras de clan. Si esto se destruye, el clan y todas las estructuras también se destruyen.</v>
      </c>
      <c r="E202" s="23" t="str">
        <f>IFERROR(__xludf.DUMMYFUNCTION("GOOGLETRANSLATE(B202, ""en"", ""ru"")"),"Клановая структура. Место, чтобы начать клан. Используется для создания других клановых структур. Если это разрушено, клан и все структуры также разрушаются.")</f>
        <v>Клановая структура. Место, чтобы начать клан. Используется для создания других клановых структур. Если это разрушено, клан и все структуры также разрушаются.</v>
      </c>
      <c r="F202" s="23" t="str">
        <f>IFERROR(__xludf.DUMMYFUNCTION("GOOGLETRANSLATE(B202, ""en"", ""tr"")"),"Klan yapısı. Bir klan başlatmak için yer. Diğer klan yapılarını yapmak için kullanılır. Bu yok edilirse, klan ve tüm yapılar da yok edilir.")</f>
        <v>Klan yapısı. Bir klan başlatmak için yer. Diğer klan yapılarını yapmak için kullanılır. Bu yok edilirse, klan ve tüm yapılar da yok edilir.</v>
      </c>
      <c r="G202" s="23" t="str">
        <f>IFERROR(__xludf.DUMMYFUNCTION("GOOGLETRANSLATE(B202, ""en"", ""pt"")"),"Estrutura de clã. Lugar para começar um clã. Usado para criar outras estruturas de clã. Se isso for destruído, o clã e todas as estruturas também são destruídos.")</f>
        <v>Estrutura de clã. Lugar para começar um clã. Usado para criar outras estruturas de clã. Se isso for destruído, o clã e todas as estruturas também são destruídos.</v>
      </c>
      <c r="H202" s="24" t="str">
        <f>IFERROR(__xludf.DUMMYFUNCTION("GOOGLETRANSLATE(B202, ""en"", ""de"")"),"Clanstruktur. Ort, um einen Clan zu starten. Verwendet, um andere Clan-Strukturen herzustellen. Wenn dies zerstört wird, werden auch der Clan und alle Strukturen zerstört.")</f>
        <v>Clanstruktur. Ort, um einen Clan zu starten. Verwendet, um andere Clan-Strukturen herzustellen. Wenn dies zerstört wird, werden auch der Clan und alle Strukturen zerstört.</v>
      </c>
      <c r="I202" s="23" t="str">
        <f>IFERROR(__xludf.DUMMYFUNCTION("GOOGLETRANSLATE(B202, ""en"", ""pl"")"),"Struktura klanu. Miejsce do rozpoczęcia klanu. Używane do rzemiosła innych struktur klanowych. Jeśli zostanie to zniszczone, klan i wszystkie struktury są również zniszczone.")</f>
        <v>Struktura klanu. Miejsce do rozpoczęcia klanu. Używane do rzemiosła innych struktur klanowych. Jeśli zostanie to zniszczone, klan i wszystkie struktury są również zniszczone.</v>
      </c>
      <c r="J202" s="25" t="str">
        <f>IFERROR(__xludf.DUMMYFUNCTION("GOOGLETRANSLATE(B202, ""en"", ""zh"")"),"氏族结构。一个开始氏族的地方。用于制作其他氏族结构。如果这被销毁，氏族和所有结构也被摧毁。")</f>
        <v>氏族结构。一个开始氏族的地方。用于制作其他氏族结构。如果这被销毁，氏族和所有结构也被摧毁。</v>
      </c>
      <c r="K202" s="25" t="str">
        <f>IFERROR(__xludf.DUMMYFUNCTION("GOOGLETRANSLATE(B202, ""en"", ""vi"")"),"Cấu trúc gia tộc. Nơi để bắt đầu một bang hội. Được sử dụng để chế tạo các cấu trúc bang hội khác. Nếu điều này bị phá hủy, gia tộc và tất cả các cấu trúc cũng bị phá hủy.")</f>
        <v>Cấu trúc gia tộc. Nơi để bắt đầu một bang hội. Được sử dụng để chế tạo các cấu trúc bang hội khác. Nếu điều này bị phá hủy, gia tộc và tất cả các cấu trúc cũng bị phá hủy.</v>
      </c>
      <c r="L202" s="26" t="str">
        <f>IFERROR(__xludf.DUMMYFUNCTION("GOOGLETRANSLATE(B202, ""en"", ""hr"")"),"Struktura klana. Mjesto za pokretanje klan. Koristi se za obrt drugih klanova struktura. Ako je to uništeno, klan i sve strukture su također uništeni.")</f>
        <v>Struktura klana. Mjesto za pokretanje klan. Koristi se za obrt drugih klanova struktura. Ako je to uništeno, klan i sve strukture su također uništeni.</v>
      </c>
      <c r="M202" s="28"/>
      <c r="N202" s="28"/>
      <c r="O202" s="28"/>
      <c r="P202" s="28"/>
      <c r="Q202" s="28"/>
      <c r="R202" s="28"/>
      <c r="S202" s="28"/>
      <c r="T202" s="28"/>
      <c r="U202" s="28"/>
      <c r="V202" s="28"/>
      <c r="W202" s="28"/>
      <c r="X202" s="28"/>
      <c r="Y202" s="28"/>
      <c r="Z202" s="28"/>
      <c r="AA202" s="28"/>
      <c r="AB202" s="28"/>
    </row>
    <row r="203">
      <c r="A203" s="21" t="s">
        <v>731</v>
      </c>
      <c r="B203" s="22" t="s">
        <v>732</v>
      </c>
      <c r="C203" s="23" t="str">
        <f>IFERROR(__xludf.DUMMYFUNCTION("GOOGLETRANSLATE(B203, ""en"", ""fr"")"),"Mur de bois")</f>
        <v>Mur de bois</v>
      </c>
      <c r="D203" s="23" t="str">
        <f>IFERROR(__xludf.DUMMYFUNCTION("GOOGLETRANSLATE(B203, ""en"", ""es"")"),"Pared de madera")</f>
        <v>Pared de madera</v>
      </c>
      <c r="E203" s="23" t="str">
        <f>IFERROR(__xludf.DUMMYFUNCTION("GOOGLETRANSLATE(B203, ""en"", ""ru"")"),"Деревянная стена")</f>
        <v>Деревянная стена</v>
      </c>
      <c r="F203" s="23" t="str">
        <f>IFERROR(__xludf.DUMMYFUNCTION("GOOGLETRANSLATE(B203, ""en"", ""tr"")"),"Tahta duvar")</f>
        <v>Tahta duvar</v>
      </c>
      <c r="G203" s="23" t="str">
        <f>IFERROR(__xludf.DUMMYFUNCTION("GOOGLETRANSLATE(B203, ""en"", ""pt"")"),"Parede de madeira")</f>
        <v>Parede de madeira</v>
      </c>
      <c r="H203" s="24" t="str">
        <f>IFERROR(__xludf.DUMMYFUNCTION("GOOGLETRANSLATE(B203, ""en"", ""de"")"),"Holzwand")</f>
        <v>Holzwand</v>
      </c>
      <c r="I203" s="23" t="str">
        <f>IFERROR(__xludf.DUMMYFUNCTION("GOOGLETRANSLATE(B203, ""en"", ""pl"")"),"Drewniana ściana")</f>
        <v>Drewniana ściana</v>
      </c>
      <c r="J203" s="25" t="str">
        <f>IFERROR(__xludf.DUMMYFUNCTION("GOOGLETRANSLATE(B203, ""en"", ""zh"")"),"木墙")</f>
        <v>木墙</v>
      </c>
      <c r="K203" s="25" t="str">
        <f>IFERROR(__xludf.DUMMYFUNCTION("GOOGLETRANSLATE(B203, ""en"", ""vi"")"),"Bức tường gỗ")</f>
        <v>Bức tường gỗ</v>
      </c>
      <c r="L203" s="26" t="str">
        <f>IFERROR(__xludf.DUMMYFUNCTION("GOOGLETRANSLATE(B203, ""en"", ""hr"")"),"Drveni zid")</f>
        <v>Drveni zid</v>
      </c>
      <c r="M203" s="28"/>
      <c r="N203" s="28"/>
      <c r="O203" s="28"/>
      <c r="P203" s="28"/>
      <c r="Q203" s="28"/>
      <c r="R203" s="28"/>
      <c r="S203" s="28"/>
      <c r="T203" s="28"/>
      <c r="U203" s="28"/>
      <c r="V203" s="28"/>
      <c r="W203" s="28"/>
      <c r="X203" s="28"/>
      <c r="Y203" s="28"/>
      <c r="Z203" s="28"/>
      <c r="AA203" s="28"/>
      <c r="AB203" s="28"/>
    </row>
    <row r="204">
      <c r="A204" s="21" t="s">
        <v>733</v>
      </c>
      <c r="B204" s="22" t="s">
        <v>734</v>
      </c>
      <c r="C204" s="23" t="str">
        <f>IFERROR(__xludf.DUMMYFUNCTION("GOOGLETRANSLATE(B204, ""en"", ""fr"")"),"Structure du clan. Une faible défense pour une base.")</f>
        <v>Structure du clan. Une faible défense pour une base.</v>
      </c>
      <c r="D204" s="23" t="str">
        <f>IFERROR(__xludf.DUMMYFUNCTION("GOOGLETRANSLATE(B204, ""en"", ""es"")"),"Estructura del clan. Una defensa débil para una base.")</f>
        <v>Estructura del clan. Una defensa débil para una base.</v>
      </c>
      <c r="E204" s="23" t="str">
        <f>IFERROR(__xludf.DUMMYFUNCTION("GOOGLETRANSLATE(B204, ""en"", ""ru"")"),"Клановая структура. Слабая защита для базы.")</f>
        <v>Клановая структура. Слабая защита для базы.</v>
      </c>
      <c r="F204" s="23" t="str">
        <f>IFERROR(__xludf.DUMMYFUNCTION("GOOGLETRANSLATE(B204, ""en"", ""tr"")"),"Klan yapısı. Bir taban için zayıf bir savunma.")</f>
        <v>Klan yapısı. Bir taban için zayıf bir savunma.</v>
      </c>
      <c r="G204" s="23" t="str">
        <f>IFERROR(__xludf.DUMMYFUNCTION("GOOGLETRANSLATE(B204, ""en"", ""pt"")"),"Estrutura de clã. Uma defesa fraca para uma base.")</f>
        <v>Estrutura de clã. Uma defesa fraca para uma base.</v>
      </c>
      <c r="H204" s="24" t="str">
        <f>IFERROR(__xludf.DUMMYFUNCTION("GOOGLETRANSLATE(B204, ""en"", ""de"")"),"Clanstruktur. Eine schwache Verteidigung für eine Basis.")</f>
        <v>Clanstruktur. Eine schwache Verteidigung für eine Basis.</v>
      </c>
      <c r="I204" s="23" t="str">
        <f>IFERROR(__xludf.DUMMYFUNCTION("GOOGLETRANSLATE(B204, ""en"", ""pl"")"),"Struktura klanu. Słaba obrona dla bazy.")</f>
        <v>Struktura klanu. Słaba obrona dla bazy.</v>
      </c>
      <c r="J204" s="25" t="str">
        <f>IFERROR(__xludf.DUMMYFUNCTION("GOOGLETRANSLATE(B204, ""en"", ""zh"")"),"氏族结构。一个基地的防守。")</f>
        <v>氏族结构。一个基地的防守。</v>
      </c>
      <c r="K204" s="25" t="str">
        <f>IFERROR(__xludf.DUMMYFUNCTION("GOOGLETRANSLATE(B204, ""en"", ""vi"")"),"Cấu trúc gia tộc. Một sự bảo vệ yếu cho một căn cứ.")</f>
        <v>Cấu trúc gia tộc. Một sự bảo vệ yếu cho một căn cứ.</v>
      </c>
      <c r="L204" s="26" t="str">
        <f>IFERROR(__xludf.DUMMYFUNCTION("GOOGLETRANSLATE(B204, ""en"", ""hr"")"),"Struktura klana. Slaba obrana za bazu.")</f>
        <v>Struktura klana. Slaba obrana za bazu.</v>
      </c>
      <c r="M204" s="28"/>
      <c r="N204" s="28"/>
      <c r="O204" s="28"/>
      <c r="P204" s="28"/>
      <c r="Q204" s="28"/>
      <c r="R204" s="28"/>
      <c r="S204" s="28"/>
      <c r="T204" s="28"/>
      <c r="U204" s="28"/>
      <c r="V204" s="28"/>
      <c r="W204" s="28"/>
      <c r="X204" s="28"/>
      <c r="Y204" s="28"/>
      <c r="Z204" s="28"/>
      <c r="AA204" s="28"/>
      <c r="AB204" s="28"/>
    </row>
    <row r="205">
      <c r="A205" s="21" t="s">
        <v>735</v>
      </c>
      <c r="B205" s="22" t="s">
        <v>736</v>
      </c>
      <c r="C205" s="23" t="str">
        <f>IFERROR(__xludf.DUMMYFUNCTION("GOOGLETRANSLATE(B205, ""en"", ""fr"")"),"Porte de bois")</f>
        <v>Porte de bois</v>
      </c>
      <c r="D205" s="23" t="str">
        <f>IFERROR(__xludf.DUMMYFUNCTION("GOOGLETRANSLATE(B205, ""en"", ""es"")"),"Puerta de madera")</f>
        <v>Puerta de madera</v>
      </c>
      <c r="E205" s="23" t="str">
        <f>IFERROR(__xludf.DUMMYFUNCTION("GOOGLETRANSLATE(B205, ""en"", ""ru"")"),"Деревянная дверь")</f>
        <v>Деревянная дверь</v>
      </c>
      <c r="F205" s="23" t="str">
        <f>IFERROR(__xludf.DUMMYFUNCTION("GOOGLETRANSLATE(B205, ""en"", ""tr"")"),"Tahta kapı")</f>
        <v>Tahta kapı</v>
      </c>
      <c r="G205" s="23" t="str">
        <f>IFERROR(__xludf.DUMMYFUNCTION("GOOGLETRANSLATE(B205, ""en"", ""pt"")"),"Porta de madeira")</f>
        <v>Porta de madeira</v>
      </c>
      <c r="H205" s="24" t="str">
        <f>IFERROR(__xludf.DUMMYFUNCTION("GOOGLETRANSLATE(B205, ""en"", ""de"")"),"Holztür")</f>
        <v>Holztür</v>
      </c>
      <c r="I205" s="23" t="str">
        <f>IFERROR(__xludf.DUMMYFUNCTION("GOOGLETRANSLATE(B205, ""en"", ""pl"")"),"Drewniane drzwi")</f>
        <v>Drewniane drzwi</v>
      </c>
      <c r="J205" s="25" t="str">
        <f>IFERROR(__xludf.DUMMYFUNCTION("GOOGLETRANSLATE(B205, ""en"", ""zh"")"),"木门")</f>
        <v>木门</v>
      </c>
      <c r="K205" s="25" t="str">
        <f>IFERROR(__xludf.DUMMYFUNCTION("GOOGLETRANSLATE(B205, ""en"", ""vi"")"),"Cửa gô")</f>
        <v>Cửa gô</v>
      </c>
      <c r="L205" s="26" t="str">
        <f>IFERROR(__xludf.DUMMYFUNCTION("GOOGLETRANSLATE(B205, ""en"", ""hr"")"),"Drvena vrata")</f>
        <v>Drvena vrata</v>
      </c>
      <c r="M205" s="28"/>
      <c r="N205" s="28"/>
      <c r="O205" s="28"/>
      <c r="P205" s="28"/>
      <c r="Q205" s="28"/>
      <c r="R205" s="28"/>
      <c r="S205" s="28"/>
      <c r="T205" s="28"/>
      <c r="U205" s="28"/>
      <c r="V205" s="28"/>
      <c r="W205" s="28"/>
      <c r="X205" s="28"/>
      <c r="Y205" s="28"/>
      <c r="Z205" s="28"/>
      <c r="AA205" s="28"/>
      <c r="AB205" s="28"/>
    </row>
    <row r="206">
      <c r="A206" s="21" t="s">
        <v>737</v>
      </c>
      <c r="B206" s="22" t="s">
        <v>738</v>
      </c>
      <c r="C206" s="23" t="str">
        <f>IFERROR(__xludf.DUMMYFUNCTION("GOOGLETRANSLATE(B206, ""en"", ""fr"")"),"Structure du clan. Ne peut être ouvert que par des membres du clan.")</f>
        <v>Structure du clan. Ne peut être ouvert que par des membres du clan.</v>
      </c>
      <c r="D206" s="23" t="str">
        <f>IFERROR(__xludf.DUMMYFUNCTION("GOOGLETRANSLATE(B206, ""en"", ""es"")"),"Estructura del clan. Solo se puede abrir por miembros del clan.")</f>
        <v>Estructura del clan. Solo se puede abrir por miembros del clan.</v>
      </c>
      <c r="E206" s="23" t="str">
        <f>IFERROR(__xludf.DUMMYFUNCTION("GOOGLETRANSLATE(B206, ""en"", ""ru"")"),"Клановая структура. Может быть открыт только членами клана.")</f>
        <v>Клановая структура. Может быть открыт только членами клана.</v>
      </c>
      <c r="F206" s="23" t="str">
        <f>IFERROR(__xludf.DUMMYFUNCTION("GOOGLETRANSLATE(B206, ""en"", ""tr"")"),"Klan yapısı. Sadece klan üyeleri tarafından açılabilir.")</f>
        <v>Klan yapısı. Sadece klan üyeleri tarafından açılabilir.</v>
      </c>
      <c r="G206" s="23" t="str">
        <f>IFERROR(__xludf.DUMMYFUNCTION("GOOGLETRANSLATE(B206, ""en"", ""pt"")"),"Estrutura de clã. Só pode ser aberto pelos membros do clã.")</f>
        <v>Estrutura de clã. Só pode ser aberto pelos membros do clã.</v>
      </c>
      <c r="H206" s="24" t="str">
        <f>IFERROR(__xludf.DUMMYFUNCTION("GOOGLETRANSLATE(B206, ""en"", ""de"")"),"Clanstruktur. Kann nur von Clan-Mitgliedern geöffnet werden.")</f>
        <v>Clanstruktur. Kann nur von Clan-Mitgliedern geöffnet werden.</v>
      </c>
      <c r="I206" s="23" t="str">
        <f>IFERROR(__xludf.DUMMYFUNCTION("GOOGLETRANSLATE(B206, ""en"", ""pl"")"),"Struktura klanu. Można otworzyć tylko przez członków klanu.")</f>
        <v>Struktura klanu. Można otworzyć tylko przez członków klanu.</v>
      </c>
      <c r="J206" s="25" t="str">
        <f>IFERROR(__xludf.DUMMYFUNCTION("GOOGLETRANSLATE(B206, ""en"", ""zh"")"),"氏族结构。只能由氏族成员开放。")</f>
        <v>氏族结构。只能由氏族成员开放。</v>
      </c>
      <c r="K206" s="25" t="str">
        <f>IFERROR(__xludf.DUMMYFUNCTION("GOOGLETRANSLATE(B206, ""en"", ""vi"")"),"Cấu trúc gia tộc. Chỉ có thể được mở bởi các thành viên bang hội.")</f>
        <v>Cấu trúc gia tộc. Chỉ có thể được mở bởi các thành viên bang hội.</v>
      </c>
      <c r="L206" s="26" t="str">
        <f>IFERROR(__xludf.DUMMYFUNCTION("GOOGLETRANSLATE(B206, ""en"", ""hr"")"),"Struktura klana. Mogu otvoriti samo članovi klana.")</f>
        <v>Struktura klana. Mogu otvoriti samo članovi klana.</v>
      </c>
      <c r="M206" s="28"/>
      <c r="N206" s="28"/>
      <c r="O206" s="28"/>
      <c r="P206" s="28"/>
      <c r="Q206" s="28"/>
      <c r="R206" s="28"/>
      <c r="S206" s="28"/>
      <c r="T206" s="28"/>
      <c r="U206" s="28"/>
      <c r="V206" s="28"/>
      <c r="W206" s="28"/>
      <c r="X206" s="28"/>
      <c r="Y206" s="28"/>
      <c r="Z206" s="28"/>
      <c r="AA206" s="28"/>
      <c r="AB206" s="28"/>
    </row>
    <row r="207">
      <c r="A207" s="42" t="s">
        <v>739</v>
      </c>
      <c r="B207" s="22" t="s">
        <v>740</v>
      </c>
      <c r="C207" s="23" t="str">
        <f>IFERROR(__xludf.DUMMYFUNCTION("GOOGLETRANSLATE(B207, ""en"", ""fr"")"),"Mur de briques")</f>
        <v>Mur de briques</v>
      </c>
      <c r="D207" s="23" t="str">
        <f>IFERROR(__xludf.DUMMYFUNCTION("GOOGLETRANSLATE(B207, ""en"", ""es"")"),"Pared de ladrillo")</f>
        <v>Pared de ladrillo</v>
      </c>
      <c r="E207" s="23" t="str">
        <f>IFERROR(__xludf.DUMMYFUNCTION("GOOGLETRANSLATE(B207, ""en"", ""ru"")"),"Кирпичная стена")</f>
        <v>Кирпичная стена</v>
      </c>
      <c r="F207" s="23" t="str">
        <f>IFERROR(__xludf.DUMMYFUNCTION("GOOGLETRANSLATE(B207, ""en"", ""tr"")"),"Tuğla duvar")</f>
        <v>Tuğla duvar</v>
      </c>
      <c r="G207" s="23" t="str">
        <f>IFERROR(__xludf.DUMMYFUNCTION("GOOGLETRANSLATE(B207, ""en"", ""pt"")"),"Parede de tijolos")</f>
        <v>Parede de tijolos</v>
      </c>
      <c r="H207" s="24" t="str">
        <f>IFERROR(__xludf.DUMMYFUNCTION("GOOGLETRANSLATE(B207, ""en"", ""de"")"),"Ziegelwand")</f>
        <v>Ziegelwand</v>
      </c>
      <c r="I207" s="23" t="str">
        <f>IFERROR(__xludf.DUMMYFUNCTION("GOOGLETRANSLATE(B207, ""en"", ""pl"")"),"Ceglana ściana")</f>
        <v>Ceglana ściana</v>
      </c>
      <c r="J207" s="25" t="str">
        <f>IFERROR(__xludf.DUMMYFUNCTION("GOOGLETRANSLATE(B207, ""en"", ""zh"")"),"砖墙")</f>
        <v>砖墙</v>
      </c>
      <c r="K207" s="25" t="str">
        <f>IFERROR(__xludf.DUMMYFUNCTION("GOOGLETRANSLATE(B207, ""en"", ""vi"")"),"Tường gạch")</f>
        <v>Tường gạch</v>
      </c>
      <c r="L207" s="26" t="str">
        <f>IFERROR(__xludf.DUMMYFUNCTION("GOOGLETRANSLATE(B207, ""en"", ""hr"")"),"Zid od cigli")</f>
        <v>Zid od cigli</v>
      </c>
      <c r="M207" s="28"/>
      <c r="N207" s="28"/>
      <c r="O207" s="28"/>
      <c r="P207" s="28"/>
      <c r="Q207" s="28"/>
      <c r="R207" s="28"/>
      <c r="S207" s="28"/>
      <c r="T207" s="28"/>
      <c r="U207" s="28"/>
      <c r="V207" s="28"/>
      <c r="W207" s="28"/>
      <c r="X207" s="28"/>
      <c r="Y207" s="28"/>
      <c r="Z207" s="28"/>
      <c r="AA207" s="28"/>
      <c r="AB207" s="28"/>
    </row>
    <row r="208">
      <c r="A208" s="42" t="s">
        <v>741</v>
      </c>
      <c r="B208" s="22" t="s">
        <v>742</v>
      </c>
      <c r="C208" s="23" t="str">
        <f>IFERROR(__xludf.DUMMYFUNCTION("GOOGLETRANSLATE(B208, ""en"", ""fr"")"),"Structure du clan. Une bonne défense pour une base.")</f>
        <v>Structure du clan. Une bonne défense pour une base.</v>
      </c>
      <c r="D208" s="23" t="str">
        <f>IFERROR(__xludf.DUMMYFUNCTION("GOOGLETRANSLATE(B208, ""en"", ""es"")"),"Estructura del clan. Una buena defensa para una base.")</f>
        <v>Estructura del clan. Una buena defensa para una base.</v>
      </c>
      <c r="E208" s="23" t="str">
        <f>IFERROR(__xludf.DUMMYFUNCTION("GOOGLETRANSLATE(B208, ""en"", ""ru"")"),"Клановая структура. Хорошая защита для базы.")</f>
        <v>Клановая структура. Хорошая защита для базы.</v>
      </c>
      <c r="F208" s="23" t="str">
        <f>IFERROR(__xludf.DUMMYFUNCTION("GOOGLETRANSLATE(B208, ""en"", ""tr"")"),"Klan yapısı. Bir taban için iyi bir savunma.")</f>
        <v>Klan yapısı. Bir taban için iyi bir savunma.</v>
      </c>
      <c r="G208" s="23" t="str">
        <f>IFERROR(__xludf.DUMMYFUNCTION("GOOGLETRANSLATE(B208, ""en"", ""pt"")"),"Estrutura de clã. Uma boa defesa para uma base.")</f>
        <v>Estrutura de clã. Uma boa defesa para uma base.</v>
      </c>
      <c r="H208" s="24" t="str">
        <f>IFERROR(__xludf.DUMMYFUNCTION("GOOGLETRANSLATE(B208, ""en"", ""de"")"),"Clanstruktur. Eine gute Verteidigung für eine Basis.")</f>
        <v>Clanstruktur. Eine gute Verteidigung für eine Basis.</v>
      </c>
      <c r="I208" s="23" t="str">
        <f>IFERROR(__xludf.DUMMYFUNCTION("GOOGLETRANSLATE(B208, ""en"", ""pl"")"),"Struktura klanu. Dobra obrona na bazę.")</f>
        <v>Struktura klanu. Dobra obrona na bazę.</v>
      </c>
      <c r="J208" s="25" t="str">
        <f>IFERROR(__xludf.DUMMYFUNCTION("GOOGLETRANSLATE(B208, ""en"", ""zh"")"),"氏族结构。良好的辩护。")</f>
        <v>氏族结构。良好的辩护。</v>
      </c>
      <c r="K208" s="25" t="str">
        <f>IFERROR(__xludf.DUMMYFUNCTION("GOOGLETRANSLATE(B208, ""en"", ""vi"")"),"Cấu trúc gia tộc. Một phòng thủ tốt cho một căn cứ.")</f>
        <v>Cấu trúc gia tộc. Một phòng thủ tốt cho một căn cứ.</v>
      </c>
      <c r="L208" s="26" t="str">
        <f>IFERROR(__xludf.DUMMYFUNCTION("GOOGLETRANSLATE(B208, ""en"", ""hr"")"),"Struktura klana. Dobra obrana za bazu.")</f>
        <v>Struktura klana. Dobra obrana za bazu.</v>
      </c>
      <c r="M208" s="28"/>
      <c r="N208" s="28"/>
      <c r="O208" s="28"/>
      <c r="P208" s="28"/>
      <c r="Q208" s="28"/>
      <c r="R208" s="28"/>
      <c r="S208" s="28"/>
      <c r="T208" s="28"/>
      <c r="U208" s="28"/>
      <c r="V208" s="28"/>
      <c r="W208" s="28"/>
      <c r="X208" s="28"/>
      <c r="Y208" s="28"/>
      <c r="Z208" s="28"/>
      <c r="AA208" s="28"/>
      <c r="AB208" s="28"/>
    </row>
    <row r="209">
      <c r="A209" s="42" t="s">
        <v>743</v>
      </c>
      <c r="B209" s="22" t="s">
        <v>744</v>
      </c>
      <c r="C209" s="23" t="str">
        <f>IFERROR(__xludf.DUMMYFUNCTION("GOOGLETRANSLATE(B209, ""en"", ""fr"")"),"Porte-brique")</f>
        <v>Porte-brique</v>
      </c>
      <c r="D209" s="23" t="str">
        <f>IFERROR(__xludf.DUMMYFUNCTION("GOOGLETRANSLATE(B209, ""en"", ""es"")"),"Puerta de ladrillo")</f>
        <v>Puerta de ladrillo</v>
      </c>
      <c r="E209" s="23" t="str">
        <f>IFERROR(__xludf.DUMMYFUNCTION("GOOGLETRANSLATE(B209, ""en"", ""ru"")"),"Кирпичная дверь")</f>
        <v>Кирпичная дверь</v>
      </c>
      <c r="F209" s="23" t="str">
        <f>IFERROR(__xludf.DUMMYFUNCTION("GOOGLETRANSLATE(B209, ""en"", ""tr"")"),"Tuğla kapı")</f>
        <v>Tuğla kapı</v>
      </c>
      <c r="G209" s="23" t="str">
        <f>IFERROR(__xludf.DUMMYFUNCTION("GOOGLETRANSLATE(B209, ""en"", ""pt"")"),"Porta de tijolo")</f>
        <v>Porta de tijolo</v>
      </c>
      <c r="H209" s="24" t="str">
        <f>IFERROR(__xludf.DUMMYFUNCTION("GOOGLETRANSLATE(B209, ""en"", ""de"")"),"Ziegeltür")</f>
        <v>Ziegeltür</v>
      </c>
      <c r="I209" s="23" t="str">
        <f>IFERROR(__xludf.DUMMYFUNCTION("GOOGLETRANSLATE(B209, ""en"", ""pl"")"),"Brick Drzwi")</f>
        <v>Brick Drzwi</v>
      </c>
      <c r="J209" s="25" t="str">
        <f>IFERROR(__xludf.DUMMYFUNCTION("GOOGLETRANSLATE(B209, ""en"", ""zh"")"),"砖门")</f>
        <v>砖门</v>
      </c>
      <c r="K209" s="25" t="str">
        <f>IFERROR(__xludf.DUMMYFUNCTION("GOOGLETRANSLATE(B209, ""en"", ""vi"")"),"Cửa gạch")</f>
        <v>Cửa gạch</v>
      </c>
      <c r="L209" s="26" t="str">
        <f>IFERROR(__xludf.DUMMYFUNCTION("GOOGLETRANSLATE(B209, ""en"", ""hr"")"),"Vrata od opeke")</f>
        <v>Vrata od opeke</v>
      </c>
      <c r="M209" s="28"/>
      <c r="N209" s="28"/>
      <c r="O209" s="28"/>
      <c r="P209" s="28"/>
      <c r="Q209" s="28"/>
      <c r="R209" s="28"/>
      <c r="S209" s="28"/>
      <c r="T209" s="28"/>
      <c r="U209" s="28"/>
      <c r="V209" s="28"/>
      <c r="W209" s="28"/>
      <c r="X209" s="28"/>
      <c r="Y209" s="28"/>
      <c r="Z209" s="28"/>
      <c r="AA209" s="28"/>
      <c r="AB209" s="28"/>
    </row>
    <row r="210">
      <c r="A210" s="42" t="s">
        <v>745</v>
      </c>
      <c r="B210" s="22" t="s">
        <v>746</v>
      </c>
      <c r="C210" s="23" t="str">
        <f>IFERROR(__xludf.DUMMYFUNCTION("GOOGLETRANSLATE(B210, ""en"", ""fr"")"),"Structure du clan. Ne peut être ouvert que par des membres du clan. Plus fort qu'une porte en bois.")</f>
        <v>Structure du clan. Ne peut être ouvert que par des membres du clan. Plus fort qu'une porte en bois.</v>
      </c>
      <c r="D210" s="23" t="str">
        <f>IFERROR(__xludf.DUMMYFUNCTION("GOOGLETRANSLATE(B210, ""en"", ""es"")"),"Estructura del clan. Solo se puede abrir por miembros del clan. Más fuerte que una puerta de madera.")</f>
        <v>Estructura del clan. Solo se puede abrir por miembros del clan. Más fuerte que una puerta de madera.</v>
      </c>
      <c r="E210" s="23" t="str">
        <f>IFERROR(__xludf.DUMMYFUNCTION("GOOGLETRANSLATE(B210, ""en"", ""ru"")"),"Клановая структура. Может быть открыт только членами клана. Сильнее древесной двери.")</f>
        <v>Клановая структура. Может быть открыт только членами клана. Сильнее древесной двери.</v>
      </c>
      <c r="F210" s="23" t="str">
        <f>IFERROR(__xludf.DUMMYFUNCTION("GOOGLETRANSLATE(B210, ""en"", ""tr"")"),"Klan yapısı. Sadece klan üyeleri tarafından açılabilir. Ahşap kapıdan daha güçlü.")</f>
        <v>Klan yapısı. Sadece klan üyeleri tarafından açılabilir. Ahşap kapıdan daha güçlü.</v>
      </c>
      <c r="G210" s="23" t="str">
        <f>IFERROR(__xludf.DUMMYFUNCTION("GOOGLETRANSLATE(B210, ""en"", ""pt"")"),"Estrutura de clã. Só pode ser aberto pelos membros do clã. Mais forte que uma porta de madeira.")</f>
        <v>Estrutura de clã. Só pode ser aberto pelos membros do clã. Mais forte que uma porta de madeira.</v>
      </c>
      <c r="H210" s="24" t="str">
        <f>IFERROR(__xludf.DUMMYFUNCTION("GOOGLETRANSLATE(B210, ""en"", ""de"")"),"Clanstruktur. Kann nur von Clan-Mitgliedern geöffnet werden. Stärker als eine Holztür.")</f>
        <v>Clanstruktur. Kann nur von Clan-Mitgliedern geöffnet werden. Stärker als eine Holztür.</v>
      </c>
      <c r="I210" s="23" t="str">
        <f>IFERROR(__xludf.DUMMYFUNCTION("GOOGLETRANSLATE(B210, ""en"", ""pl"")"),"Struktura klanu. Można otworzyć tylko przez członków klanu. Silniejszy niż drewniane drzwi.")</f>
        <v>Struktura klanu. Można otworzyć tylko przez członków klanu. Silniejszy niż drewniane drzwi.</v>
      </c>
      <c r="J210" s="25" t="str">
        <f>IFERROR(__xludf.DUMMYFUNCTION("GOOGLETRANSLATE(B210, ""en"", ""zh"")"),"氏族结构。只能由氏族成员开放。比木门更强壮。")</f>
        <v>氏族结构。只能由氏族成员开放。比木门更强壮。</v>
      </c>
      <c r="K210" s="25" t="str">
        <f>IFERROR(__xludf.DUMMYFUNCTION("GOOGLETRANSLATE(B210, ""en"", ""vi"")"),"Cấu trúc gia tộc. Chỉ có thể được mở bởi các thành viên bang hội. Mạnh hơn một cánh cửa gỗ.")</f>
        <v>Cấu trúc gia tộc. Chỉ có thể được mở bởi các thành viên bang hội. Mạnh hơn một cánh cửa gỗ.</v>
      </c>
      <c r="L210" s="26" t="str">
        <f>IFERROR(__xludf.DUMMYFUNCTION("GOOGLETRANSLATE(B210, ""en"", ""hr"")"),"Struktura klana. Mogu otvoriti samo članovi klana. Jači od drvenih vrata.")</f>
        <v>Struktura klana. Mogu otvoriti samo članovi klana. Jači od drvenih vrata.</v>
      </c>
      <c r="M210" s="28"/>
      <c r="N210" s="28"/>
      <c r="O210" s="28"/>
      <c r="P210" s="28"/>
      <c r="Q210" s="28"/>
      <c r="R210" s="28"/>
      <c r="S210" s="28"/>
      <c r="T210" s="28"/>
      <c r="U210" s="28"/>
      <c r="V210" s="28"/>
      <c r="W210" s="28"/>
      <c r="X210" s="28"/>
      <c r="Y210" s="28"/>
      <c r="Z210" s="28"/>
      <c r="AA210" s="28"/>
      <c r="AB210" s="28"/>
    </row>
    <row r="211">
      <c r="A211" s="42" t="s">
        <v>747</v>
      </c>
      <c r="B211" s="22" t="s">
        <v>748</v>
      </c>
      <c r="C211" s="23" t="str">
        <f>IFERROR(__xludf.DUMMYFUNCTION("GOOGLETRANSLATE(B211, ""en"", ""fr"")"),"Mur de fer")</f>
        <v>Mur de fer</v>
      </c>
      <c r="D211" s="23" t="str">
        <f>IFERROR(__xludf.DUMMYFUNCTION("GOOGLETRANSLATE(B211, ""en"", ""es"")"),"Muro de hierro")</f>
        <v>Muro de hierro</v>
      </c>
      <c r="E211" s="23" t="str">
        <f>IFERROR(__xludf.DUMMYFUNCTION("GOOGLETRANSLATE(B211, ""en"", ""ru"")"),"Железная стена")</f>
        <v>Железная стена</v>
      </c>
      <c r="F211" s="23" t="str">
        <f>IFERROR(__xludf.DUMMYFUNCTION("GOOGLETRANSLATE(B211, ""en"", ""tr"")"),"Demir duvar")</f>
        <v>Demir duvar</v>
      </c>
      <c r="G211" s="23" t="str">
        <f>IFERROR(__xludf.DUMMYFUNCTION("GOOGLETRANSLATE(B211, ""en"", ""pt"")"),"Parede de ferro")</f>
        <v>Parede de ferro</v>
      </c>
      <c r="H211" s="24" t="str">
        <f>IFERROR(__xludf.DUMMYFUNCTION("GOOGLETRANSLATE(B211, ""en"", ""de"")"),"Eisenwand")</f>
        <v>Eisenwand</v>
      </c>
      <c r="I211" s="23" t="str">
        <f>IFERROR(__xludf.DUMMYFUNCTION("GOOGLETRANSLATE(B211, ""en"", ""pl"")"),"Żelazna ściana")</f>
        <v>Żelazna ściana</v>
      </c>
      <c r="J211" s="25" t="str">
        <f>IFERROR(__xludf.DUMMYFUNCTION("GOOGLETRANSLATE(B211, ""en"", ""zh"")"),"铁墙")</f>
        <v>铁墙</v>
      </c>
      <c r="K211" s="25" t="str">
        <f>IFERROR(__xludf.DUMMYFUNCTION("GOOGLETRANSLATE(B211, ""en"", ""vi"")"),"Bức tường sắt")</f>
        <v>Bức tường sắt</v>
      </c>
      <c r="L211" s="26" t="str">
        <f>IFERROR(__xludf.DUMMYFUNCTION("GOOGLETRANSLATE(B211, ""en"", ""hr"")"),"Željezni zid")</f>
        <v>Željezni zid</v>
      </c>
      <c r="M211" s="28"/>
      <c r="N211" s="28"/>
      <c r="O211" s="28"/>
      <c r="P211" s="28"/>
      <c r="Q211" s="28"/>
      <c r="R211" s="28"/>
      <c r="S211" s="28"/>
      <c r="T211" s="28"/>
      <c r="U211" s="28"/>
      <c r="V211" s="28"/>
      <c r="W211" s="28"/>
      <c r="X211" s="28"/>
      <c r="Y211" s="28"/>
      <c r="Z211" s="28"/>
      <c r="AA211" s="28"/>
      <c r="AB211" s="28"/>
    </row>
    <row r="212">
      <c r="A212" s="42" t="s">
        <v>749</v>
      </c>
      <c r="B212" s="22" t="s">
        <v>750</v>
      </c>
      <c r="C212" s="23" t="str">
        <f>IFERROR(__xludf.DUMMYFUNCTION("GOOGLETRANSLATE(B212, ""en"", ""fr"")"),"Structure du clan. Une grande défense pour une base.")</f>
        <v>Structure du clan. Une grande défense pour une base.</v>
      </c>
      <c r="D212" s="23" t="str">
        <f>IFERROR(__xludf.DUMMYFUNCTION("GOOGLETRANSLATE(B212, ""en"", ""es"")"),"Estructura del clan. Una gran defensa para una base.")</f>
        <v>Estructura del clan. Una gran defensa para una base.</v>
      </c>
      <c r="E212" s="23" t="str">
        <f>IFERROR(__xludf.DUMMYFUNCTION("GOOGLETRANSLATE(B212, ""en"", ""ru"")"),"Клановая структура. Великая защита для базы.")</f>
        <v>Клановая структура. Великая защита для базы.</v>
      </c>
      <c r="F212" s="23" t="str">
        <f>IFERROR(__xludf.DUMMYFUNCTION("GOOGLETRANSLATE(B212, ""en"", ""tr"")"),"Klan yapısı. Bir taban için büyük bir savunma.")</f>
        <v>Klan yapısı. Bir taban için büyük bir savunma.</v>
      </c>
      <c r="G212" s="23" t="str">
        <f>IFERROR(__xludf.DUMMYFUNCTION("GOOGLETRANSLATE(B212, ""en"", ""pt"")"),"Estrutura de clã. Uma grande defesa para uma base.")</f>
        <v>Estrutura de clã. Uma grande defesa para uma base.</v>
      </c>
      <c r="H212" s="24" t="str">
        <f>IFERROR(__xludf.DUMMYFUNCTION("GOOGLETRANSLATE(B212, ""en"", ""de"")"),"Clanstruktur. Eine große Verteidigung für eine Basis.")</f>
        <v>Clanstruktur. Eine große Verteidigung für eine Basis.</v>
      </c>
      <c r="I212" s="23" t="str">
        <f>IFERROR(__xludf.DUMMYFUNCTION("GOOGLETRANSLATE(B212, ""en"", ""pl"")"),"Struktura klanu. Wielka obrona na bazę.")</f>
        <v>Struktura klanu. Wielka obrona na bazę.</v>
      </c>
      <c r="J212" s="25" t="str">
        <f>IFERROR(__xludf.DUMMYFUNCTION("GOOGLETRANSLATE(B212, ""en"", ""zh"")"),"氏族结构。对基地的伟大辩护。")</f>
        <v>氏族结构。对基地的伟大辩护。</v>
      </c>
      <c r="K212" s="25" t="str">
        <f>IFERROR(__xludf.DUMMYFUNCTION("GOOGLETRANSLATE(B212, ""en"", ""vi"")"),"Cấu trúc gia tộc. Một sự bảo vệ tuyệt vời cho một căn cứ.")</f>
        <v>Cấu trúc gia tộc. Một sự bảo vệ tuyệt vời cho một căn cứ.</v>
      </c>
      <c r="L212" s="26" t="str">
        <f>IFERROR(__xludf.DUMMYFUNCTION("GOOGLETRANSLATE(B212, ""en"", ""hr"")"),"Struktura klana. Velika obrana za bazu.")</f>
        <v>Struktura klana. Velika obrana za bazu.</v>
      </c>
      <c r="M212" s="28"/>
      <c r="N212" s="28"/>
      <c r="O212" s="28"/>
      <c r="P212" s="28"/>
      <c r="Q212" s="28"/>
      <c r="R212" s="28"/>
      <c r="S212" s="28"/>
      <c r="T212" s="28"/>
      <c r="U212" s="28"/>
      <c r="V212" s="28"/>
      <c r="W212" s="28"/>
      <c r="X212" s="28"/>
      <c r="Y212" s="28"/>
      <c r="Z212" s="28"/>
      <c r="AA212" s="28"/>
      <c r="AB212" s="28"/>
    </row>
    <row r="213">
      <c r="A213" s="42" t="s">
        <v>751</v>
      </c>
      <c r="B213" s="22" t="s">
        <v>752</v>
      </c>
      <c r="C213" s="23" t="str">
        <f>IFERROR(__xludf.DUMMYFUNCTION("GOOGLETRANSLATE(B213, ""en"", ""fr"")"),"Porte en fer")</f>
        <v>Porte en fer</v>
      </c>
      <c r="D213" s="23" t="str">
        <f>IFERROR(__xludf.DUMMYFUNCTION("GOOGLETRANSLATE(B213, ""en"", ""es"")"),"Puerta de Hierro")</f>
        <v>Puerta de Hierro</v>
      </c>
      <c r="E213" s="23" t="str">
        <f>IFERROR(__xludf.DUMMYFUNCTION("GOOGLETRANSLATE(B213, ""en"", ""ru"")"),"Железная дверь")</f>
        <v>Железная дверь</v>
      </c>
      <c r="F213" s="23" t="str">
        <f>IFERROR(__xludf.DUMMYFUNCTION("GOOGLETRANSLATE(B213, ""en"", ""tr"")"),"Demir kapı")</f>
        <v>Demir kapı</v>
      </c>
      <c r="G213" s="23" t="str">
        <f>IFERROR(__xludf.DUMMYFUNCTION("GOOGLETRANSLATE(B213, ""en"", ""pt"")"),"Porta de ferro")</f>
        <v>Porta de ferro</v>
      </c>
      <c r="H213" s="24" t="str">
        <f>IFERROR(__xludf.DUMMYFUNCTION("GOOGLETRANSLATE(B213, ""en"", ""de"")"),"Eiserne Tür")</f>
        <v>Eiserne Tür</v>
      </c>
      <c r="I213" s="23" t="str">
        <f>IFERROR(__xludf.DUMMYFUNCTION("GOOGLETRANSLATE(B213, ""en"", ""pl"")"),"Żelazne drzwi")</f>
        <v>Żelazne drzwi</v>
      </c>
      <c r="J213" s="25" t="str">
        <f>IFERROR(__xludf.DUMMYFUNCTION("GOOGLETRANSLATE(B213, ""en"", ""zh"")"),"铁门")</f>
        <v>铁门</v>
      </c>
      <c r="K213" s="25" t="str">
        <f>IFERROR(__xludf.DUMMYFUNCTION("GOOGLETRANSLATE(B213, ""en"", ""vi"")"),"Cửa sắt")</f>
        <v>Cửa sắt</v>
      </c>
      <c r="L213" s="26" t="str">
        <f>IFERROR(__xludf.DUMMYFUNCTION("GOOGLETRANSLATE(B213, ""en"", ""hr"")"),"Željezna vrata")</f>
        <v>Željezna vrata</v>
      </c>
      <c r="M213" s="28"/>
      <c r="N213" s="28"/>
      <c r="O213" s="28"/>
      <c r="P213" s="28"/>
      <c r="Q213" s="28"/>
      <c r="R213" s="28"/>
      <c r="S213" s="28"/>
      <c r="T213" s="28"/>
      <c r="U213" s="28"/>
      <c r="V213" s="28"/>
      <c r="W213" s="28"/>
      <c r="X213" s="28"/>
      <c r="Y213" s="28"/>
      <c r="Z213" s="28"/>
      <c r="AA213" s="28"/>
      <c r="AB213" s="28"/>
    </row>
    <row r="214">
      <c r="A214" s="42" t="s">
        <v>753</v>
      </c>
      <c r="B214" s="22" t="s">
        <v>754</v>
      </c>
      <c r="C214" s="23" t="str">
        <f>IFERROR(__xludf.DUMMYFUNCTION("GOOGLETRANSLATE(B214, ""en"", ""fr"")"),"Structure du clan. Ne peut être ouvert que par des membres du clan. Plus fort qu'une porte en briques.")</f>
        <v>Structure du clan. Ne peut être ouvert que par des membres du clan. Plus fort qu'une porte en briques.</v>
      </c>
      <c r="D214" s="23" t="str">
        <f>IFERROR(__xludf.DUMMYFUNCTION("GOOGLETRANSLATE(B214, ""en"", ""es"")"),"Estructura del clan. Solo se puede abrir por miembros del clan. Más fuerte que una puerta de ladrillo.")</f>
        <v>Estructura del clan. Solo se puede abrir por miembros del clan. Más fuerte que una puerta de ladrillo.</v>
      </c>
      <c r="E214" s="23" t="str">
        <f>IFERROR(__xludf.DUMMYFUNCTION("GOOGLETRANSLATE(B214, ""en"", ""ru"")"),"Клановая структура. Может быть открыт только членами клана. Сильнее, чем кирпичная дверь.")</f>
        <v>Клановая структура. Может быть открыт только членами клана. Сильнее, чем кирпичная дверь.</v>
      </c>
      <c r="F214" s="23" t="str">
        <f>IFERROR(__xludf.DUMMYFUNCTION("GOOGLETRANSLATE(B214, ""en"", ""tr"")"),"Klan yapısı. Sadece klan üyeleri tarafından açılabilir. Bir tuğla kaptan daha güçlü.")</f>
        <v>Klan yapısı. Sadece klan üyeleri tarafından açılabilir. Bir tuğla kaptan daha güçlü.</v>
      </c>
      <c r="G214" s="23" t="str">
        <f>IFERROR(__xludf.DUMMYFUNCTION("GOOGLETRANSLATE(B214, ""en"", ""pt"")"),"Estrutura de clã. Só pode ser aberto pelos membros do clã. Mais forte que uma porta de tijolo.")</f>
        <v>Estrutura de clã. Só pode ser aberto pelos membros do clã. Mais forte que uma porta de tijolo.</v>
      </c>
      <c r="H214" s="24" t="str">
        <f>IFERROR(__xludf.DUMMYFUNCTION("GOOGLETRANSLATE(B214, ""en"", ""de"")"),"Clanstruktur. Kann nur von Clan-Mitgliedern geöffnet werden. Stärker als eine Backsteintür.")</f>
        <v>Clanstruktur. Kann nur von Clan-Mitgliedern geöffnet werden. Stärker als eine Backsteintür.</v>
      </c>
      <c r="I214" s="23" t="str">
        <f>IFERROR(__xludf.DUMMYFUNCTION("GOOGLETRANSLATE(B214, ""en"", ""pl"")"),"Struktura klanu. Można otworzyć tylko przez członków klanu. Silniejszy niż ceglane drzwi.")</f>
        <v>Struktura klanu. Można otworzyć tylko przez członków klanu. Silniejszy niż ceglane drzwi.</v>
      </c>
      <c r="J214" s="25" t="str">
        <f>IFERROR(__xludf.DUMMYFUNCTION("GOOGLETRANSLATE(B214, ""en"", ""zh"")"),"氏族结构。只能由氏族成员开放。比砖头更强壮。")</f>
        <v>氏族结构。只能由氏族成员开放。比砖头更强壮。</v>
      </c>
      <c r="K214" s="25" t="str">
        <f>IFERROR(__xludf.DUMMYFUNCTION("GOOGLETRANSLATE(B214, ""en"", ""vi"")"),"Cấu trúc gia tộc. Chỉ có thể được mở bởi các thành viên bang hội. Mạnh hơn một cánh cửa gạch.")</f>
        <v>Cấu trúc gia tộc. Chỉ có thể được mở bởi các thành viên bang hội. Mạnh hơn một cánh cửa gạch.</v>
      </c>
      <c r="L214" s="26" t="str">
        <f>IFERROR(__xludf.DUMMYFUNCTION("GOOGLETRANSLATE(B214, ""en"", ""hr"")"),"Struktura klana. Mogu otvoriti samo članovi klana. Jača od vrata od opeke.")</f>
        <v>Struktura klana. Mogu otvoriti samo članovi klana. Jača od vrata od opeke.</v>
      </c>
      <c r="M214" s="28"/>
      <c r="N214" s="28"/>
      <c r="O214" s="28"/>
      <c r="P214" s="28"/>
      <c r="Q214" s="28"/>
      <c r="R214" s="28"/>
      <c r="S214" s="28"/>
      <c r="T214" s="28"/>
      <c r="U214" s="28"/>
      <c r="V214" s="28"/>
      <c r="W214" s="28"/>
      <c r="X214" s="28"/>
      <c r="Y214" s="28"/>
      <c r="Z214" s="28"/>
      <c r="AA214" s="28"/>
      <c r="AB214" s="28"/>
    </row>
    <row r="215">
      <c r="A215" s="21" t="s">
        <v>755</v>
      </c>
      <c r="B215" s="22" t="s">
        <v>756</v>
      </c>
      <c r="C215" s="23" t="str">
        <f>IFERROR(__xludf.DUMMYFUNCTION("GOOGLETRANSLATE(B215, ""en"", ""fr"")"),"Coffre bancaire")</f>
        <v>Coffre bancaire</v>
      </c>
      <c r="D215" s="23" t="str">
        <f>IFERROR(__xludf.DUMMYFUNCTION("GOOGLETRANSLATE(B215, ""en"", ""es"")"),"Cofre bancario")</f>
        <v>Cofre bancario</v>
      </c>
      <c r="E215" s="23" t="str">
        <f>IFERROR(__xludf.DUMMYFUNCTION("GOOGLETRANSLATE(B215, ""en"", ""ru"")"),"Банковский сундук")</f>
        <v>Банковский сундук</v>
      </c>
      <c r="F215" s="23" t="str">
        <f>IFERROR(__xludf.DUMMYFUNCTION("GOOGLETRANSLATE(B215, ""en"", ""tr"")"),"Banka göğsü")</f>
        <v>Banka göğsü</v>
      </c>
      <c r="G215" s="23" t="str">
        <f>IFERROR(__xludf.DUMMYFUNCTION("GOOGLETRANSLATE(B215, ""en"", ""pt"")"),"Baú de banco")</f>
        <v>Baú de banco</v>
      </c>
      <c r="H215" s="24" t="str">
        <f>IFERROR(__xludf.DUMMYFUNCTION("GOOGLETRANSLATE(B215, ""en"", ""de"")"),"Bankkasten")</f>
        <v>Bankkasten</v>
      </c>
      <c r="I215" s="23" t="str">
        <f>IFERROR(__xludf.DUMMYFUNCTION("GOOGLETRANSLATE(B215, ""en"", ""pl"")"),"Skrzynia bankowa")</f>
        <v>Skrzynia bankowa</v>
      </c>
      <c r="J215" s="25" t="str">
        <f>IFERROR(__xludf.DUMMYFUNCTION("GOOGLETRANSLATE(B215, ""en"", ""zh"")"),"银行胸部")</f>
        <v>银行胸部</v>
      </c>
      <c r="K215" s="25" t="str">
        <f>IFERROR(__xludf.DUMMYFUNCTION("GOOGLETRANSLATE(B215, ""en"", ""vi"")"),"Ngực ngân hàng.")</f>
        <v>Ngực ngân hàng.</v>
      </c>
      <c r="L215" s="26" t="str">
        <f>IFERROR(__xludf.DUMMYFUNCTION("GOOGLETRANSLATE(B215, ""en"", ""hr"")"),"Banke")</f>
        <v>Banke</v>
      </c>
      <c r="M215" s="28"/>
      <c r="N215" s="28"/>
      <c r="O215" s="28"/>
      <c r="P215" s="28"/>
      <c r="Q215" s="28"/>
      <c r="R215" s="28"/>
      <c r="S215" s="28"/>
      <c r="T215" s="28"/>
      <c r="U215" s="28"/>
      <c r="V215" s="28"/>
      <c r="W215" s="28"/>
      <c r="X215" s="28"/>
      <c r="Y215" s="28"/>
      <c r="Z215" s="28"/>
      <c r="AA215" s="28"/>
      <c r="AB215" s="28"/>
    </row>
    <row r="216">
      <c r="A216" s="21" t="s">
        <v>757</v>
      </c>
      <c r="B216" s="22" t="s">
        <v>758</v>
      </c>
      <c r="C216" s="23" t="str">
        <f>IFERROR(__xludf.DUMMYFUNCTION("GOOGLETRANSLATE(B216, ""en"", ""fr"")"),"Structure du clan. Donne accès à votre stockage bancaire personnel.")</f>
        <v>Structure du clan. Donne accès à votre stockage bancaire personnel.</v>
      </c>
      <c r="D216" s="23" t="str">
        <f>IFERROR(__xludf.DUMMYFUNCTION("GOOGLETRANSLATE(B216, ""en"", ""es"")"),"Estructura del clan. Da acceso a su almacenamiento de bancos personales.")</f>
        <v>Estructura del clan. Da acceso a su almacenamiento de bancos personales.</v>
      </c>
      <c r="E216" s="23" t="str">
        <f>IFERROR(__xludf.DUMMYFUNCTION("GOOGLETRANSLATE(B216, ""en"", ""ru"")"),"Клановая структура. Дает доступ к вашему личному банке хранилище.")</f>
        <v>Клановая структура. Дает доступ к вашему личному банке хранилище.</v>
      </c>
      <c r="F216" s="23" t="str">
        <f>IFERROR(__xludf.DUMMYFUNCTION("GOOGLETRANSLATE(B216, ""en"", ""tr"")"),"Klan yapısı. Kişisel banka deposuna erişim sağlar.")</f>
        <v>Klan yapısı. Kişisel banka deposuna erişim sağlar.</v>
      </c>
      <c r="G216" s="23" t="str">
        <f>IFERROR(__xludf.DUMMYFUNCTION("GOOGLETRANSLATE(B216, ""en"", ""pt"")"),"Estrutura de clã. Dá acesso ao seu armazenamento pessoal do banco.")</f>
        <v>Estrutura de clã. Dá acesso ao seu armazenamento pessoal do banco.</v>
      </c>
      <c r="H216" s="24" t="str">
        <f>IFERROR(__xludf.DUMMYFUNCTION("GOOGLETRANSLATE(B216, ""en"", ""de"")"),"Clanstruktur. Erläutert Zugriff auf Ihren persönlichen Bankenspeicher.")</f>
        <v>Clanstruktur. Erläutert Zugriff auf Ihren persönlichen Bankenspeicher.</v>
      </c>
      <c r="I216" s="23" t="str">
        <f>IFERROR(__xludf.DUMMYFUNCTION("GOOGLETRANSLATE(B216, ""en"", ""pl"")"),"Struktura klanu. Zapewnia dostęp do osobistego przechowywania banków.")</f>
        <v>Struktura klanu. Zapewnia dostęp do osobistego przechowywania banków.</v>
      </c>
      <c r="J216" s="25" t="str">
        <f>IFERROR(__xludf.DUMMYFUNCTION("GOOGLETRANSLATE(B216, ""en"", ""zh"")"),"氏族结构。访问您的个人银行存储。")</f>
        <v>氏族结构。访问您的个人银行存储。</v>
      </c>
      <c r="K216" s="25" t="str">
        <f>IFERROR(__xludf.DUMMYFUNCTION("GOOGLETRANSLATE(B216, ""en"", ""vi"")"),"Cấu trúc gia tộc. Cung cấp quyền truy cập vào lưu trữ ngân hàng cá nhân của bạn.")</f>
        <v>Cấu trúc gia tộc. Cung cấp quyền truy cập vào lưu trữ ngân hàng cá nhân của bạn.</v>
      </c>
      <c r="L216" s="26" t="str">
        <f>IFERROR(__xludf.DUMMYFUNCTION("GOOGLETRANSLATE(B216, ""en"", ""hr"")"),"Struktura klana. Daje pristup vašem osobnom bankovnom spremištu.")</f>
        <v>Struktura klana. Daje pristup vašem osobnom bankovnom spremištu.</v>
      </c>
      <c r="M216" s="28"/>
      <c r="N216" s="28"/>
      <c r="O216" s="28"/>
      <c r="P216" s="28"/>
      <c r="Q216" s="28"/>
      <c r="R216" s="28"/>
      <c r="S216" s="28"/>
      <c r="T216" s="28"/>
      <c r="U216" s="28"/>
      <c r="V216" s="28"/>
      <c r="W216" s="28"/>
      <c r="X216" s="28"/>
      <c r="Y216" s="28"/>
      <c r="Z216" s="28"/>
      <c r="AA216" s="28"/>
      <c r="AB216" s="28"/>
    </row>
    <row r="217">
      <c r="A217" s="21" t="s">
        <v>759</v>
      </c>
      <c r="B217" s="22" t="s">
        <v>350</v>
      </c>
      <c r="C217" s="23" t="str">
        <f>IFERROR(__xludf.DUMMYFUNCTION("GOOGLETRANSLATE(B217, ""en"", ""fr"")"),"Table de travail")</f>
        <v>Table de travail</v>
      </c>
      <c r="D217" s="23" t="str">
        <f>IFERROR(__xludf.DUMMYFUNCTION("GOOGLETRANSLATE(B217, ""en"", ""es"")"),"Banco de trabajo")</f>
        <v>Banco de trabajo</v>
      </c>
      <c r="E217" s="23" t="str">
        <f>IFERROR(__xludf.DUMMYFUNCTION("GOOGLETRANSLATE(B217, ""en"", ""ru"")"),"Workbench.")</f>
        <v>Workbench.</v>
      </c>
      <c r="F217" s="23" t="str">
        <f>IFERROR(__xludf.DUMMYFUNCTION("GOOGLETRANSLATE(B217, ""en"", ""tr"")"),"Tezgâh")</f>
        <v>Tezgâh</v>
      </c>
      <c r="G217" s="23" t="str">
        <f>IFERROR(__xludf.DUMMYFUNCTION("GOOGLETRANSLATE(B217, ""en"", ""pt"")"),"Workbench")</f>
        <v>Workbench</v>
      </c>
      <c r="H217" s="24" t="str">
        <f>IFERROR(__xludf.DUMMYFUNCTION("GOOGLETRANSLATE(B217, ""en"", ""de"")"),"Werkbank")</f>
        <v>Werkbank</v>
      </c>
      <c r="I217" s="23" t="str">
        <f>IFERROR(__xludf.DUMMYFUNCTION("GOOGLETRANSLATE(B217, ""en"", ""pl"")"),"stoł warsztatowy")</f>
        <v>stoł warsztatowy</v>
      </c>
      <c r="J217" s="25" t="str">
        <f>IFERROR(__xludf.DUMMYFUNCTION("GOOGLETRANSLATE(B217, ""en"", ""zh"")"),"工作台")</f>
        <v>工作台</v>
      </c>
      <c r="K217" s="25" t="str">
        <f>IFERROR(__xludf.DUMMYFUNCTION("GOOGLETRANSLATE(B217, ""en"", ""vi"")"),"Workbench.")</f>
        <v>Workbench.</v>
      </c>
      <c r="L217" s="26" t="str">
        <f>IFERROR(__xludf.DUMMYFUNCTION("GOOGLETRANSLATE(B217, ""en"", ""hr"")"),"Radni stol")</f>
        <v>Radni stol</v>
      </c>
      <c r="M217" s="28"/>
      <c r="N217" s="28"/>
      <c r="O217" s="28"/>
      <c r="P217" s="28"/>
      <c r="Q217" s="28"/>
      <c r="R217" s="28"/>
      <c r="S217" s="28"/>
      <c r="T217" s="28"/>
      <c r="U217" s="28"/>
      <c r="V217" s="28"/>
      <c r="W217" s="28"/>
      <c r="X217" s="28"/>
      <c r="Y217" s="28"/>
      <c r="Z217" s="28"/>
      <c r="AA217" s="28"/>
      <c r="AB217" s="28"/>
    </row>
    <row r="218">
      <c r="A218" s="21" t="s">
        <v>760</v>
      </c>
      <c r="B218" s="22" t="s">
        <v>761</v>
      </c>
      <c r="C218" s="23" t="str">
        <f>IFERROR(__xludf.DUMMYFUNCTION("GOOGLETRANSLATE(B218, ""en"", ""fr"")"),"Structure du clan. Utilisé pour fabriquer divers articles.")</f>
        <v>Structure du clan. Utilisé pour fabriquer divers articles.</v>
      </c>
      <c r="D218" s="23" t="str">
        <f>IFERROR(__xludf.DUMMYFUNCTION("GOOGLETRANSLATE(B218, ""en"", ""es"")"),"Estructura del clan. Se utiliza para crear varios artículos.")</f>
        <v>Estructura del clan. Se utiliza para crear varios artículos.</v>
      </c>
      <c r="E218" s="23" t="str">
        <f>IFERROR(__xludf.DUMMYFUNCTION("GOOGLETRANSLATE(B218, ""en"", ""ru"")"),"Клановая структура. Используется для создания различных предметов.")</f>
        <v>Клановая структура. Используется для создания различных предметов.</v>
      </c>
      <c r="F218" s="23" t="str">
        <f>IFERROR(__xludf.DUMMYFUNCTION("GOOGLETRANSLATE(B218, ""en"", ""tr"")"),"Klan yapısı. Çeşitli eşyaları hazırlamak için kullanılır.")</f>
        <v>Klan yapısı. Çeşitli eşyaları hazırlamak için kullanılır.</v>
      </c>
      <c r="G218" s="23" t="str">
        <f>IFERROR(__xludf.DUMMYFUNCTION("GOOGLETRANSLATE(B218, ""en"", ""pt"")"),"Estrutura de clã. Usado para criar vários itens.")</f>
        <v>Estrutura de clã. Usado para criar vários itens.</v>
      </c>
      <c r="H218" s="24" t="str">
        <f>IFERROR(__xludf.DUMMYFUNCTION("GOOGLETRANSLATE(B218, ""en"", ""de"")"),"Clanstruktur. Zum Herstellen verschiedener Gegenstände.")</f>
        <v>Clanstruktur. Zum Herstellen verschiedener Gegenstände.</v>
      </c>
      <c r="I218" s="23" t="str">
        <f>IFERROR(__xludf.DUMMYFUNCTION("GOOGLETRANSLATE(B218, ""en"", ""pl"")"),"Struktura klanu. Używane do rzemiosła różnych przedmiotów.")</f>
        <v>Struktura klanu. Używane do rzemiosła różnych przedmiotów.</v>
      </c>
      <c r="J218" s="25" t="str">
        <f>IFERROR(__xludf.DUMMYFUNCTION("GOOGLETRANSLATE(B218, ""en"", ""zh"")"),"氏族结构。用来制作各种物品。")</f>
        <v>氏族结构。用来制作各种物品。</v>
      </c>
      <c r="K218" s="25" t="str">
        <f>IFERROR(__xludf.DUMMYFUNCTION("GOOGLETRANSLATE(B218, ""en"", ""vi"")"),"Cấu trúc gia tộc. Được sử dụng để chế tạo các mặt hàng khác nhau.")</f>
        <v>Cấu trúc gia tộc. Được sử dụng để chế tạo các mặt hàng khác nhau.</v>
      </c>
      <c r="L218" s="26" t="str">
        <f>IFERROR(__xludf.DUMMYFUNCTION("GOOGLETRANSLATE(B218, ""en"", ""hr"")"),"Struktura klana. Koristi se za izradu raznih predmeta.")</f>
        <v>Struktura klana. Koristi se za izradu raznih predmeta.</v>
      </c>
      <c r="M218" s="28"/>
      <c r="N218" s="28"/>
      <c r="O218" s="28"/>
      <c r="P218" s="28"/>
      <c r="Q218" s="28"/>
      <c r="R218" s="28"/>
      <c r="S218" s="28"/>
      <c r="T218" s="28"/>
      <c r="U218" s="28"/>
      <c r="V218" s="28"/>
      <c r="W218" s="28"/>
      <c r="X218" s="28"/>
      <c r="Y218" s="28"/>
      <c r="Z218" s="28"/>
      <c r="AA218" s="28"/>
      <c r="AB218" s="28"/>
    </row>
    <row r="219">
      <c r="A219" s="21" t="s">
        <v>762</v>
      </c>
      <c r="B219" s="22" t="s">
        <v>348</v>
      </c>
      <c r="C219" s="23" t="str">
        <f>IFERROR(__xludf.DUMMYFUNCTION("GOOGLETRANSLATE(B219, ""en"", ""fr"")"),"fourneau")</f>
        <v>fourneau</v>
      </c>
      <c r="D219" s="23" t="str">
        <f>IFERROR(__xludf.DUMMYFUNCTION("GOOGLETRANSLATE(B219, ""en"", ""es"")"),"Horno")</f>
        <v>Horno</v>
      </c>
      <c r="E219" s="23" t="str">
        <f>IFERROR(__xludf.DUMMYFUNCTION("GOOGLETRANSLATE(B219, ""en"", ""ru"")"),"Печь")</f>
        <v>Печь</v>
      </c>
      <c r="F219" s="23" t="str">
        <f>IFERROR(__xludf.DUMMYFUNCTION("GOOGLETRANSLATE(B219, ""en"", ""tr"")"),"Fırın")</f>
        <v>Fırın</v>
      </c>
      <c r="G219" s="23" t="str">
        <f>IFERROR(__xludf.DUMMYFUNCTION("GOOGLETRANSLATE(B219, ""en"", ""pt"")"),"Forno")</f>
        <v>Forno</v>
      </c>
      <c r="H219" s="24" t="str">
        <f>IFERROR(__xludf.DUMMYFUNCTION("GOOGLETRANSLATE(B219, ""en"", ""de"")"),"Ofen")</f>
        <v>Ofen</v>
      </c>
      <c r="I219" s="23" t="str">
        <f>IFERROR(__xludf.DUMMYFUNCTION("GOOGLETRANSLATE(B219, ""en"", ""pl"")"),"Piec")</f>
        <v>Piec</v>
      </c>
      <c r="J219" s="25" t="str">
        <f>IFERROR(__xludf.DUMMYFUNCTION("GOOGLETRANSLATE(B219, ""en"", ""zh"")"),"炉")</f>
        <v>炉</v>
      </c>
      <c r="K219" s="25" t="str">
        <f>IFERROR(__xludf.DUMMYFUNCTION("GOOGLETRANSLATE(B219, ""en"", ""vi"")"),"Lò lửa")</f>
        <v>Lò lửa</v>
      </c>
      <c r="L219" s="26" t="str">
        <f>IFERROR(__xludf.DUMMYFUNCTION("GOOGLETRANSLATE(B219, ""en"", ""hr"")"),"Peć")</f>
        <v>Peć</v>
      </c>
      <c r="M219" s="28"/>
      <c r="N219" s="28"/>
      <c r="O219" s="28"/>
      <c r="P219" s="28"/>
      <c r="Q219" s="28"/>
      <c r="R219" s="28"/>
      <c r="S219" s="28"/>
      <c r="T219" s="28"/>
      <c r="U219" s="28"/>
      <c r="V219" s="28"/>
      <c r="W219" s="28"/>
      <c r="X219" s="28"/>
      <c r="Y219" s="28"/>
      <c r="Z219" s="28"/>
      <c r="AA219" s="28"/>
      <c r="AB219" s="28"/>
    </row>
    <row r="220">
      <c r="A220" s="21" t="s">
        <v>763</v>
      </c>
      <c r="B220" s="22" t="s">
        <v>764</v>
      </c>
      <c r="C220" s="23" t="str">
        <f>IFERROR(__xludf.DUMMYFUNCTION("GOOGLETRANSLATE(B220, ""en"", ""fr"")"),"Structure du clan. Utilisé pour transformer les minerais en barres métalliques.")</f>
        <v>Structure du clan. Utilisé pour transformer les minerais en barres métalliques.</v>
      </c>
      <c r="D220" s="23" t="str">
        <f>IFERROR(__xludf.DUMMYFUNCTION("GOOGLETRANSLATE(B220, ""en"", ""es"")"),"Estructura del clan. Se utiliza para convertir minerales en barras de metal.")</f>
        <v>Estructura del clan. Se utiliza para convertir minerales en barras de metal.</v>
      </c>
      <c r="E220" s="23" t="str">
        <f>IFERROR(__xludf.DUMMYFUNCTION("GOOGLETRANSLATE(B220, ""en"", ""ru"")"),"Клановая структура. Используется для поворота руд в металлические полосы.")</f>
        <v>Клановая структура. Используется для поворота руд в металлические полосы.</v>
      </c>
      <c r="F220" s="23" t="str">
        <f>IFERROR(__xludf.DUMMYFUNCTION("GOOGLETRANSLATE(B220, ""en"", ""tr"")"),"Klan yapısı. Oraları metal çubuklara dönüştürmek için kullanılır.")</f>
        <v>Klan yapısı. Oraları metal çubuklara dönüştürmek için kullanılır.</v>
      </c>
      <c r="G220" s="23" t="str">
        <f>IFERROR(__xludf.DUMMYFUNCTION("GOOGLETRANSLATE(B220, ""en"", ""pt"")"),"Estrutura de clã. Usado para virar os minérios em barras de metal.")</f>
        <v>Estrutura de clã. Usado para virar os minérios em barras de metal.</v>
      </c>
      <c r="H220" s="24" t="str">
        <f>IFERROR(__xludf.DUMMYFUNCTION("GOOGLETRANSLATE(B220, ""en"", ""de"")"),"Clanstruktur. Verwendet, um Erze in Metallstäbe zu drehen.")</f>
        <v>Clanstruktur. Verwendet, um Erze in Metallstäbe zu drehen.</v>
      </c>
      <c r="I220" s="23" t="str">
        <f>IFERROR(__xludf.DUMMYFUNCTION("GOOGLETRANSLATE(B220, ""en"", ""pl"")"),"Struktura klanu. Używany do obracania rud do metalowych prętów.")</f>
        <v>Struktura klanu. Używany do obracania rud do metalowych prętów.</v>
      </c>
      <c r="J220" s="25" t="str">
        <f>IFERROR(__xludf.DUMMYFUNCTION("GOOGLETRANSLATE(B220, ""en"", ""zh"")"),"氏族结构。用来将矿石变成金属条。")</f>
        <v>氏族结构。用来将矿石变成金属条。</v>
      </c>
      <c r="K220" s="25" t="str">
        <f>IFERROR(__xludf.DUMMYFUNCTION("GOOGLETRANSLATE(B220, ""en"", ""vi"")"),"Cấu trúc gia tộc. Được sử dụng để biến quặng thành các thanh kim loại.")</f>
        <v>Cấu trúc gia tộc. Được sử dụng để biến quặng thành các thanh kim loại.</v>
      </c>
      <c r="L220" s="26" t="str">
        <f>IFERROR(__xludf.DUMMYFUNCTION("GOOGLETRANSLATE(B220, ""en"", ""hr"")"),"Struktura klana. Koristi se za okretanje ruda u metalne šipke.")</f>
        <v>Struktura klana. Koristi se za okretanje ruda u metalne šipke.</v>
      </c>
      <c r="M220" s="28"/>
      <c r="N220" s="28"/>
      <c r="O220" s="28"/>
      <c r="P220" s="28"/>
      <c r="Q220" s="28"/>
      <c r="R220" s="28"/>
      <c r="S220" s="28"/>
      <c r="T220" s="28"/>
      <c r="U220" s="28"/>
      <c r="V220" s="28"/>
      <c r="W220" s="28"/>
      <c r="X220" s="28"/>
      <c r="Y220" s="28"/>
      <c r="Z220" s="28"/>
      <c r="AA220" s="28"/>
      <c r="AB220" s="28"/>
    </row>
    <row r="221">
      <c r="A221" s="21" t="s">
        <v>765</v>
      </c>
      <c r="B221" s="22" t="s">
        <v>347</v>
      </c>
      <c r="C221" s="23" t="str">
        <f>IFERROR(__xludf.DUMMYFUNCTION("GOOGLETRANSLATE(B221, ""en"", ""fr"")"),"Enclume")</f>
        <v>Enclume</v>
      </c>
      <c r="D221" s="23" t="str">
        <f>IFERROR(__xludf.DUMMYFUNCTION("GOOGLETRANSLATE(B221, ""en"", ""es"")"),"Yunque")</f>
        <v>Yunque</v>
      </c>
      <c r="E221" s="23" t="str">
        <f>IFERROR(__xludf.DUMMYFUNCTION("GOOGLETRANSLATE(B221, ""en"", ""ru"")"),"Наковальня")</f>
        <v>Наковальня</v>
      </c>
      <c r="F221" s="23" t="str">
        <f>IFERROR(__xludf.DUMMYFUNCTION("GOOGLETRANSLATE(B221, ""en"", ""tr"")"),"Örs")</f>
        <v>Örs</v>
      </c>
      <c r="G221" s="23" t="str">
        <f>IFERROR(__xludf.DUMMYFUNCTION("GOOGLETRANSLATE(B221, ""en"", ""pt"")"),"Bigorna")</f>
        <v>Bigorna</v>
      </c>
      <c r="H221" s="24" t="str">
        <f>IFERROR(__xludf.DUMMYFUNCTION("GOOGLETRANSLATE(B221, ""en"", ""de"")"),"Amboss")</f>
        <v>Amboss</v>
      </c>
      <c r="I221" s="23" t="str">
        <f>IFERROR(__xludf.DUMMYFUNCTION("GOOGLETRANSLATE(B221, ""en"", ""pl"")"),"Kowadło")</f>
        <v>Kowadło</v>
      </c>
      <c r="J221" s="25" t="str">
        <f>IFERROR(__xludf.DUMMYFUNCTION("GOOGLETRANSLATE(B221, ""en"", ""zh"")"),"砧")</f>
        <v>砧</v>
      </c>
      <c r="K221" s="25" t="str">
        <f>IFERROR(__xludf.DUMMYFUNCTION("GOOGLETRANSLATE(B221, ""en"", ""vi"")"),"Anvil.")</f>
        <v>Anvil.</v>
      </c>
      <c r="L221" s="26" t="str">
        <f>IFERROR(__xludf.DUMMYFUNCTION("GOOGLETRANSLATE(B221, ""en"", ""hr"")"),"Nakovanj")</f>
        <v>Nakovanj</v>
      </c>
      <c r="M221" s="28"/>
      <c r="N221" s="28"/>
      <c r="O221" s="28"/>
      <c r="P221" s="28"/>
      <c r="Q221" s="28"/>
      <c r="R221" s="28"/>
      <c r="S221" s="28"/>
      <c r="T221" s="28"/>
      <c r="U221" s="28"/>
      <c r="V221" s="28"/>
      <c r="W221" s="28"/>
      <c r="X221" s="28"/>
      <c r="Y221" s="28"/>
      <c r="Z221" s="28"/>
      <c r="AA221" s="28"/>
      <c r="AB221" s="28"/>
    </row>
    <row r="222">
      <c r="A222" s="21" t="s">
        <v>766</v>
      </c>
      <c r="B222" s="22" t="s">
        <v>767</v>
      </c>
      <c r="C222" s="23" t="str">
        <f>IFERROR(__xludf.DUMMYFUNCTION("GOOGLETRANSLATE(B222, ""en"", ""fr"")"),"Structure du clan. Utilisé pour créer des articles en métal.")</f>
        <v>Structure du clan. Utilisé pour créer des articles en métal.</v>
      </c>
      <c r="D222" s="23" t="str">
        <f>IFERROR(__xludf.DUMMYFUNCTION("GOOGLETRANSLATE(B222, ""en"", ""es"")"),"Estructura del clan. Se utiliza para crear artículos de metal.")</f>
        <v>Estructura del clan. Se utiliza para crear artículos de metal.</v>
      </c>
      <c r="E222" s="23" t="str">
        <f>IFERROR(__xludf.DUMMYFUNCTION("GOOGLETRANSLATE(B222, ""en"", ""ru"")"),"Клановая структура. Используется для ремесла металлических предметов.")</f>
        <v>Клановая структура. Используется для ремесла металлических предметов.</v>
      </c>
      <c r="F222" s="23" t="str">
        <f>IFERROR(__xludf.DUMMYFUNCTION("GOOGLETRANSLATE(B222, ""en"", ""tr"")"),"Klan yapısı. Metal eşyaları zanaat etmek için kullanılır.")</f>
        <v>Klan yapısı. Metal eşyaları zanaat etmek için kullanılır.</v>
      </c>
      <c r="G222" s="23" t="str">
        <f>IFERROR(__xludf.DUMMYFUNCTION("GOOGLETRANSLATE(B222, ""en"", ""pt"")"),"Estrutura de clã. Usado para artesanais itens de metal.")</f>
        <v>Estrutura de clã. Usado para artesanais itens de metal.</v>
      </c>
      <c r="H222" s="24" t="str">
        <f>IFERROR(__xludf.DUMMYFUNCTION("GOOGLETRANSLATE(B222, ""en"", ""de"")"),"Clanstruktur. Verwendet, um Metallgegenstände herzustellen.")</f>
        <v>Clanstruktur. Verwendet, um Metallgegenstände herzustellen.</v>
      </c>
      <c r="I222" s="23" t="str">
        <f>IFERROR(__xludf.DUMMYFUNCTION("GOOGLETRANSLATE(B222, ""en"", ""pl"")"),"Struktura klanu. Używany do rzemieślniczych przedmiotów metalowych.")</f>
        <v>Struktura klanu. Używany do rzemieślniczych przedmiotów metalowych.</v>
      </c>
      <c r="J222" s="25" t="str">
        <f>IFERROR(__xludf.DUMMYFUNCTION("GOOGLETRANSLATE(B222, ""en"", ""zh"")"),"氏族结构。用于制作金属物品。")</f>
        <v>氏族结构。用于制作金属物品。</v>
      </c>
      <c r="K222" s="25" t="str">
        <f>IFERROR(__xludf.DUMMYFUNCTION("GOOGLETRANSLATE(B222, ""en"", ""vi"")"),"Cấu trúc gia tộc. Dùng để thủ công các mặt hàng kim loại.")</f>
        <v>Cấu trúc gia tộc. Dùng để thủ công các mặt hàng kim loại.</v>
      </c>
      <c r="L222" s="26" t="str">
        <f>IFERROR(__xludf.DUMMYFUNCTION("GOOGLETRANSLATE(B222, ""en"", ""hr"")"),"Struktura klana. Koristi se za obrt metalnih predmeta.")</f>
        <v>Struktura klana. Koristi se za obrt metalnih predmeta.</v>
      </c>
      <c r="M222" s="28"/>
      <c r="N222" s="28"/>
      <c r="O222" s="28"/>
      <c r="P222" s="28"/>
      <c r="Q222" s="28"/>
      <c r="R222" s="28"/>
      <c r="S222" s="28"/>
      <c r="T222" s="28"/>
      <c r="U222" s="28"/>
      <c r="V222" s="28"/>
      <c r="W222" s="28"/>
      <c r="X222" s="28"/>
      <c r="Y222" s="28"/>
      <c r="Z222" s="28"/>
      <c r="AA222" s="28"/>
      <c r="AB222" s="28"/>
    </row>
    <row r="223">
      <c r="A223" s="42" t="s">
        <v>768</v>
      </c>
      <c r="B223" s="22" t="s">
        <v>349</v>
      </c>
      <c r="C223" s="23" t="str">
        <f>IFERROR(__xludf.DUMMYFUNCTION("GOOGLETRANSLATE(B223, ""en"", ""fr"")"),"Laboratoire")</f>
        <v>Laboratoire</v>
      </c>
      <c r="D223" s="23" t="str">
        <f>IFERROR(__xludf.DUMMYFUNCTION("GOOGLETRANSLATE(B223, ""en"", ""es"")"),"Laboratorio")</f>
        <v>Laboratorio</v>
      </c>
      <c r="E223" s="23" t="str">
        <f>IFERROR(__xludf.DUMMYFUNCTION("GOOGLETRANSLATE(B223, ""en"", ""ru"")"),"Лаборатория")</f>
        <v>Лаборатория</v>
      </c>
      <c r="F223" s="23" t="str">
        <f>IFERROR(__xludf.DUMMYFUNCTION("GOOGLETRANSLATE(B223, ""en"", ""tr"")"),"Laboratuvar")</f>
        <v>Laboratuvar</v>
      </c>
      <c r="G223" s="23" t="str">
        <f>IFERROR(__xludf.DUMMYFUNCTION("GOOGLETRANSLATE(B223, ""en"", ""pt"")"),"Laboratório")</f>
        <v>Laboratório</v>
      </c>
      <c r="H223" s="24" t="str">
        <f>IFERROR(__xludf.DUMMYFUNCTION("GOOGLETRANSLATE(B223, ""en"", ""de"")"),"Labor")</f>
        <v>Labor</v>
      </c>
      <c r="I223" s="23" t="str">
        <f>IFERROR(__xludf.DUMMYFUNCTION("GOOGLETRANSLATE(B223, ""en"", ""pl"")"),"Laboratorium")</f>
        <v>Laboratorium</v>
      </c>
      <c r="J223" s="25" t="str">
        <f>IFERROR(__xludf.DUMMYFUNCTION("GOOGLETRANSLATE(B223, ""en"", ""zh"")"),"实验室")</f>
        <v>实验室</v>
      </c>
      <c r="K223" s="25" t="str">
        <f>IFERROR(__xludf.DUMMYFUNCTION("GOOGLETRANSLATE(B223, ""en"", ""vi"")"),"Phòng thí nghiệm")</f>
        <v>Phòng thí nghiệm</v>
      </c>
      <c r="L223" s="26" t="str">
        <f>IFERROR(__xludf.DUMMYFUNCTION("GOOGLETRANSLATE(B223, ""en"", ""hr"")"),"Laboratorija")</f>
        <v>Laboratorija</v>
      </c>
      <c r="M223" s="28"/>
      <c r="N223" s="28"/>
      <c r="O223" s="28"/>
      <c r="P223" s="28"/>
      <c r="Q223" s="28"/>
      <c r="R223" s="28"/>
      <c r="S223" s="28"/>
      <c r="T223" s="28"/>
      <c r="U223" s="28"/>
      <c r="V223" s="28"/>
      <c r="W223" s="28"/>
      <c r="X223" s="28"/>
      <c r="Y223" s="28"/>
      <c r="Z223" s="28"/>
      <c r="AA223" s="28"/>
      <c r="AB223" s="28"/>
    </row>
    <row r="224">
      <c r="A224" s="42" t="s">
        <v>769</v>
      </c>
      <c r="B224" s="22" t="s">
        <v>770</v>
      </c>
      <c r="C224" s="23" t="str">
        <f>IFERROR(__xludf.DUMMYFUNCTION("GOOGLETRANSLATE(B224, ""en"", ""fr"")"),"Structure du clan. Utilisé pour fabriquer des potions.")</f>
        <v>Structure du clan. Utilisé pour fabriquer des potions.</v>
      </c>
      <c r="D224" s="23" t="str">
        <f>IFERROR(__xludf.DUMMYFUNCTION("GOOGLETRANSLATE(B224, ""en"", ""es"")"),"Estructura del clan. Se utiliza para manipular pociones.")</f>
        <v>Estructura del clan. Se utiliza para manipular pociones.</v>
      </c>
      <c r="E224" s="23" t="str">
        <f>IFERROR(__xludf.DUMMYFUNCTION("GOOGLETRANSLATE(B224, ""en"", ""ru"")"),"Клановая структура. Используется для ремесла зелья.")</f>
        <v>Клановая структура. Используется для ремесла зелья.</v>
      </c>
      <c r="F224" s="23" t="str">
        <f>IFERROR(__xludf.DUMMYFUNCTION("GOOGLETRANSLATE(B224, ""en"", ""tr"")"),"Klan yapısı. İksirleri zanaat etmek için kullanılır.")</f>
        <v>Klan yapısı. İksirleri zanaat etmek için kullanılır.</v>
      </c>
      <c r="G224" s="23" t="str">
        <f>IFERROR(__xludf.DUMMYFUNCTION("GOOGLETRANSLATE(B224, ""en"", ""pt"")"),"Estrutura de clã. Usado para artesanato.")</f>
        <v>Estrutura de clã. Usado para artesanato.</v>
      </c>
      <c r="H224" s="24" t="str">
        <f>IFERROR(__xludf.DUMMYFUNCTION("GOOGLETRANSLATE(B224, ""en"", ""de"")"),"Clanstruktur. Verwendet, um Tränke zu büsten.")</f>
        <v>Clanstruktur. Verwendet, um Tränke zu büsten.</v>
      </c>
      <c r="I224" s="23" t="str">
        <f>IFERROR(__xludf.DUMMYFUNCTION("GOOGLETRANSLATE(B224, ""en"", ""pl"")"),"Struktura klanu. Używany do rzemieślniczych mikstur.")</f>
        <v>Struktura klanu. Używany do rzemieślniczych mikstur.</v>
      </c>
      <c r="J224" s="25" t="str">
        <f>IFERROR(__xludf.DUMMYFUNCTION("GOOGLETRANSLATE(B224, ""en"", ""zh"")"),"氏族结构。用来制作药水。")</f>
        <v>氏族结构。用来制作药水。</v>
      </c>
      <c r="K224" s="25" t="str">
        <f>IFERROR(__xludf.DUMMYFUNCTION("GOOGLETRANSLATE(B224, ""en"", ""vi"")"),"Cấu trúc gia tộc. Dùng để thủ công potions.")</f>
        <v>Cấu trúc gia tộc. Dùng để thủ công potions.</v>
      </c>
      <c r="L224" s="26" t="str">
        <f>IFERROR(__xludf.DUMMYFUNCTION("GOOGLETRANSLATE(B224, ""en"", ""hr"")"),"Struktura klana. Koristi se za obrt napitaka.")</f>
        <v>Struktura klana. Koristi se za obrt napitaka.</v>
      </c>
      <c r="M224" s="28"/>
      <c r="N224" s="28"/>
      <c r="O224" s="28"/>
      <c r="P224" s="28"/>
      <c r="Q224" s="28"/>
      <c r="R224" s="28"/>
      <c r="S224" s="28"/>
      <c r="T224" s="28"/>
      <c r="U224" s="28"/>
      <c r="V224" s="28"/>
      <c r="W224" s="28"/>
      <c r="X224" s="28"/>
      <c r="Y224" s="28"/>
      <c r="Z224" s="28"/>
      <c r="AA224" s="28"/>
      <c r="AB224" s="28"/>
    </row>
    <row r="225">
      <c r="A225" s="42" t="s">
        <v>771</v>
      </c>
      <c r="B225" s="22" t="s">
        <v>772</v>
      </c>
      <c r="C225" s="23" t="str">
        <f>IFERROR(__xludf.DUMMYFUNCTION("GOOGLETRANSLATE(B225, ""en"", ""fr"")"),"Générateur")</f>
        <v>Générateur</v>
      </c>
      <c r="D225" s="23" t="str">
        <f>IFERROR(__xludf.DUMMYFUNCTION("GOOGLETRANSLATE(B225, ""en"", ""es"")"),"Generador")</f>
        <v>Generador</v>
      </c>
      <c r="E225" s="23" t="str">
        <f>IFERROR(__xludf.DUMMYFUNCTION("GOOGLETRANSLATE(B225, ""en"", ""ru"")"),"Генератор")</f>
        <v>Генератор</v>
      </c>
      <c r="F225" s="23" t="str">
        <f>IFERROR(__xludf.DUMMYFUNCTION("GOOGLETRANSLATE(B225, ""en"", ""tr"")"),"Jeneratör")</f>
        <v>Jeneratör</v>
      </c>
      <c r="G225" s="23" t="str">
        <f>IFERROR(__xludf.DUMMYFUNCTION("GOOGLETRANSLATE(B225, ""en"", ""pt"")"),"Gerador")</f>
        <v>Gerador</v>
      </c>
      <c r="H225" s="24" t="str">
        <f>IFERROR(__xludf.DUMMYFUNCTION("GOOGLETRANSLATE(B225, ""en"", ""de"")"),"Generator")</f>
        <v>Generator</v>
      </c>
      <c r="I225" s="23" t="str">
        <f>IFERROR(__xludf.DUMMYFUNCTION("GOOGLETRANSLATE(B225, ""en"", ""pl"")"),"Generator")</f>
        <v>Generator</v>
      </c>
      <c r="J225" s="25" t="str">
        <f>IFERROR(__xludf.DUMMYFUNCTION("GOOGLETRANSLATE(B225, ""en"", ""zh"")"),"发电机")</f>
        <v>发电机</v>
      </c>
      <c r="K225" s="25" t="str">
        <f>IFERROR(__xludf.DUMMYFUNCTION("GOOGLETRANSLATE(B225, ""en"", ""vi"")"),"Máy phát điện")</f>
        <v>Máy phát điện</v>
      </c>
      <c r="L225" s="26" t="str">
        <f>IFERROR(__xludf.DUMMYFUNCTION("GOOGLETRANSLATE(B225, ""en"", ""hr"")"),"Generator")</f>
        <v>Generator</v>
      </c>
      <c r="M225" s="28"/>
      <c r="N225" s="28"/>
      <c r="O225" s="28"/>
      <c r="P225" s="28"/>
      <c r="Q225" s="28"/>
      <c r="R225" s="28"/>
      <c r="S225" s="28"/>
      <c r="T225" s="28"/>
      <c r="U225" s="28"/>
      <c r="V225" s="28"/>
      <c r="W225" s="28"/>
      <c r="X225" s="28"/>
      <c r="Y225" s="28"/>
      <c r="Z225" s="28"/>
      <c r="AA225" s="28"/>
      <c r="AB225" s="28"/>
    </row>
    <row r="226">
      <c r="A226" s="42" t="s">
        <v>773</v>
      </c>
      <c r="B226" s="22" t="s">
        <v>774</v>
      </c>
      <c r="C226" s="23" t="str">
        <f>IFERROR(__xludf.DUMMYFUNCTION("GOOGLETRANSLATE(B226, ""en"", ""fr"")"),"Structure du clan. Convertit la gloire des joueurs en puissance pouvant être utilisée pour activer les autres structures de clan nécessitant une puissance et peut protéger toutes les structures de clan des dommages.")</f>
        <v>Structure du clan. Convertit la gloire des joueurs en puissance pouvant être utilisée pour activer les autres structures de clan nécessitant une puissance et peut protéger toutes les structures de clan des dommages.</v>
      </c>
      <c r="D226" s="23" t="str">
        <f>IFERROR(__xludf.DUMMYFUNCTION("GOOGLETRANSLATE(B226, ""en"", ""es"")"),"Estructura del clan. Convierte la gloria de los jugadores en el poder que se puede usar para activar otras estructuras de clan que requieren potencia, y pueden proteger todas las estructuras de clan de daños.")</f>
        <v>Estructura del clan. Convierte la gloria de los jugadores en el poder que se puede usar para activar otras estructuras de clan que requieren potencia, y pueden proteger todas las estructuras de clan de daños.</v>
      </c>
      <c r="E226" s="23" t="str">
        <f>IFERROR(__xludf.DUMMYFUNCTION("GOOGLETRANSLATE(B226, ""en"", ""ru"")"),"Клановая структура. Преобразует славу от игроков в силу, которая может быть использована для активации других клановых структур, которые требуют питания и могут защищать все структуры клана от повреждений.")</f>
        <v>Клановая структура. Преобразует славу от игроков в силу, которая может быть использована для активации других клановых структур, которые требуют питания и могут защищать все структуры клана от повреждений.</v>
      </c>
      <c r="F226" s="23" t="str">
        <f>IFERROR(__xludf.DUMMYFUNCTION("GOOGLETRANSLATE(B226, ""en"", ""tr"")"),"Klan yapısı. Glory, oyunculardan güç gerektiren diğer klan yapılarını etkinleştirmek için kullanılabilecek güçlere dönüştürür ve tüm klan yapılarını hasardan koruyabilir.")</f>
        <v>Klan yapısı. Glory, oyunculardan güç gerektiren diğer klan yapılarını etkinleştirmek için kullanılabilecek güçlere dönüştürür ve tüm klan yapılarını hasardan koruyabilir.</v>
      </c>
      <c r="G226" s="23" t="str">
        <f>IFERROR(__xludf.DUMMYFUNCTION("GOOGLETRANSLATE(B226, ""en"", ""pt"")"),"Estrutura de clã. Converte glória dos jogadores para o poder que podem ser usados ​​para ativar outras estruturas do clã que exigem energia, e podem proteger todas as estruturas do clã de danos.")</f>
        <v>Estrutura de clã. Converte glória dos jogadores para o poder que podem ser usados ​​para ativar outras estruturas do clã que exigem energia, e podem proteger todas as estruturas do clã de danos.</v>
      </c>
      <c r="H226" s="24" t="str">
        <f>IFERROR(__xludf.DUMMYFUNCTION("GOOGLETRANSLATE(B226, ""en"", ""de"")"),"Clanstruktur. Konvertiert Ruhm von Spielern in die Macht, mit der andere Clan-Strukturen aktiviert werden können, die mit Strom erforderlich sind, und können alle Clanstrukturen vor Beschädigungen schützen.")</f>
        <v>Clanstruktur. Konvertiert Ruhm von Spielern in die Macht, mit der andere Clan-Strukturen aktiviert werden können, die mit Strom erforderlich sind, und können alle Clanstrukturen vor Beschädigungen schützen.</v>
      </c>
      <c r="I226" s="23" t="str">
        <f>IFERROR(__xludf.DUMMYFUNCTION("GOOGLETRANSLATE(B226, ""en"", ""pl"")"),"Struktura klanu. Konwertuje chwałę od graczy w mocy, która może być używana do aktywacji innych struktur klanowych, które wymagają zasilania i może osłaniać wszystkie struktury klanowe przed uszkodzeniem.")</f>
        <v>Struktura klanu. Konwertuje chwałę od graczy w mocy, która może być używana do aktywacji innych struktur klanowych, które wymagają zasilania i może osłaniać wszystkie struktury klanowe przed uszkodzeniem.</v>
      </c>
      <c r="J226" s="25" t="str">
        <f>IFERROR(__xludf.DUMMYFUNCTION("GOOGLETRANSLATE(B226, ""en"", ""zh"")"),"氏族结构。将荣耀从玩家转换为可用于激活需要电源的其他氏族结构的电源，并且可以屏蔽所有氏族结构损坏。")</f>
        <v>氏族结构。将荣耀从玩家转换为可用于激活需要电源的其他氏族结构的电源，并且可以屏蔽所有氏族结构损坏。</v>
      </c>
      <c r="K226" s="25" t="str">
        <f>IFERROR(__xludf.DUMMYFUNCTION("GOOGLETRANSLATE(B226, ""en"", ""vi"")"),"Cấu trúc gia tộc. Chuyển đổi vinh quang khỏi người chơi thành công suất có thể được sử dụng để kích hoạt các cấu trúc bang hội khác đòi hỏi sức mạnh và có thể che chắn tất cả các cấu trúc gia tộc khỏi thiệt hại.")</f>
        <v>Cấu trúc gia tộc. Chuyển đổi vinh quang khỏi người chơi thành công suất có thể được sử dụng để kích hoạt các cấu trúc bang hội khác đòi hỏi sức mạnh và có thể che chắn tất cả các cấu trúc gia tộc khỏi thiệt hại.</v>
      </c>
      <c r="L226" s="26" t="str">
        <f>IFERROR(__xludf.DUMMYFUNCTION("GOOGLETRANSLATE(B226, ""en"", ""hr"")"),"Struktura klana. Pretvara slavu od igrača na moć koja se može koristiti za aktiviranje drugih klanova konstrukcija koje zahtijevaju moć i mogu zaštititi sve klanske strukture od oštećenja.")</f>
        <v>Struktura klana. Pretvara slavu od igrača na moć koja se može koristiti za aktiviranje drugih klanova konstrukcija koje zahtijevaju moć i mogu zaštititi sve klanske strukture od oštećenja.</v>
      </c>
      <c r="M226" s="28"/>
      <c r="N226" s="28"/>
      <c r="O226" s="28"/>
      <c r="P226" s="28"/>
      <c r="Q226" s="28"/>
      <c r="R226" s="28"/>
      <c r="S226" s="28"/>
      <c r="T226" s="28"/>
      <c r="U226" s="28"/>
      <c r="V226" s="28"/>
      <c r="W226" s="28"/>
      <c r="X226" s="28"/>
      <c r="Y226" s="28"/>
      <c r="Z226" s="28"/>
      <c r="AA226" s="28"/>
      <c r="AB226" s="28"/>
    </row>
    <row r="227">
      <c r="A227" s="42" t="s">
        <v>775</v>
      </c>
      <c r="B227" s="22" t="s">
        <v>776</v>
      </c>
      <c r="C227" s="23" t="str">
        <f>IFERROR(__xludf.DUMMYFUNCTION("GOOGLETRANSLATE(B227, ""en"", ""fr"")"),"Clé de combat")</f>
        <v>Clé de combat</v>
      </c>
      <c r="D227" s="23" t="str">
        <f>IFERROR(__xludf.DUMMYFUNCTION("GOOGLETRANSLATE(B227, ""en"", ""es"")"),"Llave de combate")</f>
        <v>Llave de combate</v>
      </c>
      <c r="E227" s="23" t="str">
        <f>IFERROR(__xludf.DUMMYFUNCTION("GOOGLETRANSLATE(B227, ""en"", ""ru"")"),"Истребитель")</f>
        <v>Истребитель</v>
      </c>
      <c r="F227" s="23" t="str">
        <f>IFERROR(__xludf.DUMMYFUNCTION("GOOGLETRANSLATE(B227, ""en"", ""tr"")"),"Savaşçı anahtarı")</f>
        <v>Savaşçı anahtarı</v>
      </c>
      <c r="G227" s="23" t="str">
        <f>IFERROR(__xludf.DUMMYFUNCTION("GOOGLETRANSLATE(B227, ""en"", ""pt"")"),"Chave de lutador")</f>
        <v>Chave de lutador</v>
      </c>
      <c r="H227" s="24" t="str">
        <f>IFERROR(__xludf.DUMMYFUNCTION("GOOGLETRANSLATE(B227, ""en"", ""de"")"),"Kämpferschlüssel")</f>
        <v>Kämpferschlüssel</v>
      </c>
      <c r="I227" s="23" t="str">
        <f>IFERROR(__xludf.DUMMYFUNCTION("GOOGLETRANSLATE(B227, ""en"", ""pl"")"),"Kluczem myśliwski")</f>
        <v>Kluczem myśliwski</v>
      </c>
      <c r="J227" s="25" t="str">
        <f>IFERROR(__xludf.DUMMYFUNCTION("GOOGLETRANSLATE(B227, ""en"", ""zh"")"),"战斗机钥匙")</f>
        <v>战斗机钥匙</v>
      </c>
      <c r="K227" s="25" t="str">
        <f>IFERROR(__xludf.DUMMYFUNCTION("GOOGLETRANSLATE(B227, ""en"", ""vi"")"),"Phím chiến đấu")</f>
        <v>Phím chiến đấu</v>
      </c>
      <c r="L227" s="26" t="str">
        <f>IFERROR(__xludf.DUMMYFUNCTION("GOOGLETRANSLATE(B227, ""en"", ""hr"")"),"Ključ borbenog")</f>
        <v>Ključ borbenog</v>
      </c>
      <c r="M227" s="28"/>
      <c r="N227" s="28"/>
      <c r="O227" s="28"/>
      <c r="P227" s="28"/>
      <c r="Q227" s="28"/>
      <c r="R227" s="28"/>
      <c r="S227" s="28"/>
      <c r="T227" s="28"/>
      <c r="U227" s="28"/>
      <c r="V227" s="28"/>
      <c r="W227" s="28"/>
      <c r="X227" s="28"/>
      <c r="Y227" s="28"/>
      <c r="Z227" s="28"/>
      <c r="AA227" s="28"/>
      <c r="AB227" s="28"/>
    </row>
    <row r="228">
      <c r="A228" s="42" t="s">
        <v>777</v>
      </c>
      <c r="B228" s="22" t="s">
        <v>778</v>
      </c>
      <c r="C228" s="23" t="str">
        <f>IFERROR(__xludf.DUMMYFUNCTION("GOOGLETRANSLATE(B228, ""en"", ""fr"")"),"Ouvre la porte de la zone de préparation du PvP Arena. Avertissement! D'autres joueurs peuvent vous attaquer dans la fosse de combat!")</f>
        <v>Ouvre la porte de la zone de préparation du PvP Arena. Avertissement! D'autres joueurs peuvent vous attaquer dans la fosse de combat!</v>
      </c>
      <c r="D228" s="23" t="str">
        <f>IFERROR(__xludf.DUMMYFUNCTION("GOOGLETRANSLATE(B228, ""en"", ""es"")"),"Abre la puerta al área de preparación de la arena PVP. ¡Advertencia! ¡Otros jugadores pueden atacarte en el pozo de lucha!")</f>
        <v>Abre la puerta al área de preparación de la arena PVP. ¡Advertencia! ¡Otros jugadores pueden atacarte en el pozo de lucha!</v>
      </c>
      <c r="E228" s="23" t="str">
        <f>IFERROR(__xludf.DUMMYFUNCTION("GOOGLETRANSLATE(B228, ""en"", ""ru"")"),"Открывает дверь к области подготовки PvP Arena. Предупреждение! Другие игроки могут атаковать вас в боевой яме!")</f>
        <v>Открывает дверь к области подготовки PvP Arena. Предупреждение! Другие игроки могут атаковать вас в боевой яме!</v>
      </c>
      <c r="F228" s="23" t="str">
        <f>IFERROR(__xludf.DUMMYFUNCTION("GOOGLETRANSLATE(B228, ""en"", ""tr"")"),"PVP Arena Hazırlık Alanına kapıyı açar. Uyarı! Diğer oyuncular size mücadele çukuruna saldırabilir!")</f>
        <v>PVP Arena Hazırlık Alanına kapıyı açar. Uyarı! Diğer oyuncular size mücadele çukuruna saldırabilir!</v>
      </c>
      <c r="G228" s="23" t="str">
        <f>IFERROR(__xludf.DUMMYFUNCTION("GOOGLETRANSLATE(B228, ""en"", ""pt"")"),"Abre a porta para a área de preparação de arena PVP. Aviso! Outros jogadores podem atacá-lo na luta!")</f>
        <v>Abre a porta para a área de preparação de arena PVP. Aviso! Outros jogadores podem atacá-lo na luta!</v>
      </c>
      <c r="H228" s="24" t="str">
        <f>IFERROR(__xludf.DUMMYFUNCTION("GOOGLETRANSLATE(B228, ""en"", ""de"")"),"Öffnet die Tür zum PVP-Arena-Vorbereitungsbereich. Warnung! Andere Spieler können Sie in der Kampfgrube angreifen!")</f>
        <v>Öffnet die Tür zum PVP-Arena-Vorbereitungsbereich. Warnung! Andere Spieler können Sie in der Kampfgrube angreifen!</v>
      </c>
      <c r="I228" s="23" t="str">
        <f>IFERROR(__xludf.DUMMYFUNCTION("GOOGLETRANSLATE(B228, ""en"", ""pl"")"),"Otwiera drzwi do obszaru przygotowania areny PVP. Ostrzeżenie! Inni gracze mogą cię zaatakować w walce!")</f>
        <v>Otwiera drzwi do obszaru przygotowania areny PVP. Ostrzeżenie! Inni gracze mogą cię zaatakować w walce!</v>
      </c>
      <c r="J228" s="25" t="str">
        <f>IFERROR(__xludf.DUMMYFUNCTION("GOOGLETRANSLATE(B228, ""en"", ""zh"")"),"打开PVP竞技场准备区的门。警告！其他玩家可以在战斗坑里攻击你！")</f>
        <v>打开PVP竞技场准备区的门。警告！其他玩家可以在战斗坑里攻击你！</v>
      </c>
      <c r="K228" s="25" t="str">
        <f>IFERROR(__xludf.DUMMYFUNCTION("GOOGLETRANSLATE(B228, ""en"", ""vi"")"),"Mở cửa đến khu vực luyện thi PvP. Cảnh báo! Những người chơi khác có thể tấn công bạn trong The Fight Pit!")</f>
        <v>Mở cửa đến khu vực luyện thi PvP. Cảnh báo! Những người chơi khác có thể tấn công bạn trong The Fight Pit!</v>
      </c>
      <c r="L228" s="26" t="str">
        <f>IFERROR(__xludf.DUMMYFUNCTION("GOOGLETRANSLATE(B228, ""en"", ""hr"")"),"Otvara vrata pripreme PvP arene. Upozorenje! Drugi igrači vas mogu napasti u borbenoj jami!")</f>
        <v>Otvara vrata pripreme PvP arene. Upozorenje! Drugi igrači vas mogu napasti u borbenoj jami!</v>
      </c>
      <c r="M228" s="28"/>
      <c r="N228" s="28"/>
      <c r="O228" s="28"/>
      <c r="P228" s="28"/>
      <c r="Q228" s="28"/>
      <c r="R228" s="28"/>
      <c r="S228" s="28"/>
      <c r="T228" s="28"/>
      <c r="U228" s="28"/>
      <c r="V228" s="28"/>
      <c r="W228" s="28"/>
      <c r="X228" s="28"/>
      <c r="Y228" s="28"/>
      <c r="Z228" s="28"/>
      <c r="AA228" s="28"/>
      <c r="AB228" s="28"/>
    </row>
    <row r="229">
      <c r="A229" s="42" t="s">
        <v>779</v>
      </c>
      <c r="B229" s="22" t="s">
        <v>780</v>
      </c>
      <c r="C229" s="23" t="str">
        <f>IFERROR(__xludf.DUMMYFUNCTION("GOOGLETRANSLATE(B229, ""en"", ""fr"")"),"Touche de fosse")</f>
        <v>Touche de fosse</v>
      </c>
      <c r="D229" s="23" t="str">
        <f>IFERROR(__xludf.DUMMYFUNCTION("GOOGLETRANSLATE(B229, ""en"", ""es"")"),"Llavero")</f>
        <v>Llavero</v>
      </c>
      <c r="E229" s="23" t="str">
        <f>IFERROR(__xludf.DUMMYFUNCTION("GOOGLETRANSLATE(B229, ""en"", ""ru"")"),"Ключ")</f>
        <v>Ключ</v>
      </c>
      <c r="F229" s="23" t="str">
        <f>IFERROR(__xludf.DUMMYFUNCTION("GOOGLETRANSLATE(B229, ""en"", ""tr"")"),"Çukur anahtarı")</f>
        <v>Çukur anahtarı</v>
      </c>
      <c r="G229" s="23" t="str">
        <f>IFERROR(__xludf.DUMMYFUNCTION("GOOGLETRANSLATE(B229, ""en"", ""pt"")"),"Tecla pit")</f>
        <v>Tecla pit</v>
      </c>
      <c r="H229" s="24" t="str">
        <f>IFERROR(__xludf.DUMMYFUNCTION("GOOGLETRANSLATE(B229, ""en"", ""de"")"),"Pit-Key")</f>
        <v>Pit-Key</v>
      </c>
      <c r="I229" s="23" t="str">
        <f>IFERROR(__xludf.DUMMYFUNCTION("GOOGLETRANSLATE(B229, ""en"", ""pl"")"),"Klucz Pit.")</f>
        <v>Klucz Pit.</v>
      </c>
      <c r="J229" s="25" t="str">
        <f>IFERROR(__xludf.DUMMYFUNCTION("GOOGLETRANSLATE(B229, ""en"", ""zh"")"),"坑钥匙")</f>
        <v>坑钥匙</v>
      </c>
      <c r="K229" s="25" t="str">
        <f>IFERROR(__xludf.DUMMYFUNCTION("GOOGLETRANSLATE(B229, ""en"", ""vi"")"),"Phím pit.")</f>
        <v>Phím pit.</v>
      </c>
      <c r="L229" s="26" t="str">
        <f>IFERROR(__xludf.DUMMYFUNCTION("GOOGLETRANSLATE(B229, ""en"", ""hr"")"),"Ključ")</f>
        <v>Ključ</v>
      </c>
      <c r="M229" s="28"/>
      <c r="N229" s="28"/>
      <c r="O229" s="28"/>
      <c r="P229" s="28"/>
      <c r="Q229" s="28"/>
      <c r="R229" s="28"/>
      <c r="S229" s="28"/>
      <c r="T229" s="28"/>
      <c r="U229" s="28"/>
      <c r="V229" s="28"/>
      <c r="W229" s="28"/>
      <c r="X229" s="28"/>
      <c r="Y229" s="28"/>
      <c r="Z229" s="28"/>
      <c r="AA229" s="28"/>
      <c r="AB229" s="28"/>
    </row>
    <row r="230">
      <c r="A230" s="42" t="s">
        <v>781</v>
      </c>
      <c r="B230" s="22" t="s">
        <v>782</v>
      </c>
      <c r="C230" s="23" t="str">
        <f>IFERROR(__xludf.DUMMYFUNCTION("GOOGLETRANSLATE(B230, ""en"", ""fr"")"),"Ouvre les portes pour sortir de la fosse de combat.")</f>
        <v>Ouvre les portes pour sortir de la fosse de combat.</v>
      </c>
      <c r="D230" s="23" t="str">
        <f>IFERROR(__xludf.DUMMYFUNCTION("GOOGLETRANSLATE(B230, ""en"", ""es"")"),"Abre las puertas para salir del pozo de lucha.")</f>
        <v>Abre las puertas para salir del pozo de lucha.</v>
      </c>
      <c r="E230" s="23" t="str">
        <f>IFERROR(__xludf.DUMMYFUNCTION("GOOGLETRANSLATE(B230, ""en"", ""ru"")"),"Открывает двери, чтобы выйти из боевой ямы.")</f>
        <v>Открывает двери, чтобы выйти из боевой ямы.</v>
      </c>
      <c r="F230" s="23" t="str">
        <f>IFERROR(__xludf.DUMMYFUNCTION("GOOGLETRANSLATE(B230, ""en"", ""tr"")"),"Mücadele çukurundan çıkmak için kapıları açar.")</f>
        <v>Mücadele çukurundan çıkmak için kapıları açar.</v>
      </c>
      <c r="G230" s="23" t="str">
        <f>IFERROR(__xludf.DUMMYFUNCTION("GOOGLETRANSLATE(B230, ""en"", ""pt"")"),"Abre as portas para sair da luta.")</f>
        <v>Abre as portas para sair da luta.</v>
      </c>
      <c r="H230" s="24" t="str">
        <f>IFERROR(__xludf.DUMMYFUNCTION("GOOGLETRANSLATE(B230, ""en"", ""de"")"),"Öffnet die Türen, um aus der Kampfgrube zu verlassen.")</f>
        <v>Öffnet die Türen, um aus der Kampfgrube zu verlassen.</v>
      </c>
      <c r="I230" s="23" t="str">
        <f>IFERROR(__xludf.DUMMYFUNCTION("GOOGLETRANSLATE(B230, ""en"", ""pl"")"),"Otwiera drzwi, aby wyjść z bólu walki.")</f>
        <v>Otwiera drzwi, aby wyjść z bólu walki.</v>
      </c>
      <c r="J230" s="25" t="str">
        <f>IFERROR(__xludf.DUMMYFUNCTION("GOOGLETRANSLATE(B230, ""en"", ""zh"")"),"打开门以摆脱战斗坑。")</f>
        <v>打开门以摆脱战斗坑。</v>
      </c>
      <c r="K230" s="25" t="str">
        <f>IFERROR(__xludf.DUMMYFUNCTION("GOOGLETRANSLATE(B230, ""en"", ""vi"")"),"Mở ra những cánh cửa để thoát khỏi hố chiến đấu.")</f>
        <v>Mở ra những cánh cửa để thoát khỏi hố chiến đấu.</v>
      </c>
      <c r="L230" s="26" t="str">
        <f>IFERROR(__xludf.DUMMYFUNCTION("GOOGLETRANSLATE(B230, ""en"", ""hr"")"),"Otvara vrata da izađu iz borbene jame.")</f>
        <v>Otvara vrata da izađu iz borbene jame.</v>
      </c>
      <c r="M230" s="28"/>
      <c r="N230" s="28"/>
      <c r="O230" s="28"/>
      <c r="P230" s="28"/>
      <c r="Q230" s="28"/>
      <c r="R230" s="28"/>
      <c r="S230" s="28"/>
      <c r="T230" s="28"/>
      <c r="U230" s="28"/>
      <c r="V230" s="28"/>
      <c r="W230" s="28"/>
      <c r="X230" s="28"/>
      <c r="Y230" s="28"/>
      <c r="Z230" s="28"/>
      <c r="AA230" s="28"/>
      <c r="AB230" s="28"/>
    </row>
    <row r="231">
      <c r="A231" s="21" t="s">
        <v>783</v>
      </c>
      <c r="B231" s="22" t="s">
        <v>784</v>
      </c>
      <c r="C231" s="23" t="str">
        <f>IFERROR(__xludf.DUMMYFUNCTION("GOOGLETRANSLATE(B231, ""en"", ""fr"")"),"Scroll de la zone de guérison")</f>
        <v>Scroll de la zone de guérison</v>
      </c>
      <c r="D231" s="23" t="str">
        <f>IFERROR(__xludf.DUMMYFUNCTION("GOOGLETRANSLATE(B231, ""en"", ""es"")"),"Desplazamiento de la zona de sanidad")</f>
        <v>Desplazamiento de la zona de sanidad</v>
      </c>
      <c r="E231" s="23" t="str">
        <f>IFERROR(__xludf.DUMMYFUNCTION("GOOGLETRANSLATE(B231, ""en"", ""ru"")"),"Прокрутка полета")</f>
        <v>Прокрутка полета</v>
      </c>
      <c r="F231" s="23" t="str">
        <f>IFERROR(__xludf.DUMMYFUNCTION("GOOGLETRANSLATE(B231, ""en"", ""tr"")"),"İyileştirme alanı kaydırma")</f>
        <v>İyileştirme alanı kaydırma</v>
      </c>
      <c r="G231" s="23" t="str">
        <f>IFERROR(__xludf.DUMMYFUNCTION("GOOGLETRANSLATE(B231, ""en"", ""pt"")"),"Pergaminho da área de cura")</f>
        <v>Pergaminho da área de cura</v>
      </c>
      <c r="H231" s="24" t="str">
        <f>IFERROR(__xludf.DUMMYFUNCTION("GOOGLETRANSLATE(B231, ""en"", ""de"")"),"Blättern Sie vom Heilbereich")</f>
        <v>Blättern Sie vom Heilbereich</v>
      </c>
      <c r="I231" s="23" t="str">
        <f>IFERROR(__xludf.DUMMYFUNCTION("GOOGLETRANSLATE(B231, ""en"", ""pl"")"),"Przewiń obszar leczenia")</f>
        <v>Przewiń obszar leczenia</v>
      </c>
      <c r="J231" s="25" t="str">
        <f>IFERROR(__xludf.DUMMYFUNCTION("GOOGLETRANSLATE(B231, ""en"", ""zh"")"),"治疗区域卷轴")</f>
        <v>治疗区域卷轴</v>
      </c>
      <c r="K231" s="25" t="str">
        <f>IFERROR(__xludf.DUMMYFUNCTION("GOOGLETRANSLATE(B231, ""en"", ""vi"")"),"Cuộn diện tích chữa lành")</f>
        <v>Cuộn diện tích chữa lành</v>
      </c>
      <c r="L231" s="26" t="str">
        <f>IFERROR(__xludf.DUMMYFUNCTION("GOOGLETRANSLATE(B231, ""en"", ""hr"")"),"Pomicanje od liječenja područja")</f>
        <v>Pomicanje od liječenja područja</v>
      </c>
      <c r="M231" s="28"/>
      <c r="N231" s="28"/>
      <c r="O231" s="28"/>
      <c r="P231" s="28"/>
      <c r="Q231" s="28"/>
      <c r="R231" s="28"/>
      <c r="S231" s="28"/>
      <c r="T231" s="28"/>
      <c r="U231" s="28"/>
      <c r="V231" s="28"/>
      <c r="W231" s="28"/>
      <c r="X231" s="28"/>
      <c r="Y231" s="28"/>
      <c r="Z231" s="28"/>
      <c r="AA231" s="28"/>
      <c r="AB231" s="28"/>
    </row>
    <row r="232">
      <c r="A232" s="21" t="s">
        <v>785</v>
      </c>
      <c r="B232" s="22" t="s">
        <v>786</v>
      </c>
      <c r="C232" s="23" t="str">
        <f>IFERROR(__xludf.DUMMYFUNCTION("GOOGLETRANSLATE(B232, ""en"", ""fr"")"),"Guérit toutes les créatures autour de vous.")</f>
        <v>Guérit toutes les créatures autour de vous.</v>
      </c>
      <c r="D232" s="23" t="str">
        <f>IFERROR(__xludf.DUMMYFUNCTION("GOOGLETRANSLATE(B232, ""en"", ""es"")"),"Cura a todas las criaturas a su alrededor.")</f>
        <v>Cura a todas las criaturas a su alrededor.</v>
      </c>
      <c r="E232" s="23" t="str">
        <f>IFERROR(__xludf.DUMMYFUNCTION("GOOGLETRANSLATE(B232, ""en"", ""ru"")"),"Исцеляет все существа вокруг себя.")</f>
        <v>Исцеляет все существа вокруг себя.</v>
      </c>
      <c r="F232" s="23" t="str">
        <f>IFERROR(__xludf.DUMMYFUNCTION("GOOGLETRANSLATE(B232, ""en"", ""tr"")"),"Etrafındaki tüm canlıları iyileştirir.")</f>
        <v>Etrafındaki tüm canlıları iyileştirir.</v>
      </c>
      <c r="G232" s="23" t="str">
        <f>IFERROR(__xludf.DUMMYFUNCTION("GOOGLETRANSLATE(B232, ""en"", ""pt"")"),"Cura todas as criaturas ao seu redor.")</f>
        <v>Cura todas as criaturas ao seu redor.</v>
      </c>
      <c r="H232" s="24" t="str">
        <f>IFERROR(__xludf.DUMMYFUNCTION("GOOGLETRANSLATE(B232, ""en"", ""de"")"),"Heilt alle Kreaturen um sich selbst.")</f>
        <v>Heilt alle Kreaturen um sich selbst.</v>
      </c>
      <c r="I232" s="23" t="str">
        <f>IFERROR(__xludf.DUMMYFUNCTION("GOOGLETRANSLATE(B232, ""en"", ""pl"")"),"Utlenia się wokół wszystkich stworzeń.")</f>
        <v>Utlenia się wokół wszystkich stworzeń.</v>
      </c>
      <c r="J232" s="25" t="str">
        <f>IFERROR(__xludf.DUMMYFUNCTION("GOOGLETRANSLATE(B232, ""en"", ""zh"")"),"治愈自己周围的所有生物。")</f>
        <v>治愈自己周围的所有生物。</v>
      </c>
      <c r="K232" s="25" t="str">
        <f>IFERROR(__xludf.DUMMYFUNCTION("GOOGLETRANSLATE(B232, ""en"", ""vi"")"),"Chữa lành tất cả các sinh vật xung quanh mình.")</f>
        <v>Chữa lành tất cả các sinh vật xung quanh mình.</v>
      </c>
      <c r="L232" s="26" t="str">
        <f>IFERROR(__xludf.DUMMYFUNCTION("GOOGLETRANSLATE(B232, ""en"", ""hr"")"),"Liječi sva stvorenja oko sebe.")</f>
        <v>Liječi sva stvorenja oko sebe.</v>
      </c>
      <c r="M232" s="28"/>
      <c r="N232" s="28"/>
      <c r="O232" s="28"/>
      <c r="P232" s="28"/>
      <c r="Q232" s="28"/>
      <c r="R232" s="28"/>
      <c r="S232" s="28"/>
      <c r="T232" s="28"/>
      <c r="U232" s="28"/>
      <c r="V232" s="28"/>
      <c r="W232" s="28"/>
      <c r="X232" s="28"/>
      <c r="Y232" s="28"/>
      <c r="Z232" s="28"/>
      <c r="AA232" s="28"/>
      <c r="AB232" s="28"/>
    </row>
    <row r="233">
      <c r="A233" s="21" t="s">
        <v>787</v>
      </c>
      <c r="B233" s="22" t="s">
        <v>788</v>
      </c>
      <c r="C233" s="23" t="str">
        <f>IFERROR(__xludf.DUMMYFUNCTION("GOOGLETRANSLATE(B233, ""en"", ""fr"")"),"Faire défiler")</f>
        <v>Faire défiler</v>
      </c>
      <c r="D233" s="23" t="str">
        <f>IFERROR(__xludf.DUMMYFUNCTION("GOOGLETRANSLATE(B233, ""en"", ""es"")"),"Desplazamiento de guardia")</f>
        <v>Desplazamiento de guardia</v>
      </c>
      <c r="E233" s="23" t="str">
        <f>IFERROR(__xludf.DUMMYFUNCTION("GOOGLETRANSLATE(B233, ""en"", ""ru"")"),"Свиток Защита")</f>
        <v>Свиток Защита</v>
      </c>
      <c r="F233" s="23" t="str">
        <f>IFERROR(__xludf.DUMMYFUNCTION("GOOGLETRANSLATE(B233, ""en"", ""tr"")"),"Uğur alma kaydırma")</f>
        <v>Uğur alma kaydırma</v>
      </c>
      <c r="G233" s="23" t="str">
        <f>IFERROR(__xludf.DUMMYFUNCTION("GOOGLETRANSLATE(B233, ""en"", ""pt"")"),"Rolo de vigilância")</f>
        <v>Rolo de vigilância</v>
      </c>
      <c r="H233" s="24" t="str">
        <f>IFERROR(__xludf.DUMMYFUNCTION("GOOGLETRANSLATE(B233, ""en"", ""de"")"),"Scrollen von Abwehr")</f>
        <v>Scrollen von Abwehr</v>
      </c>
      <c r="I233" s="23" t="str">
        <f>IFERROR(__xludf.DUMMYFUNCTION("GOOGLETRANSLATE(B233, ""en"", ""pl"")"),"Przewiń Strażniczy")</f>
        <v>Przewiń Strażniczy</v>
      </c>
      <c r="J233" s="25" t="str">
        <f>IFERROR(__xludf.DUMMYFUNCTION("GOOGLETRANSLATE(B233, ""en"", ""zh"")"),"滚动")</f>
        <v>滚动</v>
      </c>
      <c r="K233" s="25" t="str">
        <f>IFERROR(__xludf.DUMMYFUNCTION("GOOGLETRANSLATE(B233, ""en"", ""vi"")"),"Cuộn phường")</f>
        <v>Cuộn phường</v>
      </c>
      <c r="L233" s="26" t="str">
        <f>IFERROR(__xludf.DUMMYFUNCTION("GOOGLETRANSLATE(B233, ""en"", ""hr"")"),"Pomicanje od čuvara")</f>
        <v>Pomicanje od čuvara</v>
      </c>
      <c r="M233" s="28"/>
      <c r="N233" s="28"/>
      <c r="O233" s="28"/>
      <c r="P233" s="28"/>
      <c r="Q233" s="28"/>
      <c r="R233" s="28"/>
      <c r="S233" s="28"/>
      <c r="T233" s="28"/>
      <c r="U233" s="28"/>
      <c r="V233" s="28"/>
      <c r="W233" s="28"/>
      <c r="X233" s="28"/>
      <c r="Y233" s="28"/>
      <c r="Z233" s="28"/>
      <c r="AA233" s="28"/>
      <c r="AB233" s="28"/>
    </row>
    <row r="234">
      <c r="A234" s="21" t="s">
        <v>789</v>
      </c>
      <c r="B234" s="22" t="s">
        <v>790</v>
      </c>
      <c r="C234" s="23" t="str">
        <f>IFERROR(__xludf.DUMMYFUNCTION("GOOGLETRANSLATE(B234, ""en"", ""fr"")"),"Enchants toutes les créatures autour de vous. Ces créatures n'entraînent aucun dommage la prochaine fois qu'ils seraient endommagés.")</f>
        <v>Enchants toutes les créatures autour de vous. Ces créatures n'entraînent aucun dommage la prochaine fois qu'ils seraient endommagés.</v>
      </c>
      <c r="D234" s="23" t="str">
        <f>IFERROR(__xludf.DUMMYFUNCTION("GOOGLETRANSLATE(B234, ""en"", ""es"")"),"Encanta todas las criaturas a su alrededor. Esas criaturas no dañan la próxima vez que se dañen.")</f>
        <v>Encanta todas las criaturas a su alrededor. Esas criaturas no dañan la próxima vez que se dañen.</v>
      </c>
      <c r="E234" s="23" t="str">
        <f>IFERROR(__xludf.DUMMYFUNCTION("GOOGLETRANSLATE(B234, ""en"", ""ru"")"),"Загадывающие все существа вокруг себя. Эти существа не имеют урона в следующий раз, когда они будут повреждены.")</f>
        <v>Загадывающие все существа вокруг себя. Эти существа не имеют урона в следующий раз, когда они будут повреждены.</v>
      </c>
      <c r="F234" s="23" t="str">
        <f>IFERROR(__xludf.DUMMYFUNCTION("GOOGLETRANSLATE(B234, ""en"", ""tr"")"),"Çevrenizdeki tüm canlıları inceler. Bu yaratıklar bir dahaki sefere zarar görmezler.")</f>
        <v>Çevrenizdeki tüm canlıları inceler. Bu yaratıklar bir dahaki sefere zarar görmezler.</v>
      </c>
      <c r="G234" s="23" t="str">
        <f>IFERROR(__xludf.DUMMYFUNCTION("GOOGLETRANSLATE(B234, ""en"", ""pt"")"),"Encanta todas as criaturas ao redor de si mesmo. Essas criaturas não tomam nenhum dano na próxima vez que ficariam danificados.")</f>
        <v>Encanta todas as criaturas ao redor de si mesmo. Essas criaturas não tomam nenhum dano na próxima vez que ficariam danificados.</v>
      </c>
      <c r="H234" s="24" t="str">
        <f>IFERROR(__xludf.DUMMYFUNCTION("GOOGLETRANSLATE(B234, ""en"", ""de"")"),"Vererbt alle Kreaturen um sich selbst. Diese Kreaturen nehmen beim nächsten Betreten keinen Schaden aus, wenn sie beschädigt würden.")</f>
        <v>Vererbt alle Kreaturen um sich selbst. Diese Kreaturen nehmen beim nächsten Betreten keinen Schaden aus, wenn sie beschädigt würden.</v>
      </c>
      <c r="I234" s="23" t="str">
        <f>IFERROR(__xludf.DUMMYFUNCTION("GOOGLETRANSLATE(B234, ""en"", ""pl"")"),"Uważamy wszystkie stworzenia wokół siebie. Te stworzenia nie biorą szkód następnym razem, gdy zostaną uszkodzone.")</f>
        <v>Uważamy wszystkie stworzenia wokół siebie. Te stworzenia nie biorą szkód następnym razem, gdy zostaną uszkodzone.</v>
      </c>
      <c r="J234" s="25" t="str">
        <f>IFERROR(__xludf.DUMMYFUNCTION("GOOGLETRANSLATE(B234, ""en"", ""zh"")"),"迷惑自己周围的所有生物。这些生物下次损坏时不会损坏。")</f>
        <v>迷惑自己周围的所有生物。这些生物下次损坏时不会损坏。</v>
      </c>
      <c r="K234" s="25" t="str">
        <f>IFERROR(__xludf.DUMMYFUNCTION("GOOGLETRANSLATE(B234, ""en"", ""vi"")"),"Enchant tất cả các sinh vật xung quanh chính mình. Những sinh vật đó không gây thiệt hại vào lần sau họ sẽ bị hư hại.")</f>
        <v>Enchant tất cả các sinh vật xung quanh chính mình. Những sinh vật đó không gây thiệt hại vào lần sau họ sẽ bị hư hại.</v>
      </c>
      <c r="L234" s="26" t="str">
        <f>IFERROR(__xludf.DUMMYFUNCTION("GOOGLETRANSLATE(B234, ""en"", ""hr"")"),"Očarava sva stvorenja oko sebe. Ta stvorenja ne štete sljedeći put kad bi bili oštećeni.")</f>
        <v>Očarava sva stvorenja oko sebe. Ta stvorenja ne štete sljedeći put kad bi bili oštećeni.</v>
      </c>
      <c r="M234" s="28"/>
      <c r="N234" s="28"/>
      <c r="O234" s="28"/>
      <c r="P234" s="28"/>
      <c r="Q234" s="28"/>
      <c r="R234" s="28"/>
      <c r="S234" s="28"/>
      <c r="T234" s="28"/>
      <c r="U234" s="28"/>
      <c r="V234" s="28"/>
      <c r="W234" s="28"/>
      <c r="X234" s="28"/>
      <c r="Y234" s="28"/>
      <c r="Z234" s="28"/>
      <c r="AA234" s="28"/>
      <c r="AB234" s="28"/>
    </row>
    <row r="235">
      <c r="A235" s="21" t="s">
        <v>791</v>
      </c>
      <c r="B235" s="22" t="s">
        <v>792</v>
      </c>
      <c r="C235" s="23" t="str">
        <f>IFERROR(__xludf.DUMMYFUNCTION("GOOGLETRANSLATE(B235, ""en"", ""fr"")"),"Faire défiler le nettoyage")</f>
        <v>Faire défiler le nettoyage</v>
      </c>
      <c r="D235" s="23" t="str">
        <f>IFERROR(__xludf.DUMMYFUNCTION("GOOGLETRANSLATE(B235, ""en"", ""es"")"),"Desplazamiento de la limpieza")</f>
        <v>Desplazamiento de la limpieza</v>
      </c>
      <c r="E235" s="23" t="str">
        <f>IFERROR(__xludf.DUMMYFUNCTION("GOOGLETRANSLATE(B235, ""en"", ""ru"")"),"Свиток очищения")</f>
        <v>Свиток очищения</v>
      </c>
      <c r="F235" s="23" t="str">
        <f>IFERROR(__xludf.DUMMYFUNCTION("GOOGLETRANSLATE(B235, ""en"", ""tr"")"),"Temizleme kaydırma")</f>
        <v>Temizleme kaydırma</v>
      </c>
      <c r="G235" s="23" t="str">
        <f>IFERROR(__xludf.DUMMYFUNCTION("GOOGLETRANSLATE(B235, ""en"", ""pt"")"),"Rolo de limpeza")</f>
        <v>Rolo de limpeza</v>
      </c>
      <c r="H235" s="24" t="str">
        <f>IFERROR(__xludf.DUMMYFUNCTION("GOOGLETRANSLATE(B235, ""en"", ""de"")"),"Rollen der Reinigung")</f>
        <v>Rollen der Reinigung</v>
      </c>
      <c r="I235" s="23" t="str">
        <f>IFERROR(__xludf.DUMMYFUNCTION("GOOGLETRANSLATE(B235, ""en"", ""pl"")"),"Przewiń oczyszczanie")</f>
        <v>Przewiń oczyszczanie</v>
      </c>
      <c r="J235" s="25" t="str">
        <f>IFERROR(__xludf.DUMMYFUNCTION("GOOGLETRANSLATE(B235, ""en"", ""zh"")"),"卷轴清洁")</f>
        <v>卷轴清洁</v>
      </c>
      <c r="K235" s="25" t="str">
        <f>IFERROR(__xludf.DUMMYFUNCTION("GOOGLETRANSLATE(B235, ""en"", ""vi"")"),"Cuộn làm sạch")</f>
        <v>Cuộn làm sạch</v>
      </c>
      <c r="L235" s="26" t="str">
        <f>IFERROR(__xludf.DUMMYFUNCTION("GOOGLETRANSLATE(B235, ""en"", ""hr"")"),"Pomicanje čišćenja")</f>
        <v>Pomicanje čišćenja</v>
      </c>
      <c r="M235" s="28"/>
      <c r="N235" s="28"/>
      <c r="O235" s="28"/>
      <c r="P235" s="28"/>
      <c r="Q235" s="28"/>
      <c r="R235" s="28"/>
      <c r="S235" s="28"/>
      <c r="T235" s="28"/>
      <c r="U235" s="28"/>
      <c r="V235" s="28"/>
      <c r="W235" s="28"/>
      <c r="X235" s="28"/>
      <c r="Y235" s="28"/>
      <c r="Z235" s="28"/>
      <c r="AA235" s="28"/>
      <c r="AB235" s="28"/>
    </row>
    <row r="236">
      <c r="A236" s="21" t="s">
        <v>793</v>
      </c>
      <c r="B236" s="22" t="s">
        <v>794</v>
      </c>
      <c r="C236" s="23" t="str">
        <f>IFERROR(__xludf.DUMMYFUNCTION("GOOGLETRANSLATE(B236, ""en"", ""fr"")"),"Supprime les malédictions sur toutes les créatures autour de vous.")</f>
        <v>Supprime les malédictions sur toutes les créatures autour de vous.</v>
      </c>
      <c r="D236" s="23" t="str">
        <f>IFERROR(__xludf.DUMMYFUNCTION("GOOGLETRANSLATE(B236, ""en"", ""es"")"),"Elimina maldiciones en todas las criaturas a su alrededor.")</f>
        <v>Elimina maldiciones en todas las criaturas a su alrededor.</v>
      </c>
      <c r="E236" s="23" t="str">
        <f>IFERROR(__xludf.DUMMYFUNCTION("GOOGLETRANSLATE(B236, ""en"", ""ru"")"),"Удаляет проклятия на всех существах вокруг себя.")</f>
        <v>Удаляет проклятия на всех существах вокруг себя.</v>
      </c>
      <c r="F236" s="23" t="str">
        <f>IFERROR(__xludf.DUMMYFUNCTION("GOOGLETRANSLATE(B236, ""en"", ""tr"")"),"Etrafınızdaki tüm canlılardaki lanetleri kaldırır.")</f>
        <v>Etrafınızdaki tüm canlılardaki lanetleri kaldırır.</v>
      </c>
      <c r="G236" s="23" t="str">
        <f>IFERROR(__xludf.DUMMYFUNCTION("GOOGLETRANSLATE(B236, ""en"", ""pt"")"),"Remove as maldições em todas as criaturas ao seu redor.")</f>
        <v>Remove as maldições em todas as criaturas ao seu redor.</v>
      </c>
      <c r="H236" s="24" t="str">
        <f>IFERROR(__xludf.DUMMYFUNCTION("GOOGLETRANSLATE(B236, ""en"", ""de"")"),"Entfernt Flüche auf allen Kreaturen um sich selbst.")</f>
        <v>Entfernt Flüche auf allen Kreaturen um sich selbst.</v>
      </c>
      <c r="I236" s="23" t="str">
        <f>IFERROR(__xludf.DUMMYFUNCTION("GOOGLETRANSLATE(B236, ""en"", ""pl"")"),"Usuwa przekleństwa na wszystkie stworzenia wokół siebie.")</f>
        <v>Usuwa przekleństwa na wszystkie stworzenia wokół siebie.</v>
      </c>
      <c r="J236" s="25" t="str">
        <f>IFERROR(__xludf.DUMMYFUNCTION("GOOGLETRANSLATE(B236, ""en"", ""zh"")"),"在自己周围的所有生物上删除诅咒。")</f>
        <v>在自己周围的所有生物上删除诅咒。</v>
      </c>
      <c r="K236" s="25" t="str">
        <f>IFERROR(__xludf.DUMMYFUNCTION("GOOGLETRANSLATE(B236, ""en"", ""vi"")"),"Loại bỏ những lời nguyền trên tất cả các sinh vật xung quanh mình.")</f>
        <v>Loại bỏ những lời nguyền trên tất cả các sinh vật xung quanh mình.</v>
      </c>
      <c r="L236" s="26" t="str">
        <f>IFERROR(__xludf.DUMMYFUNCTION("GOOGLETRANSLATE(B236, ""en"", ""hr"")"),"Uklanja prokletstva na svim stvorenjima oko sebe.")</f>
        <v>Uklanja prokletstva na svim stvorenjima oko sebe.</v>
      </c>
      <c r="M236" s="28"/>
      <c r="N236" s="28"/>
      <c r="O236" s="28"/>
      <c r="P236" s="28"/>
      <c r="Q236" s="28"/>
      <c r="R236" s="28"/>
      <c r="S236" s="28"/>
      <c r="T236" s="28"/>
      <c r="U236" s="28"/>
      <c r="V236" s="28"/>
      <c r="W236" s="28"/>
      <c r="X236" s="28"/>
      <c r="Y236" s="28"/>
      <c r="Z236" s="28"/>
      <c r="AA236" s="28"/>
      <c r="AB236" s="28"/>
    </row>
    <row r="237">
      <c r="A237" s="21" t="s">
        <v>795</v>
      </c>
      <c r="B237" s="22" t="s">
        <v>796</v>
      </c>
      <c r="C237" s="23" t="str">
        <f>IFERROR(__xludf.DUMMYFUNCTION("GOOGLETRANSLATE(B237, ""en"", ""fr"")"),"Faire défiler de pacifier")</f>
        <v>Faire défiler de pacifier</v>
      </c>
      <c r="D237" s="23" t="str">
        <f>IFERROR(__xludf.DUMMYFUNCTION("GOOGLETRANSLATE(B237, ""en"", ""es"")"),"Desplazamiento de pacificar")</f>
        <v>Desplazamiento de pacificar</v>
      </c>
      <c r="E237" s="23" t="str">
        <f>IFERROR(__xludf.DUMMYFUNCTION("GOOGLETRANSLATE(B237, ""en"", ""ru"")"),"Прокрутка умиротворения")</f>
        <v>Прокрутка умиротворения</v>
      </c>
      <c r="F237" s="23" t="str">
        <f>IFERROR(__xludf.DUMMYFUNCTION("GOOGLETRANSLATE(B237, ""en"", ""tr"")"),"Pasifikasyonun kaydırılması")</f>
        <v>Pasifikasyonun kaydırılması</v>
      </c>
      <c r="G237" s="23" t="str">
        <f>IFERROR(__xludf.DUMMYFUNCTION("GOOGLETRANSLATE(B237, ""en"", ""pt"")"),"Rolar de pacificar")</f>
        <v>Rolar de pacificar</v>
      </c>
      <c r="H237" s="24" t="str">
        <f>IFERROR(__xludf.DUMMYFUNCTION("GOOGLETRANSLATE(B237, ""en"", ""de"")"),"Scrollen von Pecify.")</f>
        <v>Scrollen von Pecify.</v>
      </c>
      <c r="I237" s="23" t="str">
        <f>IFERROR(__xludf.DUMMYFUNCTION("GOOGLETRANSLATE(B237, ""en"", ""pl"")"),"Przewiń pacyfikacji.")</f>
        <v>Przewiń pacyfikacji.</v>
      </c>
      <c r="J237" s="25" t="str">
        <f>IFERROR(__xludf.DUMMYFUNCTION("GOOGLETRANSLATE(B237, ""en"", ""zh"")"),"安抚抚平卷轴")</f>
        <v>安抚抚平卷轴</v>
      </c>
      <c r="K237" s="25" t="str">
        <f>IFERROR(__xludf.DUMMYFUNCTION("GOOGLETRANSLATE(B237, ""en"", ""vi"")"),"Cuộn bình định")</f>
        <v>Cuộn bình định</v>
      </c>
      <c r="L237" s="26" t="str">
        <f>IFERROR(__xludf.DUMMYFUNCTION("GOOGLETRANSLATE(B237, ""en"", ""hr"")"),"Pomicanje da smiri smiriti smiriti")</f>
        <v>Pomicanje da smiri smiriti smiriti</v>
      </c>
      <c r="M237" s="28"/>
      <c r="N237" s="28"/>
      <c r="O237" s="28"/>
      <c r="P237" s="28"/>
      <c r="Q237" s="28"/>
      <c r="R237" s="28"/>
      <c r="S237" s="28"/>
      <c r="T237" s="28"/>
      <c r="U237" s="28"/>
      <c r="V237" s="28"/>
      <c r="W237" s="28"/>
      <c r="X237" s="28"/>
      <c r="Y237" s="28"/>
      <c r="Z237" s="28"/>
      <c r="AA237" s="28"/>
      <c r="AB237" s="28"/>
    </row>
    <row r="238">
      <c r="A238" s="21" t="s">
        <v>797</v>
      </c>
      <c r="B238" s="22" t="s">
        <v>798</v>
      </c>
      <c r="C238" s="23" t="str">
        <f>IFERROR(__xludf.DUMMYFUNCTION("GOOGLETRANSLATE(B238, ""en"", ""fr"")"),"Malédiction de la cible. Pour une courte durée, la cible ne peut pas utiliser son élément détenu.")</f>
        <v>Malédiction de la cible. Pour une courte durée, la cible ne peut pas utiliser son élément détenu.</v>
      </c>
      <c r="D238" s="23" t="str">
        <f>IFERROR(__xludf.DUMMYFUNCTION("GOOGLETRANSLATE(B238, ""en"", ""es"")"),"Maldice el objetivo. Por una breve duración, el objetivo no puede usar su artículo retenido.")</f>
        <v>Maldice el objetivo. Por una breve duración, el objetivo no puede usar su artículo retenido.</v>
      </c>
      <c r="E238" s="23" t="str">
        <f>IFERROR(__xludf.DUMMYFUNCTION("GOOGLETRANSLATE(B238, ""en"", ""ru"")"),"Проклинает цель. На некоторое время цель не может использовать их удерживаемый элемент.")</f>
        <v>Проклинает цель. На некоторое время цель не может использовать их удерживаемый элемент.</v>
      </c>
      <c r="F238" s="23" t="str">
        <f>IFERROR(__xludf.DUMMYFUNCTION("GOOGLETRANSLATE(B238, ""en"", ""tr"")"),"Hedefi lanetler. Kısa bir süre için, hedef tutulan öğelerini kullanamaz.")</f>
        <v>Hedefi lanetler. Kısa bir süre için, hedef tutulan öğelerini kullanamaz.</v>
      </c>
      <c r="G238" s="23" t="str">
        <f>IFERROR(__xludf.DUMMYFUNCTION("GOOGLETRANSLATE(B238, ""en"", ""pt"")"),"Amaldiçoa o alvo. Por uma curta duração, o alvo não pode usar seu item mantido.")</f>
        <v>Amaldiçoa o alvo. Por uma curta duração, o alvo não pode usar seu item mantido.</v>
      </c>
      <c r="H238" s="24" t="str">
        <f>IFERROR(__xludf.DUMMYFUNCTION("GOOGLETRANSLATE(B238, ""en"", ""de"")"),"Flattert das Ziel. Für eine kurze Dauer kann das Ziel ihren gehaltenen Artikel nicht verwenden.")</f>
        <v>Flattert das Ziel. Für eine kurze Dauer kann das Ziel ihren gehaltenen Artikel nicht verwenden.</v>
      </c>
      <c r="I238" s="23" t="str">
        <f>IFERROR(__xludf.DUMMYFUNCTION("GOOGLETRANSLATE(B238, ""en"", ""pl"")"),"Przeklinać cel. Przez krótki czas cel nie może korzystać z posiadanego elementu.")</f>
        <v>Przeklinać cel. Przez krótki czas cel nie może korzystać z posiadanego elementu.</v>
      </c>
      <c r="J238" s="25" t="str">
        <f>IFERROR(__xludf.DUMMYFUNCTION("GOOGLETRANSLATE(B238, ""en"", ""zh"")"),"诅咒目标。在短时间内，目标不能使用他们的持有物品。")</f>
        <v>诅咒目标。在短时间内，目标不能使用他们的持有物品。</v>
      </c>
      <c r="K238" s="25" t="str">
        <f>IFERROR(__xludf.DUMMYFUNCTION("GOOGLETRANSLATE(B238, ""en"", ""vi"")"),"Nguyền rủa mục tiêu. Trong một thời gian ngắn, mục tiêu không thể sử dụng mục giữ của họ.")</f>
        <v>Nguyền rủa mục tiêu. Trong một thời gian ngắn, mục tiêu không thể sử dụng mục giữ của họ.</v>
      </c>
      <c r="L238" s="26" t="str">
        <f>IFERROR(__xludf.DUMMYFUNCTION("GOOGLETRANSLATE(B238, ""en"", ""hr"")"),"Prokleti cilj. Kratko trajanje, cilj ne može koristiti svoju držanu stavku.")</f>
        <v>Prokleti cilj. Kratko trajanje, cilj ne može koristiti svoju držanu stavku.</v>
      </c>
      <c r="M238" s="28"/>
      <c r="N238" s="28"/>
      <c r="O238" s="28"/>
      <c r="P238" s="28"/>
      <c r="Q238" s="28"/>
      <c r="R238" s="28"/>
      <c r="S238" s="28"/>
      <c r="T238" s="28"/>
      <c r="U238" s="28"/>
      <c r="V238" s="28"/>
      <c r="W238" s="28"/>
      <c r="X238" s="28"/>
      <c r="Y238" s="28"/>
      <c r="Z238" s="28"/>
      <c r="AA238" s="28"/>
      <c r="AB238" s="28"/>
    </row>
    <row r="239">
      <c r="A239" s="21" t="s">
        <v>799</v>
      </c>
      <c r="B239" s="22" t="s">
        <v>800</v>
      </c>
      <c r="C239" s="23" t="str">
        <f>IFERROR(__xludf.DUMMYFUNCTION("GOOGLETRANSLATE(B239, ""en"", ""fr"")"),"Faire défiler de la réanimation")</f>
        <v>Faire défiler de la réanimation</v>
      </c>
      <c r="D239" s="23" t="str">
        <f>IFERROR(__xludf.DUMMYFUNCTION("GOOGLETRANSLATE(B239, ""en"", ""es"")"),"Desplazamiento de reanimación")</f>
        <v>Desplazamiento de reanimación</v>
      </c>
      <c r="E239" s="23" t="str">
        <f>IFERROR(__xludf.DUMMYFUNCTION("GOOGLETRANSLATE(B239, ""en"", ""ru"")"),"Свиток реанимации")</f>
        <v>Свиток реанимации</v>
      </c>
      <c r="F239" s="23" t="str">
        <f>IFERROR(__xludf.DUMMYFUNCTION("GOOGLETRANSLATE(B239, ""en"", ""tr"")"),"Reanimasyonun kaydırılması")</f>
        <v>Reanimasyonun kaydırılması</v>
      </c>
      <c r="G239" s="23" t="str">
        <f>IFERROR(__xludf.DUMMYFUNCTION("GOOGLETRANSLATE(B239, ""en"", ""pt"")"),"Rolo de reanimação")</f>
        <v>Rolo de reanimação</v>
      </c>
      <c r="H239" s="24" t="str">
        <f>IFERROR(__xludf.DUMMYFUNCTION("GOOGLETRANSLATE(B239, ""en"", ""de"")"),"Rüde von REANIMATION.")</f>
        <v>Rüde von REANIMATION.</v>
      </c>
      <c r="I239" s="23" t="str">
        <f>IFERROR(__xludf.DUMMYFUNCTION("GOOGLETRANSLATE(B239, ""en"", ""pl"")"),"Przewiń reanimacji")</f>
        <v>Przewiń reanimacji</v>
      </c>
      <c r="J239" s="25" t="str">
        <f>IFERROR(__xludf.DUMMYFUNCTION("GOOGLETRANSLATE(B239, ""en"", ""zh"")"),"卷合恢复")</f>
        <v>卷合恢复</v>
      </c>
      <c r="K239" s="25" t="str">
        <f>IFERROR(__xludf.DUMMYFUNCTION("GOOGLETRANSLATE(B239, ""en"", ""vi"")"),"Cuộn Reanimation")</f>
        <v>Cuộn Reanimation</v>
      </c>
      <c r="L239" s="26" t="str">
        <f>IFERROR(__xludf.DUMMYFUNCTION("GOOGLETRANSLATE(B239, ""en"", ""hr"")"),"Pomicanje od reanimacije")</f>
        <v>Pomicanje od reanimacije</v>
      </c>
      <c r="M239" s="28"/>
      <c r="N239" s="28"/>
      <c r="O239" s="28"/>
      <c r="P239" s="28"/>
      <c r="Q239" s="28"/>
      <c r="R239" s="28"/>
      <c r="S239" s="28"/>
      <c r="T239" s="28"/>
      <c r="U239" s="28"/>
      <c r="V239" s="28"/>
      <c r="W239" s="28"/>
      <c r="X239" s="28"/>
      <c r="Y239" s="28"/>
      <c r="Z239" s="28"/>
      <c r="AA239" s="28"/>
      <c r="AB239" s="28"/>
    </row>
    <row r="240">
      <c r="A240" s="21" t="s">
        <v>801</v>
      </c>
      <c r="B240" s="22" t="s">
        <v>802</v>
      </c>
      <c r="C240" s="23" t="str">
        <f>IFERROR(__xludf.DUMMYFUNCTION("GOOGLETRANSLATE(B240, ""en"", ""fr"")"),"Lève tous les cadavres autour de soi comme des minions du type de créature qu'ils étaient avant leur mort qui vous servira.")</f>
        <v>Lève tous les cadavres autour de soi comme des minions du type de créature qu'ils étaient avant leur mort qui vous servira.</v>
      </c>
      <c r="D240" s="23" t="str">
        <f>IFERROR(__xludf.DUMMYFUNCTION("GOOGLETRANSLATE(B240, ""en"", ""es"")"),"Levanta todos los cadáveres a su alrededor como Minions del tipo de criatura que estaban antes de morir, eso le servirá.")</f>
        <v>Levanta todos los cadáveres a su alrededor como Minions del tipo de criatura que estaban antes de morir, eso le servirá.</v>
      </c>
      <c r="E240" s="23" t="str">
        <f>IFERROR(__xludf.DUMMYFUNCTION("GOOGLETRANSLATE(B240, ""en"", ""ru"")"),"Поднимает все трупы вокруг себя как миньоны типа существа, прежде чем они умерли, что послужит вам.")</f>
        <v>Поднимает все трупы вокруг себя как миньоны типа существа, прежде чем они умерли, что послужит вам.</v>
      </c>
      <c r="F240" s="23" t="str">
        <f>IFERROR(__xludf.DUMMYFUNCTION("GOOGLETRANSLATE(B240, ""en"", ""tr"")"),"Tüm cesetleri kendinizin etrafındaki, onlar size hizmet edeceklerinden önce oldukları bir yaratık türünün kötüsü olarak yükseltir.")</f>
        <v>Tüm cesetleri kendinizin etrafındaki, onlar size hizmet edeceklerinden önce oldukları bir yaratık türünün kötüsü olarak yükseltir.</v>
      </c>
      <c r="G240" s="23" t="str">
        <f>IFERROR(__xludf.DUMMYFUNCTION("GOOGLETRANSLATE(B240, ""en"", ""pt"")"),"Levanta todos os cadáveres ao redor de si mesmo como lacaios do tipo de criatura que eles estavam antes de morrerem que o servirão.")</f>
        <v>Levanta todos os cadáveres ao redor de si mesmo como lacaios do tipo de criatura que eles estavam antes de morrerem que o servirão.</v>
      </c>
      <c r="H240" s="24" t="str">
        <f>IFERROR(__xludf.DUMMYFUNCTION("GOOGLETRANSLATE(B240, ""en"", ""de"")"),"Erhöht alle Leichen um sich selbst als Zerwälte der Art der Kreatur, die sie waren, bevor sie starben, werden Sie dienen.")</f>
        <v>Erhöht alle Leichen um sich selbst als Zerwälte der Art der Kreatur, die sie waren, bevor sie starben, werden Sie dienen.</v>
      </c>
      <c r="I240" s="23" t="str">
        <f>IFERROR(__xludf.DUMMYFUNCTION("GOOGLETRANSLATE(B240, ""en"", ""pl"")"),"Podnosi wszystkie zwłoki wokół siebie jako minionych rodzaju stworzenia, które były, zanim umarli, które ci posługują.")</f>
        <v>Podnosi wszystkie zwłoki wokół siebie jako minionych rodzaju stworzenia, które były, zanim umarli, które ci posługują.</v>
      </c>
      <c r="J240" s="25" t="str">
        <f>IFERROR(__xludf.DUMMYFUNCTION("GOOGLETRANSLATE(B240, ""en"", ""zh"")"),"作为他们在他们死亡之前的生物类型的奴才来提升周围的所有尸体，这将为您服务。")</f>
        <v>作为他们在他们死亡之前的生物类型的奴才来提升周围的所有尸体，这将为您服务。</v>
      </c>
      <c r="K240" s="25" t="str">
        <f>IFERROR(__xludf.DUMMYFUNCTION("GOOGLETRANSLATE(B240, ""en"", ""vi"")"),"Tăng tất cả các xác chết xung quanh mình dưới dạng minions của loại sinh vật mà họ là trước khi họ chết sẽ phục vụ bạn.")</f>
        <v>Tăng tất cả các xác chết xung quanh mình dưới dạng minions của loại sinh vật mà họ là trước khi họ chết sẽ phục vụ bạn.</v>
      </c>
      <c r="L240" s="26" t="str">
        <f>IFERROR(__xludf.DUMMYFUNCTION("GOOGLETRANSLATE(B240, ""en"", ""hr"")"),"Podiže sve leševe oko sebe kao minions vrste stvorenja koje su bile prije nego što su umrli da će vam poslužiti.")</f>
        <v>Podiže sve leševe oko sebe kao minions vrste stvorenja koje su bile prije nego što su umrli da će vam poslužiti.</v>
      </c>
      <c r="M240" s="28"/>
      <c r="N240" s="28"/>
      <c r="O240" s="28"/>
      <c r="P240" s="28"/>
      <c r="Q240" s="28"/>
      <c r="R240" s="28"/>
      <c r="S240" s="28"/>
      <c r="T240" s="28"/>
      <c r="U240" s="28"/>
      <c r="V240" s="28"/>
      <c r="W240" s="28"/>
      <c r="X240" s="28"/>
      <c r="Y240" s="28"/>
      <c r="Z240" s="28"/>
      <c r="AA240" s="28"/>
      <c r="AB240" s="28"/>
    </row>
    <row r="241">
      <c r="A241" s="21" t="s">
        <v>803</v>
      </c>
      <c r="B241" s="22" t="s">
        <v>804</v>
      </c>
      <c r="C241" s="23" t="str">
        <f>IFERROR(__xludf.DUMMYFUNCTION("GOOGLETRANSLATE(B241, ""en"", ""fr"")"),"Faire défiler de consommer")</f>
        <v>Faire défiler de consommer</v>
      </c>
      <c r="D241" s="23" t="str">
        <f>IFERROR(__xludf.DUMMYFUNCTION("GOOGLETRANSLATE(B241, ""en"", ""es"")"),"Desplazamiento de consumo")</f>
        <v>Desplazamiento de consumo</v>
      </c>
      <c r="E241" s="23" t="str">
        <f>IFERROR(__xludf.DUMMYFUNCTION("GOOGLETRANSLATE(B241, ""en"", ""ru"")"),"Свиток потребления")</f>
        <v>Свиток потребления</v>
      </c>
      <c r="F241" s="23" t="str">
        <f>IFERROR(__xludf.DUMMYFUNCTION("GOOGLETRANSLATE(B241, ""en"", ""tr"")"),"Tüketmek kaydırma")</f>
        <v>Tüketmek kaydırma</v>
      </c>
      <c r="G241" s="23" t="str">
        <f>IFERROR(__xludf.DUMMYFUNCTION("GOOGLETRANSLATE(B241, ""en"", ""pt"")"),"Rolar de consumo")</f>
        <v>Rolar de consumo</v>
      </c>
      <c r="H241" s="24" t="str">
        <f>IFERROR(__xludf.DUMMYFUNCTION("GOOGLETRANSLATE(B241, ""en"", ""de"")"),"Scrollen von Konsume.")</f>
        <v>Scrollen von Konsume.</v>
      </c>
      <c r="I241" s="23" t="str">
        <f>IFERROR(__xludf.DUMMYFUNCTION("GOOGLETRANSLATE(B241, ""en"", ""pl"")"),"Zwój konsumacji")</f>
        <v>Zwój konsumacji</v>
      </c>
      <c r="J241" s="25" t="str">
        <f>IFERROR(__xludf.DUMMYFUNCTION("GOOGLETRANSLATE(B241, ""en"", ""zh"")"),"滚动消费")</f>
        <v>滚动消费</v>
      </c>
      <c r="K241" s="25" t="str">
        <f>IFERROR(__xludf.DUMMYFUNCTION("GOOGLETRANSLATE(B241, ""en"", ""vi"")"),"Cuộn tiêu thụ")</f>
        <v>Cuộn tiêu thụ</v>
      </c>
      <c r="L241" s="26" t="str">
        <f>IFERROR(__xludf.DUMMYFUNCTION("GOOGLETRANSLATE(B241, ""en"", ""hr"")"),"Pomicanje po konzumiranju")</f>
        <v>Pomicanje po konzumiranju</v>
      </c>
      <c r="M241" s="28"/>
      <c r="N241" s="28"/>
      <c r="O241" s="28"/>
      <c r="P241" s="28"/>
      <c r="Q241" s="28"/>
      <c r="R241" s="28"/>
      <c r="S241" s="28"/>
      <c r="T241" s="28"/>
      <c r="U241" s="28"/>
      <c r="V241" s="28"/>
      <c r="W241" s="28"/>
      <c r="X241" s="28"/>
      <c r="Y241" s="28"/>
      <c r="Z241" s="28"/>
      <c r="AA241" s="28"/>
      <c r="AB241" s="28"/>
    </row>
    <row r="242">
      <c r="A242" s="21" t="s">
        <v>805</v>
      </c>
      <c r="B242" s="22" t="s">
        <v>806</v>
      </c>
      <c r="C242" s="23" t="str">
        <f>IFERROR(__xludf.DUMMYFUNCTION("GOOGLETRANSLATE(B242, ""en"", ""fr"")"),"Détruisez une minion que vous contrôlez dans la direction de la cible pour vous guérir.")</f>
        <v>Détruisez une minion que vous contrôlez dans la direction de la cible pour vous guérir.</v>
      </c>
      <c r="D242" s="23" t="str">
        <f>IFERROR(__xludf.DUMMYFUNCTION("GOOGLETRANSLATE(B242, ""en"", ""es"")"),"Destruye un minio que controlas en la dirección del objetivo para curarse a ti mismo.")</f>
        <v>Destruye un minio que controlas en la dirección del objetivo para curarse a ti mismo.</v>
      </c>
      <c r="E242" s="23" t="str">
        <f>IFERROR(__xludf.DUMMYFUNCTION("GOOGLETRANSLATE(B242, ""en"", ""ru"")"),"Уничтожьте миньон, который вы контролируете в целевом направлении, чтобы излечить себя.")</f>
        <v>Уничтожьте миньон, который вы контролируете в целевом направлении, чтобы излечить себя.</v>
      </c>
      <c r="F242" s="23" t="str">
        <f>IFERROR(__xludf.DUMMYFUNCTION("GOOGLETRANSLATE(B242, ""en"", ""tr"")"),"Kendinizi iyileştirmek için hedef yönünde kontrol ettiğiniz bir minyonu yok edin.")</f>
        <v>Kendinizi iyileştirmek için hedef yönünde kontrol ettiğiniz bir minyonu yok edin.</v>
      </c>
      <c r="G242" s="23" t="str">
        <f>IFERROR(__xludf.DUMMYFUNCTION("GOOGLETRANSLATE(B242, ""en"", ""pt"")"),"Destrua um minion que você controle na direção do alvo para se curar.")</f>
        <v>Destrua um minion que você controle na direção do alvo para se curar.</v>
      </c>
      <c r="H242" s="24" t="str">
        <f>IFERROR(__xludf.DUMMYFUNCTION("GOOGLETRANSLATE(B242, ""en"", ""de"")"),"Zerstöre einen Minion, den du in der Zielrichtung kontrollierst, um dich selbst zu heilen.")</f>
        <v>Zerstöre einen Minion, den du in der Zielrichtung kontrollierst, um dich selbst zu heilen.</v>
      </c>
      <c r="I242" s="23" t="str">
        <f>IFERROR(__xludf.DUMMYFUNCTION("GOOGLETRANSLATE(B242, ""en"", ""pl"")"),"Zniszcz sługę, którą kontrolujesz w kierunku docelowym, aby się uleczyć.")</f>
        <v>Zniszcz sługę, którą kontrolujesz w kierunku docelowym, aby się uleczyć.</v>
      </c>
      <c r="J242" s="25" t="str">
        <f>IFERROR(__xludf.DUMMYFUNCTION("GOOGLETRANSLATE(B242, ""en"", ""zh"")"),"摧毁你在目标方向上控制的仆从来治愈自己。")</f>
        <v>摧毁你在目标方向上控制的仆从来治愈自己。</v>
      </c>
      <c r="K242" s="25" t="str">
        <f>IFERROR(__xludf.DUMMYFUNCTION("GOOGLETRANSLATE(B242, ""en"", ""vi"")"),"Phá hủy một minion mà bạn kiểm soát theo hướng mục tiêu để chữa lành bản thân.")</f>
        <v>Phá hủy một minion mà bạn kiểm soát theo hướng mục tiêu để chữa lành bản thân.</v>
      </c>
      <c r="L242" s="26" t="str">
        <f>IFERROR(__xludf.DUMMYFUNCTION("GOOGLETRANSLATE(B242, ""en"", ""hr"")"),"Uništite minion koji kontrolirate u ciljnom smjeru kako biste se izliječili.")</f>
        <v>Uništite minion koji kontrolirate u ciljnom smjeru kako biste se izliječili.</v>
      </c>
      <c r="M242" s="28"/>
      <c r="N242" s="28"/>
      <c r="O242" s="28"/>
      <c r="P242" s="28"/>
      <c r="Q242" s="28"/>
      <c r="R242" s="28"/>
      <c r="S242" s="28"/>
      <c r="T242" s="28"/>
      <c r="U242" s="28"/>
      <c r="V242" s="28"/>
      <c r="W242" s="28"/>
      <c r="X242" s="28"/>
      <c r="Y242" s="28"/>
      <c r="Z242" s="28"/>
      <c r="AA242" s="28"/>
      <c r="AB242" s="28"/>
    </row>
    <row r="243">
      <c r="A243" s="21" t="s">
        <v>807</v>
      </c>
      <c r="B243" s="22" t="s">
        <v>808</v>
      </c>
      <c r="C243" s="23" t="str">
        <f>IFERROR(__xludf.DUMMYFUNCTION("GOOGLETRANSLATE(B243, ""en"", ""fr"")"),"Faire défiler de la mort")</f>
        <v>Faire défiler de la mort</v>
      </c>
      <c r="D243" s="23" t="str">
        <f>IFERROR(__xludf.DUMMYFUNCTION("GOOGLETRANSLATE(B243, ""en"", ""es"")"),"Desplazamiento de Deathbind")</f>
        <v>Desplazamiento de Deathbind</v>
      </c>
      <c r="E243" s="23" t="str">
        <f>IFERROR(__xludf.DUMMYFUNCTION("GOOGLETRANSLATE(B243, ""en"", ""ru"")"),"Свиток Deathbind")</f>
        <v>Свиток Deathbind</v>
      </c>
      <c r="F243" s="23" t="str">
        <f>IFERROR(__xludf.DUMMYFUNCTION("GOOGLETRANSLATE(B243, ""en"", ""tr"")"),"Deathbind'un kaydırması")</f>
        <v>Deathbind'un kaydırması</v>
      </c>
      <c r="G243" s="23" t="str">
        <f>IFERROR(__xludf.DUMMYFUNCTION("GOOGLETRANSLATE(B243, ""en"", ""pt"")"),"Pergaminho de Deathbind.")</f>
        <v>Pergaminho de Deathbind.</v>
      </c>
      <c r="H243" s="24" t="str">
        <f>IFERROR(__xludf.DUMMYFUNCTION("GOOGLETRANSLATE(B243, ""en"", ""de"")"),"Blättern Sie nach der Todesbinder")</f>
        <v>Blättern Sie nach der Todesbinder</v>
      </c>
      <c r="I243" s="23" t="str">
        <f>IFERROR(__xludf.DUMMYFUNCTION("GOOGLETRANSLATE(B243, ""en"", ""pl"")"),"Przewiń DeathBind.")</f>
        <v>Przewiń DeathBind.</v>
      </c>
      <c r="J243" s="25" t="str">
        <f>IFERROR(__xludf.DUMMYFUNCTION("GOOGLETRANSLATE(B243, ""en"", ""zh"")"),"Deathbind卷轴")</f>
        <v>Deathbind卷轴</v>
      </c>
      <c r="K243" s="25" t="str">
        <f>IFERROR(__xludf.DUMMYFUNCTION("GOOGLETRANSLATE(B243, ""en"", ""vi"")"),"Cuộn deathbind.")</f>
        <v>Cuộn deathbind.</v>
      </c>
      <c r="L243" s="26" t="str">
        <f>IFERROR(__xludf.DUMMYFUNCTION("GOOGLETRANSLATE(B243, ""en"", ""hr"")"),"Pomicanje od smrti")</f>
        <v>Pomicanje od smrti</v>
      </c>
      <c r="M243" s="28"/>
      <c r="N243" s="28"/>
      <c r="O243" s="28"/>
      <c r="P243" s="28"/>
      <c r="Q243" s="28"/>
      <c r="R243" s="28"/>
      <c r="S243" s="28"/>
      <c r="T243" s="28"/>
      <c r="U243" s="28"/>
      <c r="V243" s="28"/>
      <c r="W243" s="28"/>
      <c r="X243" s="28"/>
      <c r="Y243" s="28"/>
      <c r="Z243" s="28"/>
      <c r="AA243" s="28"/>
      <c r="AB243" s="28"/>
    </row>
    <row r="244">
      <c r="A244" s="21" t="s">
        <v>809</v>
      </c>
      <c r="B244" s="22" t="s">
        <v>810</v>
      </c>
      <c r="C244" s="23" t="str">
        <f>IFERROR(__xludf.DUMMYFUNCTION("GOOGLETRANSLATE(B244, ""en"", ""fr"")"),"Maudire la cible. Quand ils meurent, ils se transforment automatiquement en une minion undead non réclamée.")</f>
        <v>Maudire la cible. Quand ils meurent, ils se transforment automatiquement en une minion undead non réclamée.</v>
      </c>
      <c r="D244" s="23" t="str">
        <f>IFERROR(__xludf.DUMMYFUNCTION("GOOGLETRANSLATE(B244, ""en"", ""es"")"),"Maldecir el objetivo. Cuando mueren, se convierten en un no-muerto no reclamado automáticamente.")</f>
        <v>Maldecir el objetivo. Cuando mueren, se convierten en un no-muerto no reclamado automáticamente.</v>
      </c>
      <c r="E244" s="23" t="str">
        <f>IFERROR(__xludf.DUMMYFUNCTION("GOOGLETRANSLATE(B244, ""en"", ""ru"")"),"Проклинать цель. Когда они умирают, они автоматически превращаются в невостребованный миньон нежити.")</f>
        <v>Проклинать цель. Когда они умирают, они автоматически превращаются в невостребованный миньон нежити.</v>
      </c>
      <c r="F244" s="23" t="str">
        <f>IFERROR(__xludf.DUMMYFUNCTION("GOOGLETRANSLATE(B244, ""en"", ""tr"")"),"Hedefi lanetleyin. Öldüklerinde, otomatik olarak belirtilmemiş bir ölümsüz minyona dönüşürler.")</f>
        <v>Hedefi lanetleyin. Öldüklerinde, otomatik olarak belirtilmemiş bir ölümsüz minyona dönüşürler.</v>
      </c>
      <c r="G244" s="23" t="str">
        <f>IFERROR(__xludf.DUMMYFUNCTION("GOOGLETRANSLATE(B244, ""en"", ""pt"")"),"Amaldiçoe o alvo. Quando eles morrem, eles se transformam em uma miniço morto-vivo não reclamado automaticamente.")</f>
        <v>Amaldiçoe o alvo. Quando eles morrem, eles se transformam em uma miniço morto-vivo não reclamado automaticamente.</v>
      </c>
      <c r="H244" s="24" t="str">
        <f>IFERROR(__xludf.DUMMYFUNCTION("GOOGLETRANSLATE(B244, ""en"", ""de"")"),"Verfluchen Sie das Ziel. Wenn sie sterben, werden sie automatisch in einen nicht beanspruchten Untote-Minion.")</f>
        <v>Verfluchen Sie das Ziel. Wenn sie sterben, werden sie automatisch in einen nicht beanspruchten Untote-Minion.</v>
      </c>
      <c r="I244" s="23" t="str">
        <f>IFERROR(__xludf.DUMMYFUNCTION("GOOGLETRANSLATE(B244, ""en"", ""pl"")"),"Przeklinać cel. Kiedy umierają, odwracają się w nieograniczony nieumarły Minion automatycznie.")</f>
        <v>Przeklinać cel. Kiedy umierają, odwracają się w nieograniczony nieumarły Minion automatycznie.</v>
      </c>
      <c r="J244" s="25" t="str">
        <f>IFERROR(__xludf.DUMMYFUNCTION("GOOGLETRANSLATE(B244, ""en"", ""zh"")"),"诅咒目标。当他们死去时，他们会自动变成一个无人认领的亡灵群。")</f>
        <v>诅咒目标。当他们死去时，他们会自动变成一个无人认领的亡灵群。</v>
      </c>
      <c r="K244" s="25" t="str">
        <f>IFERROR(__xludf.DUMMYFUNCTION("GOOGLETRANSLATE(B244, ""en"", ""vi"")"),"Nguyền rủa mục tiêu. Khi họ chết, họ tự động biến thành một Minion Undead không có người nhận.")</f>
        <v>Nguyền rủa mục tiêu. Khi họ chết, họ tự động biến thành một Minion Undead không có người nhận.</v>
      </c>
      <c r="L244" s="26" t="str">
        <f>IFERROR(__xludf.DUMMYFUNCTION("GOOGLETRANSLATE(B244, ""en"", ""hr"")"),"Prokleti cilj. Kada umru, automatski se pretvaraju u nepovratni undead Minion automatski.")</f>
        <v>Prokleti cilj. Kada umru, automatski se pretvaraju u nepovratni undead Minion automatski.</v>
      </c>
      <c r="M244" s="28"/>
      <c r="N244" s="28"/>
      <c r="O244" s="28"/>
      <c r="P244" s="28"/>
      <c r="Q244" s="28"/>
      <c r="R244" s="28"/>
      <c r="S244" s="28"/>
      <c r="T244" s="28"/>
      <c r="U244" s="28"/>
      <c r="V244" s="28"/>
      <c r="W244" s="28"/>
      <c r="X244" s="28"/>
      <c r="Y244" s="28"/>
      <c r="Z244" s="28"/>
      <c r="AA244" s="28"/>
      <c r="AB244" s="28"/>
    </row>
    <row r="245">
      <c r="A245" s="21" t="s">
        <v>811</v>
      </c>
      <c r="B245" s="22" t="s">
        <v>812</v>
      </c>
      <c r="C245" s="23" t="str">
        <f>IFERROR(__xludf.DUMMYFUNCTION("GOOGLETRANSLATE(B245, ""en"", ""fr"")"),"Faire défiler de l'écart")</f>
        <v>Faire défiler de l'écart</v>
      </c>
      <c r="D245" s="23" t="str">
        <f>IFERROR(__xludf.DUMMYFUNCTION("GOOGLETRANSLATE(B245, ""en"", ""es"")"),"Desplazamiento de armas")</f>
        <v>Desplazamiento de armas</v>
      </c>
      <c r="E245" s="23" t="str">
        <f>IFERROR(__xludf.DUMMYFUNCTION("GOOGLETRANSLATE(B245, ""en"", ""ru"")"),"Свиток enthrall")</f>
        <v>Свиток enthrall</v>
      </c>
      <c r="F245" s="23" t="str">
        <f>IFERROR(__xludf.DUMMYFUNCTION("GOOGLETRANSLATE(B245, ""en"", ""tr"")"),"Engellinin kaydırılması")</f>
        <v>Engellinin kaydırılması</v>
      </c>
      <c r="G245" s="23" t="str">
        <f>IFERROR(__xludf.DUMMYFUNCTION("GOOGLETRANSLATE(B245, ""en"", ""pt"")"),"Rolo de enthrall.")</f>
        <v>Rolo de enthrall.</v>
      </c>
      <c r="H245" s="24" t="str">
        <f>IFERROR(__xludf.DUMMYFUNCTION("GOOGLETRANSLATE(B245, ""en"", ""de"")"),"Blättern von Mittrall.")</f>
        <v>Blättern von Mittrall.</v>
      </c>
      <c r="I245" s="23" t="str">
        <f>IFERROR(__xludf.DUMMYFUNCTION("GOOGLETRANSLATE(B245, ""en"", ""pl"")"),"Przewiń israll.")</f>
        <v>Przewiń israll.</v>
      </c>
      <c r="J245" s="25" t="str">
        <f>IFERROR(__xludf.DUMMYFUNCTION("GOOGLETRANSLATE(B245, ""en"", ""zh"")"),"scr")</f>
        <v>scr</v>
      </c>
      <c r="K245" s="25" t="str">
        <f>IFERROR(__xludf.DUMMYFUNCTION("GOOGLETRANSLATE(B245, ""en"", ""vi"")"),"Cuộn admrall.")</f>
        <v>Cuộn admrall.</v>
      </c>
      <c r="L245" s="26" t="str">
        <f>IFERROR(__xludf.DUMMYFUNCTION("GOOGLETRANSLATE(B245, ""en"", ""hr"")"),"Pomicanje od očaranja")</f>
        <v>Pomicanje od očaranja</v>
      </c>
      <c r="M245" s="28"/>
      <c r="N245" s="28"/>
      <c r="O245" s="28"/>
      <c r="P245" s="28"/>
      <c r="Q245" s="28"/>
      <c r="R245" s="28"/>
      <c r="S245" s="28"/>
      <c r="T245" s="28"/>
      <c r="U245" s="28"/>
      <c r="V245" s="28"/>
      <c r="W245" s="28"/>
      <c r="X245" s="28"/>
      <c r="Y245" s="28"/>
      <c r="Z245" s="28"/>
      <c r="AA245" s="28"/>
      <c r="AB245" s="28"/>
    </row>
    <row r="246">
      <c r="A246" s="21" t="s">
        <v>813</v>
      </c>
      <c r="B246" s="22" t="s">
        <v>814</v>
      </c>
      <c r="C246" s="23" t="str">
        <f>IFERROR(__xludf.DUMMYFUNCTION("GOOGLETRANSLATE(B246, ""en"", ""fr"")"),"Faites toutes les créatures non réclamées des morts-vivants autour de vous devenez vos minions.")</f>
        <v>Faites toutes les créatures non réclamées des morts-vivants autour de vous devenez vos minions.</v>
      </c>
      <c r="D246" s="23" t="str">
        <f>IFERROR(__xludf.DUMMYFUNCTION("GOOGLETRANSLATE(B246, ""en"", ""es"")"),"Haz que todas las criaturas no muertas no deseadas a tu alrededor se conviertan en tus secuaces.")</f>
        <v>Haz que todas las criaturas no muertas no deseadas a tu alrededor se conviertan en tus secuaces.</v>
      </c>
      <c r="E246" s="23" t="str">
        <f>IFERROR(__xludf.DUMMYFUNCTION("GOOGLETRANSLATE(B246, ""en"", ""ru"")"),"Сделайте все невостребованные существа нежити, которые вы становитесь твоими миньонами.")</f>
        <v>Сделайте все невостребованные существа нежити, которые вы становитесь твоими миньонами.</v>
      </c>
      <c r="F246" s="23" t="str">
        <f>IFERROR(__xludf.DUMMYFUNCTION("GOOGLETRANSLATE(B246, ""en"", ""tr"")"),"Sahipsiz olmayan tüm yaşayan yaratıkları etrafınızdaki köleleriniz haline getirin.")</f>
        <v>Sahipsiz olmayan tüm yaşayan yaratıkları etrafınızdaki köleleriniz haline getirin.</v>
      </c>
      <c r="G246" s="23" t="str">
        <f>IFERROR(__xludf.DUMMYFUNCTION("GOOGLETRANSLATE(B246, ""en"", ""pt"")"),"Faça todas as criaturas mortas-moradas não reclamadas ao seu redor se tornarem seus lacaios.")</f>
        <v>Faça todas as criaturas mortas-moradas não reclamadas ao seu redor se tornarem seus lacaios.</v>
      </c>
      <c r="H246" s="24" t="str">
        <f>IFERROR(__xludf.DUMMYFUNCTION("GOOGLETRANSLATE(B246, ""en"", ""de"")"),"Machen Sie alle nicht beanspruchten Untotenkreaturen um Sie, um Ihre Scherz zu werden.")</f>
        <v>Machen Sie alle nicht beanspruchten Untotenkreaturen um Sie, um Ihre Scherz zu werden.</v>
      </c>
      <c r="I246" s="23" t="str">
        <f>IFERROR(__xludf.DUMMYFUNCTION("GOOGLETRANSLATE(B246, ""en"", ""pl"")"),"Spraw, by wszystkie nieodebrane istoty nieumarłych stały się twoimi sługami.")</f>
        <v>Spraw, by wszystkie nieodebrane istoty nieumarłych stały się twoimi sługami.</v>
      </c>
      <c r="J246" s="25" t="str">
        <f>IFERROR(__xludf.DUMMYFUNCTION("GOOGLETRANSLATE(B246, ""en"", ""zh"")"),"让所有无人认领的亡灵生物成为你的仆从。")</f>
        <v>让所有无人认领的亡灵生物成为你的仆从。</v>
      </c>
      <c r="K246" s="25" t="str">
        <f>IFERROR(__xludf.DUMMYFUNCTION("GOOGLETRANSLATE(B246, ""en"", ""vi"")"),"Làm cho tất cả các sinh vật Undead không có người nhận xung quanh bạn trở thành tay sai của bạn.")</f>
        <v>Làm cho tất cả các sinh vật Undead không có người nhận xung quanh bạn trở thành tay sai của bạn.</v>
      </c>
      <c r="L246" s="26" t="str">
        <f>IFERROR(__xludf.DUMMYFUNCTION("GOOGLETRANSLATE(B246, ""en"", ""hr"")"),"Učinite sve ne undead ne undead stvorenja oko vas postaju vaši slutići.")</f>
        <v>Učinite sve ne undead ne undead stvorenja oko vas postaju vaši slutići.</v>
      </c>
      <c r="M246" s="28"/>
      <c r="N246" s="28"/>
      <c r="O246" s="28"/>
      <c r="P246" s="28"/>
      <c r="Q246" s="28"/>
      <c r="R246" s="28"/>
      <c r="S246" s="28"/>
      <c r="T246" s="28"/>
      <c r="U246" s="28"/>
      <c r="V246" s="28"/>
      <c r="W246" s="28"/>
      <c r="X246" s="28"/>
      <c r="Y246" s="28"/>
      <c r="Z246" s="28"/>
      <c r="AA246" s="28"/>
      <c r="AB246" s="28"/>
    </row>
    <row r="247">
      <c r="A247" s="21" t="s">
        <v>815</v>
      </c>
      <c r="B247" s="22" t="s">
        <v>816</v>
      </c>
      <c r="C247" s="23" t="str">
        <f>IFERROR(__xludf.DUMMYFUNCTION("GOOGLETRANSLATE(B247, ""en"", ""fr"")"),"Marteau de gloire")</f>
        <v>Marteau de gloire</v>
      </c>
      <c r="D247" s="23" t="str">
        <f>IFERROR(__xludf.DUMMYFUNCTION("GOOGLETRANSLATE(B247, ""en"", ""es"")"),"Martillo de gloria")</f>
        <v>Martillo de gloria</v>
      </c>
      <c r="E247" s="23" t="str">
        <f>IFERROR(__xludf.DUMMYFUNCTION("GOOGLETRANSLATE(B247, ""en"", ""ru"")"),"Молоток славы")</f>
        <v>Молоток славы</v>
      </c>
      <c r="F247" s="23" t="str">
        <f>IFERROR(__xludf.DUMMYFUNCTION("GOOGLETRANSLATE(B247, ""en"", ""tr"")"),"Zafer çekiç")</f>
        <v>Zafer çekiç</v>
      </c>
      <c r="G247" s="23" t="str">
        <f>IFERROR(__xludf.DUMMYFUNCTION("GOOGLETRANSLATE(B247, ""en"", ""pt"")"),"Martelo de glória")</f>
        <v>Martelo de glória</v>
      </c>
      <c r="H247" s="24" t="str">
        <f>IFERROR(__xludf.DUMMYFUNCTION("GOOGLETRANSLATE(B247, ""en"", ""de"")"),"Ruhmhammer")</f>
        <v>Ruhmhammer</v>
      </c>
      <c r="I247" s="23" t="str">
        <f>IFERROR(__xludf.DUMMYFUNCTION("GOOGLETRANSLATE(B247, ""en"", ""pl"")"),"Hammer of Glory.")</f>
        <v>Hammer of Glory.</v>
      </c>
      <c r="J247" s="25" t="str">
        <f>IFERROR(__xludf.DUMMYFUNCTION("GOOGLETRANSLATE(B247, ""en"", ""zh"")"),"荣耀的锤子")</f>
        <v>荣耀的锤子</v>
      </c>
      <c r="K247" s="25" t="str">
        <f>IFERROR(__xludf.DUMMYFUNCTION("GOOGLETRANSLATE(B247, ""en"", ""vi"")"),"Búa vinh quang")</f>
        <v>Búa vinh quang</v>
      </c>
      <c r="L247" s="26" t="str">
        <f>IFERROR(__xludf.DUMMYFUNCTION("GOOGLETRANSLATE(B247, ""en"", ""hr"")"),"Čekić slave")</f>
        <v>Čekić slave</v>
      </c>
      <c r="M247" s="28"/>
      <c r="N247" s="28"/>
      <c r="O247" s="28"/>
      <c r="P247" s="28"/>
      <c r="Q247" s="28"/>
      <c r="R247" s="28"/>
      <c r="S247" s="28"/>
      <c r="T247" s="28"/>
      <c r="U247" s="28"/>
      <c r="V247" s="28"/>
      <c r="W247" s="28"/>
      <c r="X247" s="28"/>
      <c r="Y247" s="28"/>
      <c r="Z247" s="28"/>
      <c r="AA247" s="28"/>
      <c r="AB247" s="28"/>
    </row>
    <row r="248">
      <c r="A248" s="21" t="s">
        <v>817</v>
      </c>
      <c r="B248" s="22" t="s">
        <v>818</v>
      </c>
      <c r="C248" s="23" t="str">
        <f>IFERROR(__xludf.DUMMYFUNCTION("GOOGLETRANSLATE(B248, ""en"", ""fr"")"),"Relique. Une arme puissante utilisée par les héros antiques. Pousse les choses à l'arrière quand il frappe et quoi que ce soit adjacent à ce qu'il frappe.")</f>
        <v>Relique. Une arme puissante utilisée par les héros antiques. Pousse les choses à l'arrière quand il frappe et quoi que ce soit adjacent à ce qu'il frappe.</v>
      </c>
      <c r="D248" s="23" t="str">
        <f>IFERROR(__xludf.DUMMYFUNCTION("GOOGLETRANSLATE(B248, ""en"", ""es"")"),"Reliquia. Un poderoso arma utilizada por los héroes antiguos. Empuja las cosas cuando golpea, y cualquier cosa adyacente a lo que golpea.")</f>
        <v>Reliquia. Un poderoso arma utilizada por los héroes antiguos. Empuja las cosas cuando golpea, y cualquier cosa adyacente a lo que golpea.</v>
      </c>
      <c r="E248" s="23" t="str">
        <f>IFERROR(__xludf.DUMMYFUNCTION("GOOGLETRANSLATE(B248, ""en"", ""ru"")"),"Реликвии. Мощное оружие, используемое древних героев. Толкает вещи назад, когда он попадает, и что-то рядом с тем, что он хитов.")</f>
        <v>Реликвии. Мощное оружие, используемое древних героев. Толкает вещи назад, когда он попадает, и что-то рядом с тем, что он хитов.</v>
      </c>
      <c r="F248" s="23" t="str">
        <f>IFERROR(__xludf.DUMMYFUNCTION("GOOGLETRANSLATE(B248, ""en"", ""tr"")"),"Kalıntı. Eski kahramanlar tarafından kullanılan güçlü bir silah. Şeyleri vurduğunda ve vurduğu şeye bitişik bir şeye iter.")</f>
        <v>Kalıntı. Eski kahramanlar tarafından kullanılan güçlü bir silah. Şeyleri vurduğunda ve vurduğu şeye bitişik bir şeye iter.</v>
      </c>
      <c r="G248" s="23" t="str">
        <f>IFERROR(__xludf.DUMMYFUNCTION("GOOGLETRANSLATE(B248, ""en"", ""pt"")"),"Relíquia. Uma arma poderosa usada por heróis antigos. Empurra as coisas quando atinge, e qualquer coisa adjacente ao que ele atinge.")</f>
        <v>Relíquia. Uma arma poderosa usada por heróis antigos. Empurra as coisas quando atinge, e qualquer coisa adjacente ao que ele atinge.</v>
      </c>
      <c r="H248" s="24" t="str">
        <f>IFERROR(__xludf.DUMMYFUNCTION("GOOGLETRANSLATE(B248, ""en"", ""de"")"),"Relikt. Eine starke Waffe, die von alten Helden verwendet wird. Schiebt die Dinge zurück, wenn es trifft, und irgendetwas neben dem, was es trifft.")</f>
        <v>Relikt. Eine starke Waffe, die von alten Helden verwendet wird. Schiebt die Dinge zurück, wenn es trifft, und irgendetwas neben dem, was es trifft.</v>
      </c>
      <c r="I248" s="23" t="str">
        <f>IFERROR(__xludf.DUMMYFUNCTION("GOOGLETRANSLATE(B248, ""en"", ""pl"")"),"Relikt. Potężna broń używana przez starożytnych bohaterów. Popycha rzeczy z powrotem, gdy trafia, a wszystko jest przylegające do tego, co uderza.")</f>
        <v>Relikt. Potężna broń używana przez starożytnych bohaterów. Popycha rzeczy z powrotem, gdy trafia, a wszystko jest przylegające do tego, co uderza.</v>
      </c>
      <c r="J248" s="25" t="str">
        <f>IFERROR(__xludf.DUMMYFUNCTION("GOOGLETRANSLATE(B248, ""en"", ""zh"")"),"遗迹。古代英雄使用的强大武器。当它击中时，会推回东西，以及与其命中的内容相邻的任何东西。")</f>
        <v>遗迹。古代英雄使用的强大武器。当它击中时，会推回东西，以及与其命中的内容相邻的任何东西。</v>
      </c>
      <c r="K248" s="25" t="str">
        <f>IFERROR(__xludf.DUMMYFUNCTION("GOOGLETRANSLATE(B248, ""en"", ""vi"")"),"Thánh tích. Một vũ khí mạnh mẽ được sử dụng bởi các anh hùng cổ đại. Đẩy mọi thứ trở lại khi nó hit, và bất cứ điều gì liền kề với những gì nó đánh.")</f>
        <v>Thánh tích. Một vũ khí mạnh mẽ được sử dụng bởi các anh hùng cổ đại. Đẩy mọi thứ trở lại khi nó hit, và bất cứ điều gì liền kề với những gì nó đánh.</v>
      </c>
      <c r="L248" s="26" t="str">
        <f>IFERROR(__xludf.DUMMYFUNCTION("GOOGLETRANSLATE(B248, ""en"", ""hr"")"),"Relikvija. Moćno oružje koje koristi drevni heroji. Gura stvari natrag kad udari, i sve što se tiče onoga što je pogodio.")</f>
        <v>Relikvija. Moćno oružje koje koristi drevni heroji. Gura stvari natrag kad udari, i sve što se tiče onoga što je pogodio.</v>
      </c>
      <c r="M248" s="28"/>
      <c r="N248" s="28"/>
      <c r="O248" s="28"/>
      <c r="P248" s="28"/>
      <c r="Q248" s="28"/>
      <c r="R248" s="28"/>
      <c r="S248" s="28"/>
      <c r="T248" s="28"/>
      <c r="U248" s="28"/>
      <c r="V248" s="28"/>
      <c r="W248" s="28"/>
      <c r="X248" s="28"/>
      <c r="Y248" s="28"/>
      <c r="Z248" s="28"/>
      <c r="AA248" s="28"/>
      <c r="AB248" s="28"/>
    </row>
    <row r="249">
      <c r="A249" s="21" t="s">
        <v>819</v>
      </c>
      <c r="B249" s="22" t="s">
        <v>820</v>
      </c>
      <c r="C249" s="23" t="str">
        <f>IFERROR(__xludf.DUMMYFUNCTION("GOOGLETRANSLATE(B249, ""en"", ""fr"")"),"Armure de colère")</f>
        <v>Armure de colère</v>
      </c>
      <c r="D249" s="23" t="str">
        <f>IFERROR(__xludf.DUMMYFUNCTION("GOOGLETRANSLATE(B249, ""en"", ""es"")"),"Armadura de la ira")</f>
        <v>Armadura de la ira</v>
      </c>
      <c r="E249" s="23" t="str">
        <f>IFERROR(__xludf.DUMMYFUNCTION("GOOGLETRANSLATE(B249, ""en"", ""ru"")"),"Доспехи IRE.")</f>
        <v>Доспехи IRE.</v>
      </c>
      <c r="F249" s="23" t="str">
        <f>IFERROR(__xludf.DUMMYFUNCTION("GOOGLETRANSLATE(B249, ""en"", ""tr"")"),"İrin zırhı")</f>
        <v>İrin zırhı</v>
      </c>
      <c r="G249" s="23" t="str">
        <f>IFERROR(__xludf.DUMMYFUNCTION("GOOGLETRANSLATE(B249, ""en"", ""pt"")"),"Armadura de IRE.")</f>
        <v>Armadura de IRE.</v>
      </c>
      <c r="H249" s="24" t="str">
        <f>IFERROR(__xludf.DUMMYFUNCTION("GOOGLETRANSLATE(B249, ""en"", ""de"")"),"Rüstung von IRE.")</f>
        <v>Rüstung von IRE.</v>
      </c>
      <c r="I249" s="23" t="str">
        <f>IFERROR(__xludf.DUMMYFUNCTION("GOOGLETRANSLATE(B249, ""en"", ""pl"")"),"Armor Iri.")</f>
        <v>Armor Iri.</v>
      </c>
      <c r="J249" s="25" t="str">
        <f>IFERROR(__xludf.DUMMYFUNCTION("GOOGLETRANSLATE(B249, ""en"", ""zh"")"),"艾尔盔甲")</f>
        <v>艾尔盔甲</v>
      </c>
      <c r="K249" s="25" t="str">
        <f>IFERROR(__xludf.DUMMYFUNCTION("GOOGLETRANSLATE(B249, ""en"", ""vi"")"),"Áo giáp của ire.")</f>
        <v>Áo giáp của ire.</v>
      </c>
      <c r="L249" s="26" t="str">
        <f>IFERROR(__xludf.DUMMYFUNCTION("GOOGLETRANSLATE(B249, ""en"", ""hr"")"),"Oklop ire")</f>
        <v>Oklop ire</v>
      </c>
      <c r="M249" s="28"/>
      <c r="N249" s="28"/>
      <c r="O249" s="28"/>
      <c r="P249" s="28"/>
      <c r="Q249" s="28"/>
      <c r="R249" s="28"/>
      <c r="S249" s="28"/>
      <c r="T249" s="28"/>
      <c r="U249" s="28"/>
      <c r="V249" s="28"/>
      <c r="W249" s="28"/>
      <c r="X249" s="28"/>
      <c r="Y249" s="28"/>
      <c r="Z249" s="28"/>
      <c r="AA249" s="28"/>
      <c r="AB249" s="28"/>
    </row>
    <row r="250">
      <c r="A250" s="21" t="s">
        <v>821</v>
      </c>
      <c r="B250" s="22" t="s">
        <v>822</v>
      </c>
      <c r="C250" s="23" t="str">
        <f>IFERROR(__xludf.DUMMYFUNCTION("GOOGLETRANSLATE(B250, ""en"", ""fr"")"),"Relique. La douleur qu'ils servent seront apportées à leur propre. Reflète une partie des dommages retentis à la source.")</f>
        <v>Relique. La douleur qu'ils servent seront apportées à leur propre. Reflète une partie des dommages retentis à la source.</v>
      </c>
      <c r="D250" s="23" t="str">
        <f>IFERROR(__xludf.DUMMYFUNCTION("GOOGLETRANSLATE(B250, ""en"", ""es"")"),"Reliquia. El dolor que sirven se llevarán por su cuenta. Refleja una porción de daño devuelto a la fuente.")</f>
        <v>Reliquia. El dolor que sirven se llevarán por su cuenta. Refleja una porción de daño devuelto a la fuente.</v>
      </c>
      <c r="E250" s="23" t="str">
        <f>IFERROR(__xludf.DUMMYFUNCTION("GOOGLETRANSLATE(B250, ""en"", ""ru"")"),"Реликвии. Боль, которую они служат, будут привлечены самостоятельно. Отражает часть ущерба, отнесенного к источнику.")</f>
        <v>Реликвии. Боль, которую они служат, будут привлечены самостоятельно. Отражает часть ущерба, отнесенного к источнику.</v>
      </c>
      <c r="F250" s="23" t="str">
        <f>IFERROR(__xludf.DUMMYFUNCTION("GOOGLETRANSLATE(B250, ""en"", ""tr"")"),"Kalıntı. Hizmet ettikleri acı, kendi başına getirilecektir. Kaynağa geri alınan hasarın bir kısmını yansıtır.")</f>
        <v>Kalıntı. Hizmet ettikleri acı, kendi başına getirilecektir. Kaynağa geri alınan hasarın bir kısmını yansıtır.</v>
      </c>
      <c r="G250" s="23" t="str">
        <f>IFERROR(__xludf.DUMMYFUNCTION("GOOGLETRANSLATE(B250, ""en"", ""pt"")"),"Relíquia. A dor que eles servem serão trazidos por conta própria. Reflete uma porção de danos retornos à fonte.")</f>
        <v>Relíquia. A dor que eles servem serão trazidos por conta própria. Reflete uma porção de danos retornos à fonte.</v>
      </c>
      <c r="H250" s="24" t="str">
        <f>IFERROR(__xludf.DUMMYFUNCTION("GOOGLETRANSLATE(B250, ""en"", ""de"")"),"Relikt. Der Schmerz, den sie dienen, werden auf ihre eigenen gebracht. Reflektiert einen Teil der in der Quelle zurückgenommenen Schadens.")</f>
        <v>Relikt. Der Schmerz, den sie dienen, werden auf ihre eigenen gebracht. Reflektiert einen Teil der in der Quelle zurückgenommenen Schadens.</v>
      </c>
      <c r="I250" s="23" t="str">
        <f>IFERROR(__xludf.DUMMYFUNCTION("GOOGLETRANSLATE(B250, ""en"", ""pl"")"),"Relikt. Ból, który służy, zostaną sprowadzeni na własną rękę. Odzwierciedla część uszkodzeń z powrotem do źródła.")</f>
        <v>Relikt. Ból, który służy, zostaną sprowadzeni na własną rękę. Odzwierciedla część uszkodzeń z powrotem do źródła.</v>
      </c>
      <c r="J250" s="25" t="str">
        <f>IFERROR(__xludf.DUMMYFUNCTION("GOOGLETRANSLATE(B250, ""en"", ""zh"")"),"遗迹。他们所服务的痛苦将被自己带来。反映回到源的一部分损坏。")</f>
        <v>遗迹。他们所服务的痛苦将被自己带来。反映回到源的一部分损坏。</v>
      </c>
      <c r="K250" s="25" t="str">
        <f>IFERROR(__xludf.DUMMYFUNCTION("GOOGLETRANSLATE(B250, ""en"", ""vi"")"),"Thánh tích. Nỗi đau mà họ phục vụ sẽ được đưa lên của riêng họ. Phản ánh một phần thiệt hại được đưa trở lại nguồn.")</f>
        <v>Thánh tích. Nỗi đau mà họ phục vụ sẽ được đưa lên của riêng họ. Phản ánh một phần thiệt hại được đưa trở lại nguồn.</v>
      </c>
      <c r="L250" s="26" t="str">
        <f>IFERROR(__xludf.DUMMYFUNCTION("GOOGLETRANSLATE(B250, ""en"", ""hr"")"),"Relikvija. Bol koji služe bit će na vlastitu. Odražava dio štete uzet natrag na izvor.")</f>
        <v>Relikvija. Bol koji služe bit će na vlastitu. Odražava dio štete uzet natrag na izvor.</v>
      </c>
      <c r="M250" s="28"/>
      <c r="N250" s="28"/>
      <c r="O250" s="28"/>
      <c r="P250" s="28"/>
      <c r="Q250" s="28"/>
      <c r="R250" s="28"/>
      <c r="S250" s="28"/>
      <c r="T250" s="28"/>
      <c r="U250" s="28"/>
      <c r="V250" s="28"/>
      <c r="W250" s="28"/>
      <c r="X250" s="28"/>
      <c r="Y250" s="28"/>
      <c r="Z250" s="28"/>
      <c r="AA250" s="28"/>
      <c r="AB250" s="28"/>
    </row>
    <row r="251">
      <c r="A251" s="21" t="s">
        <v>823</v>
      </c>
      <c r="B251" s="22" t="s">
        <v>824</v>
      </c>
      <c r="C251" s="23" t="str">
        <f>IFERROR(__xludf.DUMMYFUNCTION("GOOGLETRANSLATE(B251, ""en"", ""fr"")"),"Flamme éternelle")</f>
        <v>Flamme éternelle</v>
      </c>
      <c r="D251" s="23" t="str">
        <f>IFERROR(__xludf.DUMMYFUNCTION("GOOGLETRANSLATE(B251, ""en"", ""es"")"),"Llama eterna")</f>
        <v>Llama eterna</v>
      </c>
      <c r="E251" s="23" t="str">
        <f>IFERROR(__xludf.DUMMYFUNCTION("GOOGLETRANSLATE(B251, ""en"", ""ru"")"),"Вечный огонь")</f>
        <v>Вечный огонь</v>
      </c>
      <c r="F251" s="23" t="str">
        <f>IFERROR(__xludf.DUMMYFUNCTION("GOOGLETRANSLATE(B251, ""en"", ""tr"")"),"Ebedi Alev")</f>
        <v>Ebedi Alev</v>
      </c>
      <c r="G251" s="23" t="str">
        <f>IFERROR(__xludf.DUMMYFUNCTION("GOOGLETRANSLATE(B251, ""en"", ""pt"")"),"Chama eterna")</f>
        <v>Chama eterna</v>
      </c>
      <c r="H251" s="24" t="str">
        <f>IFERROR(__xludf.DUMMYFUNCTION("GOOGLETRANSLATE(B251, ""en"", ""de"")"),"Ewige Flamme")</f>
        <v>Ewige Flamme</v>
      </c>
      <c r="I251" s="23" t="str">
        <f>IFERROR(__xludf.DUMMYFUNCTION("GOOGLETRANSLATE(B251, ""en"", ""pl"")"),"Wieczny płomień")</f>
        <v>Wieczny płomień</v>
      </c>
      <c r="J251" s="25" t="str">
        <f>IFERROR(__xludf.DUMMYFUNCTION("GOOGLETRANSLATE(B251, ""en"", ""zh"")"),"永恒之火")</f>
        <v>永恒之火</v>
      </c>
      <c r="K251" s="25" t="str">
        <f>IFERROR(__xludf.DUMMYFUNCTION("GOOGLETRANSLATE(B251, ""en"", ""vi"")"),"Ngọn lửa vĩnh cửu")</f>
        <v>Ngọn lửa vĩnh cửu</v>
      </c>
      <c r="L251" s="26" t="str">
        <f>IFERROR(__xludf.DUMMYFUNCTION("GOOGLETRANSLATE(B251, ""en"", ""hr"")"),"Vječni plamen")</f>
        <v>Vječni plamen</v>
      </c>
      <c r="M251" s="28"/>
      <c r="N251" s="28"/>
      <c r="O251" s="28"/>
      <c r="P251" s="28"/>
      <c r="Q251" s="28"/>
      <c r="R251" s="28"/>
      <c r="S251" s="28"/>
      <c r="T251" s="28"/>
      <c r="U251" s="28"/>
      <c r="V251" s="28"/>
      <c r="W251" s="28"/>
      <c r="X251" s="28"/>
      <c r="Y251" s="28"/>
      <c r="Z251" s="28"/>
      <c r="AA251" s="28"/>
      <c r="AB251" s="28"/>
    </row>
    <row r="252">
      <c r="A252" s="21" t="s">
        <v>825</v>
      </c>
      <c r="B252" s="22" t="s">
        <v>826</v>
      </c>
      <c r="C252" s="23" t="str">
        <f>IFERROR(__xludf.DUMMYFUNCTION("GOOGLETRANSLATE(B252, ""en"", ""fr"")"),"Relique. Une essence de feu, volée du monde souterrain. Tire une vague de feu.")</f>
        <v>Relique. Une essence de feu, volée du monde souterrain. Tire une vague de feu.</v>
      </c>
      <c r="D252" s="23" t="str">
        <f>IFERROR(__xludf.DUMMYFUNCTION("GOOGLETRANSLATE(B252, ""en"", ""es"")"),"Reliquia. Una esencia de fuego, robada del inframundo. Dispara a una ola de fuego.")</f>
        <v>Reliquia. Una esencia de fuego, robada del inframundo. Dispara a una ola de fuego.</v>
      </c>
      <c r="E252" s="23" t="str">
        <f>IFERROR(__xludf.DUMMYFUNCTION("GOOGLETRANSLATE(B252, ""en"", ""ru"")"),"Реликвии. Сущность огня, украдена от подземного мира. Стреляет в волну огня.")</f>
        <v>Реликвии. Сущность огня, украдена от подземного мира. Стреляет в волну огня.</v>
      </c>
      <c r="F252" s="23" t="str">
        <f>IFERROR(__xludf.DUMMYFUNCTION("GOOGLETRANSLATE(B252, ""en"", ""tr"")"),"Kalıntı. Ateşin bir özü, yeraltı dünyasından çalındı. Ateş dalgası vuruyor.")</f>
        <v>Kalıntı. Ateşin bir özü, yeraltı dünyasından çalındı. Ateş dalgası vuruyor.</v>
      </c>
      <c r="G252" s="23" t="str">
        <f>IFERROR(__xludf.DUMMYFUNCTION("GOOGLETRANSLATE(B252, ""en"", ""pt"")"),"Relíquia. Uma essência de fogo, roubada do submundo. Atira uma onda de fogo.")</f>
        <v>Relíquia. Uma essência de fogo, roubada do submundo. Atira uma onda de fogo.</v>
      </c>
      <c r="H252" s="24" t="str">
        <f>IFERROR(__xludf.DUMMYFUNCTION("GOOGLETRANSLATE(B252, ""en"", ""de"")"),"Relikt. Ein Wesen von Feuer, gestohlen aus der Unterwelt. Schießt eine Welle von Feuer.")</f>
        <v>Relikt. Ein Wesen von Feuer, gestohlen aus der Unterwelt. Schießt eine Welle von Feuer.</v>
      </c>
      <c r="I252" s="23" t="str">
        <f>IFERROR(__xludf.DUMMYFUNCTION("GOOGLETRANSLATE(B252, ""en"", ""pl"")"),"Relikt. Istota ognia, skradziona z podziemi. Strzela fala ognia.")</f>
        <v>Relikt. Istota ognia, skradziona z podziemi. Strzela fala ognia.</v>
      </c>
      <c r="J252" s="25" t="str">
        <f>IFERROR(__xludf.DUMMYFUNCTION("GOOGLETRANSLATE(B252, ""en"", ""zh"")"),"遗迹。从黑社会中偷走了火的本质。射挥一波火。")</f>
        <v>遗迹。从黑社会中偷走了火的本质。射挥一波火。</v>
      </c>
      <c r="K252" s="25" t="str">
        <f>IFERROR(__xludf.DUMMYFUNCTION("GOOGLETRANSLATE(B252, ""en"", ""vi"")"),"Thánh tích. Một bản chất của lửa, bị đánh cắp từ thế giới ngầm. Bắn một làn sóng lửa.")</f>
        <v>Thánh tích. Một bản chất của lửa, bị đánh cắp từ thế giới ngầm. Bắn một làn sóng lửa.</v>
      </c>
      <c r="L252" s="26" t="str">
        <f>IFERROR(__xludf.DUMMYFUNCTION("GOOGLETRANSLATE(B252, ""en"", ""hr"")"),"Relikvija. Bit vatre, ukradena iz podzemlja. Puca val vatre.")</f>
        <v>Relikvija. Bit vatre, ukradena iz podzemlja. Puca val vatre.</v>
      </c>
      <c r="M252" s="28"/>
      <c r="N252" s="28"/>
      <c r="O252" s="28"/>
      <c r="P252" s="28"/>
      <c r="Q252" s="28"/>
      <c r="R252" s="28"/>
      <c r="S252" s="28"/>
      <c r="T252" s="28"/>
      <c r="U252" s="28"/>
      <c r="V252" s="28"/>
      <c r="W252" s="28"/>
      <c r="X252" s="28"/>
      <c r="Y252" s="28"/>
      <c r="Z252" s="28"/>
      <c r="AA252" s="28"/>
      <c r="AB252" s="28"/>
    </row>
    <row r="253">
      <c r="A253" s="21" t="s">
        <v>827</v>
      </c>
      <c r="B253" s="22" t="s">
        <v>828</v>
      </c>
      <c r="C253" s="23" t="str">
        <f>IFERROR(__xludf.DUMMYFUNCTION("GOOGLETRANSLATE(B253, ""en"", ""fr"")"),"Galest")</f>
        <v>Galest</v>
      </c>
      <c r="D253" s="23" t="str">
        <f>IFERROR(__xludf.DUMMYFUNCTION("GOOGLETRANSLATE(B253, ""en"", ""es"")"),"Galestorm")</f>
        <v>Galestorm</v>
      </c>
      <c r="E253" s="23" t="str">
        <f>IFERROR(__xludf.DUMMYFUNCTION("GOOGLETRANSLATE(B253, ""en"", ""ru"")"),"Галсторм")</f>
        <v>Галсторм</v>
      </c>
      <c r="F253" s="23" t="str">
        <f>IFERROR(__xludf.DUMMYFUNCTION("GOOGLETRANSLATE(B253, ""en"", ""tr"")"),"Galesit")</f>
        <v>Galesit</v>
      </c>
      <c r="G253" s="23" t="str">
        <f>IFERROR(__xludf.DUMMYFUNCTION("GOOGLETRANSLATE(B253, ""en"", ""pt"")"),"GALESTORM.")</f>
        <v>GALESTORM.</v>
      </c>
      <c r="H253" s="24" t="str">
        <f>IFERROR(__xludf.DUMMYFUNCTION("GOOGLETRANSLATE(B253, ""en"", ""de"")"),"Galestorm.")</f>
        <v>Galestorm.</v>
      </c>
      <c r="I253" s="23" t="str">
        <f>IFERROR(__xludf.DUMMYFUNCTION("GOOGLETRANSLATE(B253, ""en"", ""pl"")"),"Galestorm")</f>
        <v>Galestorm</v>
      </c>
      <c r="J253" s="25" t="str">
        <f>IFERROR(__xludf.DUMMYFUNCTION("GOOGLETRANSLATE(B253, ""en"", ""zh"")"),"Galestorm.")</f>
        <v>Galestorm.</v>
      </c>
      <c r="K253" s="25" t="str">
        <f>IFERROR(__xludf.DUMMYFUNCTION("GOOGLETRANSLATE(B253, ""en"", ""vi"")"),"Galestorm.")</f>
        <v>Galestorm.</v>
      </c>
      <c r="L253" s="26" t="str">
        <f>IFERROR(__xludf.DUMMYFUNCTION("GOOGLETRANSLATE(B253, ""en"", ""hr"")"),"Galestorm")</f>
        <v>Galestorm</v>
      </c>
      <c r="M253" s="28"/>
      <c r="N253" s="28"/>
      <c r="O253" s="28"/>
      <c r="P253" s="28"/>
      <c r="Q253" s="28"/>
      <c r="R253" s="28"/>
      <c r="S253" s="28"/>
      <c r="T253" s="28"/>
      <c r="U253" s="28"/>
      <c r="V253" s="28"/>
      <c r="W253" s="28"/>
      <c r="X253" s="28"/>
      <c r="Y253" s="28"/>
      <c r="Z253" s="28"/>
      <c r="AA253" s="28"/>
      <c r="AB253" s="28"/>
    </row>
    <row r="254">
      <c r="A254" s="21" t="s">
        <v>829</v>
      </c>
      <c r="B254" s="22" t="s">
        <v>830</v>
      </c>
      <c r="C254" s="23" t="str">
        <f>IFERROR(__xludf.DUMMYFUNCTION("GOOGLETRANSLATE(B254, ""en"", ""fr"")"),"Relique. Utilisé par les marins pirates pour propulser leurs navires. Tire une vague de vent.")</f>
        <v>Relique. Utilisé par les marins pirates pour propulser leurs navires. Tire une vague de vent.</v>
      </c>
      <c r="D254" s="23" t="str">
        <f>IFERROR(__xludf.DUMMYFUNCTION("GOOGLETRANSLATE(B254, ""en"", ""es"")"),"Reliquia. Utilizado por los marineros piratas para impulsar sus naves. Dispara a una ola de viento.")</f>
        <v>Reliquia. Utilizado por los marineros piratas para impulsar sus naves. Dispara a una ola de viento.</v>
      </c>
      <c r="E254" s="23" t="str">
        <f>IFERROR(__xludf.DUMMYFUNCTION("GOOGLETRANSLATE(B254, ""en"", ""ru"")"),"Реликвии. Используется пиратскими моряками, чтобы продвинуть свои корабли. Стреляет в волну ветра.")</f>
        <v>Реликвии. Используется пиратскими моряками, чтобы продвинуть свои корабли. Стреляет в волну ветра.</v>
      </c>
      <c r="F254" s="23" t="str">
        <f>IFERROR(__xludf.DUMMYFUNCTION("GOOGLETRANSLATE(B254, ""en"", ""tr"")"),"Kalıntı. Korsan denizcileri tarafından gemilerini itmek için kullanılır. Bir rüzgar dalgasını vurur.")</f>
        <v>Kalıntı. Korsan denizcileri tarafından gemilerini itmek için kullanılır. Bir rüzgar dalgasını vurur.</v>
      </c>
      <c r="G254" s="23" t="str">
        <f>IFERROR(__xludf.DUMMYFUNCTION("GOOGLETRANSLATE(B254, ""en"", ""pt"")"),"Relíquia. Usado por marinheiros piratas para impulsionar seus navios. Atira uma onda de vento.")</f>
        <v>Relíquia. Usado por marinheiros piratas para impulsionar seus navios. Atira uma onda de vento.</v>
      </c>
      <c r="H254" s="24" t="str">
        <f>IFERROR(__xludf.DUMMYFUNCTION("GOOGLETRANSLATE(B254, ""en"", ""de"")"),"Relikt. Von Pirat-Matrosen verwendet, um ihre Schiffe zu treiben. Schießt eine Welle des Windes.")</f>
        <v>Relikt. Von Pirat-Matrosen verwendet, um ihre Schiffe zu treiben. Schießt eine Welle des Windes.</v>
      </c>
      <c r="I254" s="23" t="str">
        <f>IFERROR(__xludf.DUMMYFUNCTION("GOOGLETRANSLATE(B254, ""en"", ""pl"")"),"Relikt. Używane przez żeglarze pirackich, aby napędzać statki. Strzela fala wiatru.")</f>
        <v>Relikt. Używane przez żeglarze pirackich, aby napędzać statki. Strzela fala wiatru.</v>
      </c>
      <c r="J254" s="25" t="str">
        <f>IFERROR(__xludf.DUMMYFUNCTION("GOOGLETRANSLATE(B254, ""en"", ""zh"")"),"遗迹。海盗水手用于推动他们的船只。射挥一波风。")</f>
        <v>遗迹。海盗水手用于推动他们的船只。射挥一波风。</v>
      </c>
      <c r="K254" s="25" t="str">
        <f>IFERROR(__xludf.DUMMYFUNCTION("GOOGLETRANSLATE(B254, ""en"", ""vi"")"),"Thánh tích. Được sử dụng bởi các thủy thủ cướp biển để đẩy tàu của họ. Bắn một làn sóng gió.")</f>
        <v>Thánh tích. Được sử dụng bởi các thủy thủ cướp biển để đẩy tàu của họ. Bắn một làn sóng gió.</v>
      </c>
      <c r="L254" s="26" t="str">
        <f>IFERROR(__xludf.DUMMYFUNCTION("GOOGLETRANSLATE(B254, ""en"", ""hr"")"),"Relikvija. Koristili su piratski mornari za pokretanje svojih brodova. Puca val vjetra.")</f>
        <v>Relikvija. Koristili su piratski mornari za pokretanje svojih brodova. Puca val vjetra.</v>
      </c>
      <c r="M254" s="28"/>
      <c r="N254" s="28"/>
      <c r="O254" s="28"/>
      <c r="P254" s="28"/>
      <c r="Q254" s="28"/>
      <c r="R254" s="28"/>
      <c r="S254" s="28"/>
      <c r="T254" s="28"/>
      <c r="U254" s="28"/>
      <c r="V254" s="28"/>
      <c r="W254" s="28"/>
      <c r="X254" s="28"/>
      <c r="Y254" s="28"/>
      <c r="Z254" s="28"/>
      <c r="AA254" s="28"/>
      <c r="AB254" s="28"/>
    </row>
    <row r="255">
      <c r="A255" s="21" t="s">
        <v>831</v>
      </c>
      <c r="B255" s="22" t="s">
        <v>832</v>
      </c>
      <c r="C255" s="23" t="str">
        <f>IFERROR(__xludf.DUMMYFUNCTION("GOOGLETRANSLATE(B255, ""en"", ""fr"")"),"Étherweave")</f>
        <v>Étherweave</v>
      </c>
      <c r="D255" s="23" t="str">
        <f>IFERROR(__xludf.DUMMYFUNCTION("GOOGLETRANSLATE(B255, ""en"", ""es"")"),"Etherweave")</f>
        <v>Etherweave</v>
      </c>
      <c r="E255" s="23" t="str">
        <f>IFERROR(__xludf.DUMMYFUNCTION("GOOGLETRANSLATE(B255, ""en"", ""ru"")"),"Etherweave.")</f>
        <v>Etherweave.</v>
      </c>
      <c r="F255" s="23" t="str">
        <f>IFERROR(__xludf.DUMMYFUNCTION("GOOGLETRANSLATE(B255, ""en"", ""tr"")"),"Etherweave")</f>
        <v>Etherweave</v>
      </c>
      <c r="G255" s="23" t="str">
        <f>IFERROR(__xludf.DUMMYFUNCTION("GOOGLETRANSLATE(B255, ""en"", ""pt"")"),"Etherweave")</f>
        <v>Etherweave</v>
      </c>
      <c r="H255" s="24" t="str">
        <f>IFERROR(__xludf.DUMMYFUNCTION("GOOGLETRANSLATE(B255, ""en"", ""de"")"),"Etherweave.")</f>
        <v>Etherweave.</v>
      </c>
      <c r="I255" s="23" t="str">
        <f>IFERROR(__xludf.DUMMYFUNCTION("GOOGLETRANSLATE(B255, ""en"", ""pl"")"),"Eterowy")</f>
        <v>Eterowy</v>
      </c>
      <c r="J255" s="25" t="str">
        <f>IFERROR(__xludf.DUMMYFUNCTION("GOOGLETRANSLATE(B255, ""en"", ""zh"")"),"以太织物")</f>
        <v>以太织物</v>
      </c>
      <c r="K255" s="25" t="str">
        <f>IFERROR(__xludf.DUMMYFUNCTION("GOOGLETRANSLATE(B255, ""en"", ""vi"")"),"Etherweave.")</f>
        <v>Etherweave.</v>
      </c>
      <c r="L255" s="26" t="str">
        <f>IFERROR(__xludf.DUMMYFUNCTION("GOOGLETRANSLATE(B255, ""en"", ""hr"")"),"Etherweave")</f>
        <v>Etherweave</v>
      </c>
      <c r="M255" s="28"/>
      <c r="N255" s="28"/>
      <c r="O255" s="28"/>
      <c r="P255" s="28"/>
      <c r="Q255" s="28"/>
      <c r="R255" s="28"/>
      <c r="S255" s="28"/>
      <c r="T255" s="28"/>
      <c r="U255" s="28"/>
      <c r="V255" s="28"/>
      <c r="W255" s="28"/>
      <c r="X255" s="28"/>
      <c r="Y255" s="28"/>
      <c r="Z255" s="28"/>
      <c r="AA255" s="28"/>
      <c r="AB255" s="28"/>
    </row>
    <row r="256">
      <c r="A256" s="21" t="s">
        <v>833</v>
      </c>
      <c r="B256" s="22" t="s">
        <v>834</v>
      </c>
      <c r="C256" s="23" t="str">
        <f>IFERROR(__xludf.DUMMYFUNCTION("GOOGLETRANSLATE(B256, ""en"", ""fr"")"),"Relique. Un vêtement porté par des habitants de l'avion astral. Restaure l'énergie du porteur lorsqu'il est endommagé.")</f>
        <v>Relique. Un vêtement porté par des habitants de l'avion astral. Restaure l'énergie du porteur lorsqu'il est endommagé.</v>
      </c>
      <c r="D256" s="23" t="str">
        <f>IFERROR(__xludf.DUMMYFUNCTION("GOOGLETRANSLATE(B256, ""en"", ""es"")"),"Reliquia. Una prenda usada por los habitantes del plano astral. Restaura la energía del usuario cuando está dañado.")</f>
        <v>Reliquia. Una prenda usada por los habitantes del plano astral. Restaura la energía del usuario cuando está dañado.</v>
      </c>
      <c r="E256" s="23" t="str">
        <f>IFERROR(__xludf.DUMMYFUNCTION("GOOGLETRANSLATE(B256, ""en"", ""ru"")"),"Реликвии. Одежда, носимая жителями астрального самолета. Восстанавливает энергию владельца при повреждении.")</f>
        <v>Реликвии. Одежда, носимая жителями астрального самолета. Восстанавливает энергию владельца при повреждении.</v>
      </c>
      <c r="F256" s="23" t="str">
        <f>IFERROR(__xludf.DUMMYFUNCTION("GOOGLETRANSLATE(B256, ""en"", ""tr"")"),"Kalıntı. Astral uçağın sakinleri tarafından giyilen bir giysi. Hasar gördüğünde kullanıcının enerjisini geri yükler.")</f>
        <v>Kalıntı. Astral uçağın sakinleri tarafından giyilen bir giysi. Hasar gördüğünde kullanıcının enerjisini geri yükler.</v>
      </c>
      <c r="G256" s="23" t="str">
        <f>IFERROR(__xludf.DUMMYFUNCTION("GOOGLETRANSLATE(B256, ""en"", ""pt"")"),"Relíquia. Uma vestimenta usada por habitantes do plano astral. Restaura a energia do usuário quando danificada.")</f>
        <v>Relíquia. Uma vestimenta usada por habitantes do plano astral. Restaura a energia do usuário quando danificada.</v>
      </c>
      <c r="H256" s="24" t="str">
        <f>IFERROR(__xludf.DUMMYFUNCTION("GOOGLETRANSLATE(B256, ""en"", ""de"")"),"Relikt. Ein Kleidungsstück, das von Bewohnern der Astralebene getragen wird. Stellt beim Beschädigung der Energie des Trägers wieder her.")</f>
        <v>Relikt. Ein Kleidungsstück, das von Bewohnern der Astralebene getragen wird. Stellt beim Beschädigung der Energie des Trägers wieder her.</v>
      </c>
      <c r="I256" s="23" t="str">
        <f>IFERROR(__xludf.DUMMYFUNCTION("GOOGLETRANSLATE(B256, ""en"", ""pl"")"),"Relikt. Odzież noszona przez mieszkańców samolotu astralnego. Przywraca energię użytkownika, gdy zostanie uszkodzony.")</f>
        <v>Relikt. Odzież noszona przez mieszkańców samolotu astralnego. Przywraca energię użytkownika, gdy zostanie uszkodzony.</v>
      </c>
      <c r="J256" s="25" t="str">
        <f>IFERROR(__xludf.DUMMYFUNCTION("GOOGLETRANSLATE(B256, ""en"", ""zh"")"),"遗迹。居住者穿着星空飞机的衣服。损坏时恢复佩戴者的能量。")</f>
        <v>遗迹。居住者穿着星空飞机的衣服。损坏时恢复佩戴者的能量。</v>
      </c>
      <c r="K256" s="25" t="str">
        <f>IFERROR(__xludf.DUMMYFUNCTION("GOOGLETRANSLATE(B256, ""en"", ""vi"")"),"Thánh tích. Một quần áo được mặc bởi những người dân của mặt phẳng Astral. Phục hồi năng lượng của người mặc khi bị hư hỏng.")</f>
        <v>Thánh tích. Một quần áo được mặc bởi những người dân của mặt phẳng Astral. Phục hồi năng lượng của người mặc khi bị hư hỏng.</v>
      </c>
      <c r="L256" s="26" t="str">
        <f>IFERROR(__xludf.DUMMYFUNCTION("GOOGLETRANSLATE(B256, ""en"", ""hr"")"),"Relikvija. Odjeću koju nosi stanovnici astralne ravnine. Vraća energiju nositelja kada je oštećena.")</f>
        <v>Relikvija. Odjeću koju nosi stanovnici astralne ravnine. Vraća energiju nositelja kada je oštećena.</v>
      </c>
      <c r="M256" s="28"/>
      <c r="N256" s="28"/>
      <c r="O256" s="28"/>
      <c r="P256" s="28"/>
      <c r="Q256" s="28"/>
      <c r="R256" s="28"/>
      <c r="S256" s="28"/>
      <c r="T256" s="28"/>
      <c r="U256" s="28"/>
      <c r="V256" s="28"/>
      <c r="W256" s="28"/>
      <c r="X256" s="28"/>
      <c r="Y256" s="28"/>
      <c r="Z256" s="28"/>
      <c r="AA256" s="28"/>
      <c r="AB256" s="28"/>
    </row>
    <row r="257">
      <c r="A257" s="34"/>
      <c r="B257" s="35"/>
      <c r="C257" s="30"/>
      <c r="D257" s="30"/>
      <c r="E257" s="30"/>
      <c r="F257" s="30"/>
      <c r="G257" s="30"/>
      <c r="H257" s="31"/>
      <c r="I257" s="30"/>
      <c r="J257" s="32"/>
      <c r="K257" s="32"/>
      <c r="L257" s="33"/>
      <c r="M257" s="28"/>
      <c r="N257" s="28"/>
      <c r="O257" s="28"/>
      <c r="P257" s="28"/>
      <c r="Q257" s="28"/>
      <c r="R257" s="28"/>
      <c r="S257" s="28"/>
      <c r="T257" s="28"/>
      <c r="U257" s="28"/>
      <c r="V257" s="28"/>
      <c r="W257" s="28"/>
      <c r="X257" s="28"/>
      <c r="Y257" s="28"/>
      <c r="Z257" s="28"/>
      <c r="AA257" s="28"/>
      <c r="AB257" s="28"/>
    </row>
    <row r="258">
      <c r="A258" s="34"/>
      <c r="B258" s="35"/>
      <c r="C258" s="30"/>
      <c r="D258" s="30"/>
      <c r="E258" s="30"/>
      <c r="F258" s="30"/>
      <c r="G258" s="30"/>
      <c r="H258" s="31"/>
      <c r="I258" s="30"/>
      <c r="J258" s="32"/>
      <c r="K258" s="32"/>
      <c r="L258" s="33"/>
      <c r="M258" s="28"/>
      <c r="N258" s="28"/>
      <c r="O258" s="28"/>
      <c r="P258" s="28"/>
      <c r="Q258" s="28"/>
      <c r="R258" s="28"/>
      <c r="S258" s="28"/>
      <c r="T258" s="28"/>
      <c r="U258" s="28"/>
      <c r="V258" s="28"/>
      <c r="W258" s="28"/>
      <c r="X258" s="28"/>
      <c r="Y258" s="28"/>
      <c r="Z258" s="28"/>
      <c r="AA258" s="28"/>
      <c r="AB258" s="28"/>
    </row>
    <row r="259">
      <c r="A259" s="34"/>
      <c r="B259" s="35"/>
      <c r="C259" s="30"/>
      <c r="D259" s="30"/>
      <c r="E259" s="30"/>
      <c r="F259" s="30"/>
      <c r="G259" s="30"/>
      <c r="H259" s="31"/>
      <c r="I259" s="30"/>
      <c r="J259" s="32"/>
      <c r="K259" s="32"/>
      <c r="L259" s="33"/>
      <c r="M259" s="28"/>
      <c r="N259" s="28"/>
      <c r="O259" s="28"/>
      <c r="P259" s="28"/>
      <c r="Q259" s="28"/>
      <c r="R259" s="28"/>
      <c r="S259" s="28"/>
      <c r="T259" s="28"/>
      <c r="U259" s="28"/>
      <c r="V259" s="28"/>
      <c r="W259" s="28"/>
      <c r="X259" s="28"/>
      <c r="Y259" s="28"/>
      <c r="Z259" s="28"/>
      <c r="AA259" s="28"/>
      <c r="AB259" s="28"/>
    </row>
    <row r="260">
      <c r="A260" s="34"/>
      <c r="B260" s="35"/>
      <c r="C260" s="30"/>
      <c r="D260" s="30"/>
      <c r="E260" s="30"/>
      <c r="F260" s="30"/>
      <c r="G260" s="30"/>
      <c r="H260" s="31"/>
      <c r="I260" s="30"/>
      <c r="J260" s="32"/>
      <c r="K260" s="32"/>
      <c r="L260" s="33"/>
      <c r="M260" s="28"/>
      <c r="N260" s="28"/>
      <c r="O260" s="28"/>
      <c r="P260" s="28"/>
      <c r="Q260" s="28"/>
      <c r="R260" s="28"/>
      <c r="S260" s="28"/>
      <c r="T260" s="28"/>
      <c r="U260" s="28"/>
      <c r="V260" s="28"/>
      <c r="W260" s="28"/>
      <c r="X260" s="28"/>
      <c r="Y260" s="28"/>
      <c r="Z260" s="28"/>
      <c r="AA260" s="28"/>
      <c r="AB260" s="28"/>
    </row>
    <row r="261">
      <c r="A261" s="34"/>
      <c r="B261" s="35"/>
      <c r="C261" s="30"/>
      <c r="D261" s="30"/>
      <c r="E261" s="30"/>
      <c r="F261" s="30"/>
      <c r="G261" s="30"/>
      <c r="H261" s="31"/>
      <c r="I261" s="30"/>
      <c r="J261" s="32"/>
      <c r="K261" s="32"/>
      <c r="L261" s="33"/>
      <c r="M261" s="28"/>
      <c r="N261" s="28"/>
      <c r="O261" s="28"/>
      <c r="P261" s="28"/>
      <c r="Q261" s="28"/>
      <c r="R261" s="28"/>
      <c r="S261" s="28"/>
      <c r="T261" s="28"/>
      <c r="U261" s="28"/>
      <c r="V261" s="28"/>
      <c r="W261" s="28"/>
      <c r="X261" s="28"/>
      <c r="Y261" s="28"/>
      <c r="Z261" s="28"/>
      <c r="AA261" s="28"/>
      <c r="AB261" s="28"/>
    </row>
    <row r="262">
      <c r="A262" s="34"/>
      <c r="B262" s="35"/>
      <c r="C262" s="30"/>
      <c r="D262" s="30"/>
      <c r="E262" s="30"/>
      <c r="F262" s="30"/>
      <c r="G262" s="30"/>
      <c r="H262" s="31"/>
      <c r="I262" s="30"/>
      <c r="J262" s="32"/>
      <c r="K262" s="32"/>
      <c r="L262" s="33"/>
      <c r="M262" s="28"/>
      <c r="N262" s="28"/>
      <c r="O262" s="28"/>
      <c r="P262" s="28"/>
      <c r="Q262" s="28"/>
      <c r="R262" s="28"/>
      <c r="S262" s="28"/>
      <c r="T262" s="28"/>
      <c r="U262" s="28"/>
      <c r="V262" s="28"/>
      <c r="W262" s="28"/>
      <c r="X262" s="28"/>
      <c r="Y262" s="28"/>
      <c r="Z262" s="28"/>
      <c r="AA262" s="28"/>
      <c r="AB262" s="28"/>
    </row>
    <row r="263">
      <c r="A263" s="34"/>
      <c r="B263" s="35"/>
      <c r="C263" s="30"/>
      <c r="D263" s="30"/>
      <c r="E263" s="30"/>
      <c r="F263" s="30"/>
      <c r="G263" s="30"/>
      <c r="H263" s="31"/>
      <c r="I263" s="30"/>
      <c r="J263" s="32"/>
      <c r="K263" s="32"/>
      <c r="L263" s="33"/>
      <c r="M263" s="28"/>
      <c r="N263" s="28"/>
      <c r="O263" s="28"/>
      <c r="P263" s="28"/>
      <c r="Q263" s="28"/>
      <c r="R263" s="28"/>
      <c r="S263" s="28"/>
      <c r="T263" s="28"/>
      <c r="U263" s="28"/>
      <c r="V263" s="28"/>
      <c r="W263" s="28"/>
      <c r="X263" s="28"/>
      <c r="Y263" s="28"/>
      <c r="Z263" s="28"/>
      <c r="AA263" s="28"/>
      <c r="AB263" s="28"/>
    </row>
    <row r="264">
      <c r="A264" s="34"/>
      <c r="B264" s="35"/>
      <c r="C264" s="30"/>
      <c r="D264" s="30"/>
      <c r="E264" s="30"/>
      <c r="F264" s="30"/>
      <c r="G264" s="30"/>
      <c r="H264" s="31"/>
      <c r="I264" s="30"/>
      <c r="J264" s="32"/>
      <c r="K264" s="32"/>
      <c r="L264" s="33"/>
      <c r="M264" s="28"/>
      <c r="N264" s="28"/>
      <c r="O264" s="28"/>
      <c r="P264" s="28"/>
      <c r="Q264" s="28"/>
      <c r="R264" s="28"/>
      <c r="S264" s="28"/>
      <c r="T264" s="28"/>
      <c r="U264" s="28"/>
      <c r="V264" s="28"/>
      <c r="W264" s="28"/>
      <c r="X264" s="28"/>
      <c r="Y264" s="28"/>
      <c r="Z264" s="28"/>
      <c r="AA264" s="28"/>
      <c r="AB264" s="28"/>
    </row>
    <row r="265">
      <c r="A265" s="34"/>
      <c r="B265" s="35"/>
      <c r="C265" s="30"/>
      <c r="D265" s="30"/>
      <c r="E265" s="30"/>
      <c r="F265" s="30"/>
      <c r="G265" s="30"/>
      <c r="H265" s="31"/>
      <c r="I265" s="30"/>
      <c r="J265" s="32"/>
      <c r="K265" s="32"/>
      <c r="L265" s="33"/>
      <c r="M265" s="28"/>
      <c r="N265" s="28"/>
      <c r="O265" s="28"/>
      <c r="P265" s="28"/>
      <c r="Q265" s="28"/>
      <c r="R265" s="28"/>
      <c r="S265" s="28"/>
      <c r="T265" s="28"/>
      <c r="U265" s="28"/>
      <c r="V265" s="28"/>
      <c r="W265" s="28"/>
      <c r="X265" s="28"/>
      <c r="Y265" s="28"/>
      <c r="Z265" s="28"/>
      <c r="AA265" s="28"/>
      <c r="AB265" s="28"/>
    </row>
    <row r="266">
      <c r="A266" s="34"/>
      <c r="B266" s="35"/>
      <c r="C266" s="30"/>
      <c r="D266" s="30"/>
      <c r="E266" s="30"/>
      <c r="F266" s="30"/>
      <c r="G266" s="30"/>
      <c r="H266" s="31"/>
      <c r="I266" s="30"/>
      <c r="J266" s="32"/>
      <c r="K266" s="32"/>
      <c r="L266" s="33"/>
      <c r="M266" s="28"/>
      <c r="N266" s="28"/>
      <c r="O266" s="28"/>
      <c r="P266" s="28"/>
      <c r="Q266" s="28"/>
      <c r="R266" s="28"/>
      <c r="S266" s="28"/>
      <c r="T266" s="28"/>
      <c r="U266" s="28"/>
      <c r="V266" s="28"/>
      <c r="W266" s="28"/>
      <c r="X266" s="28"/>
      <c r="Y266" s="28"/>
      <c r="Z266" s="28"/>
      <c r="AA266" s="28"/>
      <c r="AB266" s="28"/>
    </row>
    <row r="267">
      <c r="A267" s="34"/>
      <c r="B267" s="35"/>
      <c r="C267" s="30"/>
      <c r="D267" s="30"/>
      <c r="E267" s="30"/>
      <c r="F267" s="30"/>
      <c r="G267" s="30"/>
      <c r="H267" s="31"/>
      <c r="I267" s="30"/>
      <c r="J267" s="32"/>
      <c r="K267" s="32"/>
      <c r="L267" s="33"/>
      <c r="M267" s="28"/>
      <c r="N267" s="28"/>
      <c r="O267" s="28"/>
      <c r="P267" s="28"/>
      <c r="Q267" s="28"/>
      <c r="R267" s="28"/>
      <c r="S267" s="28"/>
      <c r="T267" s="28"/>
      <c r="U267" s="28"/>
      <c r="V267" s="28"/>
      <c r="W267" s="28"/>
      <c r="X267" s="28"/>
      <c r="Y267" s="28"/>
      <c r="Z267" s="28"/>
      <c r="AA267" s="28"/>
      <c r="AB267" s="28"/>
    </row>
    <row r="268">
      <c r="A268" s="34"/>
      <c r="B268" s="35"/>
      <c r="C268" s="30"/>
      <c r="D268" s="30"/>
      <c r="E268" s="30"/>
      <c r="F268" s="30"/>
      <c r="G268" s="30"/>
      <c r="H268" s="31"/>
      <c r="I268" s="30"/>
      <c r="J268" s="32"/>
      <c r="K268" s="32"/>
      <c r="L268" s="33"/>
      <c r="M268" s="28"/>
      <c r="N268" s="28"/>
      <c r="O268" s="28"/>
      <c r="P268" s="28"/>
      <c r="Q268" s="28"/>
      <c r="R268" s="28"/>
      <c r="S268" s="28"/>
      <c r="T268" s="28"/>
      <c r="U268" s="28"/>
      <c r="V268" s="28"/>
      <c r="W268" s="28"/>
      <c r="X268" s="28"/>
      <c r="Y268" s="28"/>
      <c r="Z268" s="28"/>
      <c r="AA268" s="28"/>
      <c r="AB268" s="28"/>
    </row>
    <row r="269">
      <c r="A269" s="34"/>
      <c r="B269" s="35"/>
      <c r="C269" s="30"/>
      <c r="D269" s="30"/>
      <c r="E269" s="30"/>
      <c r="F269" s="30"/>
      <c r="G269" s="30"/>
      <c r="H269" s="31"/>
      <c r="I269" s="30"/>
      <c r="J269" s="32"/>
      <c r="K269" s="32"/>
      <c r="L269" s="33"/>
      <c r="M269" s="28"/>
      <c r="N269" s="28"/>
      <c r="O269" s="28"/>
      <c r="P269" s="28"/>
      <c r="Q269" s="28"/>
      <c r="R269" s="28"/>
      <c r="S269" s="28"/>
      <c r="T269" s="28"/>
      <c r="U269" s="28"/>
      <c r="V269" s="28"/>
      <c r="W269" s="28"/>
      <c r="X269" s="28"/>
      <c r="Y269" s="28"/>
      <c r="Z269" s="28"/>
      <c r="AA269" s="28"/>
      <c r="AB269" s="28"/>
    </row>
    <row r="270">
      <c r="A270" s="34"/>
      <c r="B270" s="35"/>
      <c r="C270" s="30"/>
      <c r="D270" s="30"/>
      <c r="E270" s="30"/>
      <c r="F270" s="30"/>
      <c r="G270" s="30"/>
      <c r="H270" s="31"/>
      <c r="I270" s="30"/>
      <c r="J270" s="32"/>
      <c r="K270" s="32"/>
      <c r="L270" s="33"/>
      <c r="M270" s="28"/>
      <c r="N270" s="28"/>
      <c r="O270" s="28"/>
      <c r="P270" s="28"/>
      <c r="Q270" s="28"/>
      <c r="R270" s="28"/>
      <c r="S270" s="28"/>
      <c r="T270" s="28"/>
      <c r="U270" s="28"/>
      <c r="V270" s="28"/>
      <c r="W270" s="28"/>
      <c r="X270" s="28"/>
      <c r="Y270" s="28"/>
      <c r="Z270" s="28"/>
      <c r="AA270" s="28"/>
      <c r="AB270" s="28"/>
    </row>
    <row r="271">
      <c r="A271" s="34"/>
      <c r="B271" s="35"/>
      <c r="C271" s="30"/>
      <c r="D271" s="30"/>
      <c r="E271" s="30"/>
      <c r="F271" s="30"/>
      <c r="G271" s="30"/>
      <c r="H271" s="31"/>
      <c r="I271" s="30"/>
      <c r="J271" s="32"/>
      <c r="K271" s="32"/>
      <c r="L271" s="33"/>
      <c r="M271" s="28"/>
      <c r="N271" s="28"/>
      <c r="O271" s="28"/>
      <c r="P271" s="28"/>
      <c r="Q271" s="28"/>
      <c r="R271" s="28"/>
      <c r="S271" s="28"/>
      <c r="T271" s="28"/>
      <c r="U271" s="28"/>
      <c r="V271" s="28"/>
      <c r="W271" s="28"/>
      <c r="X271" s="28"/>
      <c r="Y271" s="28"/>
      <c r="Z271" s="28"/>
      <c r="AA271" s="28"/>
      <c r="AB271" s="28"/>
    </row>
    <row r="272">
      <c r="A272" s="34"/>
      <c r="B272" s="35"/>
      <c r="C272" s="30"/>
      <c r="D272" s="30"/>
      <c r="E272" s="30"/>
      <c r="F272" s="30"/>
      <c r="G272" s="30"/>
      <c r="H272" s="31"/>
      <c r="I272" s="30"/>
      <c r="J272" s="32"/>
      <c r="K272" s="32"/>
      <c r="L272" s="33"/>
      <c r="M272" s="28"/>
      <c r="N272" s="28"/>
      <c r="O272" s="28"/>
      <c r="P272" s="28"/>
      <c r="Q272" s="28"/>
      <c r="R272" s="28"/>
      <c r="S272" s="28"/>
      <c r="T272" s="28"/>
      <c r="U272" s="28"/>
      <c r="V272" s="28"/>
      <c r="W272" s="28"/>
      <c r="X272" s="28"/>
      <c r="Y272" s="28"/>
      <c r="Z272" s="28"/>
      <c r="AA272" s="28"/>
      <c r="AB272" s="28"/>
    </row>
    <row r="273">
      <c r="A273" s="34"/>
      <c r="B273" s="35"/>
      <c r="C273" s="30"/>
      <c r="D273" s="30"/>
      <c r="E273" s="30"/>
      <c r="F273" s="30"/>
      <c r="G273" s="30"/>
      <c r="H273" s="31"/>
      <c r="I273" s="30"/>
      <c r="J273" s="32"/>
      <c r="K273" s="32"/>
      <c r="L273" s="33"/>
      <c r="M273" s="28"/>
      <c r="N273" s="28"/>
      <c r="O273" s="28"/>
      <c r="P273" s="28"/>
      <c r="Q273" s="28"/>
      <c r="R273" s="28"/>
      <c r="S273" s="28"/>
      <c r="T273" s="28"/>
      <c r="U273" s="28"/>
      <c r="V273" s="28"/>
      <c r="W273" s="28"/>
      <c r="X273" s="28"/>
      <c r="Y273" s="28"/>
      <c r="Z273" s="28"/>
      <c r="AA273" s="28"/>
      <c r="AB273" s="28"/>
    </row>
    <row r="274">
      <c r="A274" s="34"/>
      <c r="B274" s="35"/>
      <c r="C274" s="30"/>
      <c r="D274" s="30"/>
      <c r="E274" s="30"/>
      <c r="F274" s="30"/>
      <c r="G274" s="30"/>
      <c r="H274" s="31"/>
      <c r="I274" s="30"/>
      <c r="J274" s="32"/>
      <c r="K274" s="32"/>
      <c r="L274" s="33"/>
      <c r="M274" s="28"/>
      <c r="N274" s="28"/>
      <c r="O274" s="28"/>
      <c r="P274" s="28"/>
      <c r="Q274" s="28"/>
      <c r="R274" s="28"/>
      <c r="S274" s="28"/>
      <c r="T274" s="28"/>
      <c r="U274" s="28"/>
      <c r="V274" s="28"/>
      <c r="W274" s="28"/>
      <c r="X274" s="28"/>
      <c r="Y274" s="28"/>
      <c r="Z274" s="28"/>
      <c r="AA274" s="28"/>
      <c r="AB274" s="28"/>
    </row>
    <row r="275">
      <c r="A275" s="34"/>
      <c r="B275" s="35"/>
      <c r="C275" s="30"/>
      <c r="D275" s="30"/>
      <c r="E275" s="30"/>
      <c r="F275" s="30"/>
      <c r="G275" s="30"/>
      <c r="H275" s="31"/>
      <c r="I275" s="30"/>
      <c r="J275" s="32"/>
      <c r="K275" s="32"/>
      <c r="L275" s="33"/>
      <c r="M275" s="28"/>
      <c r="N275" s="28"/>
      <c r="O275" s="28"/>
      <c r="P275" s="28"/>
      <c r="Q275" s="28"/>
      <c r="R275" s="28"/>
      <c r="S275" s="28"/>
      <c r="T275" s="28"/>
      <c r="U275" s="28"/>
      <c r="V275" s="28"/>
      <c r="W275" s="28"/>
      <c r="X275" s="28"/>
      <c r="Y275" s="28"/>
      <c r="Z275" s="28"/>
      <c r="AA275" s="28"/>
      <c r="AB275" s="28"/>
    </row>
    <row r="276">
      <c r="A276" s="34"/>
      <c r="B276" s="35"/>
      <c r="C276" s="30"/>
      <c r="D276" s="30"/>
      <c r="E276" s="30"/>
      <c r="F276" s="30"/>
      <c r="G276" s="30"/>
      <c r="H276" s="31"/>
      <c r="I276" s="30"/>
      <c r="J276" s="32"/>
      <c r="K276" s="32"/>
      <c r="L276" s="33"/>
      <c r="M276" s="28"/>
      <c r="N276" s="28"/>
      <c r="O276" s="28"/>
      <c r="P276" s="28"/>
      <c r="Q276" s="28"/>
      <c r="R276" s="28"/>
      <c r="S276" s="28"/>
      <c r="T276" s="28"/>
      <c r="U276" s="28"/>
      <c r="V276" s="28"/>
      <c r="W276" s="28"/>
      <c r="X276" s="28"/>
      <c r="Y276" s="28"/>
      <c r="Z276" s="28"/>
      <c r="AA276" s="28"/>
      <c r="AB276" s="28"/>
    </row>
    <row r="277">
      <c r="A277" s="34"/>
      <c r="B277" s="35"/>
      <c r="C277" s="30"/>
      <c r="D277" s="30"/>
      <c r="E277" s="30"/>
      <c r="F277" s="30"/>
      <c r="G277" s="30"/>
      <c r="H277" s="31"/>
      <c r="I277" s="30"/>
      <c r="J277" s="32"/>
      <c r="K277" s="32"/>
      <c r="L277" s="33"/>
      <c r="M277" s="28"/>
      <c r="N277" s="28"/>
      <c r="O277" s="28"/>
      <c r="P277" s="28"/>
      <c r="Q277" s="28"/>
      <c r="R277" s="28"/>
      <c r="S277" s="28"/>
      <c r="T277" s="28"/>
      <c r="U277" s="28"/>
      <c r="V277" s="28"/>
      <c r="W277" s="28"/>
      <c r="X277" s="28"/>
      <c r="Y277" s="28"/>
      <c r="Z277" s="28"/>
      <c r="AA277" s="28"/>
      <c r="AB277" s="28"/>
    </row>
    <row r="278">
      <c r="A278" s="34"/>
      <c r="B278" s="35"/>
      <c r="C278" s="30"/>
      <c r="D278" s="30"/>
      <c r="E278" s="30"/>
      <c r="F278" s="30"/>
      <c r="G278" s="30"/>
      <c r="H278" s="31"/>
      <c r="I278" s="30"/>
      <c r="J278" s="32"/>
      <c r="K278" s="32"/>
      <c r="L278" s="33"/>
      <c r="M278" s="28"/>
      <c r="N278" s="28"/>
      <c r="O278" s="28"/>
      <c r="P278" s="28"/>
      <c r="Q278" s="28"/>
      <c r="R278" s="28"/>
      <c r="S278" s="28"/>
      <c r="T278" s="28"/>
      <c r="U278" s="28"/>
      <c r="V278" s="28"/>
      <c r="W278" s="28"/>
      <c r="X278" s="28"/>
      <c r="Y278" s="28"/>
      <c r="Z278" s="28"/>
      <c r="AA278" s="28"/>
      <c r="AB278" s="28"/>
    </row>
    <row r="279">
      <c r="A279" s="34"/>
      <c r="B279" s="35"/>
      <c r="C279" s="30"/>
      <c r="D279" s="30"/>
      <c r="E279" s="30"/>
      <c r="F279" s="30"/>
      <c r="G279" s="30"/>
      <c r="H279" s="31"/>
      <c r="I279" s="30"/>
      <c r="J279" s="32"/>
      <c r="K279" s="32"/>
      <c r="L279" s="33"/>
      <c r="M279" s="28"/>
      <c r="N279" s="28"/>
      <c r="O279" s="28"/>
      <c r="P279" s="28"/>
      <c r="Q279" s="28"/>
      <c r="R279" s="28"/>
      <c r="S279" s="28"/>
      <c r="T279" s="28"/>
      <c r="U279" s="28"/>
      <c r="V279" s="28"/>
      <c r="W279" s="28"/>
      <c r="X279" s="28"/>
      <c r="Y279" s="28"/>
      <c r="Z279" s="28"/>
      <c r="AA279" s="28"/>
      <c r="AB279" s="28"/>
    </row>
    <row r="280">
      <c r="A280" s="34"/>
      <c r="B280" s="35"/>
      <c r="C280" s="30"/>
      <c r="D280" s="30"/>
      <c r="E280" s="30"/>
      <c r="F280" s="30"/>
      <c r="G280" s="30"/>
      <c r="H280" s="31"/>
      <c r="I280" s="30"/>
      <c r="J280" s="32"/>
      <c r="K280" s="32"/>
      <c r="L280" s="33"/>
      <c r="M280" s="28"/>
      <c r="N280" s="28"/>
      <c r="O280" s="28"/>
      <c r="P280" s="28"/>
      <c r="Q280" s="28"/>
      <c r="R280" s="28"/>
      <c r="S280" s="28"/>
      <c r="T280" s="28"/>
      <c r="U280" s="28"/>
      <c r="V280" s="28"/>
      <c r="W280" s="28"/>
      <c r="X280" s="28"/>
      <c r="Y280" s="28"/>
      <c r="Z280" s="28"/>
      <c r="AA280" s="28"/>
      <c r="AB280" s="28"/>
    </row>
    <row r="281">
      <c r="A281" s="34"/>
      <c r="B281" s="35"/>
      <c r="C281" s="30"/>
      <c r="D281" s="30"/>
      <c r="E281" s="30"/>
      <c r="F281" s="30"/>
      <c r="G281" s="30"/>
      <c r="H281" s="31"/>
      <c r="I281" s="30"/>
      <c r="J281" s="32"/>
      <c r="K281" s="32"/>
      <c r="L281" s="33"/>
      <c r="M281" s="28"/>
      <c r="N281" s="28"/>
      <c r="O281" s="28"/>
      <c r="P281" s="28"/>
      <c r="Q281" s="28"/>
      <c r="R281" s="28"/>
      <c r="S281" s="28"/>
      <c r="T281" s="28"/>
      <c r="U281" s="28"/>
      <c r="V281" s="28"/>
      <c r="W281" s="28"/>
      <c r="X281" s="28"/>
      <c r="Y281" s="28"/>
      <c r="Z281" s="28"/>
      <c r="AA281" s="28"/>
      <c r="AB281" s="28"/>
    </row>
    <row r="282">
      <c r="A282" s="34"/>
      <c r="B282" s="35"/>
      <c r="C282" s="30"/>
      <c r="D282" s="30"/>
      <c r="E282" s="30"/>
      <c r="F282" s="30"/>
      <c r="G282" s="30"/>
      <c r="H282" s="31"/>
      <c r="I282" s="30"/>
      <c r="J282" s="32"/>
      <c r="K282" s="32"/>
      <c r="L282" s="33"/>
      <c r="M282" s="28"/>
      <c r="N282" s="28"/>
      <c r="O282" s="28"/>
      <c r="P282" s="28"/>
      <c r="Q282" s="28"/>
      <c r="R282" s="28"/>
      <c r="S282" s="28"/>
      <c r="T282" s="28"/>
      <c r="U282" s="28"/>
      <c r="V282" s="28"/>
      <c r="W282" s="28"/>
      <c r="X282" s="28"/>
      <c r="Y282" s="28"/>
      <c r="Z282" s="28"/>
      <c r="AA282" s="28"/>
      <c r="AB282" s="28"/>
    </row>
    <row r="283">
      <c r="A283" s="34"/>
      <c r="B283" s="35"/>
      <c r="C283" s="30"/>
      <c r="D283" s="30"/>
      <c r="E283" s="30"/>
      <c r="F283" s="30"/>
      <c r="G283" s="30"/>
      <c r="H283" s="31"/>
      <c r="I283" s="30"/>
      <c r="J283" s="32"/>
      <c r="K283" s="32"/>
      <c r="L283" s="33"/>
      <c r="M283" s="28"/>
      <c r="N283" s="28"/>
      <c r="O283" s="28"/>
      <c r="P283" s="28"/>
      <c r="Q283" s="28"/>
      <c r="R283" s="28"/>
      <c r="S283" s="28"/>
      <c r="T283" s="28"/>
      <c r="U283" s="28"/>
      <c r="V283" s="28"/>
      <c r="W283" s="28"/>
      <c r="X283" s="28"/>
      <c r="Y283" s="28"/>
      <c r="Z283" s="28"/>
      <c r="AA283" s="28"/>
      <c r="AB283" s="28"/>
    </row>
    <row r="284">
      <c r="A284" s="34"/>
      <c r="B284" s="35"/>
      <c r="C284" s="30"/>
      <c r="D284" s="30"/>
      <c r="E284" s="30"/>
      <c r="F284" s="30"/>
      <c r="G284" s="30"/>
      <c r="H284" s="31"/>
      <c r="I284" s="30"/>
      <c r="J284" s="32"/>
      <c r="K284" s="32"/>
      <c r="L284" s="33"/>
      <c r="M284" s="28"/>
      <c r="N284" s="28"/>
      <c r="O284" s="28"/>
      <c r="P284" s="28"/>
      <c r="Q284" s="28"/>
      <c r="R284" s="28"/>
      <c r="S284" s="28"/>
      <c r="T284" s="28"/>
      <c r="U284" s="28"/>
      <c r="V284" s="28"/>
      <c r="W284" s="28"/>
      <c r="X284" s="28"/>
      <c r="Y284" s="28"/>
      <c r="Z284" s="28"/>
      <c r="AA284" s="28"/>
      <c r="AB284" s="28"/>
    </row>
    <row r="285">
      <c r="A285" s="34"/>
      <c r="B285" s="35"/>
      <c r="C285" s="30"/>
      <c r="D285" s="30"/>
      <c r="E285" s="30"/>
      <c r="F285" s="30"/>
      <c r="G285" s="30"/>
      <c r="H285" s="31"/>
      <c r="I285" s="30"/>
      <c r="J285" s="32"/>
      <c r="K285" s="32"/>
      <c r="L285" s="33"/>
      <c r="M285" s="28"/>
      <c r="N285" s="28"/>
      <c r="O285" s="28"/>
      <c r="P285" s="28"/>
      <c r="Q285" s="28"/>
      <c r="R285" s="28"/>
      <c r="S285" s="28"/>
      <c r="T285" s="28"/>
      <c r="U285" s="28"/>
      <c r="V285" s="28"/>
      <c r="W285" s="28"/>
      <c r="X285" s="28"/>
      <c r="Y285" s="28"/>
      <c r="Z285" s="28"/>
      <c r="AA285" s="28"/>
      <c r="AB285" s="28"/>
    </row>
    <row r="286">
      <c r="A286" s="34"/>
      <c r="B286" s="35"/>
      <c r="C286" s="30"/>
      <c r="D286" s="30"/>
      <c r="E286" s="30"/>
      <c r="F286" s="30"/>
      <c r="G286" s="30"/>
      <c r="H286" s="31"/>
      <c r="I286" s="30"/>
      <c r="J286" s="32"/>
      <c r="K286" s="32"/>
      <c r="L286" s="33"/>
      <c r="M286" s="28"/>
      <c r="N286" s="28"/>
      <c r="O286" s="28"/>
      <c r="P286" s="28"/>
      <c r="Q286" s="28"/>
      <c r="R286" s="28"/>
      <c r="S286" s="28"/>
      <c r="T286" s="28"/>
      <c r="U286" s="28"/>
      <c r="V286" s="28"/>
      <c r="W286" s="28"/>
      <c r="X286" s="28"/>
      <c r="Y286" s="28"/>
      <c r="Z286" s="28"/>
      <c r="AA286" s="28"/>
      <c r="AB286" s="28"/>
    </row>
    <row r="287">
      <c r="A287" s="34"/>
      <c r="B287" s="35"/>
      <c r="C287" s="30"/>
      <c r="D287" s="30"/>
      <c r="E287" s="30"/>
      <c r="F287" s="30"/>
      <c r="G287" s="30"/>
      <c r="H287" s="31"/>
      <c r="I287" s="30"/>
      <c r="J287" s="32"/>
      <c r="K287" s="32"/>
      <c r="L287" s="33"/>
      <c r="M287" s="28"/>
      <c r="N287" s="28"/>
      <c r="O287" s="28"/>
      <c r="P287" s="28"/>
      <c r="Q287" s="28"/>
      <c r="R287" s="28"/>
      <c r="S287" s="28"/>
      <c r="T287" s="28"/>
      <c r="U287" s="28"/>
      <c r="V287" s="28"/>
      <c r="W287" s="28"/>
      <c r="X287" s="28"/>
      <c r="Y287" s="28"/>
      <c r="Z287" s="28"/>
      <c r="AA287" s="28"/>
      <c r="AB287" s="28"/>
    </row>
    <row r="288">
      <c r="A288" s="34"/>
      <c r="B288" s="35"/>
      <c r="C288" s="30"/>
      <c r="D288" s="30"/>
      <c r="E288" s="30"/>
      <c r="F288" s="30"/>
      <c r="G288" s="30"/>
      <c r="H288" s="31"/>
      <c r="I288" s="30"/>
      <c r="J288" s="32"/>
      <c r="K288" s="32"/>
      <c r="L288" s="33"/>
      <c r="M288" s="28"/>
      <c r="N288" s="28"/>
      <c r="O288" s="28"/>
      <c r="P288" s="28"/>
      <c r="Q288" s="28"/>
      <c r="R288" s="28"/>
      <c r="S288" s="28"/>
      <c r="T288" s="28"/>
      <c r="U288" s="28"/>
      <c r="V288" s="28"/>
      <c r="W288" s="28"/>
      <c r="X288" s="28"/>
      <c r="Y288" s="28"/>
      <c r="Z288" s="28"/>
      <c r="AA288" s="28"/>
      <c r="AB288" s="28"/>
    </row>
    <row r="289">
      <c r="A289" s="34"/>
      <c r="B289" s="35"/>
      <c r="C289" s="30"/>
      <c r="D289" s="30"/>
      <c r="E289" s="30"/>
      <c r="F289" s="30"/>
      <c r="G289" s="30"/>
      <c r="H289" s="31"/>
      <c r="I289" s="30"/>
      <c r="J289" s="32"/>
      <c r="K289" s="32"/>
      <c r="L289" s="33"/>
      <c r="M289" s="28"/>
      <c r="N289" s="28"/>
      <c r="O289" s="28"/>
      <c r="P289" s="28"/>
      <c r="Q289" s="28"/>
      <c r="R289" s="28"/>
      <c r="S289" s="28"/>
      <c r="T289" s="28"/>
      <c r="U289" s="28"/>
      <c r="V289" s="28"/>
      <c r="W289" s="28"/>
      <c r="X289" s="28"/>
      <c r="Y289" s="28"/>
      <c r="Z289" s="28"/>
      <c r="AA289" s="28"/>
      <c r="AB289" s="28"/>
    </row>
    <row r="290">
      <c r="A290" s="1"/>
      <c r="B290" s="36"/>
      <c r="C290" s="36"/>
      <c r="D290" s="36"/>
      <c r="E290" s="36"/>
      <c r="F290" s="36"/>
      <c r="G290" s="36"/>
      <c r="H290" s="37"/>
      <c r="I290" s="36"/>
      <c r="J290" s="38"/>
      <c r="K290" s="38"/>
      <c r="L290" s="39"/>
      <c r="M290" s="39"/>
      <c r="N290" s="39"/>
      <c r="O290" s="39"/>
      <c r="P290" s="39"/>
      <c r="Q290" s="39"/>
      <c r="R290" s="39"/>
      <c r="S290" s="39"/>
      <c r="T290" s="39"/>
      <c r="U290" s="39"/>
      <c r="V290" s="39"/>
      <c r="W290" s="39"/>
      <c r="X290" s="39"/>
      <c r="Y290" s="39"/>
      <c r="Z290" s="39"/>
      <c r="AA290" s="39"/>
      <c r="AB290" s="39"/>
    </row>
    <row r="291">
      <c r="A291" s="1"/>
      <c r="B291" s="36"/>
      <c r="C291" s="36"/>
      <c r="D291" s="36"/>
      <c r="E291" s="36"/>
      <c r="F291" s="36"/>
      <c r="G291" s="36"/>
      <c r="H291" s="37"/>
      <c r="I291" s="36"/>
      <c r="J291" s="38"/>
      <c r="K291" s="38"/>
      <c r="L291" s="39"/>
      <c r="M291" s="39"/>
      <c r="N291" s="39"/>
      <c r="O291" s="39"/>
      <c r="P291" s="39"/>
      <c r="Q291" s="39"/>
      <c r="R291" s="39"/>
      <c r="S291" s="39"/>
      <c r="T291" s="39"/>
      <c r="U291" s="39"/>
      <c r="V291" s="39"/>
      <c r="W291" s="39"/>
      <c r="X291" s="39"/>
      <c r="Y291" s="39"/>
      <c r="Z291" s="39"/>
      <c r="AA291" s="39"/>
      <c r="AB291" s="39"/>
    </row>
    <row r="292">
      <c r="A292" s="1"/>
      <c r="B292" s="36"/>
      <c r="C292" s="36"/>
      <c r="D292" s="36"/>
      <c r="E292" s="36"/>
      <c r="F292" s="36"/>
      <c r="G292" s="36"/>
      <c r="H292" s="37"/>
      <c r="I292" s="36"/>
      <c r="J292" s="38"/>
      <c r="K292" s="38"/>
      <c r="L292" s="39"/>
      <c r="M292" s="39"/>
      <c r="N292" s="39"/>
      <c r="O292" s="39"/>
      <c r="P292" s="39"/>
      <c r="Q292" s="39"/>
      <c r="R292" s="39"/>
      <c r="S292" s="39"/>
      <c r="T292" s="39"/>
      <c r="U292" s="39"/>
      <c r="V292" s="39"/>
      <c r="W292" s="39"/>
      <c r="X292" s="39"/>
      <c r="Y292" s="39"/>
      <c r="Z292" s="39"/>
      <c r="AA292" s="39"/>
      <c r="AB292" s="39"/>
    </row>
    <row r="293">
      <c r="A293" s="1"/>
      <c r="B293" s="36"/>
      <c r="C293" s="36"/>
      <c r="D293" s="36"/>
      <c r="E293" s="36"/>
      <c r="F293" s="36"/>
      <c r="G293" s="36"/>
      <c r="H293" s="37"/>
      <c r="I293" s="36"/>
      <c r="J293" s="38"/>
      <c r="K293" s="38"/>
      <c r="L293" s="39"/>
      <c r="M293" s="39"/>
      <c r="N293" s="39"/>
      <c r="O293" s="39"/>
      <c r="P293" s="39"/>
      <c r="Q293" s="39"/>
      <c r="R293" s="39"/>
      <c r="S293" s="39"/>
      <c r="T293" s="39"/>
      <c r="U293" s="39"/>
      <c r="V293" s="39"/>
      <c r="W293" s="39"/>
      <c r="X293" s="39"/>
      <c r="Y293" s="39"/>
      <c r="Z293" s="39"/>
      <c r="AA293" s="39"/>
      <c r="AB293" s="39"/>
    </row>
    <row r="294">
      <c r="A294" s="1"/>
      <c r="B294" s="36"/>
      <c r="C294" s="36"/>
      <c r="D294" s="36"/>
      <c r="E294" s="36"/>
      <c r="F294" s="36"/>
      <c r="G294" s="36"/>
      <c r="H294" s="37"/>
      <c r="I294" s="36"/>
      <c r="J294" s="38"/>
      <c r="K294" s="38"/>
      <c r="L294" s="39"/>
      <c r="M294" s="39"/>
      <c r="N294" s="39"/>
      <c r="O294" s="39"/>
      <c r="P294" s="39"/>
      <c r="Q294" s="39"/>
      <c r="R294" s="39"/>
      <c r="S294" s="39"/>
      <c r="T294" s="39"/>
      <c r="U294" s="39"/>
      <c r="V294" s="39"/>
      <c r="W294" s="39"/>
      <c r="X294" s="39"/>
      <c r="Y294" s="39"/>
      <c r="Z294" s="39"/>
      <c r="AA294" s="39"/>
      <c r="AB294" s="39"/>
    </row>
    <row r="295">
      <c r="A295" s="1"/>
      <c r="B295" s="36"/>
      <c r="C295" s="36"/>
      <c r="D295" s="36"/>
      <c r="E295" s="36"/>
      <c r="F295" s="36"/>
      <c r="G295" s="36"/>
      <c r="H295" s="37"/>
      <c r="I295" s="36"/>
      <c r="J295" s="38"/>
      <c r="K295" s="38"/>
      <c r="L295" s="39"/>
      <c r="M295" s="39"/>
      <c r="N295" s="39"/>
      <c r="O295" s="39"/>
      <c r="P295" s="39"/>
      <c r="Q295" s="39"/>
      <c r="R295" s="39"/>
      <c r="S295" s="39"/>
      <c r="T295" s="39"/>
      <c r="U295" s="39"/>
      <c r="V295" s="39"/>
      <c r="W295" s="39"/>
      <c r="X295" s="39"/>
      <c r="Y295" s="39"/>
      <c r="Z295" s="39"/>
      <c r="AA295" s="39"/>
      <c r="AB295" s="39"/>
    </row>
    <row r="296">
      <c r="A296" s="1"/>
      <c r="B296" s="36"/>
      <c r="C296" s="36"/>
      <c r="D296" s="36"/>
      <c r="E296" s="36"/>
      <c r="F296" s="36"/>
      <c r="G296" s="36"/>
      <c r="H296" s="37"/>
      <c r="I296" s="36"/>
      <c r="J296" s="38"/>
      <c r="K296" s="38"/>
      <c r="L296" s="39"/>
      <c r="M296" s="39"/>
      <c r="N296" s="39"/>
      <c r="O296" s="39"/>
      <c r="P296" s="39"/>
      <c r="Q296" s="39"/>
      <c r="R296" s="39"/>
      <c r="S296" s="39"/>
      <c r="T296" s="39"/>
      <c r="U296" s="39"/>
      <c r="V296" s="39"/>
      <c r="W296" s="39"/>
      <c r="X296" s="39"/>
      <c r="Y296" s="39"/>
      <c r="Z296" s="39"/>
      <c r="AA296" s="39"/>
      <c r="AB296" s="39"/>
    </row>
    <row r="297">
      <c r="A297" s="1"/>
      <c r="B297" s="36"/>
      <c r="C297" s="36"/>
      <c r="D297" s="36"/>
      <c r="E297" s="36"/>
      <c r="F297" s="36"/>
      <c r="G297" s="36"/>
      <c r="H297" s="37"/>
      <c r="I297" s="36"/>
      <c r="J297" s="38"/>
      <c r="K297" s="38"/>
      <c r="L297" s="39"/>
      <c r="M297" s="39"/>
      <c r="N297" s="39"/>
      <c r="O297" s="39"/>
      <c r="P297" s="39"/>
      <c r="Q297" s="39"/>
      <c r="R297" s="39"/>
      <c r="S297" s="39"/>
      <c r="T297" s="39"/>
      <c r="U297" s="39"/>
      <c r="V297" s="39"/>
      <c r="W297" s="39"/>
      <c r="X297" s="39"/>
      <c r="Y297" s="39"/>
      <c r="Z297" s="39"/>
      <c r="AA297" s="39"/>
      <c r="AB297" s="39"/>
    </row>
    <row r="298">
      <c r="A298" s="1"/>
      <c r="B298" s="36"/>
      <c r="C298" s="36"/>
      <c r="D298" s="36"/>
      <c r="E298" s="36"/>
      <c r="F298" s="36"/>
      <c r="G298" s="36"/>
      <c r="H298" s="37"/>
      <c r="I298" s="36"/>
      <c r="J298" s="38"/>
      <c r="K298" s="38"/>
      <c r="L298" s="39"/>
      <c r="M298" s="39"/>
      <c r="N298" s="39"/>
      <c r="O298" s="39"/>
      <c r="P298" s="39"/>
      <c r="Q298" s="39"/>
      <c r="R298" s="39"/>
      <c r="S298" s="39"/>
      <c r="T298" s="39"/>
      <c r="U298" s="39"/>
      <c r="V298" s="39"/>
      <c r="W298" s="39"/>
      <c r="X298" s="39"/>
      <c r="Y298" s="39"/>
      <c r="Z298" s="39"/>
      <c r="AA298" s="39"/>
      <c r="AB298" s="39"/>
    </row>
    <row r="299">
      <c r="A299" s="1"/>
      <c r="B299" s="36"/>
      <c r="C299" s="36"/>
      <c r="D299" s="36"/>
      <c r="E299" s="36"/>
      <c r="F299" s="36"/>
      <c r="G299" s="36"/>
      <c r="H299" s="37"/>
      <c r="I299" s="36"/>
      <c r="J299" s="38"/>
      <c r="K299" s="38"/>
      <c r="L299" s="39"/>
      <c r="M299" s="39"/>
      <c r="N299" s="39"/>
      <c r="O299" s="39"/>
      <c r="P299" s="39"/>
      <c r="Q299" s="39"/>
      <c r="R299" s="39"/>
      <c r="S299" s="39"/>
      <c r="T299" s="39"/>
      <c r="U299" s="39"/>
      <c r="V299" s="39"/>
      <c r="W299" s="39"/>
      <c r="X299" s="39"/>
      <c r="Y299" s="39"/>
      <c r="Z299" s="39"/>
      <c r="AA299" s="39"/>
      <c r="AB299" s="39"/>
    </row>
    <row r="300">
      <c r="A300" s="1"/>
      <c r="B300" s="36"/>
      <c r="C300" s="36"/>
      <c r="D300" s="36"/>
      <c r="E300" s="36"/>
      <c r="F300" s="36"/>
      <c r="G300" s="36"/>
      <c r="H300" s="37"/>
      <c r="I300" s="36"/>
      <c r="J300" s="38"/>
      <c r="K300" s="38"/>
      <c r="L300" s="39"/>
      <c r="M300" s="39"/>
      <c r="N300" s="39"/>
      <c r="O300" s="39"/>
      <c r="P300" s="39"/>
      <c r="Q300" s="39"/>
      <c r="R300" s="39"/>
      <c r="S300" s="39"/>
      <c r="T300" s="39"/>
      <c r="U300" s="39"/>
      <c r="V300" s="39"/>
      <c r="W300" s="39"/>
      <c r="X300" s="39"/>
      <c r="Y300" s="39"/>
      <c r="Z300" s="39"/>
      <c r="AA300" s="39"/>
      <c r="AB300" s="39"/>
    </row>
    <row r="301">
      <c r="A301" s="1"/>
      <c r="B301" s="36"/>
      <c r="C301" s="36"/>
      <c r="D301" s="36"/>
      <c r="E301" s="36"/>
      <c r="F301" s="36"/>
      <c r="G301" s="36"/>
      <c r="H301" s="37"/>
      <c r="I301" s="36"/>
      <c r="J301" s="38"/>
      <c r="K301" s="38"/>
      <c r="L301" s="39"/>
      <c r="M301" s="39"/>
      <c r="N301" s="39"/>
      <c r="O301" s="39"/>
      <c r="P301" s="39"/>
      <c r="Q301" s="39"/>
      <c r="R301" s="39"/>
      <c r="S301" s="39"/>
      <c r="T301" s="39"/>
      <c r="U301" s="39"/>
      <c r="V301" s="39"/>
      <c r="W301" s="39"/>
      <c r="X301" s="39"/>
      <c r="Y301" s="39"/>
      <c r="Z301" s="39"/>
      <c r="AA301" s="39"/>
      <c r="AB301" s="39"/>
    </row>
    <row r="302">
      <c r="A302" s="1"/>
      <c r="B302" s="36"/>
      <c r="C302" s="36"/>
      <c r="D302" s="36"/>
      <c r="E302" s="36"/>
      <c r="F302" s="36"/>
      <c r="G302" s="36"/>
      <c r="H302" s="37"/>
      <c r="I302" s="36"/>
      <c r="J302" s="38"/>
      <c r="K302" s="38"/>
      <c r="L302" s="39"/>
      <c r="M302" s="39"/>
      <c r="N302" s="39"/>
      <c r="O302" s="39"/>
      <c r="P302" s="39"/>
      <c r="Q302" s="39"/>
      <c r="R302" s="39"/>
      <c r="S302" s="39"/>
      <c r="T302" s="39"/>
      <c r="U302" s="39"/>
      <c r="V302" s="39"/>
      <c r="W302" s="39"/>
      <c r="X302" s="39"/>
      <c r="Y302" s="39"/>
      <c r="Z302" s="39"/>
      <c r="AA302" s="39"/>
      <c r="AB302" s="39"/>
    </row>
    <row r="303">
      <c r="A303" s="1"/>
      <c r="B303" s="36"/>
      <c r="C303" s="36"/>
      <c r="D303" s="36"/>
      <c r="E303" s="36"/>
      <c r="F303" s="36"/>
      <c r="G303" s="36"/>
      <c r="H303" s="37"/>
      <c r="I303" s="36"/>
      <c r="J303" s="38"/>
      <c r="K303" s="38"/>
      <c r="L303" s="39"/>
      <c r="M303" s="39"/>
      <c r="N303" s="39"/>
      <c r="O303" s="39"/>
      <c r="P303" s="39"/>
      <c r="Q303" s="39"/>
      <c r="R303" s="39"/>
      <c r="S303" s="39"/>
      <c r="T303" s="39"/>
      <c r="U303" s="39"/>
      <c r="V303" s="39"/>
      <c r="W303" s="39"/>
      <c r="X303" s="39"/>
      <c r="Y303" s="39"/>
      <c r="Z303" s="39"/>
      <c r="AA303" s="39"/>
      <c r="AB303" s="39"/>
    </row>
    <row r="304">
      <c r="A304" s="1"/>
      <c r="B304" s="36"/>
      <c r="C304" s="36"/>
      <c r="D304" s="36"/>
      <c r="E304" s="36"/>
      <c r="F304" s="36"/>
      <c r="G304" s="36"/>
      <c r="H304" s="37"/>
      <c r="I304" s="36"/>
      <c r="J304" s="38"/>
      <c r="K304" s="38"/>
      <c r="L304" s="39"/>
      <c r="M304" s="39"/>
      <c r="N304" s="39"/>
      <c r="O304" s="39"/>
      <c r="P304" s="39"/>
      <c r="Q304" s="39"/>
      <c r="R304" s="39"/>
      <c r="S304" s="39"/>
      <c r="T304" s="39"/>
      <c r="U304" s="39"/>
      <c r="V304" s="39"/>
      <c r="W304" s="39"/>
      <c r="X304" s="39"/>
      <c r="Y304" s="39"/>
      <c r="Z304" s="39"/>
      <c r="AA304" s="39"/>
      <c r="AB304" s="39"/>
    </row>
    <row r="305">
      <c r="A305" s="1"/>
      <c r="B305" s="36"/>
      <c r="C305" s="36"/>
      <c r="D305" s="36"/>
      <c r="E305" s="36"/>
      <c r="F305" s="36"/>
      <c r="G305" s="36"/>
      <c r="H305" s="37"/>
      <c r="I305" s="36"/>
      <c r="J305" s="38"/>
      <c r="K305" s="38"/>
      <c r="L305" s="39"/>
      <c r="M305" s="39"/>
      <c r="N305" s="39"/>
      <c r="O305" s="39"/>
      <c r="P305" s="39"/>
      <c r="Q305" s="39"/>
      <c r="R305" s="39"/>
      <c r="S305" s="39"/>
      <c r="T305" s="39"/>
      <c r="U305" s="39"/>
      <c r="V305" s="39"/>
      <c r="W305" s="39"/>
      <c r="X305" s="39"/>
      <c r="Y305" s="39"/>
      <c r="Z305" s="39"/>
      <c r="AA305" s="39"/>
      <c r="AB305" s="39"/>
    </row>
    <row r="306">
      <c r="A306" s="1"/>
      <c r="B306" s="36"/>
      <c r="C306" s="36"/>
      <c r="D306" s="36"/>
      <c r="E306" s="36"/>
      <c r="F306" s="36"/>
      <c r="G306" s="36"/>
      <c r="H306" s="37"/>
      <c r="I306" s="36"/>
      <c r="J306" s="38"/>
      <c r="K306" s="38"/>
      <c r="L306" s="39"/>
      <c r="M306" s="39"/>
      <c r="N306" s="39"/>
      <c r="O306" s="39"/>
      <c r="P306" s="39"/>
      <c r="Q306" s="39"/>
      <c r="R306" s="39"/>
      <c r="S306" s="39"/>
      <c r="T306" s="39"/>
      <c r="U306" s="39"/>
      <c r="V306" s="39"/>
      <c r="W306" s="39"/>
      <c r="X306" s="39"/>
      <c r="Y306" s="39"/>
      <c r="Z306" s="39"/>
      <c r="AA306" s="39"/>
      <c r="AB306" s="39"/>
    </row>
    <row r="307">
      <c r="A307" s="1"/>
      <c r="B307" s="36"/>
      <c r="C307" s="36"/>
      <c r="D307" s="36"/>
      <c r="E307" s="36"/>
      <c r="F307" s="36"/>
      <c r="G307" s="36"/>
      <c r="H307" s="37"/>
      <c r="I307" s="36"/>
      <c r="J307" s="38"/>
      <c r="K307" s="38"/>
      <c r="L307" s="39"/>
      <c r="M307" s="39"/>
      <c r="N307" s="39"/>
      <c r="O307" s="39"/>
      <c r="P307" s="39"/>
      <c r="Q307" s="39"/>
      <c r="R307" s="39"/>
      <c r="S307" s="39"/>
      <c r="T307" s="39"/>
      <c r="U307" s="39"/>
      <c r="V307" s="39"/>
      <c r="W307" s="39"/>
      <c r="X307" s="39"/>
      <c r="Y307" s="39"/>
      <c r="Z307" s="39"/>
      <c r="AA307" s="39"/>
      <c r="AB307" s="39"/>
    </row>
    <row r="308">
      <c r="A308" s="1"/>
      <c r="B308" s="36"/>
      <c r="C308" s="36"/>
      <c r="D308" s="36"/>
      <c r="E308" s="36"/>
      <c r="F308" s="36"/>
      <c r="G308" s="36"/>
      <c r="H308" s="37"/>
      <c r="I308" s="36"/>
      <c r="J308" s="38"/>
      <c r="K308" s="38"/>
      <c r="L308" s="39"/>
      <c r="M308" s="39"/>
      <c r="N308" s="39"/>
      <c r="O308" s="39"/>
      <c r="P308" s="39"/>
      <c r="Q308" s="39"/>
      <c r="R308" s="39"/>
      <c r="S308" s="39"/>
      <c r="T308" s="39"/>
      <c r="U308" s="39"/>
      <c r="V308" s="39"/>
      <c r="W308" s="39"/>
      <c r="X308" s="39"/>
      <c r="Y308" s="39"/>
      <c r="Z308" s="39"/>
      <c r="AA308" s="39"/>
      <c r="AB308" s="39"/>
    </row>
    <row r="309">
      <c r="A309" s="1"/>
      <c r="B309" s="36"/>
      <c r="C309" s="36"/>
      <c r="D309" s="36"/>
      <c r="E309" s="36"/>
      <c r="F309" s="36"/>
      <c r="G309" s="36"/>
      <c r="H309" s="37"/>
      <c r="I309" s="36"/>
      <c r="J309" s="38"/>
      <c r="K309" s="38"/>
      <c r="L309" s="39"/>
      <c r="M309" s="39"/>
      <c r="N309" s="39"/>
      <c r="O309" s="39"/>
      <c r="P309" s="39"/>
      <c r="Q309" s="39"/>
      <c r="R309" s="39"/>
      <c r="S309" s="39"/>
      <c r="T309" s="39"/>
      <c r="U309" s="39"/>
      <c r="V309" s="39"/>
      <c r="W309" s="39"/>
      <c r="X309" s="39"/>
      <c r="Y309" s="39"/>
      <c r="Z309" s="39"/>
      <c r="AA309" s="39"/>
      <c r="AB309" s="39"/>
    </row>
    <row r="310">
      <c r="A310" s="1"/>
      <c r="B310" s="36"/>
      <c r="C310" s="36"/>
      <c r="D310" s="36"/>
      <c r="E310" s="36"/>
      <c r="F310" s="36"/>
      <c r="G310" s="36"/>
      <c r="H310" s="37"/>
      <c r="I310" s="36"/>
      <c r="J310" s="38"/>
      <c r="K310" s="38"/>
      <c r="L310" s="39"/>
      <c r="M310" s="39"/>
      <c r="N310" s="39"/>
      <c r="O310" s="39"/>
      <c r="P310" s="39"/>
      <c r="Q310" s="39"/>
      <c r="R310" s="39"/>
      <c r="S310" s="39"/>
      <c r="T310" s="39"/>
      <c r="U310" s="39"/>
      <c r="V310" s="39"/>
      <c r="W310" s="39"/>
      <c r="X310" s="39"/>
      <c r="Y310" s="39"/>
      <c r="Z310" s="39"/>
      <c r="AA310" s="39"/>
      <c r="AB310" s="39"/>
    </row>
    <row r="311">
      <c r="A311" s="1"/>
      <c r="B311" s="36"/>
      <c r="C311" s="36"/>
      <c r="D311" s="36"/>
      <c r="E311" s="36"/>
      <c r="F311" s="36"/>
      <c r="G311" s="36"/>
      <c r="H311" s="37"/>
      <c r="I311" s="36"/>
      <c r="J311" s="38"/>
      <c r="K311" s="38"/>
      <c r="L311" s="39"/>
      <c r="M311" s="39"/>
      <c r="N311" s="39"/>
      <c r="O311" s="39"/>
      <c r="P311" s="39"/>
      <c r="Q311" s="39"/>
      <c r="R311" s="39"/>
      <c r="S311" s="39"/>
      <c r="T311" s="39"/>
      <c r="U311" s="39"/>
      <c r="V311" s="39"/>
      <c r="W311" s="39"/>
      <c r="X311" s="39"/>
      <c r="Y311" s="39"/>
      <c r="Z311" s="39"/>
      <c r="AA311" s="39"/>
      <c r="AB311" s="39"/>
    </row>
    <row r="312">
      <c r="A312" s="1"/>
      <c r="B312" s="36"/>
      <c r="C312" s="36"/>
      <c r="D312" s="36"/>
      <c r="E312" s="36"/>
      <c r="F312" s="36"/>
      <c r="G312" s="36"/>
      <c r="H312" s="37"/>
      <c r="I312" s="36"/>
      <c r="J312" s="38"/>
      <c r="K312" s="38"/>
      <c r="L312" s="39"/>
      <c r="M312" s="39"/>
      <c r="N312" s="39"/>
      <c r="O312" s="39"/>
      <c r="P312" s="39"/>
      <c r="Q312" s="39"/>
      <c r="R312" s="39"/>
      <c r="S312" s="39"/>
      <c r="T312" s="39"/>
      <c r="U312" s="39"/>
      <c r="V312" s="39"/>
      <c r="W312" s="39"/>
      <c r="X312" s="39"/>
      <c r="Y312" s="39"/>
      <c r="Z312" s="39"/>
      <c r="AA312" s="39"/>
      <c r="AB312" s="39"/>
    </row>
    <row r="313">
      <c r="A313" s="1"/>
      <c r="B313" s="36"/>
      <c r="C313" s="36"/>
      <c r="D313" s="36"/>
      <c r="E313" s="36"/>
      <c r="F313" s="36"/>
      <c r="G313" s="36"/>
      <c r="H313" s="37"/>
      <c r="I313" s="36"/>
      <c r="J313" s="38"/>
      <c r="K313" s="38"/>
      <c r="L313" s="39"/>
      <c r="M313" s="39"/>
      <c r="N313" s="39"/>
      <c r="O313" s="39"/>
      <c r="P313" s="39"/>
      <c r="Q313" s="39"/>
      <c r="R313" s="39"/>
      <c r="S313" s="39"/>
      <c r="T313" s="39"/>
      <c r="U313" s="39"/>
      <c r="V313" s="39"/>
      <c r="W313" s="39"/>
      <c r="X313" s="39"/>
      <c r="Y313" s="39"/>
      <c r="Z313" s="39"/>
      <c r="AA313" s="39"/>
      <c r="AB313" s="39"/>
    </row>
    <row r="314">
      <c r="A314" s="1"/>
      <c r="B314" s="36"/>
      <c r="C314" s="36"/>
      <c r="D314" s="36"/>
      <c r="E314" s="36"/>
      <c r="F314" s="36"/>
      <c r="G314" s="36"/>
      <c r="H314" s="37"/>
      <c r="I314" s="36"/>
      <c r="J314" s="38"/>
      <c r="K314" s="38"/>
      <c r="L314" s="39"/>
      <c r="M314" s="39"/>
      <c r="N314" s="39"/>
      <c r="O314" s="39"/>
      <c r="P314" s="39"/>
      <c r="Q314" s="39"/>
      <c r="R314" s="39"/>
      <c r="S314" s="39"/>
      <c r="T314" s="39"/>
      <c r="U314" s="39"/>
      <c r="V314" s="39"/>
      <c r="W314" s="39"/>
      <c r="X314" s="39"/>
      <c r="Y314" s="39"/>
      <c r="Z314" s="39"/>
      <c r="AA314" s="39"/>
      <c r="AB314" s="39"/>
    </row>
    <row r="315">
      <c r="A315" s="1"/>
      <c r="B315" s="36"/>
      <c r="C315" s="36"/>
      <c r="D315" s="36"/>
      <c r="E315" s="36"/>
      <c r="F315" s="36"/>
      <c r="G315" s="36"/>
      <c r="H315" s="37"/>
      <c r="I315" s="36"/>
      <c r="J315" s="38"/>
      <c r="K315" s="38"/>
      <c r="L315" s="39"/>
      <c r="M315" s="39"/>
      <c r="N315" s="39"/>
      <c r="O315" s="39"/>
      <c r="P315" s="39"/>
      <c r="Q315" s="39"/>
      <c r="R315" s="39"/>
      <c r="S315" s="39"/>
      <c r="T315" s="39"/>
      <c r="U315" s="39"/>
      <c r="V315" s="39"/>
      <c r="W315" s="39"/>
      <c r="X315" s="39"/>
      <c r="Y315" s="39"/>
      <c r="Z315" s="39"/>
      <c r="AA315" s="39"/>
      <c r="AB315" s="39"/>
    </row>
    <row r="316">
      <c r="A316" s="1"/>
      <c r="B316" s="36"/>
      <c r="C316" s="36"/>
      <c r="D316" s="36"/>
      <c r="E316" s="36"/>
      <c r="F316" s="36"/>
      <c r="G316" s="36"/>
      <c r="H316" s="37"/>
      <c r="I316" s="36"/>
      <c r="J316" s="38"/>
      <c r="K316" s="38"/>
      <c r="L316" s="39"/>
      <c r="M316" s="39"/>
      <c r="N316" s="39"/>
      <c r="O316" s="39"/>
      <c r="P316" s="39"/>
      <c r="Q316" s="39"/>
      <c r="R316" s="39"/>
      <c r="S316" s="39"/>
      <c r="T316" s="39"/>
      <c r="U316" s="39"/>
      <c r="V316" s="39"/>
      <c r="W316" s="39"/>
      <c r="X316" s="39"/>
      <c r="Y316" s="39"/>
      <c r="Z316" s="39"/>
      <c r="AA316" s="39"/>
      <c r="AB316" s="39"/>
    </row>
    <row r="317">
      <c r="A317" s="1"/>
      <c r="B317" s="36"/>
      <c r="C317" s="36"/>
      <c r="D317" s="36"/>
      <c r="E317" s="36"/>
      <c r="F317" s="36"/>
      <c r="G317" s="36"/>
      <c r="H317" s="37"/>
      <c r="I317" s="36"/>
      <c r="J317" s="38"/>
      <c r="K317" s="38"/>
      <c r="L317" s="39"/>
      <c r="M317" s="39"/>
      <c r="N317" s="39"/>
      <c r="O317" s="39"/>
      <c r="P317" s="39"/>
      <c r="Q317" s="39"/>
      <c r="R317" s="39"/>
      <c r="S317" s="39"/>
      <c r="T317" s="39"/>
      <c r="U317" s="39"/>
      <c r="V317" s="39"/>
      <c r="W317" s="39"/>
      <c r="X317" s="39"/>
      <c r="Y317" s="39"/>
      <c r="Z317" s="39"/>
      <c r="AA317" s="39"/>
      <c r="AB317" s="39"/>
    </row>
    <row r="318">
      <c r="A318" s="1"/>
      <c r="B318" s="36"/>
      <c r="C318" s="36"/>
      <c r="D318" s="36"/>
      <c r="E318" s="36"/>
      <c r="F318" s="36"/>
      <c r="G318" s="36"/>
      <c r="H318" s="37"/>
      <c r="I318" s="36"/>
      <c r="J318" s="38"/>
      <c r="K318" s="38"/>
      <c r="L318" s="39"/>
      <c r="M318" s="39"/>
      <c r="N318" s="39"/>
      <c r="O318" s="39"/>
      <c r="P318" s="39"/>
      <c r="Q318" s="39"/>
      <c r="R318" s="39"/>
      <c r="S318" s="39"/>
      <c r="T318" s="39"/>
      <c r="U318" s="39"/>
      <c r="V318" s="39"/>
      <c r="W318" s="39"/>
      <c r="X318" s="39"/>
      <c r="Y318" s="39"/>
      <c r="Z318" s="39"/>
      <c r="AA318" s="39"/>
      <c r="AB318" s="39"/>
    </row>
    <row r="319">
      <c r="A319" s="1"/>
      <c r="B319" s="36"/>
      <c r="C319" s="36"/>
      <c r="D319" s="36"/>
      <c r="E319" s="36"/>
      <c r="F319" s="36"/>
      <c r="G319" s="36"/>
      <c r="H319" s="37"/>
      <c r="I319" s="36"/>
      <c r="J319" s="38"/>
      <c r="K319" s="38"/>
      <c r="L319" s="39"/>
      <c r="M319" s="39"/>
      <c r="N319" s="39"/>
      <c r="O319" s="39"/>
      <c r="P319" s="39"/>
      <c r="Q319" s="39"/>
      <c r="R319" s="39"/>
      <c r="S319" s="39"/>
      <c r="T319" s="39"/>
      <c r="U319" s="39"/>
      <c r="V319" s="39"/>
      <c r="W319" s="39"/>
      <c r="X319" s="39"/>
      <c r="Y319" s="39"/>
      <c r="Z319" s="39"/>
      <c r="AA319" s="39"/>
      <c r="AB319" s="39"/>
    </row>
    <row r="320">
      <c r="A320" s="1"/>
      <c r="B320" s="36"/>
      <c r="C320" s="36"/>
      <c r="D320" s="36"/>
      <c r="E320" s="36"/>
      <c r="F320" s="36"/>
      <c r="G320" s="36"/>
      <c r="H320" s="37"/>
      <c r="I320" s="36"/>
      <c r="J320" s="38"/>
      <c r="K320" s="38"/>
      <c r="L320" s="39"/>
      <c r="M320" s="39"/>
      <c r="N320" s="39"/>
      <c r="O320" s="39"/>
      <c r="P320" s="39"/>
      <c r="Q320" s="39"/>
      <c r="R320" s="39"/>
      <c r="S320" s="39"/>
      <c r="T320" s="39"/>
      <c r="U320" s="39"/>
      <c r="V320" s="39"/>
      <c r="W320" s="39"/>
      <c r="X320" s="39"/>
      <c r="Y320" s="39"/>
      <c r="Z320" s="39"/>
      <c r="AA320" s="39"/>
      <c r="AB320" s="39"/>
    </row>
    <row r="321">
      <c r="A321" s="1"/>
      <c r="B321" s="36"/>
      <c r="C321" s="36"/>
      <c r="D321" s="36"/>
      <c r="E321" s="36"/>
      <c r="F321" s="36"/>
      <c r="G321" s="36"/>
      <c r="H321" s="37"/>
      <c r="I321" s="36"/>
      <c r="J321" s="38"/>
      <c r="K321" s="38"/>
      <c r="L321" s="39"/>
      <c r="M321" s="39"/>
      <c r="N321" s="39"/>
      <c r="O321" s="39"/>
      <c r="P321" s="39"/>
      <c r="Q321" s="39"/>
      <c r="R321" s="39"/>
      <c r="S321" s="39"/>
      <c r="T321" s="39"/>
      <c r="U321" s="39"/>
      <c r="V321" s="39"/>
      <c r="W321" s="39"/>
      <c r="X321" s="39"/>
      <c r="Y321" s="39"/>
      <c r="Z321" s="39"/>
      <c r="AA321" s="39"/>
      <c r="AB321" s="39"/>
    </row>
    <row r="322">
      <c r="A322" s="1"/>
      <c r="B322" s="36"/>
      <c r="C322" s="36"/>
      <c r="D322" s="36"/>
      <c r="E322" s="36"/>
      <c r="F322" s="36"/>
      <c r="G322" s="36"/>
      <c r="H322" s="37"/>
      <c r="I322" s="36"/>
      <c r="J322" s="38"/>
      <c r="K322" s="38"/>
      <c r="L322" s="39"/>
      <c r="M322" s="39"/>
      <c r="N322" s="39"/>
      <c r="O322" s="39"/>
      <c r="P322" s="39"/>
      <c r="Q322" s="39"/>
      <c r="R322" s="39"/>
      <c r="S322" s="39"/>
      <c r="T322" s="39"/>
      <c r="U322" s="39"/>
      <c r="V322" s="39"/>
      <c r="W322" s="39"/>
      <c r="X322" s="39"/>
      <c r="Y322" s="39"/>
      <c r="Z322" s="39"/>
      <c r="AA322" s="39"/>
      <c r="AB322" s="39"/>
    </row>
    <row r="323">
      <c r="A323" s="1"/>
      <c r="B323" s="36"/>
      <c r="C323" s="36"/>
      <c r="D323" s="36"/>
      <c r="E323" s="36"/>
      <c r="F323" s="36"/>
      <c r="G323" s="36"/>
      <c r="H323" s="37"/>
      <c r="I323" s="36"/>
      <c r="J323" s="38"/>
      <c r="K323" s="38"/>
      <c r="L323" s="39"/>
      <c r="M323" s="39"/>
      <c r="N323" s="39"/>
      <c r="O323" s="39"/>
      <c r="P323" s="39"/>
      <c r="Q323" s="39"/>
      <c r="R323" s="39"/>
      <c r="S323" s="39"/>
      <c r="T323" s="39"/>
      <c r="U323" s="39"/>
      <c r="V323" s="39"/>
      <c r="W323" s="39"/>
      <c r="X323" s="39"/>
      <c r="Y323" s="39"/>
      <c r="Z323" s="39"/>
      <c r="AA323" s="39"/>
      <c r="AB323" s="39"/>
    </row>
    <row r="324">
      <c r="A324" s="1"/>
      <c r="B324" s="36"/>
      <c r="C324" s="36"/>
      <c r="D324" s="36"/>
      <c r="E324" s="36"/>
      <c r="F324" s="36"/>
      <c r="G324" s="36"/>
      <c r="H324" s="37"/>
      <c r="I324" s="36"/>
      <c r="J324" s="38"/>
      <c r="K324" s="38"/>
      <c r="L324" s="39"/>
      <c r="M324" s="39"/>
      <c r="N324" s="39"/>
      <c r="O324" s="39"/>
      <c r="P324" s="39"/>
      <c r="Q324" s="39"/>
      <c r="R324" s="39"/>
      <c r="S324" s="39"/>
      <c r="T324" s="39"/>
      <c r="U324" s="39"/>
      <c r="V324" s="39"/>
      <c r="W324" s="39"/>
      <c r="X324" s="39"/>
      <c r="Y324" s="39"/>
      <c r="Z324" s="39"/>
      <c r="AA324" s="39"/>
      <c r="AB324" s="39"/>
    </row>
    <row r="325">
      <c r="A325" s="1"/>
      <c r="B325" s="36"/>
      <c r="C325" s="36"/>
      <c r="D325" s="36"/>
      <c r="E325" s="36"/>
      <c r="F325" s="36"/>
      <c r="G325" s="36"/>
      <c r="H325" s="37"/>
      <c r="I325" s="36"/>
      <c r="J325" s="38"/>
      <c r="K325" s="38"/>
      <c r="L325" s="39"/>
      <c r="M325" s="39"/>
      <c r="N325" s="39"/>
      <c r="O325" s="39"/>
      <c r="P325" s="39"/>
      <c r="Q325" s="39"/>
      <c r="R325" s="39"/>
      <c r="S325" s="39"/>
      <c r="T325" s="39"/>
      <c r="U325" s="39"/>
      <c r="V325" s="39"/>
      <c r="W325" s="39"/>
      <c r="X325" s="39"/>
      <c r="Y325" s="39"/>
      <c r="Z325" s="39"/>
      <c r="AA325" s="39"/>
      <c r="AB325" s="39"/>
    </row>
    <row r="326">
      <c r="A326" s="1"/>
      <c r="B326" s="36"/>
      <c r="C326" s="36"/>
      <c r="D326" s="36"/>
      <c r="E326" s="36"/>
      <c r="F326" s="36"/>
      <c r="G326" s="36"/>
      <c r="H326" s="37"/>
      <c r="I326" s="36"/>
      <c r="J326" s="38"/>
      <c r="K326" s="38"/>
      <c r="L326" s="39"/>
      <c r="M326" s="39"/>
      <c r="N326" s="39"/>
      <c r="O326" s="39"/>
      <c r="P326" s="39"/>
      <c r="Q326" s="39"/>
      <c r="R326" s="39"/>
      <c r="S326" s="39"/>
      <c r="T326" s="39"/>
      <c r="U326" s="39"/>
      <c r="V326" s="39"/>
      <c r="W326" s="39"/>
      <c r="X326" s="39"/>
      <c r="Y326" s="39"/>
      <c r="Z326" s="39"/>
      <c r="AA326" s="39"/>
      <c r="AB326" s="39"/>
    </row>
    <row r="327">
      <c r="A327" s="1"/>
      <c r="B327" s="36"/>
      <c r="C327" s="36"/>
      <c r="D327" s="36"/>
      <c r="E327" s="36"/>
      <c r="F327" s="36"/>
      <c r="G327" s="36"/>
      <c r="H327" s="37"/>
      <c r="I327" s="36"/>
      <c r="J327" s="38"/>
      <c r="K327" s="38"/>
      <c r="L327" s="39"/>
      <c r="M327" s="39"/>
      <c r="N327" s="39"/>
      <c r="O327" s="39"/>
      <c r="P327" s="39"/>
      <c r="Q327" s="39"/>
      <c r="R327" s="39"/>
      <c r="S327" s="39"/>
      <c r="T327" s="39"/>
      <c r="U327" s="39"/>
      <c r="V327" s="39"/>
      <c r="W327" s="39"/>
      <c r="X327" s="39"/>
      <c r="Y327" s="39"/>
      <c r="Z327" s="39"/>
      <c r="AA327" s="39"/>
      <c r="AB327" s="39"/>
    </row>
    <row r="328">
      <c r="A328" s="1"/>
      <c r="B328" s="36"/>
      <c r="C328" s="36"/>
      <c r="D328" s="36"/>
      <c r="E328" s="36"/>
      <c r="F328" s="36"/>
      <c r="G328" s="36"/>
      <c r="H328" s="37"/>
      <c r="I328" s="36"/>
      <c r="J328" s="38"/>
      <c r="K328" s="38"/>
      <c r="L328" s="39"/>
      <c r="M328" s="39"/>
      <c r="N328" s="39"/>
      <c r="O328" s="39"/>
      <c r="P328" s="39"/>
      <c r="Q328" s="39"/>
      <c r="R328" s="39"/>
      <c r="S328" s="39"/>
      <c r="T328" s="39"/>
      <c r="U328" s="39"/>
      <c r="V328" s="39"/>
      <c r="W328" s="39"/>
      <c r="X328" s="39"/>
      <c r="Y328" s="39"/>
      <c r="Z328" s="39"/>
      <c r="AA328" s="39"/>
      <c r="AB328" s="39"/>
    </row>
    <row r="329">
      <c r="A329" s="1"/>
      <c r="B329" s="36"/>
      <c r="C329" s="36"/>
      <c r="D329" s="36"/>
      <c r="E329" s="36"/>
      <c r="F329" s="36"/>
      <c r="G329" s="36"/>
      <c r="H329" s="37"/>
      <c r="I329" s="36"/>
      <c r="J329" s="38"/>
      <c r="K329" s="38"/>
      <c r="L329" s="39"/>
      <c r="M329" s="39"/>
      <c r="N329" s="39"/>
      <c r="O329" s="39"/>
      <c r="P329" s="39"/>
      <c r="Q329" s="39"/>
      <c r="R329" s="39"/>
      <c r="S329" s="39"/>
      <c r="T329" s="39"/>
      <c r="U329" s="39"/>
      <c r="V329" s="39"/>
      <c r="W329" s="39"/>
      <c r="X329" s="39"/>
      <c r="Y329" s="39"/>
      <c r="Z329" s="39"/>
      <c r="AA329" s="39"/>
      <c r="AB329" s="39"/>
    </row>
    <row r="330">
      <c r="A330" s="1"/>
      <c r="B330" s="36"/>
      <c r="C330" s="36"/>
      <c r="D330" s="36"/>
      <c r="E330" s="36"/>
      <c r="F330" s="36"/>
      <c r="G330" s="36"/>
      <c r="H330" s="37"/>
      <c r="I330" s="36"/>
      <c r="J330" s="38"/>
      <c r="K330" s="38"/>
      <c r="L330" s="39"/>
      <c r="M330" s="39"/>
      <c r="N330" s="39"/>
      <c r="O330" s="39"/>
      <c r="P330" s="39"/>
      <c r="Q330" s="39"/>
      <c r="R330" s="39"/>
      <c r="S330" s="39"/>
      <c r="T330" s="39"/>
      <c r="U330" s="39"/>
      <c r="V330" s="39"/>
      <c r="W330" s="39"/>
      <c r="X330" s="39"/>
      <c r="Y330" s="39"/>
      <c r="Z330" s="39"/>
      <c r="AA330" s="39"/>
      <c r="AB330" s="39"/>
    </row>
    <row r="331">
      <c r="A331" s="1"/>
      <c r="B331" s="36"/>
      <c r="C331" s="36"/>
      <c r="D331" s="36"/>
      <c r="E331" s="36"/>
      <c r="F331" s="36"/>
      <c r="G331" s="36"/>
      <c r="H331" s="37"/>
      <c r="I331" s="36"/>
      <c r="J331" s="38"/>
      <c r="K331" s="38"/>
      <c r="L331" s="39"/>
      <c r="M331" s="39"/>
      <c r="N331" s="39"/>
      <c r="O331" s="39"/>
      <c r="P331" s="39"/>
      <c r="Q331" s="39"/>
      <c r="R331" s="39"/>
      <c r="S331" s="39"/>
      <c r="T331" s="39"/>
      <c r="U331" s="39"/>
      <c r="V331" s="39"/>
      <c r="W331" s="39"/>
      <c r="X331" s="39"/>
      <c r="Y331" s="39"/>
      <c r="Z331" s="39"/>
      <c r="AA331" s="39"/>
      <c r="AB331" s="39"/>
    </row>
    <row r="332">
      <c r="A332" s="1"/>
      <c r="B332" s="36"/>
      <c r="C332" s="36"/>
      <c r="D332" s="36"/>
      <c r="E332" s="36"/>
      <c r="F332" s="36"/>
      <c r="G332" s="36"/>
      <c r="H332" s="37"/>
      <c r="I332" s="36"/>
      <c r="J332" s="38"/>
      <c r="K332" s="38"/>
      <c r="L332" s="39"/>
      <c r="M332" s="39"/>
      <c r="N332" s="39"/>
      <c r="O332" s="39"/>
      <c r="P332" s="39"/>
      <c r="Q332" s="39"/>
      <c r="R332" s="39"/>
      <c r="S332" s="39"/>
      <c r="T332" s="39"/>
      <c r="U332" s="39"/>
      <c r="V332" s="39"/>
      <c r="W332" s="39"/>
      <c r="X332" s="39"/>
      <c r="Y332" s="39"/>
      <c r="Z332" s="39"/>
      <c r="AA332" s="39"/>
      <c r="AB332" s="39"/>
    </row>
    <row r="333">
      <c r="A333" s="1"/>
      <c r="B333" s="36"/>
      <c r="C333" s="36"/>
      <c r="D333" s="36"/>
      <c r="E333" s="36"/>
      <c r="F333" s="36"/>
      <c r="G333" s="36"/>
      <c r="H333" s="37"/>
      <c r="I333" s="36"/>
      <c r="J333" s="38"/>
      <c r="K333" s="38"/>
      <c r="L333" s="39"/>
      <c r="M333" s="39"/>
      <c r="N333" s="39"/>
      <c r="O333" s="39"/>
      <c r="P333" s="39"/>
      <c r="Q333" s="39"/>
      <c r="R333" s="39"/>
      <c r="S333" s="39"/>
      <c r="T333" s="39"/>
      <c r="U333" s="39"/>
      <c r="V333" s="39"/>
      <c r="W333" s="39"/>
      <c r="X333" s="39"/>
      <c r="Y333" s="39"/>
      <c r="Z333" s="39"/>
      <c r="AA333" s="39"/>
      <c r="AB333" s="39"/>
    </row>
    <row r="334">
      <c r="A334" s="1"/>
      <c r="B334" s="36"/>
      <c r="C334" s="36"/>
      <c r="D334" s="36"/>
      <c r="E334" s="36"/>
      <c r="F334" s="36"/>
      <c r="G334" s="36"/>
      <c r="H334" s="37"/>
      <c r="I334" s="36"/>
      <c r="J334" s="38"/>
      <c r="K334" s="38"/>
      <c r="L334" s="39"/>
      <c r="M334" s="39"/>
      <c r="N334" s="39"/>
      <c r="O334" s="39"/>
      <c r="P334" s="39"/>
      <c r="Q334" s="39"/>
      <c r="R334" s="39"/>
      <c r="S334" s="39"/>
      <c r="T334" s="39"/>
      <c r="U334" s="39"/>
      <c r="V334" s="39"/>
      <c r="W334" s="39"/>
      <c r="X334" s="39"/>
      <c r="Y334" s="39"/>
      <c r="Z334" s="39"/>
      <c r="AA334" s="39"/>
      <c r="AB334" s="39"/>
    </row>
    <row r="335">
      <c r="A335" s="1"/>
      <c r="B335" s="36"/>
      <c r="C335" s="36"/>
      <c r="D335" s="36"/>
      <c r="E335" s="36"/>
      <c r="F335" s="36"/>
      <c r="G335" s="36"/>
      <c r="H335" s="37"/>
      <c r="I335" s="36"/>
      <c r="J335" s="38"/>
      <c r="K335" s="38"/>
      <c r="L335" s="39"/>
      <c r="M335" s="39"/>
      <c r="N335" s="39"/>
      <c r="O335" s="39"/>
      <c r="P335" s="39"/>
      <c r="Q335" s="39"/>
      <c r="R335" s="39"/>
      <c r="S335" s="39"/>
      <c r="T335" s="39"/>
      <c r="U335" s="39"/>
      <c r="V335" s="39"/>
      <c r="W335" s="39"/>
      <c r="X335" s="39"/>
      <c r="Y335" s="39"/>
      <c r="Z335" s="39"/>
      <c r="AA335" s="39"/>
      <c r="AB335" s="39"/>
    </row>
    <row r="336">
      <c r="A336" s="1"/>
      <c r="B336" s="36"/>
      <c r="C336" s="36"/>
      <c r="D336" s="36"/>
      <c r="E336" s="36"/>
      <c r="F336" s="36"/>
      <c r="G336" s="36"/>
      <c r="H336" s="37"/>
      <c r="I336" s="36"/>
      <c r="J336" s="38"/>
      <c r="K336" s="38"/>
      <c r="L336" s="39"/>
      <c r="M336" s="39"/>
      <c r="N336" s="39"/>
      <c r="O336" s="39"/>
      <c r="P336" s="39"/>
      <c r="Q336" s="39"/>
      <c r="R336" s="39"/>
      <c r="S336" s="39"/>
      <c r="T336" s="39"/>
      <c r="U336" s="39"/>
      <c r="V336" s="39"/>
      <c r="W336" s="39"/>
      <c r="X336" s="39"/>
      <c r="Y336" s="39"/>
      <c r="Z336" s="39"/>
      <c r="AA336" s="39"/>
      <c r="AB336" s="39"/>
    </row>
    <row r="337">
      <c r="A337" s="1"/>
      <c r="B337" s="36"/>
      <c r="C337" s="36"/>
      <c r="D337" s="36"/>
      <c r="E337" s="36"/>
      <c r="F337" s="36"/>
      <c r="G337" s="36"/>
      <c r="H337" s="37"/>
      <c r="I337" s="36"/>
      <c r="J337" s="38"/>
      <c r="K337" s="38"/>
      <c r="L337" s="39"/>
      <c r="M337" s="39"/>
      <c r="N337" s="39"/>
      <c r="O337" s="39"/>
      <c r="P337" s="39"/>
      <c r="Q337" s="39"/>
      <c r="R337" s="39"/>
      <c r="S337" s="39"/>
      <c r="T337" s="39"/>
      <c r="U337" s="39"/>
      <c r="V337" s="39"/>
      <c r="W337" s="39"/>
      <c r="X337" s="39"/>
      <c r="Y337" s="39"/>
      <c r="Z337" s="39"/>
      <c r="AA337" s="39"/>
      <c r="AB337" s="39"/>
    </row>
    <row r="338">
      <c r="A338" s="1"/>
      <c r="B338" s="36"/>
      <c r="C338" s="36"/>
      <c r="D338" s="36"/>
      <c r="E338" s="36"/>
      <c r="F338" s="36"/>
      <c r="G338" s="36"/>
      <c r="H338" s="37"/>
      <c r="I338" s="36"/>
      <c r="J338" s="38"/>
      <c r="K338" s="38"/>
      <c r="L338" s="39"/>
      <c r="M338" s="39"/>
      <c r="N338" s="39"/>
      <c r="O338" s="39"/>
      <c r="P338" s="39"/>
      <c r="Q338" s="39"/>
      <c r="R338" s="39"/>
      <c r="S338" s="39"/>
      <c r="T338" s="39"/>
      <c r="U338" s="39"/>
      <c r="V338" s="39"/>
      <c r="W338" s="39"/>
      <c r="X338" s="39"/>
      <c r="Y338" s="39"/>
      <c r="Z338" s="39"/>
      <c r="AA338" s="39"/>
      <c r="AB338" s="39"/>
    </row>
    <row r="339">
      <c r="A339" s="1"/>
      <c r="B339" s="36"/>
      <c r="C339" s="36"/>
      <c r="D339" s="36"/>
      <c r="E339" s="36"/>
      <c r="F339" s="36"/>
      <c r="G339" s="36"/>
      <c r="H339" s="37"/>
      <c r="I339" s="36"/>
      <c r="J339" s="38"/>
      <c r="K339" s="38"/>
      <c r="L339" s="39"/>
      <c r="M339" s="39"/>
      <c r="N339" s="39"/>
      <c r="O339" s="39"/>
      <c r="P339" s="39"/>
      <c r="Q339" s="39"/>
      <c r="R339" s="39"/>
      <c r="S339" s="39"/>
      <c r="T339" s="39"/>
      <c r="U339" s="39"/>
      <c r="V339" s="39"/>
      <c r="W339" s="39"/>
      <c r="X339" s="39"/>
      <c r="Y339" s="39"/>
      <c r="Z339" s="39"/>
      <c r="AA339" s="39"/>
      <c r="AB339" s="39"/>
    </row>
    <row r="340">
      <c r="A340" s="1"/>
      <c r="B340" s="36"/>
      <c r="C340" s="36"/>
      <c r="D340" s="36"/>
      <c r="E340" s="36"/>
      <c r="F340" s="36"/>
      <c r="G340" s="36"/>
      <c r="H340" s="37"/>
      <c r="I340" s="36"/>
      <c r="J340" s="38"/>
      <c r="K340" s="38"/>
      <c r="L340" s="39"/>
      <c r="M340" s="39"/>
      <c r="N340" s="39"/>
      <c r="O340" s="39"/>
      <c r="P340" s="39"/>
      <c r="Q340" s="39"/>
      <c r="R340" s="39"/>
      <c r="S340" s="39"/>
      <c r="T340" s="39"/>
      <c r="U340" s="39"/>
      <c r="V340" s="39"/>
      <c r="W340" s="39"/>
      <c r="X340" s="39"/>
      <c r="Y340" s="39"/>
      <c r="Z340" s="39"/>
      <c r="AA340" s="39"/>
      <c r="AB340" s="39"/>
    </row>
    <row r="341">
      <c r="A341" s="1"/>
      <c r="B341" s="36"/>
      <c r="C341" s="36"/>
      <c r="D341" s="36"/>
      <c r="E341" s="36"/>
      <c r="F341" s="36"/>
      <c r="G341" s="36"/>
      <c r="H341" s="37"/>
      <c r="I341" s="36"/>
      <c r="J341" s="38"/>
      <c r="K341" s="38"/>
      <c r="L341" s="39"/>
      <c r="M341" s="39"/>
      <c r="N341" s="39"/>
      <c r="O341" s="39"/>
      <c r="P341" s="39"/>
      <c r="Q341" s="39"/>
      <c r="R341" s="39"/>
      <c r="S341" s="39"/>
      <c r="T341" s="39"/>
      <c r="U341" s="39"/>
      <c r="V341" s="39"/>
      <c r="W341" s="39"/>
      <c r="X341" s="39"/>
      <c r="Y341" s="39"/>
      <c r="Z341" s="39"/>
      <c r="AA341" s="39"/>
      <c r="AB341" s="39"/>
    </row>
    <row r="342">
      <c r="A342" s="1"/>
      <c r="B342" s="36"/>
      <c r="C342" s="36"/>
      <c r="D342" s="36"/>
      <c r="E342" s="36"/>
      <c r="F342" s="36"/>
      <c r="G342" s="36"/>
      <c r="H342" s="37"/>
      <c r="I342" s="36"/>
      <c r="J342" s="38"/>
      <c r="K342" s="38"/>
      <c r="L342" s="39"/>
      <c r="M342" s="39"/>
      <c r="N342" s="39"/>
      <c r="O342" s="39"/>
      <c r="P342" s="39"/>
      <c r="Q342" s="39"/>
      <c r="R342" s="39"/>
      <c r="S342" s="39"/>
      <c r="T342" s="39"/>
      <c r="U342" s="39"/>
      <c r="V342" s="39"/>
      <c r="W342" s="39"/>
      <c r="X342" s="39"/>
      <c r="Y342" s="39"/>
      <c r="Z342" s="39"/>
      <c r="AA342" s="39"/>
      <c r="AB342" s="39"/>
    </row>
    <row r="343">
      <c r="A343" s="1"/>
      <c r="B343" s="36"/>
      <c r="C343" s="36"/>
      <c r="D343" s="36"/>
      <c r="E343" s="36"/>
      <c r="F343" s="36"/>
      <c r="G343" s="36"/>
      <c r="H343" s="37"/>
      <c r="I343" s="36"/>
      <c r="J343" s="38"/>
      <c r="K343" s="38"/>
      <c r="L343" s="39"/>
      <c r="M343" s="39"/>
      <c r="N343" s="39"/>
      <c r="O343" s="39"/>
      <c r="P343" s="39"/>
      <c r="Q343" s="39"/>
      <c r="R343" s="39"/>
      <c r="S343" s="39"/>
      <c r="T343" s="39"/>
      <c r="U343" s="39"/>
      <c r="V343" s="39"/>
      <c r="W343" s="39"/>
      <c r="X343" s="39"/>
      <c r="Y343" s="39"/>
      <c r="Z343" s="39"/>
      <c r="AA343" s="39"/>
      <c r="AB343" s="39"/>
    </row>
    <row r="344">
      <c r="A344" s="1"/>
      <c r="B344" s="36"/>
      <c r="C344" s="36"/>
      <c r="D344" s="36"/>
      <c r="E344" s="36"/>
      <c r="F344" s="36"/>
      <c r="G344" s="36"/>
      <c r="H344" s="37"/>
      <c r="I344" s="36"/>
      <c r="J344" s="38"/>
      <c r="K344" s="38"/>
      <c r="L344" s="39"/>
      <c r="M344" s="39"/>
      <c r="N344" s="39"/>
      <c r="O344" s="39"/>
      <c r="P344" s="39"/>
      <c r="Q344" s="39"/>
      <c r="R344" s="39"/>
      <c r="S344" s="39"/>
      <c r="T344" s="39"/>
      <c r="U344" s="39"/>
      <c r="V344" s="39"/>
      <c r="W344" s="39"/>
      <c r="X344" s="39"/>
      <c r="Y344" s="39"/>
      <c r="Z344" s="39"/>
      <c r="AA344" s="39"/>
      <c r="AB344" s="39"/>
    </row>
    <row r="345">
      <c r="A345" s="1"/>
      <c r="B345" s="36"/>
      <c r="C345" s="36"/>
      <c r="D345" s="36"/>
      <c r="E345" s="36"/>
      <c r="F345" s="36"/>
      <c r="G345" s="36"/>
      <c r="H345" s="37"/>
      <c r="I345" s="36"/>
      <c r="J345" s="38"/>
      <c r="K345" s="38"/>
      <c r="L345" s="39"/>
      <c r="M345" s="39"/>
      <c r="N345" s="39"/>
      <c r="O345" s="39"/>
      <c r="P345" s="39"/>
      <c r="Q345" s="39"/>
      <c r="R345" s="39"/>
      <c r="S345" s="39"/>
      <c r="T345" s="39"/>
      <c r="U345" s="39"/>
      <c r="V345" s="39"/>
      <c r="W345" s="39"/>
      <c r="X345" s="39"/>
      <c r="Y345" s="39"/>
      <c r="Z345" s="39"/>
      <c r="AA345" s="39"/>
      <c r="AB345" s="39"/>
    </row>
    <row r="346">
      <c r="A346" s="1"/>
      <c r="B346" s="36"/>
      <c r="C346" s="36"/>
      <c r="D346" s="36"/>
      <c r="E346" s="36"/>
      <c r="F346" s="36"/>
      <c r="G346" s="36"/>
      <c r="H346" s="37"/>
      <c r="I346" s="36"/>
      <c r="J346" s="38"/>
      <c r="K346" s="38"/>
      <c r="L346" s="39"/>
      <c r="M346" s="39"/>
      <c r="N346" s="39"/>
      <c r="O346" s="39"/>
      <c r="P346" s="39"/>
      <c r="Q346" s="39"/>
      <c r="R346" s="39"/>
      <c r="S346" s="39"/>
      <c r="T346" s="39"/>
      <c r="U346" s="39"/>
      <c r="V346" s="39"/>
      <c r="W346" s="39"/>
      <c r="X346" s="39"/>
      <c r="Y346" s="39"/>
      <c r="Z346" s="39"/>
      <c r="AA346" s="39"/>
      <c r="AB346" s="39"/>
    </row>
    <row r="347">
      <c r="A347" s="1"/>
      <c r="B347" s="36"/>
      <c r="C347" s="36"/>
      <c r="D347" s="36"/>
      <c r="E347" s="36"/>
      <c r="F347" s="36"/>
      <c r="G347" s="36"/>
      <c r="H347" s="37"/>
      <c r="I347" s="36"/>
      <c r="J347" s="38"/>
      <c r="K347" s="38"/>
      <c r="L347" s="39"/>
      <c r="M347" s="39"/>
      <c r="N347" s="39"/>
      <c r="O347" s="39"/>
      <c r="P347" s="39"/>
      <c r="Q347" s="39"/>
      <c r="R347" s="39"/>
      <c r="S347" s="39"/>
      <c r="T347" s="39"/>
      <c r="U347" s="39"/>
      <c r="V347" s="39"/>
      <c r="W347" s="39"/>
      <c r="X347" s="39"/>
      <c r="Y347" s="39"/>
      <c r="Z347" s="39"/>
      <c r="AA347" s="39"/>
      <c r="AB347" s="39"/>
    </row>
    <row r="348">
      <c r="A348" s="1"/>
      <c r="B348" s="36"/>
      <c r="C348" s="36"/>
      <c r="D348" s="36"/>
      <c r="E348" s="36"/>
      <c r="F348" s="36"/>
      <c r="G348" s="36"/>
      <c r="H348" s="37"/>
      <c r="I348" s="36"/>
      <c r="J348" s="38"/>
      <c r="K348" s="38"/>
      <c r="L348" s="39"/>
      <c r="M348" s="39"/>
      <c r="N348" s="39"/>
      <c r="O348" s="39"/>
      <c r="P348" s="39"/>
      <c r="Q348" s="39"/>
      <c r="R348" s="39"/>
      <c r="S348" s="39"/>
      <c r="T348" s="39"/>
      <c r="U348" s="39"/>
      <c r="V348" s="39"/>
      <c r="W348" s="39"/>
      <c r="X348" s="39"/>
      <c r="Y348" s="39"/>
      <c r="Z348" s="39"/>
      <c r="AA348" s="39"/>
      <c r="AB348" s="39"/>
    </row>
    <row r="349">
      <c r="A349" s="1"/>
      <c r="B349" s="36"/>
      <c r="C349" s="36"/>
      <c r="D349" s="36"/>
      <c r="E349" s="36"/>
      <c r="F349" s="36"/>
      <c r="G349" s="36"/>
      <c r="H349" s="37"/>
      <c r="I349" s="36"/>
      <c r="J349" s="38"/>
      <c r="K349" s="38"/>
      <c r="L349" s="39"/>
      <c r="M349" s="39"/>
      <c r="N349" s="39"/>
      <c r="O349" s="39"/>
      <c r="P349" s="39"/>
      <c r="Q349" s="39"/>
      <c r="R349" s="39"/>
      <c r="S349" s="39"/>
      <c r="T349" s="39"/>
      <c r="U349" s="39"/>
      <c r="V349" s="39"/>
      <c r="W349" s="39"/>
      <c r="X349" s="39"/>
      <c r="Y349" s="39"/>
      <c r="Z349" s="39"/>
      <c r="AA349" s="39"/>
      <c r="AB349" s="39"/>
    </row>
    <row r="350">
      <c r="A350" s="1"/>
      <c r="B350" s="36"/>
      <c r="C350" s="36"/>
      <c r="D350" s="36"/>
      <c r="E350" s="36"/>
      <c r="F350" s="36"/>
      <c r="G350" s="36"/>
      <c r="H350" s="37"/>
      <c r="I350" s="36"/>
      <c r="J350" s="38"/>
      <c r="K350" s="38"/>
      <c r="L350" s="39"/>
      <c r="M350" s="39"/>
      <c r="N350" s="39"/>
      <c r="O350" s="39"/>
      <c r="P350" s="39"/>
      <c r="Q350" s="39"/>
      <c r="R350" s="39"/>
      <c r="S350" s="39"/>
      <c r="T350" s="39"/>
      <c r="U350" s="39"/>
      <c r="V350" s="39"/>
      <c r="W350" s="39"/>
      <c r="X350" s="39"/>
      <c r="Y350" s="39"/>
      <c r="Z350" s="39"/>
      <c r="AA350" s="39"/>
      <c r="AB350" s="39"/>
    </row>
    <row r="351">
      <c r="A351" s="1"/>
      <c r="B351" s="36"/>
      <c r="C351" s="36"/>
      <c r="D351" s="36"/>
      <c r="E351" s="36"/>
      <c r="F351" s="36"/>
      <c r="G351" s="36"/>
      <c r="H351" s="37"/>
      <c r="I351" s="36"/>
      <c r="J351" s="38"/>
      <c r="K351" s="38"/>
      <c r="L351" s="39"/>
      <c r="M351" s="39"/>
      <c r="N351" s="39"/>
      <c r="O351" s="39"/>
      <c r="P351" s="39"/>
      <c r="Q351" s="39"/>
      <c r="R351" s="39"/>
      <c r="S351" s="39"/>
      <c r="T351" s="39"/>
      <c r="U351" s="39"/>
      <c r="V351" s="39"/>
      <c r="W351" s="39"/>
      <c r="X351" s="39"/>
      <c r="Y351" s="39"/>
      <c r="Z351" s="39"/>
      <c r="AA351" s="39"/>
      <c r="AB351" s="39"/>
    </row>
    <row r="352">
      <c r="A352" s="1"/>
      <c r="B352" s="36"/>
      <c r="C352" s="36"/>
      <c r="D352" s="36"/>
      <c r="E352" s="36"/>
      <c r="F352" s="36"/>
      <c r="G352" s="36"/>
      <c r="H352" s="37"/>
      <c r="I352" s="36"/>
      <c r="J352" s="38"/>
      <c r="K352" s="38"/>
      <c r="L352" s="39"/>
      <c r="M352" s="39"/>
      <c r="N352" s="39"/>
      <c r="O352" s="39"/>
      <c r="P352" s="39"/>
      <c r="Q352" s="39"/>
      <c r="R352" s="39"/>
      <c r="S352" s="39"/>
      <c r="T352" s="39"/>
      <c r="U352" s="39"/>
      <c r="V352" s="39"/>
      <c r="W352" s="39"/>
      <c r="X352" s="39"/>
      <c r="Y352" s="39"/>
      <c r="Z352" s="39"/>
      <c r="AA352" s="39"/>
      <c r="AB352" s="39"/>
    </row>
    <row r="353">
      <c r="A353" s="1"/>
      <c r="B353" s="36"/>
      <c r="C353" s="36"/>
      <c r="D353" s="36"/>
      <c r="E353" s="36"/>
      <c r="F353" s="36"/>
      <c r="G353" s="36"/>
      <c r="H353" s="37"/>
      <c r="I353" s="36"/>
      <c r="J353" s="38"/>
      <c r="K353" s="38"/>
      <c r="L353" s="39"/>
      <c r="M353" s="39"/>
      <c r="N353" s="39"/>
      <c r="O353" s="39"/>
      <c r="P353" s="39"/>
      <c r="Q353" s="39"/>
      <c r="R353" s="39"/>
      <c r="S353" s="39"/>
      <c r="T353" s="39"/>
      <c r="U353" s="39"/>
      <c r="V353" s="39"/>
      <c r="W353" s="39"/>
      <c r="X353" s="39"/>
      <c r="Y353" s="39"/>
      <c r="Z353" s="39"/>
      <c r="AA353" s="39"/>
      <c r="AB353" s="39"/>
    </row>
    <row r="354">
      <c r="A354" s="1"/>
      <c r="B354" s="36"/>
      <c r="C354" s="36"/>
      <c r="D354" s="36"/>
      <c r="E354" s="36"/>
      <c r="F354" s="36"/>
      <c r="G354" s="36"/>
      <c r="H354" s="37"/>
      <c r="I354" s="36"/>
      <c r="J354" s="38"/>
      <c r="K354" s="38"/>
      <c r="L354" s="39"/>
      <c r="M354" s="39"/>
      <c r="N354" s="39"/>
      <c r="O354" s="39"/>
      <c r="P354" s="39"/>
      <c r="Q354" s="39"/>
      <c r="R354" s="39"/>
      <c r="S354" s="39"/>
      <c r="T354" s="39"/>
      <c r="U354" s="39"/>
      <c r="V354" s="39"/>
      <c r="W354" s="39"/>
      <c r="X354" s="39"/>
      <c r="Y354" s="39"/>
      <c r="Z354" s="39"/>
      <c r="AA354" s="39"/>
      <c r="AB354" s="39"/>
    </row>
    <row r="355">
      <c r="A355" s="1"/>
      <c r="B355" s="36"/>
      <c r="C355" s="36"/>
      <c r="D355" s="36"/>
      <c r="E355" s="36"/>
      <c r="F355" s="36"/>
      <c r="G355" s="36"/>
      <c r="H355" s="37"/>
      <c r="I355" s="36"/>
      <c r="J355" s="38"/>
      <c r="K355" s="38"/>
      <c r="L355" s="39"/>
      <c r="M355" s="39"/>
      <c r="N355" s="39"/>
      <c r="O355" s="39"/>
      <c r="P355" s="39"/>
      <c r="Q355" s="39"/>
      <c r="R355" s="39"/>
      <c r="S355" s="39"/>
      <c r="T355" s="39"/>
      <c r="U355" s="39"/>
      <c r="V355" s="39"/>
      <c r="W355" s="39"/>
      <c r="X355" s="39"/>
      <c r="Y355" s="39"/>
      <c r="Z355" s="39"/>
      <c r="AA355" s="39"/>
      <c r="AB355" s="39"/>
    </row>
    <row r="356">
      <c r="A356" s="1"/>
      <c r="B356" s="36"/>
      <c r="C356" s="36"/>
      <c r="D356" s="36"/>
      <c r="E356" s="36"/>
      <c r="F356" s="36"/>
      <c r="G356" s="36"/>
      <c r="H356" s="37"/>
      <c r="I356" s="36"/>
      <c r="J356" s="38"/>
      <c r="K356" s="38"/>
      <c r="L356" s="39"/>
      <c r="M356" s="39"/>
      <c r="N356" s="39"/>
      <c r="O356" s="39"/>
      <c r="P356" s="39"/>
      <c r="Q356" s="39"/>
      <c r="R356" s="39"/>
      <c r="S356" s="39"/>
      <c r="T356" s="39"/>
      <c r="U356" s="39"/>
      <c r="V356" s="39"/>
      <c r="W356" s="39"/>
      <c r="X356" s="39"/>
      <c r="Y356" s="39"/>
      <c r="Z356" s="39"/>
      <c r="AA356" s="39"/>
      <c r="AB356" s="39"/>
    </row>
    <row r="357">
      <c r="A357" s="1"/>
      <c r="B357" s="36"/>
      <c r="C357" s="36"/>
      <c r="D357" s="36"/>
      <c r="E357" s="36"/>
      <c r="F357" s="36"/>
      <c r="G357" s="36"/>
      <c r="H357" s="37"/>
      <c r="I357" s="36"/>
      <c r="J357" s="38"/>
      <c r="K357" s="38"/>
      <c r="L357" s="39"/>
      <c r="M357" s="39"/>
      <c r="N357" s="39"/>
      <c r="O357" s="39"/>
      <c r="P357" s="39"/>
      <c r="Q357" s="39"/>
      <c r="R357" s="39"/>
      <c r="S357" s="39"/>
      <c r="T357" s="39"/>
      <c r="U357" s="39"/>
      <c r="V357" s="39"/>
      <c r="W357" s="39"/>
      <c r="X357" s="39"/>
      <c r="Y357" s="39"/>
      <c r="Z357" s="39"/>
      <c r="AA357" s="39"/>
      <c r="AB357" s="39"/>
    </row>
    <row r="358">
      <c r="A358" s="1"/>
      <c r="B358" s="36"/>
      <c r="C358" s="36"/>
      <c r="D358" s="36"/>
      <c r="E358" s="36"/>
      <c r="F358" s="36"/>
      <c r="G358" s="36"/>
      <c r="H358" s="37"/>
      <c r="I358" s="36"/>
      <c r="J358" s="38"/>
      <c r="K358" s="38"/>
      <c r="L358" s="39"/>
      <c r="M358" s="39"/>
      <c r="N358" s="39"/>
      <c r="O358" s="39"/>
      <c r="P358" s="39"/>
      <c r="Q358" s="39"/>
      <c r="R358" s="39"/>
      <c r="S358" s="39"/>
      <c r="T358" s="39"/>
      <c r="U358" s="39"/>
      <c r="V358" s="39"/>
      <c r="W358" s="39"/>
      <c r="X358" s="39"/>
      <c r="Y358" s="39"/>
      <c r="Z358" s="39"/>
      <c r="AA358" s="39"/>
      <c r="AB358" s="39"/>
    </row>
    <row r="359">
      <c r="A359" s="1"/>
      <c r="B359" s="36"/>
      <c r="C359" s="36"/>
      <c r="D359" s="36"/>
      <c r="E359" s="36"/>
      <c r="F359" s="36"/>
      <c r="G359" s="36"/>
      <c r="H359" s="37"/>
      <c r="I359" s="36"/>
      <c r="J359" s="38"/>
      <c r="K359" s="38"/>
      <c r="L359" s="39"/>
      <c r="M359" s="39"/>
      <c r="N359" s="39"/>
      <c r="O359" s="39"/>
      <c r="P359" s="39"/>
      <c r="Q359" s="39"/>
      <c r="R359" s="39"/>
      <c r="S359" s="39"/>
      <c r="T359" s="39"/>
      <c r="U359" s="39"/>
      <c r="V359" s="39"/>
      <c r="W359" s="39"/>
      <c r="X359" s="39"/>
      <c r="Y359" s="39"/>
      <c r="Z359" s="39"/>
      <c r="AA359" s="39"/>
      <c r="AB359" s="39"/>
    </row>
    <row r="360">
      <c r="A360" s="1"/>
      <c r="B360" s="36"/>
      <c r="C360" s="36"/>
      <c r="D360" s="36"/>
      <c r="E360" s="36"/>
      <c r="F360" s="36"/>
      <c r="G360" s="36"/>
      <c r="H360" s="37"/>
      <c r="I360" s="36"/>
      <c r="J360" s="38"/>
      <c r="K360" s="38"/>
      <c r="L360" s="39"/>
      <c r="M360" s="39"/>
      <c r="N360" s="39"/>
      <c r="O360" s="39"/>
      <c r="P360" s="39"/>
      <c r="Q360" s="39"/>
      <c r="R360" s="39"/>
      <c r="S360" s="39"/>
      <c r="T360" s="39"/>
      <c r="U360" s="39"/>
      <c r="V360" s="39"/>
      <c r="W360" s="39"/>
      <c r="X360" s="39"/>
      <c r="Y360" s="39"/>
      <c r="Z360" s="39"/>
      <c r="AA360" s="39"/>
      <c r="AB360" s="39"/>
    </row>
    <row r="361">
      <c r="A361" s="1"/>
      <c r="B361" s="36"/>
      <c r="C361" s="36"/>
      <c r="D361" s="36"/>
      <c r="E361" s="36"/>
      <c r="F361" s="36"/>
      <c r="G361" s="36"/>
      <c r="H361" s="37"/>
      <c r="I361" s="36"/>
      <c r="J361" s="38"/>
      <c r="K361" s="38"/>
      <c r="L361" s="39"/>
      <c r="M361" s="39"/>
      <c r="N361" s="39"/>
      <c r="O361" s="39"/>
      <c r="P361" s="39"/>
      <c r="Q361" s="39"/>
      <c r="R361" s="39"/>
      <c r="S361" s="39"/>
      <c r="T361" s="39"/>
      <c r="U361" s="39"/>
      <c r="V361" s="39"/>
      <c r="W361" s="39"/>
      <c r="X361" s="39"/>
      <c r="Y361" s="39"/>
      <c r="Z361" s="39"/>
      <c r="AA361" s="39"/>
      <c r="AB361" s="39"/>
    </row>
    <row r="362">
      <c r="A362" s="1"/>
      <c r="B362" s="36"/>
      <c r="C362" s="36"/>
      <c r="D362" s="36"/>
      <c r="E362" s="36"/>
      <c r="F362" s="36"/>
      <c r="G362" s="36"/>
      <c r="H362" s="37"/>
      <c r="I362" s="36"/>
      <c r="J362" s="38"/>
      <c r="K362" s="38"/>
      <c r="L362" s="39"/>
      <c r="M362" s="39"/>
      <c r="N362" s="39"/>
      <c r="O362" s="39"/>
      <c r="P362" s="39"/>
      <c r="Q362" s="39"/>
      <c r="R362" s="39"/>
      <c r="S362" s="39"/>
      <c r="T362" s="39"/>
      <c r="U362" s="39"/>
      <c r="V362" s="39"/>
      <c r="W362" s="39"/>
      <c r="X362" s="39"/>
      <c r="Y362" s="39"/>
      <c r="Z362" s="39"/>
      <c r="AA362" s="39"/>
      <c r="AB362" s="39"/>
    </row>
    <row r="363">
      <c r="A363" s="1"/>
      <c r="B363" s="36"/>
      <c r="C363" s="36"/>
      <c r="D363" s="36"/>
      <c r="E363" s="36"/>
      <c r="F363" s="36"/>
      <c r="G363" s="36"/>
      <c r="H363" s="37"/>
      <c r="I363" s="36"/>
      <c r="J363" s="38"/>
      <c r="K363" s="38"/>
      <c r="L363" s="39"/>
      <c r="M363" s="39"/>
      <c r="N363" s="39"/>
      <c r="O363" s="39"/>
      <c r="P363" s="39"/>
      <c r="Q363" s="39"/>
      <c r="R363" s="39"/>
      <c r="S363" s="39"/>
      <c r="T363" s="39"/>
      <c r="U363" s="39"/>
      <c r="V363" s="39"/>
      <c r="W363" s="39"/>
      <c r="X363" s="39"/>
      <c r="Y363" s="39"/>
      <c r="Z363" s="39"/>
      <c r="AA363" s="39"/>
      <c r="AB363" s="39"/>
    </row>
    <row r="364">
      <c r="A364" s="1"/>
      <c r="B364" s="36"/>
      <c r="C364" s="36"/>
      <c r="D364" s="36"/>
      <c r="E364" s="36"/>
      <c r="F364" s="36"/>
      <c r="G364" s="36"/>
      <c r="H364" s="37"/>
      <c r="I364" s="36"/>
      <c r="J364" s="38"/>
      <c r="K364" s="38"/>
      <c r="L364" s="39"/>
      <c r="M364" s="39"/>
      <c r="N364" s="39"/>
      <c r="O364" s="39"/>
      <c r="P364" s="39"/>
      <c r="Q364" s="39"/>
      <c r="R364" s="39"/>
      <c r="S364" s="39"/>
      <c r="T364" s="39"/>
      <c r="U364" s="39"/>
      <c r="V364" s="39"/>
      <c r="W364" s="39"/>
      <c r="X364" s="39"/>
      <c r="Y364" s="39"/>
      <c r="Z364" s="39"/>
      <c r="AA364" s="39"/>
      <c r="AB364" s="39"/>
    </row>
    <row r="365">
      <c r="A365" s="1"/>
      <c r="B365" s="36"/>
      <c r="C365" s="36"/>
      <c r="D365" s="36"/>
      <c r="E365" s="36"/>
      <c r="F365" s="36"/>
      <c r="G365" s="36"/>
      <c r="H365" s="37"/>
      <c r="I365" s="36"/>
      <c r="J365" s="38"/>
      <c r="K365" s="38"/>
      <c r="L365" s="39"/>
      <c r="M365" s="39"/>
      <c r="N365" s="39"/>
      <c r="O365" s="39"/>
      <c r="P365" s="39"/>
      <c r="Q365" s="39"/>
      <c r="R365" s="39"/>
      <c r="S365" s="39"/>
      <c r="T365" s="39"/>
      <c r="U365" s="39"/>
      <c r="V365" s="39"/>
      <c r="W365" s="39"/>
      <c r="X365" s="39"/>
      <c r="Y365" s="39"/>
      <c r="Z365" s="39"/>
      <c r="AA365" s="39"/>
      <c r="AB365" s="39"/>
    </row>
    <row r="366">
      <c r="A366" s="1"/>
      <c r="B366" s="36"/>
      <c r="C366" s="36"/>
      <c r="D366" s="36"/>
      <c r="E366" s="36"/>
      <c r="F366" s="36"/>
      <c r="G366" s="36"/>
      <c r="H366" s="37"/>
      <c r="I366" s="36"/>
      <c r="J366" s="38"/>
      <c r="K366" s="38"/>
      <c r="L366" s="39"/>
      <c r="M366" s="39"/>
      <c r="N366" s="39"/>
      <c r="O366" s="39"/>
      <c r="P366" s="39"/>
      <c r="Q366" s="39"/>
      <c r="R366" s="39"/>
      <c r="S366" s="39"/>
      <c r="T366" s="39"/>
      <c r="U366" s="39"/>
      <c r="V366" s="39"/>
      <c r="W366" s="39"/>
      <c r="X366" s="39"/>
      <c r="Y366" s="39"/>
      <c r="Z366" s="39"/>
      <c r="AA366" s="39"/>
      <c r="AB366" s="39"/>
    </row>
    <row r="367">
      <c r="A367" s="1"/>
      <c r="B367" s="36"/>
      <c r="C367" s="36"/>
      <c r="D367" s="36"/>
      <c r="E367" s="36"/>
      <c r="F367" s="36"/>
      <c r="G367" s="36"/>
      <c r="H367" s="37"/>
      <c r="I367" s="36"/>
      <c r="J367" s="38"/>
      <c r="K367" s="38"/>
      <c r="L367" s="39"/>
      <c r="M367" s="39"/>
      <c r="N367" s="39"/>
      <c r="O367" s="39"/>
      <c r="P367" s="39"/>
      <c r="Q367" s="39"/>
      <c r="R367" s="39"/>
      <c r="S367" s="39"/>
      <c r="T367" s="39"/>
      <c r="U367" s="39"/>
      <c r="V367" s="39"/>
      <c r="W367" s="39"/>
      <c r="X367" s="39"/>
      <c r="Y367" s="39"/>
      <c r="Z367" s="39"/>
      <c r="AA367" s="39"/>
      <c r="AB367" s="39"/>
    </row>
    <row r="368">
      <c r="A368" s="1"/>
      <c r="B368" s="36"/>
      <c r="C368" s="36"/>
      <c r="D368" s="36"/>
      <c r="E368" s="36"/>
      <c r="F368" s="36"/>
      <c r="G368" s="36"/>
      <c r="H368" s="37"/>
      <c r="I368" s="36"/>
      <c r="J368" s="38"/>
      <c r="K368" s="38"/>
      <c r="L368" s="39"/>
      <c r="M368" s="39"/>
      <c r="N368" s="39"/>
      <c r="O368" s="39"/>
      <c r="P368" s="39"/>
      <c r="Q368" s="39"/>
      <c r="R368" s="39"/>
      <c r="S368" s="39"/>
      <c r="T368" s="39"/>
      <c r="U368" s="39"/>
      <c r="V368" s="39"/>
      <c r="W368" s="39"/>
      <c r="X368" s="39"/>
      <c r="Y368" s="39"/>
      <c r="Z368" s="39"/>
      <c r="AA368" s="39"/>
      <c r="AB368" s="39"/>
    </row>
    <row r="369">
      <c r="A369" s="1"/>
      <c r="B369" s="36"/>
      <c r="C369" s="36"/>
      <c r="D369" s="36"/>
      <c r="E369" s="36"/>
      <c r="F369" s="36"/>
      <c r="G369" s="36"/>
      <c r="H369" s="37"/>
      <c r="I369" s="36"/>
      <c r="J369" s="38"/>
      <c r="K369" s="38"/>
      <c r="L369" s="39"/>
      <c r="M369" s="39"/>
      <c r="N369" s="39"/>
      <c r="O369" s="39"/>
      <c r="P369" s="39"/>
      <c r="Q369" s="39"/>
      <c r="R369" s="39"/>
      <c r="S369" s="39"/>
      <c r="T369" s="39"/>
      <c r="U369" s="39"/>
      <c r="V369" s="39"/>
      <c r="W369" s="39"/>
      <c r="X369" s="39"/>
      <c r="Y369" s="39"/>
      <c r="Z369" s="39"/>
      <c r="AA369" s="39"/>
      <c r="AB369" s="39"/>
    </row>
    <row r="370">
      <c r="A370" s="1"/>
      <c r="B370" s="36"/>
      <c r="C370" s="36"/>
      <c r="D370" s="36"/>
      <c r="E370" s="36"/>
      <c r="F370" s="36"/>
      <c r="G370" s="36"/>
      <c r="H370" s="37"/>
      <c r="I370" s="36"/>
      <c r="J370" s="38"/>
      <c r="K370" s="38"/>
      <c r="L370" s="39"/>
      <c r="M370" s="39"/>
      <c r="N370" s="39"/>
      <c r="O370" s="39"/>
      <c r="P370" s="39"/>
      <c r="Q370" s="39"/>
      <c r="R370" s="39"/>
      <c r="S370" s="39"/>
      <c r="T370" s="39"/>
      <c r="U370" s="39"/>
      <c r="V370" s="39"/>
      <c r="W370" s="39"/>
      <c r="X370" s="39"/>
      <c r="Y370" s="39"/>
      <c r="Z370" s="39"/>
      <c r="AA370" s="39"/>
      <c r="AB370" s="39"/>
    </row>
    <row r="371">
      <c r="A371" s="1"/>
      <c r="B371" s="36"/>
      <c r="C371" s="36"/>
      <c r="D371" s="36"/>
      <c r="E371" s="36"/>
      <c r="F371" s="36"/>
      <c r="G371" s="36"/>
      <c r="H371" s="37"/>
      <c r="I371" s="36"/>
      <c r="J371" s="38"/>
      <c r="K371" s="38"/>
      <c r="L371" s="39"/>
      <c r="M371" s="39"/>
      <c r="N371" s="39"/>
      <c r="O371" s="39"/>
      <c r="P371" s="39"/>
      <c r="Q371" s="39"/>
      <c r="R371" s="39"/>
      <c r="S371" s="39"/>
      <c r="T371" s="39"/>
      <c r="U371" s="39"/>
      <c r="V371" s="39"/>
      <c r="W371" s="39"/>
      <c r="X371" s="39"/>
      <c r="Y371" s="39"/>
      <c r="Z371" s="39"/>
      <c r="AA371" s="39"/>
      <c r="AB371" s="39"/>
    </row>
    <row r="372">
      <c r="A372" s="1"/>
      <c r="B372" s="36"/>
      <c r="C372" s="36"/>
      <c r="D372" s="36"/>
      <c r="E372" s="36"/>
      <c r="F372" s="36"/>
      <c r="G372" s="36"/>
      <c r="H372" s="37"/>
      <c r="I372" s="36"/>
      <c r="J372" s="38"/>
      <c r="K372" s="38"/>
      <c r="L372" s="39"/>
      <c r="M372" s="39"/>
      <c r="N372" s="39"/>
      <c r="O372" s="39"/>
      <c r="P372" s="39"/>
      <c r="Q372" s="39"/>
      <c r="R372" s="39"/>
      <c r="S372" s="39"/>
      <c r="T372" s="39"/>
      <c r="U372" s="39"/>
      <c r="V372" s="39"/>
      <c r="W372" s="39"/>
      <c r="X372" s="39"/>
      <c r="Y372" s="39"/>
      <c r="Z372" s="39"/>
      <c r="AA372" s="39"/>
      <c r="AB372" s="39"/>
    </row>
    <row r="373">
      <c r="A373" s="1"/>
      <c r="B373" s="36"/>
      <c r="C373" s="36"/>
      <c r="D373" s="36"/>
      <c r="E373" s="36"/>
      <c r="F373" s="36"/>
      <c r="G373" s="36"/>
      <c r="H373" s="37"/>
      <c r="I373" s="36"/>
      <c r="J373" s="38"/>
      <c r="K373" s="38"/>
      <c r="L373" s="39"/>
      <c r="M373" s="39"/>
      <c r="N373" s="39"/>
      <c r="O373" s="39"/>
      <c r="P373" s="39"/>
      <c r="Q373" s="39"/>
      <c r="R373" s="39"/>
      <c r="S373" s="39"/>
      <c r="T373" s="39"/>
      <c r="U373" s="39"/>
      <c r="V373" s="39"/>
      <c r="W373" s="39"/>
      <c r="X373" s="39"/>
      <c r="Y373" s="39"/>
      <c r="Z373" s="39"/>
      <c r="AA373" s="39"/>
      <c r="AB373" s="39"/>
    </row>
    <row r="374">
      <c r="A374" s="1"/>
      <c r="B374" s="36"/>
      <c r="C374" s="36"/>
      <c r="D374" s="36"/>
      <c r="E374" s="36"/>
      <c r="F374" s="36"/>
      <c r="G374" s="36"/>
      <c r="H374" s="37"/>
      <c r="I374" s="36"/>
      <c r="J374" s="38"/>
      <c r="K374" s="38"/>
      <c r="L374" s="39"/>
      <c r="M374" s="39"/>
      <c r="N374" s="39"/>
      <c r="O374" s="39"/>
      <c r="P374" s="39"/>
      <c r="Q374" s="39"/>
      <c r="R374" s="39"/>
      <c r="S374" s="39"/>
      <c r="T374" s="39"/>
      <c r="U374" s="39"/>
      <c r="V374" s="39"/>
      <c r="W374" s="39"/>
      <c r="X374" s="39"/>
      <c r="Y374" s="39"/>
      <c r="Z374" s="39"/>
      <c r="AA374" s="39"/>
      <c r="AB374" s="39"/>
    </row>
    <row r="375">
      <c r="A375" s="1"/>
      <c r="B375" s="36"/>
      <c r="C375" s="36"/>
      <c r="D375" s="36"/>
      <c r="E375" s="36"/>
      <c r="F375" s="36"/>
      <c r="G375" s="36"/>
      <c r="H375" s="37"/>
      <c r="I375" s="36"/>
      <c r="J375" s="38"/>
      <c r="K375" s="38"/>
      <c r="L375" s="39"/>
      <c r="M375" s="39"/>
      <c r="N375" s="39"/>
      <c r="O375" s="39"/>
      <c r="P375" s="39"/>
      <c r="Q375" s="39"/>
      <c r="R375" s="39"/>
      <c r="S375" s="39"/>
      <c r="T375" s="39"/>
      <c r="U375" s="39"/>
      <c r="V375" s="39"/>
      <c r="W375" s="39"/>
      <c r="X375" s="39"/>
      <c r="Y375" s="39"/>
      <c r="Z375" s="39"/>
      <c r="AA375" s="39"/>
      <c r="AB375" s="39"/>
    </row>
    <row r="376">
      <c r="A376" s="1"/>
      <c r="B376" s="36"/>
      <c r="C376" s="36"/>
      <c r="D376" s="36"/>
      <c r="E376" s="36"/>
      <c r="F376" s="36"/>
      <c r="G376" s="36"/>
      <c r="H376" s="37"/>
      <c r="I376" s="36"/>
      <c r="J376" s="38"/>
      <c r="K376" s="38"/>
      <c r="L376" s="39"/>
      <c r="M376" s="39"/>
      <c r="N376" s="39"/>
      <c r="O376" s="39"/>
      <c r="P376" s="39"/>
      <c r="Q376" s="39"/>
      <c r="R376" s="39"/>
      <c r="S376" s="39"/>
      <c r="T376" s="39"/>
      <c r="U376" s="39"/>
      <c r="V376" s="39"/>
      <c r="W376" s="39"/>
      <c r="X376" s="39"/>
      <c r="Y376" s="39"/>
      <c r="Z376" s="39"/>
      <c r="AA376" s="39"/>
      <c r="AB376" s="39"/>
    </row>
    <row r="377">
      <c r="A377" s="1"/>
      <c r="B377" s="36"/>
      <c r="C377" s="36"/>
      <c r="D377" s="36"/>
      <c r="E377" s="36"/>
      <c r="F377" s="36"/>
      <c r="G377" s="36"/>
      <c r="H377" s="37"/>
      <c r="I377" s="36"/>
      <c r="J377" s="38"/>
      <c r="K377" s="38"/>
      <c r="L377" s="39"/>
      <c r="M377" s="39"/>
      <c r="N377" s="39"/>
      <c r="O377" s="39"/>
      <c r="P377" s="39"/>
      <c r="Q377" s="39"/>
      <c r="R377" s="39"/>
      <c r="S377" s="39"/>
      <c r="T377" s="39"/>
      <c r="U377" s="39"/>
      <c r="V377" s="39"/>
      <c r="W377" s="39"/>
      <c r="X377" s="39"/>
      <c r="Y377" s="39"/>
      <c r="Z377" s="39"/>
      <c r="AA377" s="39"/>
      <c r="AB377" s="39"/>
    </row>
    <row r="378">
      <c r="A378" s="1"/>
      <c r="B378" s="36"/>
      <c r="C378" s="36"/>
      <c r="D378" s="36"/>
      <c r="E378" s="36"/>
      <c r="F378" s="36"/>
      <c r="G378" s="36"/>
      <c r="H378" s="37"/>
      <c r="I378" s="36"/>
      <c r="J378" s="38"/>
      <c r="K378" s="38"/>
      <c r="L378" s="39"/>
      <c r="M378" s="39"/>
      <c r="N378" s="39"/>
      <c r="O378" s="39"/>
      <c r="P378" s="39"/>
      <c r="Q378" s="39"/>
      <c r="R378" s="39"/>
      <c r="S378" s="39"/>
      <c r="T378" s="39"/>
      <c r="U378" s="39"/>
      <c r="V378" s="39"/>
      <c r="W378" s="39"/>
      <c r="X378" s="39"/>
      <c r="Y378" s="39"/>
      <c r="Z378" s="39"/>
      <c r="AA378" s="39"/>
      <c r="AB378" s="39"/>
    </row>
    <row r="379">
      <c r="A379" s="1"/>
      <c r="B379" s="36"/>
      <c r="C379" s="36"/>
      <c r="D379" s="36"/>
      <c r="E379" s="36"/>
      <c r="F379" s="36"/>
      <c r="G379" s="36"/>
      <c r="H379" s="37"/>
      <c r="I379" s="36"/>
      <c r="J379" s="38"/>
      <c r="K379" s="38"/>
      <c r="L379" s="39"/>
      <c r="M379" s="39"/>
      <c r="N379" s="39"/>
      <c r="O379" s="39"/>
      <c r="P379" s="39"/>
      <c r="Q379" s="39"/>
      <c r="R379" s="39"/>
      <c r="S379" s="39"/>
      <c r="T379" s="39"/>
      <c r="U379" s="39"/>
      <c r="V379" s="39"/>
      <c r="W379" s="39"/>
      <c r="X379" s="39"/>
      <c r="Y379" s="39"/>
      <c r="Z379" s="39"/>
      <c r="AA379" s="39"/>
      <c r="AB379" s="39"/>
    </row>
    <row r="380">
      <c r="A380" s="1"/>
      <c r="B380" s="36"/>
      <c r="C380" s="36"/>
      <c r="D380" s="36"/>
      <c r="E380" s="36"/>
      <c r="F380" s="36"/>
      <c r="G380" s="36"/>
      <c r="H380" s="37"/>
      <c r="I380" s="36"/>
      <c r="J380" s="38"/>
      <c r="K380" s="38"/>
      <c r="L380" s="39"/>
      <c r="M380" s="39"/>
      <c r="N380" s="39"/>
      <c r="O380" s="39"/>
      <c r="P380" s="39"/>
      <c r="Q380" s="39"/>
      <c r="R380" s="39"/>
      <c r="S380" s="39"/>
      <c r="T380" s="39"/>
      <c r="U380" s="39"/>
      <c r="V380" s="39"/>
      <c r="W380" s="39"/>
      <c r="X380" s="39"/>
      <c r="Y380" s="39"/>
      <c r="Z380" s="39"/>
      <c r="AA380" s="39"/>
      <c r="AB380" s="39"/>
    </row>
    <row r="381">
      <c r="A381" s="1"/>
      <c r="B381" s="36"/>
      <c r="C381" s="36"/>
      <c r="D381" s="36"/>
      <c r="E381" s="36"/>
      <c r="F381" s="36"/>
      <c r="G381" s="36"/>
      <c r="H381" s="37"/>
      <c r="I381" s="36"/>
      <c r="J381" s="38"/>
      <c r="K381" s="38"/>
      <c r="L381" s="39"/>
      <c r="M381" s="39"/>
      <c r="N381" s="39"/>
      <c r="O381" s="39"/>
      <c r="P381" s="39"/>
      <c r="Q381" s="39"/>
      <c r="R381" s="39"/>
      <c r="S381" s="39"/>
      <c r="T381" s="39"/>
      <c r="U381" s="39"/>
      <c r="V381" s="39"/>
      <c r="W381" s="39"/>
      <c r="X381" s="39"/>
      <c r="Y381" s="39"/>
      <c r="Z381" s="39"/>
      <c r="AA381" s="39"/>
      <c r="AB381" s="39"/>
    </row>
    <row r="382">
      <c r="A382" s="1"/>
      <c r="B382" s="36"/>
      <c r="C382" s="36"/>
      <c r="D382" s="36"/>
      <c r="E382" s="36"/>
      <c r="F382" s="36"/>
      <c r="G382" s="36"/>
      <c r="H382" s="37"/>
      <c r="I382" s="36"/>
      <c r="J382" s="38"/>
      <c r="K382" s="38"/>
      <c r="L382" s="39"/>
      <c r="M382" s="39"/>
      <c r="N382" s="39"/>
      <c r="O382" s="39"/>
      <c r="P382" s="39"/>
      <c r="Q382" s="39"/>
      <c r="R382" s="39"/>
      <c r="S382" s="39"/>
      <c r="T382" s="39"/>
      <c r="U382" s="39"/>
      <c r="V382" s="39"/>
      <c r="W382" s="39"/>
      <c r="X382" s="39"/>
      <c r="Y382" s="39"/>
      <c r="Z382" s="39"/>
      <c r="AA382" s="39"/>
      <c r="AB382" s="39"/>
    </row>
    <row r="383">
      <c r="A383" s="1"/>
      <c r="B383" s="36"/>
      <c r="C383" s="36"/>
      <c r="D383" s="36"/>
      <c r="E383" s="36"/>
      <c r="F383" s="36"/>
      <c r="G383" s="36"/>
      <c r="H383" s="37"/>
      <c r="I383" s="36"/>
      <c r="J383" s="38"/>
      <c r="K383" s="38"/>
      <c r="L383" s="39"/>
      <c r="M383" s="39"/>
      <c r="N383" s="39"/>
      <c r="O383" s="39"/>
      <c r="P383" s="39"/>
      <c r="Q383" s="39"/>
      <c r="R383" s="39"/>
      <c r="S383" s="39"/>
      <c r="T383" s="39"/>
      <c r="U383" s="39"/>
      <c r="V383" s="39"/>
      <c r="W383" s="39"/>
      <c r="X383" s="39"/>
      <c r="Y383" s="39"/>
      <c r="Z383" s="39"/>
      <c r="AA383" s="39"/>
      <c r="AB383" s="39"/>
    </row>
    <row r="384">
      <c r="A384" s="1"/>
      <c r="B384" s="36"/>
      <c r="C384" s="36"/>
      <c r="D384" s="36"/>
      <c r="E384" s="36"/>
      <c r="F384" s="36"/>
      <c r="G384" s="36"/>
      <c r="H384" s="37"/>
      <c r="I384" s="36"/>
      <c r="J384" s="38"/>
      <c r="K384" s="38"/>
      <c r="L384" s="39"/>
      <c r="M384" s="39"/>
      <c r="N384" s="39"/>
      <c r="O384" s="39"/>
      <c r="P384" s="39"/>
      <c r="Q384" s="39"/>
      <c r="R384" s="39"/>
      <c r="S384" s="39"/>
      <c r="T384" s="39"/>
      <c r="U384" s="39"/>
      <c r="V384" s="39"/>
      <c r="W384" s="39"/>
      <c r="X384" s="39"/>
      <c r="Y384" s="39"/>
      <c r="Z384" s="39"/>
      <c r="AA384" s="39"/>
      <c r="AB384" s="39"/>
    </row>
    <row r="385">
      <c r="A385" s="1"/>
      <c r="B385" s="36"/>
      <c r="C385" s="36"/>
      <c r="D385" s="36"/>
      <c r="E385" s="36"/>
      <c r="F385" s="36"/>
      <c r="G385" s="36"/>
      <c r="H385" s="37"/>
      <c r="I385" s="36"/>
      <c r="J385" s="38"/>
      <c r="K385" s="38"/>
      <c r="L385" s="39"/>
      <c r="M385" s="39"/>
      <c r="N385" s="39"/>
      <c r="O385" s="39"/>
      <c r="P385" s="39"/>
      <c r="Q385" s="39"/>
      <c r="R385" s="39"/>
      <c r="S385" s="39"/>
      <c r="T385" s="39"/>
      <c r="U385" s="39"/>
      <c r="V385" s="39"/>
      <c r="W385" s="39"/>
      <c r="X385" s="39"/>
      <c r="Y385" s="39"/>
      <c r="Z385" s="39"/>
      <c r="AA385" s="39"/>
      <c r="AB385" s="39"/>
    </row>
    <row r="386">
      <c r="A386" s="1"/>
      <c r="B386" s="36"/>
      <c r="C386" s="36"/>
      <c r="D386" s="36"/>
      <c r="E386" s="36"/>
      <c r="F386" s="36"/>
      <c r="G386" s="36"/>
      <c r="H386" s="37"/>
      <c r="I386" s="36"/>
      <c r="J386" s="38"/>
      <c r="K386" s="38"/>
      <c r="L386" s="39"/>
      <c r="M386" s="39"/>
      <c r="N386" s="39"/>
      <c r="O386" s="39"/>
      <c r="P386" s="39"/>
      <c r="Q386" s="39"/>
      <c r="R386" s="39"/>
      <c r="S386" s="39"/>
      <c r="T386" s="39"/>
      <c r="U386" s="39"/>
      <c r="V386" s="39"/>
      <c r="W386" s="39"/>
      <c r="X386" s="39"/>
      <c r="Y386" s="39"/>
      <c r="Z386" s="39"/>
      <c r="AA386" s="39"/>
      <c r="AB386" s="39"/>
    </row>
    <row r="387">
      <c r="A387" s="1"/>
      <c r="B387" s="36"/>
      <c r="C387" s="36"/>
      <c r="D387" s="36"/>
      <c r="E387" s="36"/>
      <c r="F387" s="36"/>
      <c r="G387" s="36"/>
      <c r="H387" s="37"/>
      <c r="I387" s="36"/>
      <c r="J387" s="38"/>
      <c r="K387" s="38"/>
      <c r="L387" s="39"/>
      <c r="M387" s="39"/>
      <c r="N387" s="39"/>
      <c r="O387" s="39"/>
      <c r="P387" s="39"/>
      <c r="Q387" s="39"/>
      <c r="R387" s="39"/>
      <c r="S387" s="39"/>
      <c r="T387" s="39"/>
      <c r="U387" s="39"/>
      <c r="V387" s="39"/>
      <c r="W387" s="39"/>
      <c r="X387" s="39"/>
      <c r="Y387" s="39"/>
      <c r="Z387" s="39"/>
      <c r="AA387" s="39"/>
      <c r="AB387" s="39"/>
    </row>
    <row r="388">
      <c r="A388" s="1"/>
      <c r="B388" s="36"/>
      <c r="C388" s="36"/>
      <c r="D388" s="36"/>
      <c r="E388" s="36"/>
      <c r="F388" s="36"/>
      <c r="G388" s="36"/>
      <c r="H388" s="37"/>
      <c r="I388" s="36"/>
      <c r="J388" s="38"/>
      <c r="K388" s="38"/>
      <c r="L388" s="39"/>
      <c r="M388" s="39"/>
      <c r="N388" s="39"/>
      <c r="O388" s="39"/>
      <c r="P388" s="39"/>
      <c r="Q388" s="39"/>
      <c r="R388" s="39"/>
      <c r="S388" s="39"/>
      <c r="T388" s="39"/>
      <c r="U388" s="39"/>
      <c r="V388" s="39"/>
      <c r="W388" s="39"/>
      <c r="X388" s="39"/>
      <c r="Y388" s="39"/>
      <c r="Z388" s="39"/>
      <c r="AA388" s="39"/>
      <c r="AB388" s="39"/>
    </row>
    <row r="389">
      <c r="A389" s="1"/>
      <c r="B389" s="36"/>
      <c r="C389" s="36"/>
      <c r="D389" s="36"/>
      <c r="E389" s="36"/>
      <c r="F389" s="36"/>
      <c r="G389" s="36"/>
      <c r="H389" s="37"/>
      <c r="I389" s="36"/>
      <c r="J389" s="38"/>
      <c r="K389" s="38"/>
      <c r="L389" s="39"/>
      <c r="M389" s="39"/>
      <c r="N389" s="39"/>
      <c r="O389" s="39"/>
      <c r="P389" s="39"/>
      <c r="Q389" s="39"/>
      <c r="R389" s="39"/>
      <c r="S389" s="39"/>
      <c r="T389" s="39"/>
      <c r="U389" s="39"/>
      <c r="V389" s="39"/>
      <c r="W389" s="39"/>
      <c r="X389" s="39"/>
      <c r="Y389" s="39"/>
      <c r="Z389" s="39"/>
      <c r="AA389" s="39"/>
      <c r="AB389" s="39"/>
    </row>
    <row r="390">
      <c r="A390" s="1"/>
      <c r="B390" s="36"/>
      <c r="C390" s="36"/>
      <c r="D390" s="36"/>
      <c r="E390" s="36"/>
      <c r="F390" s="36"/>
      <c r="G390" s="36"/>
      <c r="H390" s="37"/>
      <c r="I390" s="36"/>
      <c r="J390" s="38"/>
      <c r="K390" s="38"/>
      <c r="L390" s="39"/>
      <c r="M390" s="39"/>
      <c r="N390" s="39"/>
      <c r="O390" s="39"/>
      <c r="P390" s="39"/>
      <c r="Q390" s="39"/>
      <c r="R390" s="39"/>
      <c r="S390" s="39"/>
      <c r="T390" s="39"/>
      <c r="U390" s="39"/>
      <c r="V390" s="39"/>
      <c r="W390" s="39"/>
      <c r="X390" s="39"/>
      <c r="Y390" s="39"/>
      <c r="Z390" s="39"/>
      <c r="AA390" s="39"/>
      <c r="AB390" s="39"/>
    </row>
    <row r="391">
      <c r="A391" s="1"/>
      <c r="B391" s="36"/>
      <c r="C391" s="36"/>
      <c r="D391" s="36"/>
      <c r="E391" s="36"/>
      <c r="F391" s="36"/>
      <c r="G391" s="36"/>
      <c r="H391" s="37"/>
      <c r="I391" s="36"/>
      <c r="J391" s="38"/>
      <c r="K391" s="38"/>
      <c r="L391" s="39"/>
      <c r="M391" s="39"/>
      <c r="N391" s="39"/>
      <c r="O391" s="39"/>
      <c r="P391" s="39"/>
      <c r="Q391" s="39"/>
      <c r="R391" s="39"/>
      <c r="S391" s="39"/>
      <c r="T391" s="39"/>
      <c r="U391" s="39"/>
      <c r="V391" s="39"/>
      <c r="W391" s="39"/>
      <c r="X391" s="39"/>
      <c r="Y391" s="39"/>
      <c r="Z391" s="39"/>
      <c r="AA391" s="39"/>
      <c r="AB391" s="39"/>
    </row>
    <row r="392">
      <c r="A392" s="1"/>
      <c r="B392" s="36"/>
      <c r="C392" s="36"/>
      <c r="D392" s="36"/>
      <c r="E392" s="36"/>
      <c r="F392" s="36"/>
      <c r="G392" s="36"/>
      <c r="H392" s="37"/>
      <c r="I392" s="36"/>
      <c r="J392" s="38"/>
      <c r="K392" s="38"/>
      <c r="L392" s="39"/>
      <c r="M392" s="39"/>
      <c r="N392" s="39"/>
      <c r="O392" s="39"/>
      <c r="P392" s="39"/>
      <c r="Q392" s="39"/>
      <c r="R392" s="39"/>
      <c r="S392" s="39"/>
      <c r="T392" s="39"/>
      <c r="U392" s="39"/>
      <c r="V392" s="39"/>
      <c r="W392" s="39"/>
      <c r="X392" s="39"/>
      <c r="Y392" s="39"/>
      <c r="Z392" s="39"/>
      <c r="AA392" s="39"/>
      <c r="AB392" s="39"/>
    </row>
    <row r="393">
      <c r="A393" s="1"/>
      <c r="B393" s="36"/>
      <c r="C393" s="36"/>
      <c r="D393" s="36"/>
      <c r="E393" s="36"/>
      <c r="F393" s="36"/>
      <c r="G393" s="36"/>
      <c r="H393" s="37"/>
      <c r="I393" s="36"/>
      <c r="J393" s="38"/>
      <c r="K393" s="38"/>
      <c r="L393" s="39"/>
      <c r="M393" s="39"/>
      <c r="N393" s="39"/>
      <c r="O393" s="39"/>
      <c r="P393" s="39"/>
      <c r="Q393" s="39"/>
      <c r="R393" s="39"/>
      <c r="S393" s="39"/>
      <c r="T393" s="39"/>
      <c r="U393" s="39"/>
      <c r="V393" s="39"/>
      <c r="W393" s="39"/>
      <c r="X393" s="39"/>
      <c r="Y393" s="39"/>
      <c r="Z393" s="39"/>
      <c r="AA393" s="39"/>
      <c r="AB393" s="39"/>
    </row>
    <row r="394">
      <c r="A394" s="1"/>
      <c r="B394" s="36"/>
      <c r="C394" s="36"/>
      <c r="D394" s="36"/>
      <c r="E394" s="36"/>
      <c r="F394" s="36"/>
      <c r="G394" s="36"/>
      <c r="H394" s="37"/>
      <c r="I394" s="36"/>
      <c r="J394" s="38"/>
      <c r="K394" s="38"/>
      <c r="L394" s="39"/>
      <c r="M394" s="39"/>
      <c r="N394" s="39"/>
      <c r="O394" s="39"/>
      <c r="P394" s="39"/>
      <c r="Q394" s="39"/>
      <c r="R394" s="39"/>
      <c r="S394" s="39"/>
      <c r="T394" s="39"/>
      <c r="U394" s="39"/>
      <c r="V394" s="39"/>
      <c r="W394" s="39"/>
      <c r="X394" s="39"/>
      <c r="Y394" s="39"/>
      <c r="Z394" s="39"/>
      <c r="AA394" s="39"/>
      <c r="AB394" s="39"/>
    </row>
    <row r="395">
      <c r="A395" s="1"/>
      <c r="B395" s="36"/>
      <c r="C395" s="36"/>
      <c r="D395" s="36"/>
      <c r="E395" s="36"/>
      <c r="F395" s="36"/>
      <c r="G395" s="36"/>
      <c r="H395" s="37"/>
      <c r="I395" s="36"/>
      <c r="J395" s="38"/>
      <c r="K395" s="38"/>
      <c r="L395" s="39"/>
      <c r="M395" s="39"/>
      <c r="N395" s="39"/>
      <c r="O395" s="39"/>
      <c r="P395" s="39"/>
      <c r="Q395" s="39"/>
      <c r="R395" s="39"/>
      <c r="S395" s="39"/>
      <c r="T395" s="39"/>
      <c r="U395" s="39"/>
      <c r="V395" s="39"/>
      <c r="W395" s="39"/>
      <c r="X395" s="39"/>
      <c r="Y395" s="39"/>
      <c r="Z395" s="39"/>
      <c r="AA395" s="39"/>
      <c r="AB395" s="39"/>
    </row>
    <row r="396">
      <c r="A396" s="1"/>
      <c r="B396" s="36"/>
      <c r="C396" s="36"/>
      <c r="D396" s="36"/>
      <c r="E396" s="36"/>
      <c r="F396" s="36"/>
      <c r="G396" s="36"/>
      <c r="H396" s="37"/>
      <c r="I396" s="36"/>
      <c r="J396" s="38"/>
      <c r="K396" s="38"/>
      <c r="L396" s="39"/>
      <c r="M396" s="39"/>
      <c r="N396" s="39"/>
      <c r="O396" s="39"/>
      <c r="P396" s="39"/>
      <c r="Q396" s="39"/>
      <c r="R396" s="39"/>
      <c r="S396" s="39"/>
      <c r="T396" s="39"/>
      <c r="U396" s="39"/>
      <c r="V396" s="39"/>
      <c r="W396" s="39"/>
      <c r="X396" s="39"/>
      <c r="Y396" s="39"/>
      <c r="Z396" s="39"/>
      <c r="AA396" s="39"/>
      <c r="AB396" s="39"/>
    </row>
    <row r="397">
      <c r="A397" s="1"/>
      <c r="B397" s="36"/>
      <c r="C397" s="36"/>
      <c r="D397" s="36"/>
      <c r="E397" s="36"/>
      <c r="F397" s="36"/>
      <c r="G397" s="36"/>
      <c r="H397" s="37"/>
      <c r="I397" s="36"/>
      <c r="J397" s="38"/>
      <c r="K397" s="38"/>
      <c r="L397" s="39"/>
      <c r="M397" s="39"/>
      <c r="N397" s="39"/>
      <c r="O397" s="39"/>
      <c r="P397" s="39"/>
      <c r="Q397" s="39"/>
      <c r="R397" s="39"/>
      <c r="S397" s="39"/>
      <c r="T397" s="39"/>
      <c r="U397" s="39"/>
      <c r="V397" s="39"/>
      <c r="W397" s="39"/>
      <c r="X397" s="39"/>
      <c r="Y397" s="39"/>
      <c r="Z397" s="39"/>
      <c r="AA397" s="39"/>
      <c r="AB397" s="39"/>
    </row>
    <row r="398">
      <c r="A398" s="1"/>
      <c r="B398" s="36"/>
      <c r="C398" s="36"/>
      <c r="D398" s="36"/>
      <c r="E398" s="36"/>
      <c r="F398" s="36"/>
      <c r="G398" s="36"/>
      <c r="H398" s="37"/>
      <c r="I398" s="36"/>
      <c r="J398" s="38"/>
      <c r="K398" s="38"/>
      <c r="L398" s="39"/>
      <c r="M398" s="39"/>
      <c r="N398" s="39"/>
      <c r="O398" s="39"/>
      <c r="P398" s="39"/>
      <c r="Q398" s="39"/>
      <c r="R398" s="39"/>
      <c r="S398" s="39"/>
      <c r="T398" s="39"/>
      <c r="U398" s="39"/>
      <c r="V398" s="39"/>
      <c r="W398" s="39"/>
      <c r="X398" s="39"/>
      <c r="Y398" s="39"/>
      <c r="Z398" s="39"/>
      <c r="AA398" s="39"/>
      <c r="AB398" s="39"/>
    </row>
    <row r="399">
      <c r="A399" s="1"/>
      <c r="B399" s="36"/>
      <c r="C399" s="36"/>
      <c r="D399" s="36"/>
      <c r="E399" s="36"/>
      <c r="F399" s="36"/>
      <c r="G399" s="36"/>
      <c r="H399" s="37"/>
      <c r="I399" s="36"/>
      <c r="J399" s="38"/>
      <c r="K399" s="38"/>
      <c r="L399" s="39"/>
      <c r="M399" s="39"/>
      <c r="N399" s="39"/>
      <c r="O399" s="39"/>
      <c r="P399" s="39"/>
      <c r="Q399" s="39"/>
      <c r="R399" s="39"/>
      <c r="S399" s="39"/>
      <c r="T399" s="39"/>
      <c r="U399" s="39"/>
      <c r="V399" s="39"/>
      <c r="W399" s="39"/>
      <c r="X399" s="39"/>
      <c r="Y399" s="39"/>
      <c r="Z399" s="39"/>
      <c r="AA399" s="39"/>
      <c r="AB399" s="39"/>
    </row>
    <row r="400">
      <c r="A400" s="1"/>
      <c r="B400" s="36"/>
      <c r="C400" s="36"/>
      <c r="D400" s="36"/>
      <c r="E400" s="36"/>
      <c r="F400" s="36"/>
      <c r="G400" s="36"/>
      <c r="H400" s="37"/>
      <c r="I400" s="36"/>
      <c r="J400" s="38"/>
      <c r="K400" s="38"/>
      <c r="L400" s="39"/>
      <c r="M400" s="39"/>
      <c r="N400" s="39"/>
      <c r="O400" s="39"/>
      <c r="P400" s="39"/>
      <c r="Q400" s="39"/>
      <c r="R400" s="39"/>
      <c r="S400" s="39"/>
      <c r="T400" s="39"/>
      <c r="U400" s="39"/>
      <c r="V400" s="39"/>
      <c r="W400" s="39"/>
      <c r="X400" s="39"/>
      <c r="Y400" s="39"/>
      <c r="Z400" s="39"/>
      <c r="AA400" s="39"/>
      <c r="AB400" s="39"/>
    </row>
    <row r="401">
      <c r="A401" s="1"/>
      <c r="B401" s="36"/>
      <c r="C401" s="36"/>
      <c r="D401" s="36"/>
      <c r="E401" s="36"/>
      <c r="F401" s="36"/>
      <c r="G401" s="36"/>
      <c r="H401" s="37"/>
      <c r="I401" s="36"/>
      <c r="J401" s="38"/>
      <c r="K401" s="38"/>
      <c r="L401" s="39"/>
      <c r="M401" s="39"/>
      <c r="N401" s="39"/>
      <c r="O401" s="39"/>
      <c r="P401" s="39"/>
      <c r="Q401" s="39"/>
      <c r="R401" s="39"/>
      <c r="S401" s="39"/>
      <c r="T401" s="39"/>
      <c r="U401" s="39"/>
      <c r="V401" s="39"/>
      <c r="W401" s="39"/>
      <c r="X401" s="39"/>
      <c r="Y401" s="39"/>
      <c r="Z401" s="39"/>
      <c r="AA401" s="39"/>
      <c r="AB401" s="39"/>
    </row>
    <row r="402">
      <c r="A402" s="1"/>
      <c r="B402" s="36"/>
      <c r="C402" s="36"/>
      <c r="D402" s="36"/>
      <c r="E402" s="36"/>
      <c r="F402" s="36"/>
      <c r="G402" s="36"/>
      <c r="H402" s="37"/>
      <c r="I402" s="36"/>
      <c r="J402" s="38"/>
      <c r="K402" s="38"/>
      <c r="L402" s="39"/>
      <c r="M402" s="39"/>
      <c r="N402" s="39"/>
      <c r="O402" s="39"/>
      <c r="P402" s="39"/>
      <c r="Q402" s="39"/>
      <c r="R402" s="39"/>
      <c r="S402" s="39"/>
      <c r="T402" s="39"/>
      <c r="U402" s="39"/>
      <c r="V402" s="39"/>
      <c r="W402" s="39"/>
      <c r="X402" s="39"/>
      <c r="Y402" s="39"/>
      <c r="Z402" s="39"/>
      <c r="AA402" s="39"/>
      <c r="AB402" s="39"/>
    </row>
    <row r="403">
      <c r="A403" s="1"/>
      <c r="B403" s="36"/>
      <c r="C403" s="36"/>
      <c r="D403" s="36"/>
      <c r="E403" s="36"/>
      <c r="F403" s="36"/>
      <c r="G403" s="36"/>
      <c r="H403" s="37"/>
      <c r="I403" s="36"/>
      <c r="J403" s="38"/>
      <c r="K403" s="38"/>
      <c r="L403" s="39"/>
      <c r="M403" s="39"/>
      <c r="N403" s="39"/>
      <c r="O403" s="39"/>
      <c r="P403" s="39"/>
      <c r="Q403" s="39"/>
      <c r="R403" s="39"/>
      <c r="S403" s="39"/>
      <c r="T403" s="39"/>
      <c r="U403" s="39"/>
      <c r="V403" s="39"/>
      <c r="W403" s="39"/>
      <c r="X403" s="39"/>
      <c r="Y403" s="39"/>
      <c r="Z403" s="39"/>
      <c r="AA403" s="39"/>
      <c r="AB403" s="39"/>
    </row>
    <row r="404">
      <c r="A404" s="1"/>
      <c r="B404" s="36"/>
      <c r="C404" s="36"/>
      <c r="D404" s="36"/>
      <c r="E404" s="36"/>
      <c r="F404" s="36"/>
      <c r="G404" s="36"/>
      <c r="H404" s="37"/>
      <c r="I404" s="36"/>
      <c r="J404" s="38"/>
      <c r="K404" s="38"/>
      <c r="L404" s="39"/>
      <c r="M404" s="39"/>
      <c r="N404" s="39"/>
      <c r="O404" s="39"/>
      <c r="P404" s="39"/>
      <c r="Q404" s="39"/>
      <c r="R404" s="39"/>
      <c r="S404" s="39"/>
      <c r="T404" s="39"/>
      <c r="U404" s="39"/>
      <c r="V404" s="39"/>
      <c r="W404" s="39"/>
      <c r="X404" s="39"/>
      <c r="Y404" s="39"/>
      <c r="Z404" s="39"/>
      <c r="AA404" s="39"/>
      <c r="AB404" s="39"/>
    </row>
    <row r="405">
      <c r="A405" s="1"/>
      <c r="B405" s="36"/>
      <c r="C405" s="36"/>
      <c r="D405" s="36"/>
      <c r="E405" s="36"/>
      <c r="F405" s="36"/>
      <c r="G405" s="36"/>
      <c r="H405" s="37"/>
      <c r="I405" s="36"/>
      <c r="J405" s="38"/>
      <c r="K405" s="38"/>
      <c r="L405" s="39"/>
      <c r="M405" s="39"/>
      <c r="N405" s="39"/>
      <c r="O405" s="39"/>
      <c r="P405" s="39"/>
      <c r="Q405" s="39"/>
      <c r="R405" s="39"/>
      <c r="S405" s="39"/>
      <c r="T405" s="39"/>
      <c r="U405" s="39"/>
      <c r="V405" s="39"/>
      <c r="W405" s="39"/>
      <c r="X405" s="39"/>
      <c r="Y405" s="39"/>
      <c r="Z405" s="39"/>
      <c r="AA405" s="39"/>
      <c r="AB405" s="39"/>
    </row>
    <row r="406">
      <c r="A406" s="1"/>
      <c r="B406" s="36"/>
      <c r="C406" s="36"/>
      <c r="D406" s="36"/>
      <c r="E406" s="36"/>
      <c r="F406" s="36"/>
      <c r="G406" s="36"/>
      <c r="H406" s="37"/>
      <c r="I406" s="36"/>
      <c r="J406" s="38"/>
      <c r="K406" s="38"/>
      <c r="L406" s="39"/>
      <c r="M406" s="39"/>
      <c r="N406" s="39"/>
      <c r="O406" s="39"/>
      <c r="P406" s="39"/>
      <c r="Q406" s="39"/>
      <c r="R406" s="39"/>
      <c r="S406" s="39"/>
      <c r="T406" s="39"/>
      <c r="U406" s="39"/>
      <c r="V406" s="39"/>
      <c r="W406" s="39"/>
      <c r="X406" s="39"/>
      <c r="Y406" s="39"/>
      <c r="Z406" s="39"/>
      <c r="AA406" s="39"/>
      <c r="AB406" s="39"/>
    </row>
    <row r="407">
      <c r="A407" s="1"/>
      <c r="B407" s="36"/>
      <c r="C407" s="36"/>
      <c r="D407" s="36"/>
      <c r="E407" s="36"/>
      <c r="F407" s="36"/>
      <c r="G407" s="36"/>
      <c r="H407" s="37"/>
      <c r="I407" s="36"/>
      <c r="J407" s="38"/>
      <c r="K407" s="38"/>
      <c r="L407" s="39"/>
      <c r="M407" s="39"/>
      <c r="N407" s="39"/>
      <c r="O407" s="39"/>
      <c r="P407" s="39"/>
      <c r="Q407" s="39"/>
      <c r="R407" s="39"/>
      <c r="S407" s="39"/>
      <c r="T407" s="39"/>
      <c r="U407" s="39"/>
      <c r="V407" s="39"/>
      <c r="W407" s="39"/>
      <c r="X407" s="39"/>
      <c r="Y407" s="39"/>
      <c r="Z407" s="39"/>
      <c r="AA407" s="39"/>
      <c r="AB407" s="39"/>
    </row>
    <row r="408">
      <c r="A408" s="1"/>
      <c r="B408" s="36"/>
      <c r="C408" s="36"/>
      <c r="D408" s="36"/>
      <c r="E408" s="36"/>
      <c r="F408" s="36"/>
      <c r="G408" s="36"/>
      <c r="H408" s="37"/>
      <c r="I408" s="36"/>
      <c r="J408" s="38"/>
      <c r="K408" s="38"/>
      <c r="L408" s="39"/>
      <c r="M408" s="39"/>
      <c r="N408" s="39"/>
      <c r="O408" s="39"/>
      <c r="P408" s="39"/>
      <c r="Q408" s="39"/>
      <c r="R408" s="39"/>
      <c r="S408" s="39"/>
      <c r="T408" s="39"/>
      <c r="U408" s="39"/>
      <c r="V408" s="39"/>
      <c r="W408" s="39"/>
      <c r="X408" s="39"/>
      <c r="Y408" s="39"/>
      <c r="Z408" s="39"/>
      <c r="AA408" s="39"/>
      <c r="AB408" s="39"/>
    </row>
    <row r="409">
      <c r="A409" s="1"/>
      <c r="B409" s="36"/>
      <c r="C409" s="36"/>
      <c r="D409" s="36"/>
      <c r="E409" s="36"/>
      <c r="F409" s="36"/>
      <c r="G409" s="36"/>
      <c r="H409" s="37"/>
      <c r="I409" s="36"/>
      <c r="J409" s="38"/>
      <c r="K409" s="38"/>
      <c r="L409" s="39"/>
      <c r="M409" s="39"/>
      <c r="N409" s="39"/>
      <c r="O409" s="39"/>
      <c r="P409" s="39"/>
      <c r="Q409" s="39"/>
      <c r="R409" s="39"/>
      <c r="S409" s="39"/>
      <c r="T409" s="39"/>
      <c r="U409" s="39"/>
      <c r="V409" s="39"/>
      <c r="W409" s="39"/>
      <c r="X409" s="39"/>
      <c r="Y409" s="39"/>
      <c r="Z409" s="39"/>
      <c r="AA409" s="39"/>
      <c r="AB409" s="39"/>
    </row>
    <row r="410">
      <c r="A410" s="1"/>
      <c r="B410" s="36"/>
      <c r="C410" s="36"/>
      <c r="D410" s="36"/>
      <c r="E410" s="36"/>
      <c r="F410" s="36"/>
      <c r="G410" s="36"/>
      <c r="H410" s="37"/>
      <c r="I410" s="36"/>
      <c r="J410" s="38"/>
      <c r="K410" s="38"/>
      <c r="L410" s="39"/>
      <c r="M410" s="39"/>
      <c r="N410" s="39"/>
      <c r="O410" s="39"/>
      <c r="P410" s="39"/>
      <c r="Q410" s="39"/>
      <c r="R410" s="39"/>
      <c r="S410" s="39"/>
      <c r="T410" s="39"/>
      <c r="U410" s="39"/>
      <c r="V410" s="39"/>
      <c r="W410" s="39"/>
      <c r="X410" s="39"/>
      <c r="Y410" s="39"/>
      <c r="Z410" s="39"/>
      <c r="AA410" s="39"/>
      <c r="AB410" s="39"/>
    </row>
    <row r="411">
      <c r="A411" s="1"/>
      <c r="B411" s="36"/>
      <c r="C411" s="36"/>
      <c r="D411" s="36"/>
      <c r="E411" s="36"/>
      <c r="F411" s="36"/>
      <c r="G411" s="36"/>
      <c r="H411" s="37"/>
      <c r="I411" s="36"/>
      <c r="J411" s="38"/>
      <c r="K411" s="38"/>
      <c r="L411" s="39"/>
      <c r="M411" s="39"/>
      <c r="N411" s="39"/>
      <c r="O411" s="39"/>
      <c r="P411" s="39"/>
      <c r="Q411" s="39"/>
      <c r="R411" s="39"/>
      <c r="S411" s="39"/>
      <c r="T411" s="39"/>
      <c r="U411" s="39"/>
      <c r="V411" s="39"/>
      <c r="W411" s="39"/>
      <c r="X411" s="39"/>
      <c r="Y411" s="39"/>
      <c r="Z411" s="39"/>
      <c r="AA411" s="39"/>
      <c r="AB411" s="39"/>
    </row>
    <row r="412">
      <c r="A412" s="1"/>
      <c r="B412" s="36"/>
      <c r="C412" s="36"/>
      <c r="D412" s="36"/>
      <c r="E412" s="36"/>
      <c r="F412" s="36"/>
      <c r="G412" s="36"/>
      <c r="H412" s="37"/>
      <c r="I412" s="36"/>
      <c r="J412" s="38"/>
      <c r="K412" s="38"/>
      <c r="L412" s="39"/>
      <c r="M412" s="39"/>
      <c r="N412" s="39"/>
      <c r="O412" s="39"/>
      <c r="P412" s="39"/>
      <c r="Q412" s="39"/>
      <c r="R412" s="39"/>
      <c r="S412" s="39"/>
      <c r="T412" s="39"/>
      <c r="U412" s="39"/>
      <c r="V412" s="39"/>
      <c r="W412" s="39"/>
      <c r="X412" s="39"/>
      <c r="Y412" s="39"/>
      <c r="Z412" s="39"/>
      <c r="AA412" s="39"/>
      <c r="AB412" s="39"/>
    </row>
    <row r="413">
      <c r="A413" s="1"/>
      <c r="B413" s="36"/>
      <c r="C413" s="36"/>
      <c r="D413" s="36"/>
      <c r="E413" s="36"/>
      <c r="F413" s="36"/>
      <c r="G413" s="36"/>
      <c r="H413" s="37"/>
      <c r="I413" s="36"/>
      <c r="J413" s="38"/>
      <c r="K413" s="38"/>
      <c r="L413" s="39"/>
      <c r="M413" s="39"/>
      <c r="N413" s="39"/>
      <c r="O413" s="39"/>
      <c r="P413" s="39"/>
      <c r="Q413" s="39"/>
      <c r="R413" s="39"/>
      <c r="S413" s="39"/>
      <c r="T413" s="39"/>
      <c r="U413" s="39"/>
      <c r="V413" s="39"/>
      <c r="W413" s="39"/>
      <c r="X413" s="39"/>
      <c r="Y413" s="39"/>
      <c r="Z413" s="39"/>
      <c r="AA413" s="39"/>
      <c r="AB413" s="39"/>
    </row>
    <row r="414">
      <c r="A414" s="1"/>
      <c r="B414" s="36"/>
      <c r="C414" s="36"/>
      <c r="D414" s="36"/>
      <c r="E414" s="36"/>
      <c r="F414" s="36"/>
      <c r="G414" s="36"/>
      <c r="H414" s="37"/>
      <c r="I414" s="36"/>
      <c r="J414" s="38"/>
      <c r="K414" s="38"/>
      <c r="L414" s="39"/>
      <c r="M414" s="39"/>
      <c r="N414" s="39"/>
      <c r="O414" s="39"/>
      <c r="P414" s="39"/>
      <c r="Q414" s="39"/>
      <c r="R414" s="39"/>
      <c r="S414" s="39"/>
      <c r="T414" s="39"/>
      <c r="U414" s="39"/>
      <c r="V414" s="39"/>
      <c r="W414" s="39"/>
      <c r="X414" s="39"/>
      <c r="Y414" s="39"/>
      <c r="Z414" s="39"/>
      <c r="AA414" s="39"/>
      <c r="AB414" s="39"/>
    </row>
    <row r="415">
      <c r="A415" s="1"/>
      <c r="B415" s="36"/>
      <c r="C415" s="36"/>
      <c r="D415" s="36"/>
      <c r="E415" s="36"/>
      <c r="F415" s="36"/>
      <c r="G415" s="36"/>
      <c r="H415" s="37"/>
      <c r="I415" s="36"/>
      <c r="J415" s="38"/>
      <c r="K415" s="38"/>
      <c r="L415" s="39"/>
      <c r="M415" s="39"/>
      <c r="N415" s="39"/>
      <c r="O415" s="39"/>
      <c r="P415" s="39"/>
      <c r="Q415" s="39"/>
      <c r="R415" s="39"/>
      <c r="S415" s="39"/>
      <c r="T415" s="39"/>
      <c r="U415" s="39"/>
      <c r="V415" s="39"/>
      <c r="W415" s="39"/>
      <c r="X415" s="39"/>
      <c r="Y415" s="39"/>
      <c r="Z415" s="39"/>
      <c r="AA415" s="39"/>
      <c r="AB415" s="39"/>
    </row>
    <row r="416">
      <c r="A416" s="1"/>
      <c r="B416" s="36"/>
      <c r="C416" s="36"/>
      <c r="D416" s="36"/>
      <c r="E416" s="36"/>
      <c r="F416" s="36"/>
      <c r="G416" s="36"/>
      <c r="H416" s="37"/>
      <c r="I416" s="36"/>
      <c r="J416" s="38"/>
      <c r="K416" s="38"/>
      <c r="L416" s="39"/>
      <c r="M416" s="39"/>
      <c r="N416" s="39"/>
      <c r="O416" s="39"/>
      <c r="P416" s="39"/>
      <c r="Q416" s="39"/>
      <c r="R416" s="39"/>
      <c r="S416" s="39"/>
      <c r="T416" s="39"/>
      <c r="U416" s="39"/>
      <c r="V416" s="39"/>
      <c r="W416" s="39"/>
      <c r="X416" s="39"/>
      <c r="Y416" s="39"/>
      <c r="Z416" s="39"/>
      <c r="AA416" s="39"/>
      <c r="AB416" s="39"/>
    </row>
    <row r="417">
      <c r="A417" s="1"/>
      <c r="B417" s="36"/>
      <c r="C417" s="36"/>
      <c r="D417" s="36"/>
      <c r="E417" s="36"/>
      <c r="F417" s="36"/>
      <c r="G417" s="36"/>
      <c r="H417" s="37"/>
      <c r="I417" s="36"/>
      <c r="J417" s="38"/>
      <c r="K417" s="38"/>
      <c r="L417" s="39"/>
      <c r="M417" s="39"/>
      <c r="N417" s="39"/>
      <c r="O417" s="39"/>
      <c r="P417" s="39"/>
      <c r="Q417" s="39"/>
      <c r="R417" s="39"/>
      <c r="S417" s="39"/>
      <c r="T417" s="39"/>
      <c r="U417" s="39"/>
      <c r="V417" s="39"/>
      <c r="W417" s="39"/>
      <c r="X417" s="39"/>
      <c r="Y417" s="39"/>
      <c r="Z417" s="39"/>
      <c r="AA417" s="39"/>
      <c r="AB417" s="39"/>
    </row>
    <row r="418">
      <c r="A418" s="1"/>
      <c r="B418" s="36"/>
      <c r="C418" s="36"/>
      <c r="D418" s="36"/>
      <c r="E418" s="36"/>
      <c r="F418" s="36"/>
      <c r="G418" s="36"/>
      <c r="H418" s="37"/>
      <c r="I418" s="36"/>
      <c r="J418" s="38"/>
      <c r="K418" s="38"/>
      <c r="L418" s="39"/>
      <c r="M418" s="39"/>
      <c r="N418" s="39"/>
      <c r="O418" s="39"/>
      <c r="P418" s="39"/>
      <c r="Q418" s="39"/>
      <c r="R418" s="39"/>
      <c r="S418" s="39"/>
      <c r="T418" s="39"/>
      <c r="U418" s="39"/>
      <c r="V418" s="39"/>
      <c r="W418" s="39"/>
      <c r="X418" s="39"/>
      <c r="Y418" s="39"/>
      <c r="Z418" s="39"/>
      <c r="AA418" s="39"/>
      <c r="AB418" s="39"/>
    </row>
    <row r="419">
      <c r="A419" s="1"/>
      <c r="B419" s="36"/>
      <c r="C419" s="36"/>
      <c r="D419" s="36"/>
      <c r="E419" s="36"/>
      <c r="F419" s="36"/>
      <c r="G419" s="36"/>
      <c r="H419" s="37"/>
      <c r="I419" s="36"/>
      <c r="J419" s="38"/>
      <c r="K419" s="38"/>
      <c r="L419" s="39"/>
      <c r="M419" s="39"/>
      <c r="N419" s="39"/>
      <c r="O419" s="39"/>
      <c r="P419" s="39"/>
      <c r="Q419" s="39"/>
      <c r="R419" s="39"/>
      <c r="S419" s="39"/>
      <c r="T419" s="39"/>
      <c r="U419" s="39"/>
      <c r="V419" s="39"/>
      <c r="W419" s="39"/>
      <c r="X419" s="39"/>
      <c r="Y419" s="39"/>
      <c r="Z419" s="39"/>
      <c r="AA419" s="39"/>
      <c r="AB419" s="39"/>
    </row>
    <row r="420">
      <c r="A420" s="1"/>
      <c r="B420" s="36"/>
      <c r="C420" s="36"/>
      <c r="D420" s="36"/>
      <c r="E420" s="36"/>
      <c r="F420" s="36"/>
      <c r="G420" s="36"/>
      <c r="H420" s="37"/>
      <c r="I420" s="36"/>
      <c r="J420" s="38"/>
      <c r="K420" s="38"/>
      <c r="L420" s="39"/>
      <c r="M420" s="39"/>
      <c r="N420" s="39"/>
      <c r="O420" s="39"/>
      <c r="P420" s="39"/>
      <c r="Q420" s="39"/>
      <c r="R420" s="39"/>
      <c r="S420" s="39"/>
      <c r="T420" s="39"/>
      <c r="U420" s="39"/>
      <c r="V420" s="39"/>
      <c r="W420" s="39"/>
      <c r="X420" s="39"/>
      <c r="Y420" s="39"/>
      <c r="Z420" s="39"/>
      <c r="AA420" s="39"/>
      <c r="AB420" s="39"/>
    </row>
    <row r="421">
      <c r="A421" s="1"/>
      <c r="B421" s="36"/>
      <c r="C421" s="36"/>
      <c r="D421" s="36"/>
      <c r="E421" s="36"/>
      <c r="F421" s="36"/>
      <c r="G421" s="36"/>
      <c r="H421" s="37"/>
      <c r="I421" s="36"/>
      <c r="J421" s="38"/>
      <c r="K421" s="38"/>
      <c r="L421" s="39"/>
      <c r="M421" s="39"/>
      <c r="N421" s="39"/>
      <c r="O421" s="39"/>
      <c r="P421" s="39"/>
      <c r="Q421" s="39"/>
      <c r="R421" s="39"/>
      <c r="S421" s="39"/>
      <c r="T421" s="39"/>
      <c r="U421" s="39"/>
      <c r="V421" s="39"/>
      <c r="W421" s="39"/>
      <c r="X421" s="39"/>
      <c r="Y421" s="39"/>
      <c r="Z421" s="39"/>
      <c r="AA421" s="39"/>
      <c r="AB421" s="39"/>
    </row>
    <row r="422">
      <c r="A422" s="1"/>
      <c r="B422" s="36"/>
      <c r="C422" s="36"/>
      <c r="D422" s="36"/>
      <c r="E422" s="36"/>
      <c r="F422" s="36"/>
      <c r="G422" s="36"/>
      <c r="H422" s="37"/>
      <c r="I422" s="36"/>
      <c r="J422" s="38"/>
      <c r="K422" s="38"/>
      <c r="L422" s="39"/>
      <c r="M422" s="39"/>
      <c r="N422" s="39"/>
      <c r="O422" s="39"/>
      <c r="P422" s="39"/>
      <c r="Q422" s="39"/>
      <c r="R422" s="39"/>
      <c r="S422" s="39"/>
      <c r="T422" s="39"/>
      <c r="U422" s="39"/>
      <c r="V422" s="39"/>
      <c r="W422" s="39"/>
      <c r="X422" s="39"/>
      <c r="Y422" s="39"/>
      <c r="Z422" s="39"/>
      <c r="AA422" s="39"/>
      <c r="AB422" s="39"/>
    </row>
    <row r="423">
      <c r="A423" s="1"/>
      <c r="B423" s="36"/>
      <c r="C423" s="36"/>
      <c r="D423" s="36"/>
      <c r="E423" s="36"/>
      <c r="F423" s="36"/>
      <c r="G423" s="36"/>
      <c r="H423" s="37"/>
      <c r="I423" s="36"/>
      <c r="J423" s="38"/>
      <c r="K423" s="38"/>
      <c r="L423" s="39"/>
      <c r="M423" s="39"/>
      <c r="N423" s="39"/>
      <c r="O423" s="39"/>
      <c r="P423" s="39"/>
      <c r="Q423" s="39"/>
      <c r="R423" s="39"/>
      <c r="S423" s="39"/>
      <c r="T423" s="39"/>
      <c r="U423" s="39"/>
      <c r="V423" s="39"/>
      <c r="W423" s="39"/>
      <c r="X423" s="39"/>
      <c r="Y423" s="39"/>
      <c r="Z423" s="39"/>
      <c r="AA423" s="39"/>
      <c r="AB423" s="39"/>
    </row>
    <row r="424">
      <c r="A424" s="1"/>
      <c r="B424" s="36"/>
      <c r="C424" s="36"/>
      <c r="D424" s="36"/>
      <c r="E424" s="36"/>
      <c r="F424" s="36"/>
      <c r="G424" s="36"/>
      <c r="H424" s="37"/>
      <c r="I424" s="36"/>
      <c r="J424" s="38"/>
      <c r="K424" s="38"/>
      <c r="L424" s="39"/>
      <c r="M424" s="39"/>
      <c r="N424" s="39"/>
      <c r="O424" s="39"/>
      <c r="P424" s="39"/>
      <c r="Q424" s="39"/>
      <c r="R424" s="39"/>
      <c r="S424" s="39"/>
      <c r="T424" s="39"/>
      <c r="U424" s="39"/>
      <c r="V424" s="39"/>
      <c r="W424" s="39"/>
      <c r="X424" s="39"/>
      <c r="Y424" s="39"/>
      <c r="Z424" s="39"/>
      <c r="AA424" s="39"/>
      <c r="AB424" s="39"/>
    </row>
    <row r="425">
      <c r="A425" s="1"/>
      <c r="B425" s="36"/>
      <c r="C425" s="36"/>
      <c r="D425" s="36"/>
      <c r="E425" s="36"/>
      <c r="F425" s="36"/>
      <c r="G425" s="36"/>
      <c r="H425" s="37"/>
      <c r="I425" s="36"/>
      <c r="J425" s="38"/>
      <c r="K425" s="38"/>
      <c r="L425" s="39"/>
      <c r="M425" s="39"/>
      <c r="N425" s="39"/>
      <c r="O425" s="39"/>
      <c r="P425" s="39"/>
      <c r="Q425" s="39"/>
      <c r="R425" s="39"/>
      <c r="S425" s="39"/>
      <c r="T425" s="39"/>
      <c r="U425" s="39"/>
      <c r="V425" s="39"/>
      <c r="W425" s="39"/>
      <c r="X425" s="39"/>
      <c r="Y425" s="39"/>
      <c r="Z425" s="39"/>
      <c r="AA425" s="39"/>
      <c r="AB425" s="39"/>
    </row>
    <row r="426">
      <c r="A426" s="1"/>
      <c r="B426" s="36"/>
      <c r="C426" s="36"/>
      <c r="D426" s="36"/>
      <c r="E426" s="36"/>
      <c r="F426" s="36"/>
      <c r="G426" s="36"/>
      <c r="H426" s="37"/>
      <c r="I426" s="36"/>
      <c r="J426" s="38"/>
      <c r="K426" s="38"/>
      <c r="L426" s="39"/>
      <c r="M426" s="39"/>
      <c r="N426" s="39"/>
      <c r="O426" s="39"/>
      <c r="P426" s="39"/>
      <c r="Q426" s="39"/>
      <c r="R426" s="39"/>
      <c r="S426" s="39"/>
      <c r="T426" s="39"/>
      <c r="U426" s="39"/>
      <c r="V426" s="39"/>
      <c r="W426" s="39"/>
      <c r="X426" s="39"/>
      <c r="Y426" s="39"/>
      <c r="Z426" s="39"/>
      <c r="AA426" s="39"/>
      <c r="AB426" s="39"/>
    </row>
    <row r="427">
      <c r="A427" s="1"/>
      <c r="B427" s="36"/>
      <c r="C427" s="36"/>
      <c r="D427" s="36"/>
      <c r="E427" s="36"/>
      <c r="F427" s="36"/>
      <c r="G427" s="36"/>
      <c r="H427" s="37"/>
      <c r="I427" s="36"/>
      <c r="J427" s="38"/>
      <c r="K427" s="38"/>
      <c r="L427" s="39"/>
      <c r="M427" s="39"/>
      <c r="N427" s="39"/>
      <c r="O427" s="39"/>
      <c r="P427" s="39"/>
      <c r="Q427" s="39"/>
      <c r="R427" s="39"/>
      <c r="S427" s="39"/>
      <c r="T427" s="39"/>
      <c r="U427" s="39"/>
      <c r="V427" s="39"/>
      <c r="W427" s="39"/>
      <c r="X427" s="39"/>
      <c r="Y427" s="39"/>
      <c r="Z427" s="39"/>
      <c r="AA427" s="39"/>
      <c r="AB427" s="39"/>
    </row>
    <row r="428">
      <c r="A428" s="1"/>
      <c r="B428" s="36"/>
      <c r="C428" s="36"/>
      <c r="D428" s="36"/>
      <c r="E428" s="36"/>
      <c r="F428" s="36"/>
      <c r="G428" s="36"/>
      <c r="H428" s="37"/>
      <c r="I428" s="36"/>
      <c r="J428" s="38"/>
      <c r="K428" s="38"/>
      <c r="L428" s="39"/>
      <c r="M428" s="39"/>
      <c r="N428" s="39"/>
      <c r="O428" s="39"/>
      <c r="P428" s="39"/>
      <c r="Q428" s="39"/>
      <c r="R428" s="39"/>
      <c r="S428" s="39"/>
      <c r="T428" s="39"/>
      <c r="U428" s="39"/>
      <c r="V428" s="39"/>
      <c r="W428" s="39"/>
      <c r="X428" s="39"/>
      <c r="Y428" s="39"/>
      <c r="Z428" s="39"/>
      <c r="AA428" s="39"/>
      <c r="AB428" s="39"/>
    </row>
    <row r="429">
      <c r="A429" s="1"/>
      <c r="B429" s="36"/>
      <c r="C429" s="36"/>
      <c r="D429" s="36"/>
      <c r="E429" s="36"/>
      <c r="F429" s="36"/>
      <c r="G429" s="36"/>
      <c r="H429" s="37"/>
      <c r="I429" s="36"/>
      <c r="J429" s="38"/>
      <c r="K429" s="38"/>
      <c r="L429" s="39"/>
      <c r="M429" s="39"/>
      <c r="N429" s="39"/>
      <c r="O429" s="39"/>
      <c r="P429" s="39"/>
      <c r="Q429" s="39"/>
      <c r="R429" s="39"/>
      <c r="S429" s="39"/>
      <c r="T429" s="39"/>
      <c r="U429" s="39"/>
      <c r="V429" s="39"/>
      <c r="W429" s="39"/>
      <c r="X429" s="39"/>
      <c r="Y429" s="39"/>
      <c r="Z429" s="39"/>
      <c r="AA429" s="39"/>
      <c r="AB429" s="39"/>
    </row>
    <row r="430">
      <c r="A430" s="1"/>
      <c r="B430" s="36"/>
      <c r="C430" s="36"/>
      <c r="D430" s="36"/>
      <c r="E430" s="36"/>
      <c r="F430" s="36"/>
      <c r="G430" s="36"/>
      <c r="H430" s="37"/>
      <c r="I430" s="36"/>
      <c r="J430" s="38"/>
      <c r="K430" s="38"/>
      <c r="L430" s="39"/>
      <c r="M430" s="39"/>
      <c r="N430" s="39"/>
      <c r="O430" s="39"/>
      <c r="P430" s="39"/>
      <c r="Q430" s="39"/>
      <c r="R430" s="39"/>
      <c r="S430" s="39"/>
      <c r="T430" s="39"/>
      <c r="U430" s="39"/>
      <c r="V430" s="39"/>
      <c r="W430" s="39"/>
      <c r="X430" s="39"/>
      <c r="Y430" s="39"/>
      <c r="Z430" s="39"/>
      <c r="AA430" s="39"/>
      <c r="AB430" s="39"/>
    </row>
    <row r="431">
      <c r="A431" s="1"/>
      <c r="B431" s="36"/>
      <c r="C431" s="36"/>
      <c r="D431" s="36"/>
      <c r="E431" s="36"/>
      <c r="F431" s="36"/>
      <c r="G431" s="36"/>
      <c r="H431" s="37"/>
      <c r="I431" s="36"/>
      <c r="J431" s="38"/>
      <c r="K431" s="38"/>
      <c r="L431" s="39"/>
      <c r="M431" s="39"/>
      <c r="N431" s="39"/>
      <c r="O431" s="39"/>
      <c r="P431" s="39"/>
      <c r="Q431" s="39"/>
      <c r="R431" s="39"/>
      <c r="S431" s="39"/>
      <c r="T431" s="39"/>
      <c r="U431" s="39"/>
      <c r="V431" s="39"/>
      <c r="W431" s="39"/>
      <c r="X431" s="39"/>
      <c r="Y431" s="39"/>
      <c r="Z431" s="39"/>
      <c r="AA431" s="39"/>
      <c r="AB431" s="39"/>
    </row>
    <row r="432">
      <c r="A432" s="1"/>
      <c r="B432" s="36"/>
      <c r="C432" s="36"/>
      <c r="D432" s="36"/>
      <c r="E432" s="36"/>
      <c r="F432" s="36"/>
      <c r="G432" s="36"/>
      <c r="H432" s="37"/>
      <c r="I432" s="36"/>
      <c r="J432" s="38"/>
      <c r="K432" s="38"/>
      <c r="L432" s="39"/>
      <c r="M432" s="39"/>
      <c r="N432" s="39"/>
      <c r="O432" s="39"/>
      <c r="P432" s="39"/>
      <c r="Q432" s="39"/>
      <c r="R432" s="39"/>
      <c r="S432" s="39"/>
      <c r="T432" s="39"/>
      <c r="U432" s="39"/>
      <c r="V432" s="39"/>
      <c r="W432" s="39"/>
      <c r="X432" s="39"/>
      <c r="Y432" s="39"/>
      <c r="Z432" s="39"/>
      <c r="AA432" s="39"/>
      <c r="AB432" s="39"/>
    </row>
    <row r="433">
      <c r="A433" s="1"/>
      <c r="B433" s="36"/>
      <c r="C433" s="36"/>
      <c r="D433" s="36"/>
      <c r="E433" s="36"/>
      <c r="F433" s="36"/>
      <c r="G433" s="36"/>
      <c r="H433" s="37"/>
      <c r="I433" s="36"/>
      <c r="J433" s="38"/>
      <c r="K433" s="38"/>
      <c r="L433" s="39"/>
      <c r="M433" s="39"/>
      <c r="N433" s="39"/>
      <c r="O433" s="39"/>
      <c r="P433" s="39"/>
      <c r="Q433" s="39"/>
      <c r="R433" s="39"/>
      <c r="S433" s="39"/>
      <c r="T433" s="39"/>
      <c r="U433" s="39"/>
      <c r="V433" s="39"/>
      <c r="W433" s="39"/>
      <c r="X433" s="39"/>
      <c r="Y433" s="39"/>
      <c r="Z433" s="39"/>
      <c r="AA433" s="39"/>
      <c r="AB433" s="39"/>
    </row>
    <row r="434">
      <c r="A434" s="1"/>
      <c r="B434" s="36"/>
      <c r="C434" s="36"/>
      <c r="D434" s="36"/>
      <c r="E434" s="36"/>
      <c r="F434" s="36"/>
      <c r="G434" s="36"/>
      <c r="H434" s="37"/>
      <c r="I434" s="36"/>
      <c r="J434" s="38"/>
      <c r="K434" s="38"/>
      <c r="L434" s="39"/>
      <c r="M434" s="39"/>
      <c r="N434" s="39"/>
      <c r="O434" s="39"/>
      <c r="P434" s="39"/>
      <c r="Q434" s="39"/>
      <c r="R434" s="39"/>
      <c r="S434" s="39"/>
      <c r="T434" s="39"/>
      <c r="U434" s="39"/>
      <c r="V434" s="39"/>
      <c r="W434" s="39"/>
      <c r="X434" s="39"/>
      <c r="Y434" s="39"/>
      <c r="Z434" s="39"/>
      <c r="AA434" s="39"/>
      <c r="AB434" s="39"/>
    </row>
    <row r="435">
      <c r="A435" s="1"/>
      <c r="B435" s="36"/>
      <c r="C435" s="36"/>
      <c r="D435" s="36"/>
      <c r="E435" s="36"/>
      <c r="F435" s="36"/>
      <c r="G435" s="36"/>
      <c r="H435" s="37"/>
      <c r="I435" s="36"/>
      <c r="J435" s="38"/>
      <c r="K435" s="38"/>
      <c r="L435" s="39"/>
      <c r="M435" s="39"/>
      <c r="N435" s="39"/>
      <c r="O435" s="39"/>
      <c r="P435" s="39"/>
      <c r="Q435" s="39"/>
      <c r="R435" s="39"/>
      <c r="S435" s="39"/>
      <c r="T435" s="39"/>
      <c r="U435" s="39"/>
      <c r="V435" s="39"/>
      <c r="W435" s="39"/>
      <c r="X435" s="39"/>
      <c r="Y435" s="39"/>
      <c r="Z435" s="39"/>
      <c r="AA435" s="39"/>
      <c r="AB435" s="39"/>
    </row>
    <row r="436">
      <c r="A436" s="1"/>
      <c r="B436" s="36"/>
      <c r="C436" s="36"/>
      <c r="D436" s="36"/>
      <c r="E436" s="36"/>
      <c r="F436" s="36"/>
      <c r="G436" s="36"/>
      <c r="H436" s="37"/>
      <c r="I436" s="36"/>
      <c r="J436" s="38"/>
      <c r="K436" s="38"/>
      <c r="L436" s="39"/>
      <c r="M436" s="39"/>
      <c r="N436" s="39"/>
      <c r="O436" s="39"/>
      <c r="P436" s="39"/>
      <c r="Q436" s="39"/>
      <c r="R436" s="39"/>
      <c r="S436" s="39"/>
      <c r="T436" s="39"/>
      <c r="U436" s="39"/>
      <c r="V436" s="39"/>
      <c r="W436" s="39"/>
      <c r="X436" s="39"/>
      <c r="Y436" s="39"/>
      <c r="Z436" s="39"/>
      <c r="AA436" s="39"/>
      <c r="AB436" s="39"/>
    </row>
    <row r="437">
      <c r="A437" s="1"/>
      <c r="B437" s="36"/>
      <c r="C437" s="36"/>
      <c r="D437" s="36"/>
      <c r="E437" s="36"/>
      <c r="F437" s="36"/>
      <c r="G437" s="36"/>
      <c r="H437" s="37"/>
      <c r="I437" s="36"/>
      <c r="J437" s="38"/>
      <c r="K437" s="38"/>
      <c r="L437" s="39"/>
      <c r="M437" s="39"/>
      <c r="N437" s="39"/>
      <c r="O437" s="39"/>
      <c r="P437" s="39"/>
      <c r="Q437" s="39"/>
      <c r="R437" s="39"/>
      <c r="S437" s="39"/>
      <c r="T437" s="39"/>
      <c r="U437" s="39"/>
      <c r="V437" s="39"/>
      <c r="W437" s="39"/>
      <c r="X437" s="39"/>
      <c r="Y437" s="39"/>
      <c r="Z437" s="39"/>
      <c r="AA437" s="39"/>
      <c r="AB437" s="39"/>
    </row>
    <row r="438">
      <c r="A438" s="1"/>
      <c r="B438" s="36"/>
      <c r="C438" s="36"/>
      <c r="D438" s="36"/>
      <c r="E438" s="36"/>
      <c r="F438" s="36"/>
      <c r="G438" s="36"/>
      <c r="H438" s="37"/>
      <c r="I438" s="36"/>
      <c r="J438" s="38"/>
      <c r="K438" s="38"/>
      <c r="L438" s="39"/>
      <c r="M438" s="39"/>
      <c r="N438" s="39"/>
      <c r="O438" s="39"/>
      <c r="P438" s="39"/>
      <c r="Q438" s="39"/>
      <c r="R438" s="39"/>
      <c r="S438" s="39"/>
      <c r="T438" s="39"/>
      <c r="U438" s="39"/>
      <c r="V438" s="39"/>
      <c r="W438" s="39"/>
      <c r="X438" s="39"/>
      <c r="Y438" s="39"/>
      <c r="Z438" s="39"/>
      <c r="AA438" s="39"/>
      <c r="AB438" s="39"/>
    </row>
    <row r="439">
      <c r="A439" s="1"/>
      <c r="B439" s="36"/>
      <c r="C439" s="36"/>
      <c r="D439" s="36"/>
      <c r="E439" s="36"/>
      <c r="F439" s="36"/>
      <c r="G439" s="36"/>
      <c r="H439" s="37"/>
      <c r="I439" s="36"/>
      <c r="J439" s="38"/>
      <c r="K439" s="38"/>
      <c r="L439" s="39"/>
      <c r="M439" s="39"/>
      <c r="N439" s="39"/>
      <c r="O439" s="39"/>
      <c r="P439" s="39"/>
      <c r="Q439" s="39"/>
      <c r="R439" s="39"/>
      <c r="S439" s="39"/>
      <c r="T439" s="39"/>
      <c r="U439" s="39"/>
      <c r="V439" s="39"/>
      <c r="W439" s="39"/>
      <c r="X439" s="39"/>
      <c r="Y439" s="39"/>
      <c r="Z439" s="39"/>
      <c r="AA439" s="39"/>
      <c r="AB439" s="39"/>
    </row>
    <row r="440">
      <c r="A440" s="1"/>
      <c r="B440" s="36"/>
      <c r="C440" s="36"/>
      <c r="D440" s="36"/>
      <c r="E440" s="36"/>
      <c r="F440" s="36"/>
      <c r="G440" s="36"/>
      <c r="H440" s="37"/>
      <c r="I440" s="36"/>
      <c r="J440" s="38"/>
      <c r="K440" s="38"/>
      <c r="L440" s="39"/>
      <c r="M440" s="39"/>
      <c r="N440" s="39"/>
      <c r="O440" s="39"/>
      <c r="P440" s="39"/>
      <c r="Q440" s="39"/>
      <c r="R440" s="39"/>
      <c r="S440" s="39"/>
      <c r="T440" s="39"/>
      <c r="U440" s="39"/>
      <c r="V440" s="39"/>
      <c r="W440" s="39"/>
      <c r="X440" s="39"/>
      <c r="Y440" s="39"/>
      <c r="Z440" s="39"/>
      <c r="AA440" s="39"/>
      <c r="AB440" s="39"/>
    </row>
    <row r="441">
      <c r="A441" s="1"/>
      <c r="B441" s="36"/>
      <c r="C441" s="36"/>
      <c r="D441" s="36"/>
      <c r="E441" s="36"/>
      <c r="F441" s="36"/>
      <c r="G441" s="36"/>
      <c r="H441" s="37"/>
      <c r="I441" s="36"/>
      <c r="J441" s="38"/>
      <c r="K441" s="38"/>
      <c r="L441" s="39"/>
      <c r="M441" s="39"/>
      <c r="N441" s="39"/>
      <c r="O441" s="39"/>
      <c r="P441" s="39"/>
      <c r="Q441" s="39"/>
      <c r="R441" s="39"/>
      <c r="S441" s="39"/>
      <c r="T441" s="39"/>
      <c r="U441" s="39"/>
      <c r="V441" s="39"/>
      <c r="W441" s="39"/>
      <c r="X441" s="39"/>
      <c r="Y441" s="39"/>
      <c r="Z441" s="39"/>
      <c r="AA441" s="39"/>
      <c r="AB441" s="39"/>
    </row>
    <row r="442">
      <c r="A442" s="1"/>
      <c r="B442" s="36"/>
      <c r="C442" s="36"/>
      <c r="D442" s="36"/>
      <c r="E442" s="36"/>
      <c r="F442" s="36"/>
      <c r="G442" s="36"/>
      <c r="H442" s="37"/>
      <c r="I442" s="36"/>
      <c r="J442" s="38"/>
      <c r="K442" s="38"/>
      <c r="L442" s="39"/>
      <c r="M442" s="39"/>
      <c r="N442" s="39"/>
      <c r="O442" s="39"/>
      <c r="P442" s="39"/>
      <c r="Q442" s="39"/>
      <c r="R442" s="39"/>
      <c r="S442" s="39"/>
      <c r="T442" s="39"/>
      <c r="U442" s="39"/>
      <c r="V442" s="39"/>
      <c r="W442" s="39"/>
      <c r="X442" s="39"/>
      <c r="Y442" s="39"/>
      <c r="Z442" s="39"/>
      <c r="AA442" s="39"/>
      <c r="AB442" s="39"/>
    </row>
    <row r="443">
      <c r="A443" s="1"/>
      <c r="B443" s="36"/>
      <c r="C443" s="36"/>
      <c r="D443" s="36"/>
      <c r="E443" s="36"/>
      <c r="F443" s="36"/>
      <c r="G443" s="36"/>
      <c r="H443" s="37"/>
      <c r="I443" s="36"/>
      <c r="J443" s="38"/>
      <c r="K443" s="38"/>
      <c r="L443" s="39"/>
      <c r="M443" s="39"/>
      <c r="N443" s="39"/>
      <c r="O443" s="39"/>
      <c r="P443" s="39"/>
      <c r="Q443" s="39"/>
      <c r="R443" s="39"/>
      <c r="S443" s="39"/>
      <c r="T443" s="39"/>
      <c r="U443" s="39"/>
      <c r="V443" s="39"/>
      <c r="W443" s="39"/>
      <c r="X443" s="39"/>
      <c r="Y443" s="39"/>
      <c r="Z443" s="39"/>
      <c r="AA443" s="39"/>
      <c r="AB443" s="39"/>
    </row>
    <row r="444">
      <c r="A444" s="1"/>
      <c r="B444" s="36"/>
      <c r="C444" s="36"/>
      <c r="D444" s="36"/>
      <c r="E444" s="36"/>
      <c r="F444" s="36"/>
      <c r="G444" s="36"/>
      <c r="H444" s="37"/>
      <c r="I444" s="36"/>
      <c r="J444" s="38"/>
      <c r="K444" s="38"/>
      <c r="L444" s="39"/>
      <c r="M444" s="39"/>
      <c r="N444" s="39"/>
      <c r="O444" s="39"/>
      <c r="P444" s="39"/>
      <c r="Q444" s="39"/>
      <c r="R444" s="39"/>
      <c r="S444" s="39"/>
      <c r="T444" s="39"/>
      <c r="U444" s="39"/>
      <c r="V444" s="39"/>
      <c r="W444" s="39"/>
      <c r="X444" s="39"/>
      <c r="Y444" s="39"/>
      <c r="Z444" s="39"/>
      <c r="AA444" s="39"/>
      <c r="AB444" s="39"/>
    </row>
    <row r="445">
      <c r="A445" s="1"/>
      <c r="B445" s="36"/>
      <c r="C445" s="36"/>
      <c r="D445" s="36"/>
      <c r="E445" s="36"/>
      <c r="F445" s="36"/>
      <c r="G445" s="36"/>
      <c r="H445" s="37"/>
      <c r="I445" s="36"/>
      <c r="J445" s="38"/>
      <c r="K445" s="38"/>
      <c r="L445" s="39"/>
      <c r="M445" s="39"/>
      <c r="N445" s="39"/>
      <c r="O445" s="39"/>
      <c r="P445" s="39"/>
      <c r="Q445" s="39"/>
      <c r="R445" s="39"/>
      <c r="S445" s="39"/>
      <c r="T445" s="39"/>
      <c r="U445" s="39"/>
      <c r="V445" s="39"/>
      <c r="W445" s="39"/>
      <c r="X445" s="39"/>
      <c r="Y445" s="39"/>
      <c r="Z445" s="39"/>
      <c r="AA445" s="39"/>
      <c r="AB445" s="39"/>
    </row>
    <row r="446">
      <c r="A446" s="1"/>
      <c r="B446" s="36"/>
      <c r="C446" s="36"/>
      <c r="D446" s="36"/>
      <c r="E446" s="36"/>
      <c r="F446" s="36"/>
      <c r="G446" s="36"/>
      <c r="H446" s="37"/>
      <c r="I446" s="36"/>
      <c r="J446" s="38"/>
      <c r="K446" s="38"/>
      <c r="L446" s="39"/>
      <c r="M446" s="39"/>
      <c r="N446" s="39"/>
      <c r="O446" s="39"/>
      <c r="P446" s="39"/>
      <c r="Q446" s="39"/>
      <c r="R446" s="39"/>
      <c r="S446" s="39"/>
      <c r="T446" s="39"/>
      <c r="U446" s="39"/>
      <c r="V446" s="39"/>
      <c r="W446" s="39"/>
      <c r="X446" s="39"/>
      <c r="Y446" s="39"/>
      <c r="Z446" s="39"/>
      <c r="AA446" s="39"/>
      <c r="AB446" s="39"/>
    </row>
    <row r="447">
      <c r="A447" s="1"/>
      <c r="B447" s="36"/>
      <c r="C447" s="36"/>
      <c r="D447" s="36"/>
      <c r="E447" s="36"/>
      <c r="F447" s="36"/>
      <c r="G447" s="36"/>
      <c r="H447" s="37"/>
      <c r="I447" s="36"/>
      <c r="J447" s="38"/>
      <c r="K447" s="38"/>
      <c r="L447" s="39"/>
      <c r="M447" s="39"/>
      <c r="N447" s="39"/>
      <c r="O447" s="39"/>
      <c r="P447" s="39"/>
      <c r="Q447" s="39"/>
      <c r="R447" s="39"/>
      <c r="S447" s="39"/>
      <c r="T447" s="39"/>
      <c r="U447" s="39"/>
      <c r="V447" s="39"/>
      <c r="W447" s="39"/>
      <c r="X447" s="39"/>
      <c r="Y447" s="39"/>
      <c r="Z447" s="39"/>
      <c r="AA447" s="39"/>
      <c r="AB447" s="39"/>
    </row>
    <row r="448">
      <c r="A448" s="1"/>
      <c r="B448" s="36"/>
      <c r="C448" s="36"/>
      <c r="D448" s="36"/>
      <c r="E448" s="36"/>
      <c r="F448" s="36"/>
      <c r="G448" s="36"/>
      <c r="H448" s="37"/>
      <c r="I448" s="36"/>
      <c r="J448" s="38"/>
      <c r="K448" s="38"/>
      <c r="L448" s="39"/>
      <c r="M448" s="39"/>
      <c r="N448" s="39"/>
      <c r="O448" s="39"/>
      <c r="P448" s="39"/>
      <c r="Q448" s="39"/>
      <c r="R448" s="39"/>
      <c r="S448" s="39"/>
      <c r="T448" s="39"/>
      <c r="U448" s="39"/>
      <c r="V448" s="39"/>
      <c r="W448" s="39"/>
      <c r="X448" s="39"/>
      <c r="Y448" s="39"/>
      <c r="Z448" s="39"/>
      <c r="AA448" s="39"/>
      <c r="AB448" s="39"/>
    </row>
    <row r="449">
      <c r="A449" s="1"/>
      <c r="B449" s="36"/>
      <c r="C449" s="36"/>
      <c r="D449" s="36"/>
      <c r="E449" s="36"/>
      <c r="F449" s="36"/>
      <c r="G449" s="36"/>
      <c r="H449" s="37"/>
      <c r="I449" s="36"/>
      <c r="J449" s="38"/>
      <c r="K449" s="38"/>
      <c r="L449" s="39"/>
      <c r="M449" s="39"/>
      <c r="N449" s="39"/>
      <c r="O449" s="39"/>
      <c r="P449" s="39"/>
      <c r="Q449" s="39"/>
      <c r="R449" s="39"/>
      <c r="S449" s="39"/>
      <c r="T449" s="39"/>
      <c r="U449" s="39"/>
      <c r="V449" s="39"/>
      <c r="W449" s="39"/>
      <c r="X449" s="39"/>
      <c r="Y449" s="39"/>
      <c r="Z449" s="39"/>
      <c r="AA449" s="39"/>
      <c r="AB449" s="39"/>
    </row>
    <row r="450">
      <c r="A450" s="1"/>
      <c r="B450" s="36"/>
      <c r="C450" s="36"/>
      <c r="D450" s="36"/>
      <c r="E450" s="36"/>
      <c r="F450" s="36"/>
      <c r="G450" s="36"/>
      <c r="H450" s="37"/>
      <c r="I450" s="36"/>
      <c r="J450" s="38"/>
      <c r="K450" s="38"/>
      <c r="L450" s="39"/>
      <c r="M450" s="39"/>
      <c r="N450" s="39"/>
      <c r="O450" s="39"/>
      <c r="P450" s="39"/>
      <c r="Q450" s="39"/>
      <c r="R450" s="39"/>
      <c r="S450" s="39"/>
      <c r="T450" s="39"/>
      <c r="U450" s="39"/>
      <c r="V450" s="39"/>
      <c r="W450" s="39"/>
      <c r="X450" s="39"/>
      <c r="Y450" s="39"/>
      <c r="Z450" s="39"/>
      <c r="AA450" s="39"/>
      <c r="AB450" s="39"/>
    </row>
    <row r="451">
      <c r="A451" s="1"/>
      <c r="B451" s="36"/>
      <c r="C451" s="36"/>
      <c r="D451" s="36"/>
      <c r="E451" s="36"/>
      <c r="F451" s="36"/>
      <c r="G451" s="36"/>
      <c r="H451" s="37"/>
      <c r="I451" s="36"/>
      <c r="J451" s="38"/>
      <c r="K451" s="38"/>
      <c r="L451" s="39"/>
      <c r="M451" s="39"/>
      <c r="N451" s="39"/>
      <c r="O451" s="39"/>
      <c r="P451" s="39"/>
      <c r="Q451" s="39"/>
      <c r="R451" s="39"/>
      <c r="S451" s="39"/>
      <c r="T451" s="39"/>
      <c r="U451" s="39"/>
      <c r="V451" s="39"/>
      <c r="W451" s="39"/>
      <c r="X451" s="39"/>
      <c r="Y451" s="39"/>
      <c r="Z451" s="39"/>
      <c r="AA451" s="39"/>
      <c r="AB451" s="39"/>
    </row>
    <row r="452">
      <c r="A452" s="1"/>
      <c r="B452" s="36"/>
      <c r="C452" s="36"/>
      <c r="D452" s="36"/>
      <c r="E452" s="36"/>
      <c r="F452" s="36"/>
      <c r="G452" s="36"/>
      <c r="H452" s="37"/>
      <c r="I452" s="36"/>
      <c r="J452" s="38"/>
      <c r="K452" s="38"/>
      <c r="L452" s="39"/>
      <c r="M452" s="39"/>
      <c r="N452" s="39"/>
      <c r="O452" s="39"/>
      <c r="P452" s="39"/>
      <c r="Q452" s="39"/>
      <c r="R452" s="39"/>
      <c r="S452" s="39"/>
      <c r="T452" s="39"/>
      <c r="U452" s="39"/>
      <c r="V452" s="39"/>
      <c r="W452" s="39"/>
      <c r="X452" s="39"/>
      <c r="Y452" s="39"/>
      <c r="Z452" s="39"/>
      <c r="AA452" s="39"/>
      <c r="AB452" s="39"/>
    </row>
    <row r="453">
      <c r="A453" s="1"/>
      <c r="B453" s="36"/>
      <c r="C453" s="36"/>
      <c r="D453" s="36"/>
      <c r="E453" s="36"/>
      <c r="F453" s="36"/>
      <c r="G453" s="36"/>
      <c r="H453" s="37"/>
      <c r="I453" s="36"/>
      <c r="J453" s="38"/>
      <c r="K453" s="38"/>
      <c r="L453" s="39"/>
      <c r="M453" s="39"/>
      <c r="N453" s="39"/>
      <c r="O453" s="39"/>
      <c r="P453" s="39"/>
      <c r="Q453" s="39"/>
      <c r="R453" s="39"/>
      <c r="S453" s="39"/>
      <c r="T453" s="39"/>
      <c r="U453" s="39"/>
      <c r="V453" s="39"/>
      <c r="W453" s="39"/>
      <c r="X453" s="39"/>
      <c r="Y453" s="39"/>
      <c r="Z453" s="39"/>
      <c r="AA453" s="39"/>
      <c r="AB453" s="39"/>
    </row>
    <row r="454">
      <c r="A454" s="1"/>
      <c r="B454" s="36"/>
      <c r="C454" s="36"/>
      <c r="D454" s="36"/>
      <c r="E454" s="36"/>
      <c r="F454" s="36"/>
      <c r="G454" s="36"/>
      <c r="H454" s="37"/>
      <c r="I454" s="36"/>
      <c r="J454" s="38"/>
      <c r="K454" s="38"/>
      <c r="L454" s="39"/>
      <c r="M454" s="39"/>
      <c r="N454" s="39"/>
      <c r="O454" s="39"/>
      <c r="P454" s="39"/>
      <c r="Q454" s="39"/>
      <c r="R454" s="39"/>
      <c r="S454" s="39"/>
      <c r="T454" s="39"/>
      <c r="U454" s="39"/>
      <c r="V454" s="39"/>
      <c r="W454" s="39"/>
      <c r="X454" s="39"/>
      <c r="Y454" s="39"/>
      <c r="Z454" s="39"/>
      <c r="AA454" s="39"/>
      <c r="AB454" s="39"/>
    </row>
    <row r="455">
      <c r="A455" s="1"/>
      <c r="B455" s="36"/>
      <c r="C455" s="36"/>
      <c r="D455" s="36"/>
      <c r="E455" s="36"/>
      <c r="F455" s="36"/>
      <c r="G455" s="36"/>
      <c r="H455" s="37"/>
      <c r="I455" s="36"/>
      <c r="J455" s="38"/>
      <c r="K455" s="38"/>
      <c r="L455" s="39"/>
      <c r="M455" s="39"/>
      <c r="N455" s="39"/>
      <c r="O455" s="39"/>
      <c r="P455" s="39"/>
      <c r="Q455" s="39"/>
      <c r="R455" s="39"/>
      <c r="S455" s="39"/>
      <c r="T455" s="39"/>
      <c r="U455" s="39"/>
      <c r="V455" s="39"/>
      <c r="W455" s="39"/>
      <c r="X455" s="39"/>
      <c r="Y455" s="39"/>
      <c r="Z455" s="39"/>
      <c r="AA455" s="39"/>
      <c r="AB455" s="39"/>
    </row>
    <row r="456">
      <c r="A456" s="1"/>
      <c r="B456" s="36"/>
      <c r="C456" s="36"/>
      <c r="D456" s="36"/>
      <c r="E456" s="36"/>
      <c r="F456" s="36"/>
      <c r="G456" s="36"/>
      <c r="H456" s="37"/>
      <c r="I456" s="36"/>
      <c r="J456" s="38"/>
      <c r="K456" s="38"/>
      <c r="L456" s="39"/>
      <c r="M456" s="39"/>
      <c r="N456" s="39"/>
      <c r="O456" s="39"/>
      <c r="P456" s="39"/>
      <c r="Q456" s="39"/>
      <c r="R456" s="39"/>
      <c r="S456" s="39"/>
      <c r="T456" s="39"/>
      <c r="U456" s="39"/>
      <c r="V456" s="39"/>
      <c r="W456" s="39"/>
      <c r="X456" s="39"/>
      <c r="Y456" s="39"/>
      <c r="Z456" s="39"/>
      <c r="AA456" s="39"/>
      <c r="AB456" s="39"/>
    </row>
    <row r="457">
      <c r="A457" s="1"/>
      <c r="B457" s="36"/>
      <c r="C457" s="36"/>
      <c r="D457" s="36"/>
      <c r="E457" s="36"/>
      <c r="F457" s="36"/>
      <c r="G457" s="36"/>
      <c r="H457" s="37"/>
      <c r="I457" s="36"/>
      <c r="J457" s="38"/>
      <c r="K457" s="38"/>
      <c r="L457" s="39"/>
      <c r="M457" s="39"/>
      <c r="N457" s="39"/>
      <c r="O457" s="39"/>
      <c r="P457" s="39"/>
      <c r="Q457" s="39"/>
      <c r="R457" s="39"/>
      <c r="S457" s="39"/>
      <c r="T457" s="39"/>
      <c r="U457" s="39"/>
      <c r="V457" s="39"/>
      <c r="W457" s="39"/>
      <c r="X457" s="39"/>
      <c r="Y457" s="39"/>
      <c r="Z457" s="39"/>
      <c r="AA457" s="39"/>
      <c r="AB457" s="39"/>
    </row>
    <row r="458">
      <c r="A458" s="1"/>
      <c r="B458" s="36"/>
      <c r="C458" s="36"/>
      <c r="D458" s="36"/>
      <c r="E458" s="36"/>
      <c r="F458" s="36"/>
      <c r="G458" s="36"/>
      <c r="H458" s="37"/>
      <c r="I458" s="36"/>
      <c r="J458" s="38"/>
      <c r="K458" s="38"/>
      <c r="L458" s="39"/>
      <c r="M458" s="39"/>
      <c r="N458" s="39"/>
      <c r="O458" s="39"/>
      <c r="P458" s="39"/>
      <c r="Q458" s="39"/>
      <c r="R458" s="39"/>
      <c r="S458" s="39"/>
      <c r="T458" s="39"/>
      <c r="U458" s="39"/>
      <c r="V458" s="39"/>
      <c r="W458" s="39"/>
      <c r="X458" s="39"/>
      <c r="Y458" s="39"/>
      <c r="Z458" s="39"/>
      <c r="AA458" s="39"/>
      <c r="AB458" s="39"/>
    </row>
    <row r="459">
      <c r="A459" s="1"/>
      <c r="B459" s="36"/>
      <c r="C459" s="36"/>
      <c r="D459" s="36"/>
      <c r="E459" s="36"/>
      <c r="F459" s="36"/>
      <c r="G459" s="36"/>
      <c r="H459" s="37"/>
      <c r="I459" s="36"/>
      <c r="J459" s="38"/>
      <c r="K459" s="38"/>
      <c r="L459" s="39"/>
      <c r="M459" s="39"/>
      <c r="N459" s="39"/>
      <c r="O459" s="39"/>
      <c r="P459" s="39"/>
      <c r="Q459" s="39"/>
      <c r="R459" s="39"/>
      <c r="S459" s="39"/>
      <c r="T459" s="39"/>
      <c r="U459" s="39"/>
      <c r="V459" s="39"/>
      <c r="W459" s="39"/>
      <c r="X459" s="39"/>
      <c r="Y459" s="39"/>
      <c r="Z459" s="39"/>
      <c r="AA459" s="39"/>
      <c r="AB459" s="39"/>
    </row>
    <row r="460">
      <c r="A460" s="1"/>
      <c r="B460" s="36"/>
      <c r="C460" s="36"/>
      <c r="D460" s="36"/>
      <c r="E460" s="36"/>
      <c r="F460" s="36"/>
      <c r="G460" s="36"/>
      <c r="H460" s="37"/>
      <c r="I460" s="36"/>
      <c r="J460" s="38"/>
      <c r="K460" s="38"/>
      <c r="L460" s="39"/>
      <c r="M460" s="39"/>
      <c r="N460" s="39"/>
      <c r="O460" s="39"/>
      <c r="P460" s="39"/>
      <c r="Q460" s="39"/>
      <c r="R460" s="39"/>
      <c r="S460" s="39"/>
      <c r="T460" s="39"/>
      <c r="U460" s="39"/>
      <c r="V460" s="39"/>
      <c r="W460" s="39"/>
      <c r="X460" s="39"/>
      <c r="Y460" s="39"/>
      <c r="Z460" s="39"/>
      <c r="AA460" s="39"/>
      <c r="AB460" s="39"/>
    </row>
    <row r="461">
      <c r="A461" s="1"/>
      <c r="B461" s="36"/>
      <c r="C461" s="36"/>
      <c r="D461" s="36"/>
      <c r="E461" s="36"/>
      <c r="F461" s="36"/>
      <c r="G461" s="36"/>
      <c r="H461" s="37"/>
      <c r="I461" s="36"/>
      <c r="J461" s="38"/>
      <c r="K461" s="38"/>
      <c r="L461" s="39"/>
      <c r="M461" s="39"/>
      <c r="N461" s="39"/>
      <c r="O461" s="39"/>
      <c r="P461" s="39"/>
      <c r="Q461" s="39"/>
      <c r="R461" s="39"/>
      <c r="S461" s="39"/>
      <c r="T461" s="39"/>
      <c r="U461" s="39"/>
      <c r="V461" s="39"/>
      <c r="W461" s="39"/>
      <c r="X461" s="39"/>
      <c r="Y461" s="39"/>
      <c r="Z461" s="39"/>
      <c r="AA461" s="39"/>
      <c r="AB461" s="39"/>
    </row>
    <row r="462">
      <c r="A462" s="1"/>
      <c r="B462" s="36"/>
      <c r="C462" s="36"/>
      <c r="D462" s="36"/>
      <c r="E462" s="36"/>
      <c r="F462" s="36"/>
      <c r="G462" s="36"/>
      <c r="H462" s="37"/>
      <c r="I462" s="36"/>
      <c r="J462" s="38"/>
      <c r="K462" s="38"/>
      <c r="L462" s="39"/>
      <c r="M462" s="39"/>
      <c r="N462" s="39"/>
      <c r="O462" s="39"/>
      <c r="P462" s="39"/>
      <c r="Q462" s="39"/>
      <c r="R462" s="39"/>
      <c r="S462" s="39"/>
      <c r="T462" s="39"/>
      <c r="U462" s="39"/>
      <c r="V462" s="39"/>
      <c r="W462" s="39"/>
      <c r="X462" s="39"/>
      <c r="Y462" s="39"/>
      <c r="Z462" s="39"/>
      <c r="AA462" s="39"/>
      <c r="AB462" s="39"/>
    </row>
    <row r="463">
      <c r="A463" s="1"/>
      <c r="B463" s="36"/>
      <c r="C463" s="36"/>
      <c r="D463" s="36"/>
      <c r="E463" s="36"/>
      <c r="F463" s="36"/>
      <c r="G463" s="36"/>
      <c r="H463" s="37"/>
      <c r="I463" s="36"/>
      <c r="J463" s="38"/>
      <c r="K463" s="38"/>
      <c r="L463" s="39"/>
      <c r="M463" s="39"/>
      <c r="N463" s="39"/>
      <c r="O463" s="39"/>
      <c r="P463" s="39"/>
      <c r="Q463" s="39"/>
      <c r="R463" s="39"/>
      <c r="S463" s="39"/>
      <c r="T463" s="39"/>
      <c r="U463" s="39"/>
      <c r="V463" s="39"/>
      <c r="W463" s="39"/>
      <c r="X463" s="39"/>
      <c r="Y463" s="39"/>
      <c r="Z463" s="39"/>
      <c r="AA463" s="39"/>
      <c r="AB463" s="39"/>
    </row>
    <row r="464">
      <c r="A464" s="1"/>
      <c r="B464" s="36"/>
      <c r="C464" s="36"/>
      <c r="D464" s="36"/>
      <c r="E464" s="36"/>
      <c r="F464" s="36"/>
      <c r="G464" s="36"/>
      <c r="H464" s="37"/>
      <c r="I464" s="36"/>
      <c r="J464" s="38"/>
      <c r="K464" s="38"/>
      <c r="L464" s="39"/>
      <c r="M464" s="39"/>
      <c r="N464" s="39"/>
      <c r="O464" s="39"/>
      <c r="P464" s="39"/>
      <c r="Q464" s="39"/>
      <c r="R464" s="39"/>
      <c r="S464" s="39"/>
      <c r="T464" s="39"/>
      <c r="U464" s="39"/>
      <c r="V464" s="39"/>
      <c r="W464" s="39"/>
      <c r="X464" s="39"/>
      <c r="Y464" s="39"/>
      <c r="Z464" s="39"/>
      <c r="AA464" s="39"/>
      <c r="AB464" s="39"/>
    </row>
    <row r="465">
      <c r="A465" s="1"/>
      <c r="B465" s="36"/>
      <c r="C465" s="36"/>
      <c r="D465" s="36"/>
      <c r="E465" s="36"/>
      <c r="F465" s="36"/>
      <c r="G465" s="36"/>
      <c r="H465" s="37"/>
      <c r="I465" s="36"/>
      <c r="J465" s="38"/>
      <c r="K465" s="38"/>
      <c r="L465" s="39"/>
      <c r="M465" s="39"/>
      <c r="N465" s="39"/>
      <c r="O465" s="39"/>
      <c r="P465" s="39"/>
      <c r="Q465" s="39"/>
      <c r="R465" s="39"/>
      <c r="S465" s="39"/>
      <c r="T465" s="39"/>
      <c r="U465" s="39"/>
      <c r="V465" s="39"/>
      <c r="W465" s="39"/>
      <c r="X465" s="39"/>
      <c r="Y465" s="39"/>
      <c r="Z465" s="39"/>
      <c r="AA465" s="39"/>
      <c r="AB465" s="39"/>
    </row>
    <row r="466">
      <c r="A466" s="1"/>
      <c r="B466" s="36"/>
      <c r="C466" s="36"/>
      <c r="D466" s="36"/>
      <c r="E466" s="36"/>
      <c r="F466" s="36"/>
      <c r="G466" s="36"/>
      <c r="H466" s="37"/>
      <c r="I466" s="36"/>
      <c r="J466" s="38"/>
      <c r="K466" s="38"/>
      <c r="L466" s="39"/>
      <c r="M466" s="39"/>
      <c r="N466" s="39"/>
      <c r="O466" s="39"/>
      <c r="P466" s="39"/>
      <c r="Q466" s="39"/>
      <c r="R466" s="39"/>
      <c r="S466" s="39"/>
      <c r="T466" s="39"/>
      <c r="U466" s="39"/>
      <c r="V466" s="39"/>
      <c r="W466" s="39"/>
      <c r="X466" s="39"/>
      <c r="Y466" s="39"/>
      <c r="Z466" s="39"/>
      <c r="AA466" s="39"/>
      <c r="AB466" s="39"/>
    </row>
    <row r="467">
      <c r="A467" s="1"/>
      <c r="B467" s="36"/>
      <c r="C467" s="36"/>
      <c r="D467" s="36"/>
      <c r="E467" s="36"/>
      <c r="F467" s="36"/>
      <c r="G467" s="36"/>
      <c r="H467" s="37"/>
      <c r="I467" s="36"/>
      <c r="J467" s="38"/>
      <c r="K467" s="38"/>
      <c r="L467" s="39"/>
      <c r="M467" s="39"/>
      <c r="N467" s="39"/>
      <c r="O467" s="39"/>
      <c r="P467" s="39"/>
      <c r="Q467" s="39"/>
      <c r="R467" s="39"/>
      <c r="S467" s="39"/>
      <c r="T467" s="39"/>
      <c r="U467" s="39"/>
      <c r="V467" s="39"/>
      <c r="W467" s="39"/>
      <c r="X467" s="39"/>
      <c r="Y467" s="39"/>
      <c r="Z467" s="39"/>
      <c r="AA467" s="39"/>
      <c r="AB467" s="39"/>
    </row>
    <row r="468">
      <c r="A468" s="1"/>
      <c r="B468" s="36"/>
      <c r="C468" s="36"/>
      <c r="D468" s="36"/>
      <c r="E468" s="36"/>
      <c r="F468" s="36"/>
      <c r="G468" s="36"/>
      <c r="H468" s="37"/>
      <c r="I468" s="36"/>
      <c r="J468" s="38"/>
      <c r="K468" s="38"/>
      <c r="L468" s="39"/>
      <c r="M468" s="39"/>
      <c r="N468" s="39"/>
      <c r="O468" s="39"/>
      <c r="P468" s="39"/>
      <c r="Q468" s="39"/>
      <c r="R468" s="39"/>
      <c r="S468" s="39"/>
      <c r="T468" s="39"/>
      <c r="U468" s="39"/>
      <c r="V468" s="39"/>
      <c r="W468" s="39"/>
      <c r="X468" s="39"/>
      <c r="Y468" s="39"/>
      <c r="Z468" s="39"/>
      <c r="AA468" s="39"/>
      <c r="AB468" s="39"/>
    </row>
    <row r="469">
      <c r="A469" s="1"/>
      <c r="B469" s="36"/>
      <c r="C469" s="36"/>
      <c r="D469" s="36"/>
      <c r="E469" s="36"/>
      <c r="F469" s="36"/>
      <c r="G469" s="36"/>
      <c r="H469" s="37"/>
      <c r="I469" s="36"/>
      <c r="J469" s="38"/>
      <c r="K469" s="38"/>
      <c r="L469" s="39"/>
      <c r="M469" s="39"/>
      <c r="N469" s="39"/>
      <c r="O469" s="39"/>
      <c r="P469" s="39"/>
      <c r="Q469" s="39"/>
      <c r="R469" s="39"/>
      <c r="S469" s="39"/>
      <c r="T469" s="39"/>
      <c r="U469" s="39"/>
      <c r="V469" s="39"/>
      <c r="W469" s="39"/>
      <c r="X469" s="39"/>
      <c r="Y469" s="39"/>
      <c r="Z469" s="39"/>
      <c r="AA469" s="39"/>
      <c r="AB469" s="39"/>
    </row>
    <row r="470">
      <c r="A470" s="1"/>
      <c r="B470" s="36"/>
      <c r="C470" s="36"/>
      <c r="D470" s="36"/>
      <c r="E470" s="36"/>
      <c r="F470" s="36"/>
      <c r="G470" s="36"/>
      <c r="H470" s="37"/>
      <c r="I470" s="36"/>
      <c r="J470" s="38"/>
      <c r="K470" s="38"/>
      <c r="L470" s="39"/>
      <c r="M470" s="39"/>
      <c r="N470" s="39"/>
      <c r="O470" s="39"/>
      <c r="P470" s="39"/>
      <c r="Q470" s="39"/>
      <c r="R470" s="39"/>
      <c r="S470" s="39"/>
      <c r="T470" s="39"/>
      <c r="U470" s="39"/>
      <c r="V470" s="39"/>
      <c r="W470" s="39"/>
      <c r="X470" s="39"/>
      <c r="Y470" s="39"/>
      <c r="Z470" s="39"/>
      <c r="AA470" s="39"/>
      <c r="AB470" s="39"/>
    </row>
    <row r="471">
      <c r="A471" s="1"/>
      <c r="B471" s="36"/>
      <c r="C471" s="36"/>
      <c r="D471" s="36"/>
      <c r="E471" s="36"/>
      <c r="F471" s="36"/>
      <c r="G471" s="36"/>
      <c r="H471" s="37"/>
      <c r="I471" s="36"/>
      <c r="J471" s="38"/>
      <c r="K471" s="38"/>
      <c r="L471" s="39"/>
      <c r="M471" s="39"/>
      <c r="N471" s="39"/>
      <c r="O471" s="39"/>
      <c r="P471" s="39"/>
      <c r="Q471" s="39"/>
      <c r="R471" s="39"/>
      <c r="S471" s="39"/>
      <c r="T471" s="39"/>
      <c r="U471" s="39"/>
      <c r="V471" s="39"/>
      <c r="W471" s="39"/>
      <c r="X471" s="39"/>
      <c r="Y471" s="39"/>
      <c r="Z471" s="39"/>
      <c r="AA471" s="39"/>
      <c r="AB471" s="39"/>
    </row>
    <row r="472">
      <c r="A472" s="1"/>
      <c r="B472" s="36"/>
      <c r="C472" s="36"/>
      <c r="D472" s="36"/>
      <c r="E472" s="36"/>
      <c r="F472" s="36"/>
      <c r="G472" s="36"/>
      <c r="H472" s="37"/>
      <c r="I472" s="36"/>
      <c r="J472" s="38"/>
      <c r="K472" s="38"/>
      <c r="L472" s="39"/>
      <c r="M472" s="39"/>
      <c r="N472" s="39"/>
      <c r="O472" s="39"/>
      <c r="P472" s="39"/>
      <c r="Q472" s="39"/>
      <c r="R472" s="39"/>
      <c r="S472" s="39"/>
      <c r="T472" s="39"/>
      <c r="U472" s="39"/>
      <c r="V472" s="39"/>
      <c r="W472" s="39"/>
      <c r="X472" s="39"/>
      <c r="Y472" s="39"/>
      <c r="Z472" s="39"/>
      <c r="AA472" s="39"/>
      <c r="AB472" s="39"/>
    </row>
    <row r="473">
      <c r="A473" s="1"/>
      <c r="B473" s="36"/>
      <c r="C473" s="36"/>
      <c r="D473" s="36"/>
      <c r="E473" s="36"/>
      <c r="F473" s="36"/>
      <c r="G473" s="36"/>
      <c r="H473" s="37"/>
      <c r="I473" s="36"/>
      <c r="J473" s="38"/>
      <c r="K473" s="38"/>
      <c r="L473" s="39"/>
      <c r="M473" s="39"/>
      <c r="N473" s="39"/>
      <c r="O473" s="39"/>
      <c r="P473" s="39"/>
      <c r="Q473" s="39"/>
      <c r="R473" s="39"/>
      <c r="S473" s="39"/>
      <c r="T473" s="39"/>
      <c r="U473" s="39"/>
      <c r="V473" s="39"/>
      <c r="W473" s="39"/>
      <c r="X473" s="39"/>
      <c r="Y473" s="39"/>
      <c r="Z473" s="39"/>
      <c r="AA473" s="39"/>
      <c r="AB473" s="39"/>
    </row>
    <row r="474">
      <c r="A474" s="1"/>
      <c r="B474" s="36"/>
      <c r="C474" s="36"/>
      <c r="D474" s="36"/>
      <c r="E474" s="36"/>
      <c r="F474" s="36"/>
      <c r="G474" s="36"/>
      <c r="H474" s="37"/>
      <c r="I474" s="36"/>
      <c r="J474" s="38"/>
      <c r="K474" s="38"/>
      <c r="L474" s="39"/>
      <c r="M474" s="39"/>
      <c r="N474" s="39"/>
      <c r="O474" s="39"/>
      <c r="P474" s="39"/>
      <c r="Q474" s="39"/>
      <c r="R474" s="39"/>
      <c r="S474" s="39"/>
      <c r="T474" s="39"/>
      <c r="U474" s="39"/>
      <c r="V474" s="39"/>
      <c r="W474" s="39"/>
      <c r="X474" s="39"/>
      <c r="Y474" s="39"/>
      <c r="Z474" s="39"/>
      <c r="AA474" s="39"/>
      <c r="AB474" s="39"/>
    </row>
    <row r="475">
      <c r="A475" s="1"/>
      <c r="B475" s="36"/>
      <c r="C475" s="36"/>
      <c r="D475" s="36"/>
      <c r="E475" s="36"/>
      <c r="F475" s="36"/>
      <c r="G475" s="36"/>
      <c r="H475" s="37"/>
      <c r="I475" s="36"/>
      <c r="J475" s="38"/>
      <c r="K475" s="38"/>
      <c r="L475" s="39"/>
      <c r="M475" s="39"/>
      <c r="N475" s="39"/>
      <c r="O475" s="39"/>
      <c r="P475" s="39"/>
      <c r="Q475" s="39"/>
      <c r="R475" s="39"/>
      <c r="S475" s="39"/>
      <c r="T475" s="39"/>
      <c r="U475" s="39"/>
      <c r="V475" s="39"/>
      <c r="W475" s="39"/>
      <c r="X475" s="39"/>
      <c r="Y475" s="39"/>
      <c r="Z475" s="39"/>
      <c r="AA475" s="39"/>
      <c r="AB475" s="39"/>
    </row>
    <row r="476">
      <c r="A476" s="1"/>
      <c r="B476" s="36"/>
      <c r="C476" s="36"/>
      <c r="D476" s="36"/>
      <c r="E476" s="36"/>
      <c r="F476" s="36"/>
      <c r="G476" s="36"/>
      <c r="H476" s="37"/>
      <c r="I476" s="36"/>
      <c r="J476" s="38"/>
      <c r="K476" s="38"/>
      <c r="L476" s="39"/>
      <c r="M476" s="39"/>
      <c r="N476" s="39"/>
      <c r="O476" s="39"/>
      <c r="P476" s="39"/>
      <c r="Q476" s="39"/>
      <c r="R476" s="39"/>
      <c r="S476" s="39"/>
      <c r="T476" s="39"/>
      <c r="U476" s="39"/>
      <c r="V476" s="39"/>
      <c r="W476" s="39"/>
      <c r="X476" s="39"/>
      <c r="Y476" s="39"/>
      <c r="Z476" s="39"/>
      <c r="AA476" s="39"/>
      <c r="AB476" s="39"/>
    </row>
    <row r="477">
      <c r="A477" s="1"/>
      <c r="B477" s="36"/>
      <c r="C477" s="36"/>
      <c r="D477" s="36"/>
      <c r="E477" s="36"/>
      <c r="F477" s="36"/>
      <c r="G477" s="36"/>
      <c r="H477" s="37"/>
      <c r="I477" s="36"/>
      <c r="J477" s="38"/>
      <c r="K477" s="38"/>
      <c r="L477" s="39"/>
      <c r="M477" s="39"/>
      <c r="N477" s="39"/>
      <c r="O477" s="39"/>
      <c r="P477" s="39"/>
      <c r="Q477" s="39"/>
      <c r="R477" s="39"/>
      <c r="S477" s="39"/>
      <c r="T477" s="39"/>
      <c r="U477" s="39"/>
      <c r="V477" s="39"/>
      <c r="W477" s="39"/>
      <c r="X477" s="39"/>
      <c r="Y477" s="39"/>
      <c r="Z477" s="39"/>
      <c r="AA477" s="39"/>
      <c r="AB477" s="39"/>
    </row>
    <row r="478">
      <c r="A478" s="1"/>
      <c r="B478" s="36"/>
      <c r="C478" s="36"/>
      <c r="D478" s="36"/>
      <c r="E478" s="36"/>
      <c r="F478" s="36"/>
      <c r="G478" s="36"/>
      <c r="H478" s="37"/>
      <c r="I478" s="36"/>
      <c r="J478" s="38"/>
      <c r="K478" s="38"/>
      <c r="L478" s="39"/>
      <c r="M478" s="39"/>
      <c r="N478" s="39"/>
      <c r="O478" s="39"/>
      <c r="P478" s="39"/>
      <c r="Q478" s="39"/>
      <c r="R478" s="39"/>
      <c r="S478" s="39"/>
      <c r="T478" s="39"/>
      <c r="U478" s="39"/>
      <c r="V478" s="39"/>
      <c r="W478" s="39"/>
      <c r="X478" s="39"/>
      <c r="Y478" s="39"/>
      <c r="Z478" s="39"/>
      <c r="AA478" s="39"/>
      <c r="AB478" s="39"/>
    </row>
    <row r="479">
      <c r="A479" s="1"/>
      <c r="B479" s="36"/>
      <c r="C479" s="36"/>
      <c r="D479" s="36"/>
      <c r="E479" s="36"/>
      <c r="F479" s="36"/>
      <c r="G479" s="36"/>
      <c r="H479" s="37"/>
      <c r="I479" s="36"/>
      <c r="J479" s="38"/>
      <c r="K479" s="38"/>
      <c r="L479" s="39"/>
      <c r="M479" s="39"/>
      <c r="N479" s="39"/>
      <c r="O479" s="39"/>
      <c r="P479" s="39"/>
      <c r="Q479" s="39"/>
      <c r="R479" s="39"/>
      <c r="S479" s="39"/>
      <c r="T479" s="39"/>
      <c r="U479" s="39"/>
      <c r="V479" s="39"/>
      <c r="W479" s="39"/>
      <c r="X479" s="39"/>
      <c r="Y479" s="39"/>
      <c r="Z479" s="39"/>
      <c r="AA479" s="39"/>
      <c r="AB479" s="39"/>
    </row>
    <row r="480">
      <c r="A480" s="1"/>
      <c r="B480" s="36"/>
      <c r="C480" s="36"/>
      <c r="D480" s="36"/>
      <c r="E480" s="36"/>
      <c r="F480" s="36"/>
      <c r="G480" s="36"/>
      <c r="H480" s="37"/>
      <c r="I480" s="36"/>
      <c r="J480" s="38"/>
      <c r="K480" s="38"/>
      <c r="L480" s="39"/>
      <c r="M480" s="39"/>
      <c r="N480" s="39"/>
      <c r="O480" s="39"/>
      <c r="P480" s="39"/>
      <c r="Q480" s="39"/>
      <c r="R480" s="39"/>
      <c r="S480" s="39"/>
      <c r="T480" s="39"/>
      <c r="U480" s="39"/>
      <c r="V480" s="39"/>
      <c r="W480" s="39"/>
      <c r="X480" s="39"/>
      <c r="Y480" s="39"/>
      <c r="Z480" s="39"/>
      <c r="AA480" s="39"/>
      <c r="AB480" s="39"/>
    </row>
    <row r="481">
      <c r="A481" s="1"/>
      <c r="B481" s="36"/>
      <c r="C481" s="36"/>
      <c r="D481" s="36"/>
      <c r="E481" s="36"/>
      <c r="F481" s="36"/>
      <c r="G481" s="36"/>
      <c r="H481" s="37"/>
      <c r="I481" s="36"/>
      <c r="J481" s="38"/>
      <c r="K481" s="38"/>
      <c r="L481" s="39"/>
      <c r="M481" s="39"/>
      <c r="N481" s="39"/>
      <c r="O481" s="39"/>
      <c r="P481" s="39"/>
      <c r="Q481" s="39"/>
      <c r="R481" s="39"/>
      <c r="S481" s="39"/>
      <c r="T481" s="39"/>
      <c r="U481" s="39"/>
      <c r="V481" s="39"/>
      <c r="W481" s="39"/>
      <c r="X481" s="39"/>
      <c r="Y481" s="39"/>
      <c r="Z481" s="39"/>
      <c r="AA481" s="39"/>
      <c r="AB481" s="39"/>
    </row>
    <row r="482">
      <c r="A482" s="1"/>
      <c r="B482" s="36"/>
      <c r="C482" s="36"/>
      <c r="D482" s="36"/>
      <c r="E482" s="36"/>
      <c r="F482" s="36"/>
      <c r="G482" s="36"/>
      <c r="H482" s="37"/>
      <c r="I482" s="36"/>
      <c r="J482" s="38"/>
      <c r="K482" s="38"/>
      <c r="L482" s="39"/>
      <c r="M482" s="39"/>
      <c r="N482" s="39"/>
      <c r="O482" s="39"/>
      <c r="P482" s="39"/>
      <c r="Q482" s="39"/>
      <c r="R482" s="39"/>
      <c r="S482" s="39"/>
      <c r="T482" s="39"/>
      <c r="U482" s="39"/>
      <c r="V482" s="39"/>
      <c r="W482" s="39"/>
      <c r="X482" s="39"/>
      <c r="Y482" s="39"/>
      <c r="Z482" s="39"/>
      <c r="AA482" s="39"/>
      <c r="AB482" s="39"/>
    </row>
    <row r="483">
      <c r="A483" s="1"/>
      <c r="B483" s="36"/>
      <c r="C483" s="36"/>
      <c r="D483" s="36"/>
      <c r="E483" s="36"/>
      <c r="F483" s="36"/>
      <c r="G483" s="36"/>
      <c r="H483" s="37"/>
      <c r="I483" s="36"/>
      <c r="J483" s="38"/>
      <c r="K483" s="38"/>
      <c r="L483" s="39"/>
      <c r="M483" s="39"/>
      <c r="N483" s="39"/>
      <c r="O483" s="39"/>
      <c r="P483" s="39"/>
      <c r="Q483" s="39"/>
      <c r="R483" s="39"/>
      <c r="S483" s="39"/>
      <c r="T483" s="39"/>
      <c r="U483" s="39"/>
      <c r="V483" s="39"/>
      <c r="W483" s="39"/>
      <c r="X483" s="39"/>
      <c r="Y483" s="39"/>
      <c r="Z483" s="39"/>
      <c r="AA483" s="39"/>
      <c r="AB483" s="39"/>
    </row>
    <row r="484">
      <c r="A484" s="1"/>
      <c r="B484" s="36"/>
      <c r="C484" s="36"/>
      <c r="D484" s="36"/>
      <c r="E484" s="36"/>
      <c r="F484" s="36"/>
      <c r="G484" s="36"/>
      <c r="H484" s="37"/>
      <c r="I484" s="36"/>
      <c r="J484" s="38"/>
      <c r="K484" s="38"/>
      <c r="L484" s="39"/>
      <c r="M484" s="39"/>
      <c r="N484" s="39"/>
      <c r="O484" s="39"/>
      <c r="P484" s="39"/>
      <c r="Q484" s="39"/>
      <c r="R484" s="39"/>
      <c r="S484" s="39"/>
      <c r="T484" s="39"/>
      <c r="U484" s="39"/>
      <c r="V484" s="39"/>
      <c r="W484" s="39"/>
      <c r="X484" s="39"/>
      <c r="Y484" s="39"/>
      <c r="Z484" s="39"/>
      <c r="AA484" s="39"/>
      <c r="AB484" s="39"/>
    </row>
    <row r="485">
      <c r="A485" s="1"/>
      <c r="B485" s="36"/>
      <c r="C485" s="36"/>
      <c r="D485" s="36"/>
      <c r="E485" s="36"/>
      <c r="F485" s="36"/>
      <c r="G485" s="36"/>
      <c r="H485" s="37"/>
      <c r="I485" s="36"/>
      <c r="J485" s="38"/>
      <c r="K485" s="38"/>
      <c r="L485" s="39"/>
      <c r="M485" s="39"/>
      <c r="N485" s="39"/>
      <c r="O485" s="39"/>
      <c r="P485" s="39"/>
      <c r="Q485" s="39"/>
      <c r="R485" s="39"/>
      <c r="S485" s="39"/>
      <c r="T485" s="39"/>
      <c r="U485" s="39"/>
      <c r="V485" s="39"/>
      <c r="W485" s="39"/>
      <c r="X485" s="39"/>
      <c r="Y485" s="39"/>
      <c r="Z485" s="39"/>
      <c r="AA485" s="39"/>
      <c r="AB485" s="39"/>
    </row>
    <row r="486">
      <c r="A486" s="1"/>
      <c r="B486" s="36"/>
      <c r="C486" s="36"/>
      <c r="D486" s="36"/>
      <c r="E486" s="36"/>
      <c r="F486" s="36"/>
      <c r="G486" s="36"/>
      <c r="H486" s="37"/>
      <c r="I486" s="36"/>
      <c r="J486" s="38"/>
      <c r="K486" s="38"/>
      <c r="L486" s="39"/>
      <c r="M486" s="39"/>
      <c r="N486" s="39"/>
      <c r="O486" s="39"/>
      <c r="P486" s="39"/>
      <c r="Q486" s="39"/>
      <c r="R486" s="39"/>
      <c r="S486" s="39"/>
      <c r="T486" s="39"/>
      <c r="U486" s="39"/>
      <c r="V486" s="39"/>
      <c r="W486" s="39"/>
      <c r="X486" s="39"/>
      <c r="Y486" s="39"/>
      <c r="Z486" s="39"/>
      <c r="AA486" s="39"/>
      <c r="AB486" s="39"/>
    </row>
    <row r="487">
      <c r="A487" s="1"/>
      <c r="B487" s="36"/>
      <c r="C487" s="36"/>
      <c r="D487" s="36"/>
      <c r="E487" s="36"/>
      <c r="F487" s="36"/>
      <c r="G487" s="36"/>
      <c r="H487" s="37"/>
      <c r="I487" s="36"/>
      <c r="J487" s="38"/>
      <c r="K487" s="38"/>
      <c r="L487" s="39"/>
      <c r="M487" s="39"/>
      <c r="N487" s="39"/>
      <c r="O487" s="39"/>
      <c r="P487" s="39"/>
      <c r="Q487" s="39"/>
      <c r="R487" s="39"/>
      <c r="S487" s="39"/>
      <c r="T487" s="39"/>
      <c r="U487" s="39"/>
      <c r="V487" s="39"/>
      <c r="W487" s="39"/>
      <c r="X487" s="39"/>
      <c r="Y487" s="39"/>
      <c r="Z487" s="39"/>
      <c r="AA487" s="39"/>
      <c r="AB487" s="39"/>
    </row>
    <row r="488">
      <c r="A488" s="1"/>
      <c r="B488" s="36"/>
      <c r="C488" s="36"/>
      <c r="D488" s="36"/>
      <c r="E488" s="36"/>
      <c r="F488" s="36"/>
      <c r="G488" s="36"/>
      <c r="H488" s="37"/>
      <c r="I488" s="36"/>
      <c r="J488" s="38"/>
      <c r="K488" s="38"/>
      <c r="L488" s="39"/>
      <c r="M488" s="39"/>
      <c r="N488" s="39"/>
      <c r="O488" s="39"/>
      <c r="P488" s="39"/>
      <c r="Q488" s="39"/>
      <c r="R488" s="39"/>
      <c r="S488" s="39"/>
      <c r="T488" s="39"/>
      <c r="U488" s="39"/>
      <c r="V488" s="39"/>
      <c r="W488" s="39"/>
      <c r="X488" s="39"/>
      <c r="Y488" s="39"/>
      <c r="Z488" s="39"/>
      <c r="AA488" s="39"/>
      <c r="AB488" s="39"/>
    </row>
    <row r="489">
      <c r="A489" s="1"/>
      <c r="B489" s="36"/>
      <c r="C489" s="36"/>
      <c r="D489" s="36"/>
      <c r="E489" s="36"/>
      <c r="F489" s="36"/>
      <c r="G489" s="36"/>
      <c r="H489" s="37"/>
      <c r="I489" s="36"/>
      <c r="J489" s="38"/>
      <c r="K489" s="38"/>
      <c r="L489" s="39"/>
      <c r="M489" s="39"/>
      <c r="N489" s="39"/>
      <c r="O489" s="39"/>
      <c r="P489" s="39"/>
      <c r="Q489" s="39"/>
      <c r="R489" s="39"/>
      <c r="S489" s="39"/>
      <c r="T489" s="39"/>
      <c r="U489" s="39"/>
      <c r="V489" s="39"/>
      <c r="W489" s="39"/>
      <c r="X489" s="39"/>
      <c r="Y489" s="39"/>
      <c r="Z489" s="39"/>
      <c r="AA489" s="39"/>
      <c r="AB489" s="39"/>
    </row>
    <row r="490">
      <c r="A490" s="1"/>
      <c r="B490" s="36"/>
      <c r="C490" s="36"/>
      <c r="D490" s="36"/>
      <c r="E490" s="36"/>
      <c r="F490" s="36"/>
      <c r="G490" s="36"/>
      <c r="H490" s="37"/>
      <c r="I490" s="36"/>
      <c r="J490" s="38"/>
      <c r="K490" s="38"/>
      <c r="L490" s="39"/>
      <c r="M490" s="39"/>
      <c r="N490" s="39"/>
      <c r="O490" s="39"/>
      <c r="P490" s="39"/>
      <c r="Q490" s="39"/>
      <c r="R490" s="39"/>
      <c r="S490" s="39"/>
      <c r="T490" s="39"/>
      <c r="U490" s="39"/>
      <c r="V490" s="39"/>
      <c r="W490" s="39"/>
      <c r="X490" s="39"/>
      <c r="Y490" s="39"/>
      <c r="Z490" s="39"/>
      <c r="AA490" s="39"/>
      <c r="AB490" s="39"/>
    </row>
    <row r="491">
      <c r="A491" s="1"/>
      <c r="B491" s="36"/>
      <c r="C491" s="36"/>
      <c r="D491" s="36"/>
      <c r="E491" s="36"/>
      <c r="F491" s="36"/>
      <c r="G491" s="36"/>
      <c r="H491" s="37"/>
      <c r="I491" s="36"/>
      <c r="J491" s="38"/>
      <c r="K491" s="38"/>
      <c r="L491" s="39"/>
      <c r="M491" s="39"/>
      <c r="N491" s="39"/>
      <c r="O491" s="39"/>
      <c r="P491" s="39"/>
      <c r="Q491" s="39"/>
      <c r="R491" s="39"/>
      <c r="S491" s="39"/>
      <c r="T491" s="39"/>
      <c r="U491" s="39"/>
      <c r="V491" s="39"/>
      <c r="W491" s="39"/>
      <c r="X491" s="39"/>
      <c r="Y491" s="39"/>
      <c r="Z491" s="39"/>
      <c r="AA491" s="39"/>
      <c r="AB491" s="39"/>
    </row>
    <row r="492">
      <c r="A492" s="1"/>
      <c r="B492" s="36"/>
      <c r="C492" s="36"/>
      <c r="D492" s="36"/>
      <c r="E492" s="36"/>
      <c r="F492" s="36"/>
      <c r="G492" s="36"/>
      <c r="H492" s="37"/>
      <c r="I492" s="36"/>
      <c r="J492" s="38"/>
      <c r="K492" s="38"/>
      <c r="L492" s="39"/>
      <c r="M492" s="39"/>
      <c r="N492" s="39"/>
      <c r="O492" s="39"/>
      <c r="P492" s="39"/>
      <c r="Q492" s="39"/>
      <c r="R492" s="39"/>
      <c r="S492" s="39"/>
      <c r="T492" s="39"/>
      <c r="U492" s="39"/>
      <c r="V492" s="39"/>
      <c r="W492" s="39"/>
      <c r="X492" s="39"/>
      <c r="Y492" s="39"/>
      <c r="Z492" s="39"/>
      <c r="AA492" s="39"/>
      <c r="AB492" s="39"/>
    </row>
    <row r="493">
      <c r="A493" s="1"/>
      <c r="B493" s="36"/>
      <c r="C493" s="36"/>
      <c r="D493" s="36"/>
      <c r="E493" s="36"/>
      <c r="F493" s="36"/>
      <c r="G493" s="36"/>
      <c r="H493" s="37"/>
      <c r="I493" s="36"/>
      <c r="J493" s="38"/>
      <c r="K493" s="38"/>
      <c r="L493" s="39"/>
      <c r="M493" s="39"/>
      <c r="N493" s="39"/>
      <c r="O493" s="39"/>
      <c r="P493" s="39"/>
      <c r="Q493" s="39"/>
      <c r="R493" s="39"/>
      <c r="S493" s="39"/>
      <c r="T493" s="39"/>
      <c r="U493" s="39"/>
      <c r="V493" s="39"/>
      <c r="W493" s="39"/>
      <c r="X493" s="39"/>
      <c r="Y493" s="39"/>
      <c r="Z493" s="39"/>
      <c r="AA493" s="39"/>
      <c r="AB493" s="39"/>
    </row>
    <row r="494">
      <c r="A494" s="1"/>
      <c r="B494" s="36"/>
      <c r="C494" s="36"/>
      <c r="D494" s="36"/>
      <c r="E494" s="36"/>
      <c r="F494" s="36"/>
      <c r="G494" s="36"/>
      <c r="H494" s="37"/>
      <c r="I494" s="36"/>
      <c r="J494" s="38"/>
      <c r="K494" s="38"/>
      <c r="L494" s="39"/>
      <c r="M494" s="39"/>
      <c r="N494" s="39"/>
      <c r="O494" s="39"/>
      <c r="P494" s="39"/>
      <c r="Q494" s="39"/>
      <c r="R494" s="39"/>
      <c r="S494" s="39"/>
      <c r="T494" s="39"/>
      <c r="U494" s="39"/>
      <c r="V494" s="39"/>
      <c r="W494" s="39"/>
      <c r="X494" s="39"/>
      <c r="Y494" s="39"/>
      <c r="Z494" s="39"/>
      <c r="AA494" s="39"/>
      <c r="AB494" s="39"/>
    </row>
    <row r="495">
      <c r="A495" s="1"/>
      <c r="B495" s="36"/>
      <c r="C495" s="36"/>
      <c r="D495" s="36"/>
      <c r="E495" s="36"/>
      <c r="F495" s="36"/>
      <c r="G495" s="36"/>
      <c r="H495" s="37"/>
      <c r="I495" s="36"/>
      <c r="J495" s="38"/>
      <c r="K495" s="38"/>
      <c r="L495" s="39"/>
      <c r="M495" s="39"/>
      <c r="N495" s="39"/>
      <c r="O495" s="39"/>
      <c r="P495" s="39"/>
      <c r="Q495" s="39"/>
      <c r="R495" s="39"/>
      <c r="S495" s="39"/>
      <c r="T495" s="39"/>
      <c r="U495" s="39"/>
      <c r="V495" s="39"/>
      <c r="W495" s="39"/>
      <c r="X495" s="39"/>
      <c r="Y495" s="39"/>
      <c r="Z495" s="39"/>
      <c r="AA495" s="39"/>
      <c r="AB495" s="39"/>
    </row>
    <row r="496">
      <c r="A496" s="1"/>
      <c r="B496" s="36"/>
      <c r="C496" s="36"/>
      <c r="D496" s="36"/>
      <c r="E496" s="36"/>
      <c r="F496" s="36"/>
      <c r="G496" s="36"/>
      <c r="H496" s="37"/>
      <c r="I496" s="36"/>
      <c r="J496" s="38"/>
      <c r="K496" s="38"/>
      <c r="L496" s="39"/>
      <c r="M496" s="39"/>
      <c r="N496" s="39"/>
      <c r="O496" s="39"/>
      <c r="P496" s="39"/>
      <c r="Q496" s="39"/>
      <c r="R496" s="39"/>
      <c r="S496" s="39"/>
      <c r="T496" s="39"/>
      <c r="U496" s="39"/>
      <c r="V496" s="39"/>
      <c r="W496" s="39"/>
      <c r="X496" s="39"/>
      <c r="Y496" s="39"/>
      <c r="Z496" s="39"/>
      <c r="AA496" s="39"/>
      <c r="AB496" s="39"/>
    </row>
    <row r="497">
      <c r="A497" s="1"/>
      <c r="B497" s="36"/>
      <c r="C497" s="36"/>
      <c r="D497" s="36"/>
      <c r="E497" s="36"/>
      <c r="F497" s="36"/>
      <c r="G497" s="36"/>
      <c r="H497" s="37"/>
      <c r="I497" s="36"/>
      <c r="J497" s="38"/>
      <c r="K497" s="38"/>
      <c r="L497" s="39"/>
      <c r="M497" s="39"/>
      <c r="N497" s="39"/>
      <c r="O497" s="39"/>
      <c r="P497" s="39"/>
      <c r="Q497" s="39"/>
      <c r="R497" s="39"/>
      <c r="S497" s="39"/>
      <c r="T497" s="39"/>
      <c r="U497" s="39"/>
      <c r="V497" s="39"/>
      <c r="W497" s="39"/>
      <c r="X497" s="39"/>
      <c r="Y497" s="39"/>
      <c r="Z497" s="39"/>
      <c r="AA497" s="39"/>
      <c r="AB497" s="39"/>
    </row>
    <row r="498">
      <c r="A498" s="1"/>
      <c r="B498" s="36"/>
      <c r="C498" s="36"/>
      <c r="D498" s="36"/>
      <c r="E498" s="36"/>
      <c r="F498" s="36"/>
      <c r="G498" s="36"/>
      <c r="H498" s="37"/>
      <c r="I498" s="36"/>
      <c r="J498" s="38"/>
      <c r="K498" s="38"/>
      <c r="L498" s="39"/>
      <c r="M498" s="39"/>
      <c r="N498" s="39"/>
      <c r="O498" s="39"/>
      <c r="P498" s="39"/>
      <c r="Q498" s="39"/>
      <c r="R498" s="39"/>
      <c r="S498" s="39"/>
      <c r="T498" s="39"/>
      <c r="U498" s="39"/>
      <c r="V498" s="39"/>
      <c r="W498" s="39"/>
      <c r="X498" s="39"/>
      <c r="Y498" s="39"/>
      <c r="Z498" s="39"/>
      <c r="AA498" s="39"/>
      <c r="AB498" s="39"/>
    </row>
    <row r="499">
      <c r="A499" s="1"/>
      <c r="B499" s="36"/>
      <c r="C499" s="36"/>
      <c r="D499" s="36"/>
      <c r="E499" s="36"/>
      <c r="F499" s="36"/>
      <c r="G499" s="36"/>
      <c r="H499" s="37"/>
      <c r="I499" s="36"/>
      <c r="J499" s="38"/>
      <c r="K499" s="38"/>
      <c r="L499" s="39"/>
      <c r="M499" s="39"/>
      <c r="N499" s="39"/>
      <c r="O499" s="39"/>
      <c r="P499" s="39"/>
      <c r="Q499" s="39"/>
      <c r="R499" s="39"/>
      <c r="S499" s="39"/>
      <c r="T499" s="39"/>
      <c r="U499" s="39"/>
      <c r="V499" s="39"/>
      <c r="W499" s="39"/>
      <c r="X499" s="39"/>
      <c r="Y499" s="39"/>
      <c r="Z499" s="39"/>
      <c r="AA499" s="39"/>
      <c r="AB499" s="39"/>
    </row>
    <row r="500">
      <c r="A500" s="1"/>
      <c r="B500" s="36"/>
      <c r="C500" s="36"/>
      <c r="D500" s="36"/>
      <c r="E500" s="36"/>
      <c r="F500" s="36"/>
      <c r="G500" s="36"/>
      <c r="H500" s="37"/>
      <c r="I500" s="36"/>
      <c r="J500" s="38"/>
      <c r="K500" s="38"/>
      <c r="L500" s="39"/>
      <c r="M500" s="39"/>
      <c r="N500" s="39"/>
      <c r="O500" s="39"/>
      <c r="P500" s="39"/>
      <c r="Q500" s="39"/>
      <c r="R500" s="39"/>
      <c r="S500" s="39"/>
      <c r="T500" s="39"/>
      <c r="U500" s="39"/>
      <c r="V500" s="39"/>
      <c r="W500" s="39"/>
      <c r="X500" s="39"/>
      <c r="Y500" s="39"/>
      <c r="Z500" s="39"/>
      <c r="AA500" s="39"/>
      <c r="AB500" s="39"/>
    </row>
    <row r="501">
      <c r="A501" s="1"/>
      <c r="B501" s="36"/>
      <c r="C501" s="36"/>
      <c r="D501" s="36"/>
      <c r="E501" s="36"/>
      <c r="F501" s="36"/>
      <c r="G501" s="36"/>
      <c r="H501" s="37"/>
      <c r="I501" s="36"/>
      <c r="J501" s="38"/>
      <c r="K501" s="38"/>
      <c r="L501" s="39"/>
      <c r="M501" s="39"/>
      <c r="N501" s="39"/>
      <c r="O501" s="39"/>
      <c r="P501" s="39"/>
      <c r="Q501" s="39"/>
      <c r="R501" s="39"/>
      <c r="S501" s="39"/>
      <c r="T501" s="39"/>
      <c r="U501" s="39"/>
      <c r="V501" s="39"/>
      <c r="W501" s="39"/>
      <c r="X501" s="39"/>
      <c r="Y501" s="39"/>
      <c r="Z501" s="39"/>
      <c r="AA501" s="39"/>
      <c r="AB501" s="39"/>
    </row>
    <row r="502">
      <c r="A502" s="1"/>
      <c r="B502" s="36"/>
      <c r="C502" s="36"/>
      <c r="D502" s="36"/>
      <c r="E502" s="36"/>
      <c r="F502" s="36"/>
      <c r="G502" s="36"/>
      <c r="H502" s="37"/>
      <c r="I502" s="36"/>
      <c r="J502" s="38"/>
      <c r="K502" s="38"/>
      <c r="L502" s="39"/>
      <c r="M502" s="39"/>
      <c r="N502" s="39"/>
      <c r="O502" s="39"/>
      <c r="P502" s="39"/>
      <c r="Q502" s="39"/>
      <c r="R502" s="39"/>
      <c r="S502" s="39"/>
      <c r="T502" s="39"/>
      <c r="U502" s="39"/>
      <c r="V502" s="39"/>
      <c r="W502" s="39"/>
      <c r="X502" s="39"/>
      <c r="Y502" s="39"/>
      <c r="Z502" s="39"/>
      <c r="AA502" s="39"/>
      <c r="AB502" s="39"/>
    </row>
    <row r="503">
      <c r="A503" s="1"/>
      <c r="B503" s="36"/>
      <c r="C503" s="36"/>
      <c r="D503" s="36"/>
      <c r="E503" s="36"/>
      <c r="F503" s="36"/>
      <c r="G503" s="36"/>
      <c r="H503" s="37"/>
      <c r="I503" s="36"/>
      <c r="J503" s="38"/>
      <c r="K503" s="38"/>
      <c r="L503" s="39"/>
      <c r="M503" s="39"/>
      <c r="N503" s="39"/>
      <c r="O503" s="39"/>
      <c r="P503" s="39"/>
      <c r="Q503" s="39"/>
      <c r="R503" s="39"/>
      <c r="S503" s="39"/>
      <c r="T503" s="39"/>
      <c r="U503" s="39"/>
      <c r="V503" s="39"/>
      <c r="W503" s="39"/>
      <c r="X503" s="39"/>
      <c r="Y503" s="39"/>
      <c r="Z503" s="39"/>
      <c r="AA503" s="39"/>
      <c r="AB503" s="39"/>
    </row>
    <row r="504">
      <c r="A504" s="1"/>
      <c r="B504" s="36"/>
      <c r="C504" s="36"/>
      <c r="D504" s="36"/>
      <c r="E504" s="36"/>
      <c r="F504" s="36"/>
      <c r="G504" s="36"/>
      <c r="H504" s="37"/>
      <c r="I504" s="36"/>
      <c r="J504" s="38"/>
      <c r="K504" s="38"/>
      <c r="L504" s="39"/>
      <c r="M504" s="39"/>
      <c r="N504" s="39"/>
      <c r="O504" s="39"/>
      <c r="P504" s="39"/>
      <c r="Q504" s="39"/>
      <c r="R504" s="39"/>
      <c r="S504" s="39"/>
      <c r="T504" s="39"/>
      <c r="U504" s="39"/>
      <c r="V504" s="39"/>
      <c r="W504" s="39"/>
      <c r="X504" s="39"/>
      <c r="Y504" s="39"/>
      <c r="Z504" s="39"/>
      <c r="AA504" s="39"/>
      <c r="AB504" s="39"/>
    </row>
    <row r="505">
      <c r="A505" s="1"/>
      <c r="B505" s="36"/>
      <c r="C505" s="36"/>
      <c r="D505" s="36"/>
      <c r="E505" s="36"/>
      <c r="F505" s="36"/>
      <c r="G505" s="36"/>
      <c r="H505" s="37"/>
      <c r="I505" s="36"/>
      <c r="J505" s="38"/>
      <c r="K505" s="38"/>
      <c r="L505" s="39"/>
      <c r="M505" s="39"/>
      <c r="N505" s="39"/>
      <c r="O505" s="39"/>
      <c r="P505" s="39"/>
      <c r="Q505" s="39"/>
      <c r="R505" s="39"/>
      <c r="S505" s="39"/>
      <c r="T505" s="39"/>
      <c r="U505" s="39"/>
      <c r="V505" s="39"/>
      <c r="W505" s="39"/>
      <c r="X505" s="39"/>
      <c r="Y505" s="39"/>
      <c r="Z505" s="39"/>
      <c r="AA505" s="39"/>
      <c r="AB505" s="39"/>
    </row>
    <row r="506">
      <c r="A506" s="1"/>
      <c r="B506" s="36"/>
      <c r="C506" s="36"/>
      <c r="D506" s="36"/>
      <c r="E506" s="36"/>
      <c r="F506" s="36"/>
      <c r="G506" s="36"/>
      <c r="H506" s="37"/>
      <c r="I506" s="36"/>
      <c r="J506" s="38"/>
      <c r="K506" s="38"/>
      <c r="L506" s="39"/>
      <c r="M506" s="39"/>
      <c r="N506" s="39"/>
      <c r="O506" s="39"/>
      <c r="P506" s="39"/>
      <c r="Q506" s="39"/>
      <c r="R506" s="39"/>
      <c r="S506" s="39"/>
      <c r="T506" s="39"/>
      <c r="U506" s="39"/>
      <c r="V506" s="39"/>
      <c r="W506" s="39"/>
      <c r="X506" s="39"/>
      <c r="Y506" s="39"/>
      <c r="Z506" s="39"/>
      <c r="AA506" s="39"/>
      <c r="AB506" s="39"/>
    </row>
    <row r="507">
      <c r="A507" s="1"/>
      <c r="B507" s="36"/>
      <c r="C507" s="36"/>
      <c r="D507" s="36"/>
      <c r="E507" s="36"/>
      <c r="F507" s="36"/>
      <c r="G507" s="36"/>
      <c r="H507" s="37"/>
      <c r="I507" s="36"/>
      <c r="J507" s="38"/>
      <c r="K507" s="38"/>
      <c r="L507" s="39"/>
      <c r="M507" s="39"/>
      <c r="N507" s="39"/>
      <c r="O507" s="39"/>
      <c r="P507" s="39"/>
      <c r="Q507" s="39"/>
      <c r="R507" s="39"/>
      <c r="S507" s="39"/>
      <c r="T507" s="39"/>
      <c r="U507" s="39"/>
      <c r="V507" s="39"/>
      <c r="W507" s="39"/>
      <c r="X507" s="39"/>
      <c r="Y507" s="39"/>
      <c r="Z507" s="39"/>
      <c r="AA507" s="39"/>
      <c r="AB507" s="39"/>
    </row>
    <row r="508">
      <c r="A508" s="1"/>
      <c r="B508" s="36"/>
      <c r="C508" s="36"/>
      <c r="D508" s="36"/>
      <c r="E508" s="36"/>
      <c r="F508" s="36"/>
      <c r="G508" s="36"/>
      <c r="H508" s="37"/>
      <c r="I508" s="36"/>
      <c r="J508" s="38"/>
      <c r="K508" s="38"/>
      <c r="L508" s="39"/>
      <c r="M508" s="39"/>
      <c r="N508" s="39"/>
      <c r="O508" s="39"/>
      <c r="P508" s="39"/>
      <c r="Q508" s="39"/>
      <c r="R508" s="39"/>
      <c r="S508" s="39"/>
      <c r="T508" s="39"/>
      <c r="U508" s="39"/>
      <c r="V508" s="39"/>
      <c r="W508" s="39"/>
      <c r="X508" s="39"/>
      <c r="Y508" s="39"/>
      <c r="Z508" s="39"/>
      <c r="AA508" s="39"/>
      <c r="AB508" s="39"/>
    </row>
    <row r="509">
      <c r="A509" s="1"/>
      <c r="B509" s="36"/>
      <c r="C509" s="36"/>
      <c r="D509" s="36"/>
      <c r="E509" s="36"/>
      <c r="F509" s="36"/>
      <c r="G509" s="36"/>
      <c r="H509" s="37"/>
      <c r="I509" s="36"/>
      <c r="J509" s="38"/>
      <c r="K509" s="38"/>
      <c r="L509" s="39"/>
      <c r="M509" s="39"/>
      <c r="N509" s="39"/>
      <c r="O509" s="39"/>
      <c r="P509" s="39"/>
      <c r="Q509" s="39"/>
      <c r="R509" s="39"/>
      <c r="S509" s="39"/>
      <c r="T509" s="39"/>
      <c r="U509" s="39"/>
      <c r="V509" s="39"/>
      <c r="W509" s="39"/>
      <c r="X509" s="39"/>
      <c r="Y509" s="39"/>
      <c r="Z509" s="39"/>
      <c r="AA509" s="39"/>
      <c r="AB509" s="39"/>
    </row>
    <row r="510">
      <c r="A510" s="1"/>
      <c r="B510" s="36"/>
      <c r="C510" s="36"/>
      <c r="D510" s="36"/>
      <c r="E510" s="36"/>
      <c r="F510" s="36"/>
      <c r="G510" s="36"/>
      <c r="H510" s="37"/>
      <c r="I510" s="36"/>
      <c r="J510" s="38"/>
      <c r="K510" s="38"/>
      <c r="L510" s="39"/>
      <c r="M510" s="39"/>
      <c r="N510" s="39"/>
      <c r="O510" s="39"/>
      <c r="P510" s="39"/>
      <c r="Q510" s="39"/>
      <c r="R510" s="39"/>
      <c r="S510" s="39"/>
      <c r="T510" s="39"/>
      <c r="U510" s="39"/>
      <c r="V510" s="39"/>
      <c r="W510" s="39"/>
      <c r="X510" s="39"/>
      <c r="Y510" s="39"/>
      <c r="Z510" s="39"/>
      <c r="AA510" s="39"/>
      <c r="AB510" s="39"/>
    </row>
    <row r="511">
      <c r="A511" s="1"/>
      <c r="B511" s="36"/>
      <c r="C511" s="36"/>
      <c r="D511" s="36"/>
      <c r="E511" s="36"/>
      <c r="F511" s="36"/>
      <c r="G511" s="36"/>
      <c r="H511" s="37"/>
      <c r="I511" s="36"/>
      <c r="J511" s="38"/>
      <c r="K511" s="38"/>
      <c r="L511" s="39"/>
      <c r="M511" s="39"/>
      <c r="N511" s="39"/>
      <c r="O511" s="39"/>
      <c r="P511" s="39"/>
      <c r="Q511" s="39"/>
      <c r="R511" s="39"/>
      <c r="S511" s="39"/>
      <c r="T511" s="39"/>
      <c r="U511" s="39"/>
      <c r="V511" s="39"/>
      <c r="W511" s="39"/>
      <c r="X511" s="39"/>
      <c r="Y511" s="39"/>
      <c r="Z511" s="39"/>
      <c r="AA511" s="39"/>
      <c r="AB511" s="39"/>
    </row>
    <row r="512">
      <c r="A512" s="1"/>
      <c r="B512" s="36"/>
      <c r="C512" s="36"/>
      <c r="D512" s="36"/>
      <c r="E512" s="36"/>
      <c r="F512" s="36"/>
      <c r="G512" s="36"/>
      <c r="H512" s="37"/>
      <c r="I512" s="36"/>
      <c r="J512" s="38"/>
      <c r="K512" s="38"/>
      <c r="L512" s="39"/>
      <c r="M512" s="39"/>
      <c r="N512" s="39"/>
      <c r="O512" s="39"/>
      <c r="P512" s="39"/>
      <c r="Q512" s="39"/>
      <c r="R512" s="39"/>
      <c r="S512" s="39"/>
      <c r="T512" s="39"/>
      <c r="U512" s="39"/>
      <c r="V512" s="39"/>
      <c r="W512" s="39"/>
      <c r="X512" s="39"/>
      <c r="Y512" s="39"/>
      <c r="Z512" s="39"/>
      <c r="AA512" s="39"/>
      <c r="AB512" s="39"/>
    </row>
    <row r="513">
      <c r="A513" s="1"/>
      <c r="B513" s="36"/>
      <c r="C513" s="36"/>
      <c r="D513" s="36"/>
      <c r="E513" s="36"/>
      <c r="F513" s="36"/>
      <c r="G513" s="36"/>
      <c r="H513" s="37"/>
      <c r="I513" s="36"/>
      <c r="J513" s="38"/>
      <c r="K513" s="38"/>
      <c r="L513" s="39"/>
      <c r="M513" s="39"/>
      <c r="N513" s="39"/>
      <c r="O513" s="39"/>
      <c r="P513" s="39"/>
      <c r="Q513" s="39"/>
      <c r="R513" s="39"/>
      <c r="S513" s="39"/>
      <c r="T513" s="39"/>
      <c r="U513" s="39"/>
      <c r="V513" s="39"/>
      <c r="W513" s="39"/>
      <c r="X513" s="39"/>
      <c r="Y513" s="39"/>
      <c r="Z513" s="39"/>
      <c r="AA513" s="39"/>
      <c r="AB513" s="39"/>
    </row>
    <row r="514">
      <c r="A514" s="1"/>
      <c r="B514" s="36"/>
      <c r="C514" s="36"/>
      <c r="D514" s="36"/>
      <c r="E514" s="36"/>
      <c r="F514" s="36"/>
      <c r="G514" s="36"/>
      <c r="H514" s="37"/>
      <c r="I514" s="36"/>
      <c r="J514" s="38"/>
      <c r="K514" s="38"/>
      <c r="L514" s="39"/>
      <c r="M514" s="39"/>
      <c r="N514" s="39"/>
      <c r="O514" s="39"/>
      <c r="P514" s="39"/>
      <c r="Q514" s="39"/>
      <c r="R514" s="39"/>
      <c r="S514" s="39"/>
      <c r="T514" s="39"/>
      <c r="U514" s="39"/>
      <c r="V514" s="39"/>
      <c r="W514" s="39"/>
      <c r="X514" s="39"/>
      <c r="Y514" s="39"/>
      <c r="Z514" s="39"/>
      <c r="AA514" s="39"/>
      <c r="AB514" s="39"/>
    </row>
    <row r="515">
      <c r="A515" s="1"/>
      <c r="B515" s="36"/>
      <c r="C515" s="36"/>
      <c r="D515" s="36"/>
      <c r="E515" s="36"/>
      <c r="F515" s="36"/>
      <c r="G515" s="36"/>
      <c r="H515" s="37"/>
      <c r="I515" s="36"/>
      <c r="J515" s="38"/>
      <c r="K515" s="38"/>
      <c r="L515" s="39"/>
      <c r="M515" s="39"/>
      <c r="N515" s="39"/>
      <c r="O515" s="39"/>
      <c r="P515" s="39"/>
      <c r="Q515" s="39"/>
      <c r="R515" s="39"/>
      <c r="S515" s="39"/>
      <c r="T515" s="39"/>
      <c r="U515" s="39"/>
      <c r="V515" s="39"/>
      <c r="W515" s="39"/>
      <c r="X515" s="39"/>
      <c r="Y515" s="39"/>
      <c r="Z515" s="39"/>
      <c r="AA515" s="39"/>
      <c r="AB515" s="39"/>
    </row>
    <row r="516">
      <c r="A516" s="1"/>
      <c r="B516" s="36"/>
      <c r="C516" s="36"/>
      <c r="D516" s="36"/>
      <c r="E516" s="36"/>
      <c r="F516" s="36"/>
      <c r="G516" s="36"/>
      <c r="H516" s="37"/>
      <c r="I516" s="36"/>
      <c r="J516" s="38"/>
      <c r="K516" s="38"/>
      <c r="L516" s="39"/>
      <c r="M516" s="39"/>
      <c r="N516" s="39"/>
      <c r="O516" s="39"/>
      <c r="P516" s="39"/>
      <c r="Q516" s="39"/>
      <c r="R516" s="39"/>
      <c r="S516" s="39"/>
      <c r="T516" s="39"/>
      <c r="U516" s="39"/>
      <c r="V516" s="39"/>
      <c r="W516" s="39"/>
      <c r="X516" s="39"/>
      <c r="Y516" s="39"/>
      <c r="Z516" s="39"/>
      <c r="AA516" s="39"/>
      <c r="AB516" s="39"/>
    </row>
    <row r="517">
      <c r="A517" s="1"/>
      <c r="B517" s="36"/>
      <c r="C517" s="36"/>
      <c r="D517" s="36"/>
      <c r="E517" s="36"/>
      <c r="F517" s="36"/>
      <c r="G517" s="36"/>
      <c r="H517" s="37"/>
      <c r="I517" s="36"/>
      <c r="J517" s="38"/>
      <c r="K517" s="38"/>
      <c r="L517" s="39"/>
      <c r="M517" s="39"/>
      <c r="N517" s="39"/>
      <c r="O517" s="39"/>
      <c r="P517" s="39"/>
      <c r="Q517" s="39"/>
      <c r="R517" s="39"/>
      <c r="S517" s="39"/>
      <c r="T517" s="39"/>
      <c r="U517" s="39"/>
      <c r="V517" s="39"/>
      <c r="W517" s="39"/>
      <c r="X517" s="39"/>
      <c r="Y517" s="39"/>
      <c r="Z517" s="39"/>
      <c r="AA517" s="39"/>
      <c r="AB517" s="39"/>
    </row>
    <row r="518">
      <c r="A518" s="1"/>
      <c r="B518" s="36"/>
      <c r="C518" s="36"/>
      <c r="D518" s="36"/>
      <c r="E518" s="36"/>
      <c r="F518" s="36"/>
      <c r="G518" s="36"/>
      <c r="H518" s="37"/>
      <c r="I518" s="36"/>
      <c r="J518" s="38"/>
      <c r="K518" s="38"/>
      <c r="L518" s="39"/>
      <c r="M518" s="39"/>
      <c r="N518" s="39"/>
      <c r="O518" s="39"/>
      <c r="P518" s="39"/>
      <c r="Q518" s="39"/>
      <c r="R518" s="39"/>
      <c r="S518" s="39"/>
      <c r="T518" s="39"/>
      <c r="U518" s="39"/>
      <c r="V518" s="39"/>
      <c r="W518" s="39"/>
      <c r="X518" s="39"/>
      <c r="Y518" s="39"/>
      <c r="Z518" s="39"/>
      <c r="AA518" s="39"/>
      <c r="AB518" s="39"/>
    </row>
    <row r="519">
      <c r="A519" s="1"/>
      <c r="B519" s="36"/>
      <c r="C519" s="36"/>
      <c r="D519" s="36"/>
      <c r="E519" s="36"/>
      <c r="F519" s="36"/>
      <c r="G519" s="36"/>
      <c r="H519" s="37"/>
      <c r="I519" s="36"/>
      <c r="J519" s="38"/>
      <c r="K519" s="38"/>
      <c r="L519" s="39"/>
      <c r="M519" s="39"/>
      <c r="N519" s="39"/>
      <c r="O519" s="39"/>
      <c r="P519" s="39"/>
      <c r="Q519" s="39"/>
      <c r="R519" s="39"/>
      <c r="S519" s="39"/>
      <c r="T519" s="39"/>
      <c r="U519" s="39"/>
      <c r="V519" s="39"/>
      <c r="W519" s="39"/>
      <c r="X519" s="39"/>
      <c r="Y519" s="39"/>
      <c r="Z519" s="39"/>
      <c r="AA519" s="39"/>
      <c r="AB519" s="39"/>
    </row>
    <row r="520">
      <c r="A520" s="1"/>
      <c r="B520" s="36"/>
      <c r="C520" s="36"/>
      <c r="D520" s="36"/>
      <c r="E520" s="36"/>
      <c r="F520" s="36"/>
      <c r="G520" s="36"/>
      <c r="H520" s="37"/>
      <c r="I520" s="36"/>
      <c r="J520" s="38"/>
      <c r="K520" s="38"/>
      <c r="L520" s="39"/>
      <c r="M520" s="39"/>
      <c r="N520" s="39"/>
      <c r="O520" s="39"/>
      <c r="P520" s="39"/>
      <c r="Q520" s="39"/>
      <c r="R520" s="39"/>
      <c r="S520" s="39"/>
      <c r="T520" s="39"/>
      <c r="U520" s="39"/>
      <c r="V520" s="39"/>
      <c r="W520" s="39"/>
      <c r="X520" s="39"/>
      <c r="Y520" s="39"/>
      <c r="Z520" s="39"/>
      <c r="AA520" s="39"/>
      <c r="AB520" s="39"/>
    </row>
    <row r="521">
      <c r="A521" s="1"/>
      <c r="B521" s="36"/>
      <c r="C521" s="36"/>
      <c r="D521" s="36"/>
      <c r="E521" s="36"/>
      <c r="F521" s="36"/>
      <c r="G521" s="36"/>
      <c r="H521" s="37"/>
      <c r="I521" s="36"/>
      <c r="J521" s="38"/>
      <c r="K521" s="38"/>
      <c r="L521" s="39"/>
      <c r="M521" s="39"/>
      <c r="N521" s="39"/>
      <c r="O521" s="39"/>
      <c r="P521" s="39"/>
      <c r="Q521" s="39"/>
      <c r="R521" s="39"/>
      <c r="S521" s="39"/>
      <c r="T521" s="39"/>
      <c r="U521" s="39"/>
      <c r="V521" s="39"/>
      <c r="W521" s="39"/>
      <c r="X521" s="39"/>
      <c r="Y521" s="39"/>
      <c r="Z521" s="39"/>
      <c r="AA521" s="39"/>
      <c r="AB521" s="39"/>
    </row>
    <row r="522">
      <c r="A522" s="1"/>
      <c r="B522" s="36"/>
      <c r="C522" s="36"/>
      <c r="D522" s="36"/>
      <c r="E522" s="36"/>
      <c r="F522" s="36"/>
      <c r="G522" s="36"/>
      <c r="H522" s="37"/>
      <c r="I522" s="36"/>
      <c r="J522" s="38"/>
      <c r="K522" s="38"/>
      <c r="L522" s="39"/>
      <c r="M522" s="39"/>
      <c r="N522" s="39"/>
      <c r="O522" s="39"/>
      <c r="P522" s="39"/>
      <c r="Q522" s="39"/>
      <c r="R522" s="39"/>
      <c r="S522" s="39"/>
      <c r="T522" s="39"/>
      <c r="U522" s="39"/>
      <c r="V522" s="39"/>
      <c r="W522" s="39"/>
      <c r="X522" s="39"/>
      <c r="Y522" s="39"/>
      <c r="Z522" s="39"/>
      <c r="AA522" s="39"/>
      <c r="AB522" s="39"/>
    </row>
    <row r="523">
      <c r="A523" s="1"/>
      <c r="B523" s="36"/>
      <c r="C523" s="36"/>
      <c r="D523" s="36"/>
      <c r="E523" s="36"/>
      <c r="F523" s="36"/>
      <c r="G523" s="36"/>
      <c r="H523" s="37"/>
      <c r="I523" s="36"/>
      <c r="J523" s="38"/>
      <c r="K523" s="38"/>
      <c r="L523" s="39"/>
      <c r="M523" s="39"/>
      <c r="N523" s="39"/>
      <c r="O523" s="39"/>
      <c r="P523" s="39"/>
      <c r="Q523" s="39"/>
      <c r="R523" s="39"/>
      <c r="S523" s="39"/>
      <c r="T523" s="39"/>
      <c r="U523" s="39"/>
      <c r="V523" s="39"/>
      <c r="W523" s="39"/>
      <c r="X523" s="39"/>
      <c r="Y523" s="39"/>
      <c r="Z523" s="39"/>
      <c r="AA523" s="39"/>
      <c r="AB523" s="39"/>
    </row>
    <row r="524">
      <c r="A524" s="1"/>
      <c r="B524" s="36"/>
      <c r="C524" s="36"/>
      <c r="D524" s="36"/>
      <c r="E524" s="36"/>
      <c r="F524" s="36"/>
      <c r="G524" s="36"/>
      <c r="H524" s="37"/>
      <c r="I524" s="36"/>
      <c r="J524" s="38"/>
      <c r="K524" s="38"/>
      <c r="L524" s="39"/>
      <c r="M524" s="39"/>
      <c r="N524" s="39"/>
      <c r="O524" s="39"/>
      <c r="P524" s="39"/>
      <c r="Q524" s="39"/>
      <c r="R524" s="39"/>
      <c r="S524" s="39"/>
      <c r="T524" s="39"/>
      <c r="U524" s="39"/>
      <c r="V524" s="39"/>
      <c r="W524" s="39"/>
      <c r="X524" s="39"/>
      <c r="Y524" s="39"/>
      <c r="Z524" s="39"/>
      <c r="AA524" s="39"/>
      <c r="AB524" s="39"/>
    </row>
    <row r="525">
      <c r="A525" s="1"/>
      <c r="B525" s="36"/>
      <c r="C525" s="36"/>
      <c r="D525" s="36"/>
      <c r="E525" s="36"/>
      <c r="F525" s="36"/>
      <c r="G525" s="36"/>
      <c r="H525" s="37"/>
      <c r="I525" s="36"/>
      <c r="J525" s="38"/>
      <c r="K525" s="38"/>
      <c r="L525" s="39"/>
      <c r="M525" s="39"/>
      <c r="N525" s="39"/>
      <c r="O525" s="39"/>
      <c r="P525" s="39"/>
      <c r="Q525" s="39"/>
      <c r="R525" s="39"/>
      <c r="S525" s="39"/>
      <c r="T525" s="39"/>
      <c r="U525" s="39"/>
      <c r="V525" s="39"/>
      <c r="W525" s="39"/>
      <c r="X525" s="39"/>
      <c r="Y525" s="39"/>
      <c r="Z525" s="39"/>
      <c r="AA525" s="39"/>
      <c r="AB525" s="39"/>
    </row>
    <row r="526">
      <c r="A526" s="1"/>
      <c r="B526" s="36"/>
      <c r="C526" s="36"/>
      <c r="D526" s="36"/>
      <c r="E526" s="36"/>
      <c r="F526" s="36"/>
      <c r="G526" s="36"/>
      <c r="H526" s="37"/>
      <c r="I526" s="36"/>
      <c r="J526" s="38"/>
      <c r="K526" s="38"/>
      <c r="L526" s="39"/>
      <c r="M526" s="39"/>
      <c r="N526" s="39"/>
      <c r="O526" s="39"/>
      <c r="P526" s="39"/>
      <c r="Q526" s="39"/>
      <c r="R526" s="39"/>
      <c r="S526" s="39"/>
      <c r="T526" s="39"/>
      <c r="U526" s="39"/>
      <c r="V526" s="39"/>
      <c r="W526" s="39"/>
      <c r="X526" s="39"/>
      <c r="Y526" s="39"/>
      <c r="Z526" s="39"/>
      <c r="AA526" s="39"/>
      <c r="AB526" s="39"/>
    </row>
    <row r="527">
      <c r="A527" s="1"/>
      <c r="B527" s="36"/>
      <c r="C527" s="36"/>
      <c r="D527" s="36"/>
      <c r="E527" s="36"/>
      <c r="F527" s="36"/>
      <c r="G527" s="36"/>
      <c r="H527" s="37"/>
      <c r="I527" s="36"/>
      <c r="J527" s="38"/>
      <c r="K527" s="38"/>
      <c r="L527" s="39"/>
      <c r="M527" s="39"/>
      <c r="N527" s="39"/>
      <c r="O527" s="39"/>
      <c r="P527" s="39"/>
      <c r="Q527" s="39"/>
      <c r="R527" s="39"/>
      <c r="S527" s="39"/>
      <c r="T527" s="39"/>
      <c r="U527" s="39"/>
      <c r="V527" s="39"/>
      <c r="W527" s="39"/>
      <c r="X527" s="39"/>
      <c r="Y527" s="39"/>
      <c r="Z527" s="39"/>
      <c r="AA527" s="39"/>
      <c r="AB527" s="39"/>
    </row>
    <row r="528">
      <c r="A528" s="1"/>
      <c r="B528" s="36"/>
      <c r="C528" s="36"/>
      <c r="D528" s="36"/>
      <c r="E528" s="36"/>
      <c r="F528" s="36"/>
      <c r="G528" s="36"/>
      <c r="H528" s="37"/>
      <c r="I528" s="36"/>
      <c r="J528" s="38"/>
      <c r="K528" s="38"/>
      <c r="L528" s="39"/>
      <c r="M528" s="39"/>
      <c r="N528" s="39"/>
      <c r="O528" s="39"/>
      <c r="P528" s="39"/>
      <c r="Q528" s="39"/>
      <c r="R528" s="39"/>
      <c r="S528" s="39"/>
      <c r="T528" s="39"/>
      <c r="U528" s="39"/>
      <c r="V528" s="39"/>
      <c r="W528" s="39"/>
      <c r="X528" s="39"/>
      <c r="Y528" s="39"/>
      <c r="Z528" s="39"/>
      <c r="AA528" s="39"/>
      <c r="AB528" s="39"/>
    </row>
    <row r="529">
      <c r="A529" s="1"/>
      <c r="B529" s="36"/>
      <c r="C529" s="36"/>
      <c r="D529" s="36"/>
      <c r="E529" s="36"/>
      <c r="F529" s="36"/>
      <c r="G529" s="36"/>
      <c r="H529" s="37"/>
      <c r="I529" s="36"/>
      <c r="J529" s="38"/>
      <c r="K529" s="38"/>
      <c r="L529" s="39"/>
      <c r="M529" s="39"/>
      <c r="N529" s="39"/>
      <c r="O529" s="39"/>
      <c r="P529" s="39"/>
      <c r="Q529" s="39"/>
      <c r="R529" s="39"/>
      <c r="S529" s="39"/>
      <c r="T529" s="39"/>
      <c r="U529" s="39"/>
      <c r="V529" s="39"/>
      <c r="W529" s="39"/>
      <c r="X529" s="39"/>
      <c r="Y529" s="39"/>
      <c r="Z529" s="39"/>
      <c r="AA529" s="39"/>
      <c r="AB529" s="39"/>
    </row>
    <row r="530">
      <c r="A530" s="1"/>
      <c r="B530" s="36"/>
      <c r="C530" s="36"/>
      <c r="D530" s="36"/>
      <c r="E530" s="36"/>
      <c r="F530" s="36"/>
      <c r="G530" s="36"/>
      <c r="H530" s="37"/>
      <c r="I530" s="36"/>
      <c r="J530" s="38"/>
      <c r="K530" s="38"/>
      <c r="L530" s="39"/>
      <c r="M530" s="39"/>
      <c r="N530" s="39"/>
      <c r="O530" s="39"/>
      <c r="P530" s="39"/>
      <c r="Q530" s="39"/>
      <c r="R530" s="39"/>
      <c r="S530" s="39"/>
      <c r="T530" s="39"/>
      <c r="U530" s="39"/>
      <c r="V530" s="39"/>
      <c r="W530" s="39"/>
      <c r="X530" s="39"/>
      <c r="Y530" s="39"/>
      <c r="Z530" s="39"/>
      <c r="AA530" s="39"/>
      <c r="AB530" s="39"/>
    </row>
    <row r="531">
      <c r="A531" s="1"/>
      <c r="B531" s="36"/>
      <c r="C531" s="36"/>
      <c r="D531" s="36"/>
      <c r="E531" s="36"/>
      <c r="F531" s="36"/>
      <c r="G531" s="36"/>
      <c r="H531" s="37"/>
      <c r="I531" s="36"/>
      <c r="J531" s="38"/>
      <c r="K531" s="38"/>
      <c r="L531" s="39"/>
      <c r="M531" s="39"/>
      <c r="N531" s="39"/>
      <c r="O531" s="39"/>
      <c r="P531" s="39"/>
      <c r="Q531" s="39"/>
      <c r="R531" s="39"/>
      <c r="S531" s="39"/>
      <c r="T531" s="39"/>
      <c r="U531" s="39"/>
      <c r="V531" s="39"/>
      <c r="W531" s="39"/>
      <c r="X531" s="39"/>
      <c r="Y531" s="39"/>
      <c r="Z531" s="39"/>
      <c r="AA531" s="39"/>
      <c r="AB531" s="39"/>
    </row>
    <row r="532">
      <c r="A532" s="1"/>
      <c r="B532" s="36"/>
      <c r="C532" s="36"/>
      <c r="D532" s="36"/>
      <c r="E532" s="36"/>
      <c r="F532" s="36"/>
      <c r="G532" s="36"/>
      <c r="H532" s="37"/>
      <c r="I532" s="36"/>
      <c r="J532" s="38"/>
      <c r="K532" s="38"/>
      <c r="L532" s="39"/>
      <c r="M532" s="39"/>
      <c r="N532" s="39"/>
      <c r="O532" s="39"/>
      <c r="P532" s="39"/>
      <c r="Q532" s="39"/>
      <c r="R532" s="39"/>
      <c r="S532" s="39"/>
      <c r="T532" s="39"/>
      <c r="U532" s="39"/>
      <c r="V532" s="39"/>
      <c r="W532" s="39"/>
      <c r="X532" s="39"/>
      <c r="Y532" s="39"/>
      <c r="Z532" s="39"/>
      <c r="AA532" s="39"/>
      <c r="AB532" s="39"/>
    </row>
    <row r="533">
      <c r="A533" s="1"/>
      <c r="B533" s="36"/>
      <c r="C533" s="36"/>
      <c r="D533" s="36"/>
      <c r="E533" s="36"/>
      <c r="F533" s="36"/>
      <c r="G533" s="36"/>
      <c r="H533" s="37"/>
      <c r="I533" s="36"/>
      <c r="J533" s="38"/>
      <c r="K533" s="38"/>
      <c r="L533" s="39"/>
      <c r="M533" s="39"/>
      <c r="N533" s="39"/>
      <c r="O533" s="39"/>
      <c r="P533" s="39"/>
      <c r="Q533" s="39"/>
      <c r="R533" s="39"/>
      <c r="S533" s="39"/>
      <c r="T533" s="39"/>
      <c r="U533" s="39"/>
      <c r="V533" s="39"/>
      <c r="W533" s="39"/>
      <c r="X533" s="39"/>
      <c r="Y533" s="39"/>
      <c r="Z533" s="39"/>
      <c r="AA533" s="39"/>
      <c r="AB533" s="39"/>
    </row>
    <row r="534">
      <c r="A534" s="1"/>
      <c r="B534" s="36"/>
      <c r="C534" s="36"/>
      <c r="D534" s="36"/>
      <c r="E534" s="36"/>
      <c r="F534" s="36"/>
      <c r="G534" s="36"/>
      <c r="H534" s="37"/>
      <c r="I534" s="36"/>
      <c r="J534" s="38"/>
      <c r="K534" s="38"/>
      <c r="L534" s="39"/>
      <c r="M534" s="39"/>
      <c r="N534" s="39"/>
      <c r="O534" s="39"/>
      <c r="P534" s="39"/>
      <c r="Q534" s="39"/>
      <c r="R534" s="39"/>
      <c r="S534" s="39"/>
      <c r="T534" s="39"/>
      <c r="U534" s="39"/>
      <c r="V534" s="39"/>
      <c r="W534" s="39"/>
      <c r="X534" s="39"/>
      <c r="Y534" s="39"/>
      <c r="Z534" s="39"/>
      <c r="AA534" s="39"/>
      <c r="AB534" s="39"/>
    </row>
    <row r="535">
      <c r="A535" s="1"/>
      <c r="B535" s="36"/>
      <c r="C535" s="36"/>
      <c r="D535" s="36"/>
      <c r="E535" s="36"/>
      <c r="F535" s="36"/>
      <c r="G535" s="36"/>
      <c r="H535" s="37"/>
      <c r="I535" s="36"/>
      <c r="J535" s="38"/>
      <c r="K535" s="38"/>
      <c r="L535" s="39"/>
      <c r="M535" s="39"/>
      <c r="N535" s="39"/>
      <c r="O535" s="39"/>
      <c r="P535" s="39"/>
      <c r="Q535" s="39"/>
      <c r="R535" s="39"/>
      <c r="S535" s="39"/>
      <c r="T535" s="39"/>
      <c r="U535" s="39"/>
      <c r="V535" s="39"/>
      <c r="W535" s="39"/>
      <c r="X535" s="39"/>
      <c r="Y535" s="39"/>
      <c r="Z535" s="39"/>
      <c r="AA535" s="39"/>
      <c r="AB535" s="39"/>
    </row>
    <row r="536">
      <c r="A536" s="1"/>
      <c r="B536" s="36"/>
      <c r="C536" s="36"/>
      <c r="D536" s="36"/>
      <c r="E536" s="36"/>
      <c r="F536" s="36"/>
      <c r="G536" s="36"/>
      <c r="H536" s="37"/>
      <c r="I536" s="36"/>
      <c r="J536" s="38"/>
      <c r="K536" s="38"/>
      <c r="L536" s="39"/>
      <c r="M536" s="39"/>
      <c r="N536" s="39"/>
      <c r="O536" s="39"/>
      <c r="P536" s="39"/>
      <c r="Q536" s="39"/>
      <c r="R536" s="39"/>
      <c r="S536" s="39"/>
      <c r="T536" s="39"/>
      <c r="U536" s="39"/>
      <c r="V536" s="39"/>
      <c r="W536" s="39"/>
      <c r="X536" s="39"/>
      <c r="Y536" s="39"/>
      <c r="Z536" s="39"/>
      <c r="AA536" s="39"/>
      <c r="AB536" s="39"/>
    </row>
    <row r="537">
      <c r="A537" s="1"/>
      <c r="B537" s="36"/>
      <c r="C537" s="36"/>
      <c r="D537" s="36"/>
      <c r="E537" s="36"/>
      <c r="F537" s="36"/>
      <c r="G537" s="36"/>
      <c r="H537" s="37"/>
      <c r="I537" s="36"/>
      <c r="J537" s="38"/>
      <c r="K537" s="38"/>
      <c r="L537" s="39"/>
      <c r="M537" s="39"/>
      <c r="N537" s="39"/>
      <c r="O537" s="39"/>
      <c r="P537" s="39"/>
      <c r="Q537" s="39"/>
      <c r="R537" s="39"/>
      <c r="S537" s="39"/>
      <c r="T537" s="39"/>
      <c r="U537" s="39"/>
      <c r="V537" s="39"/>
      <c r="W537" s="39"/>
      <c r="X537" s="39"/>
      <c r="Y537" s="39"/>
      <c r="Z537" s="39"/>
      <c r="AA537" s="39"/>
      <c r="AB537" s="39"/>
    </row>
    <row r="538">
      <c r="A538" s="1"/>
      <c r="B538" s="36"/>
      <c r="C538" s="36"/>
      <c r="D538" s="36"/>
      <c r="E538" s="36"/>
      <c r="F538" s="36"/>
      <c r="G538" s="36"/>
      <c r="H538" s="37"/>
      <c r="I538" s="36"/>
      <c r="J538" s="38"/>
      <c r="K538" s="38"/>
      <c r="L538" s="39"/>
      <c r="M538" s="39"/>
      <c r="N538" s="39"/>
      <c r="O538" s="39"/>
      <c r="P538" s="39"/>
      <c r="Q538" s="39"/>
      <c r="R538" s="39"/>
      <c r="S538" s="39"/>
      <c r="T538" s="39"/>
      <c r="U538" s="39"/>
      <c r="V538" s="39"/>
      <c r="W538" s="39"/>
      <c r="X538" s="39"/>
      <c r="Y538" s="39"/>
      <c r="Z538" s="39"/>
      <c r="AA538" s="39"/>
      <c r="AB538" s="39"/>
    </row>
    <row r="539">
      <c r="A539" s="1"/>
      <c r="B539" s="36"/>
      <c r="C539" s="36"/>
      <c r="D539" s="36"/>
      <c r="E539" s="36"/>
      <c r="F539" s="36"/>
      <c r="G539" s="36"/>
      <c r="H539" s="37"/>
      <c r="I539" s="36"/>
      <c r="J539" s="38"/>
      <c r="K539" s="38"/>
      <c r="L539" s="39"/>
      <c r="M539" s="39"/>
      <c r="N539" s="39"/>
      <c r="O539" s="39"/>
      <c r="P539" s="39"/>
      <c r="Q539" s="39"/>
      <c r="R539" s="39"/>
      <c r="S539" s="39"/>
      <c r="T539" s="39"/>
      <c r="U539" s="39"/>
      <c r="V539" s="39"/>
      <c r="W539" s="39"/>
      <c r="X539" s="39"/>
      <c r="Y539" s="39"/>
      <c r="Z539" s="39"/>
      <c r="AA539" s="39"/>
      <c r="AB539" s="39"/>
    </row>
    <row r="540">
      <c r="A540" s="1"/>
      <c r="B540" s="36"/>
      <c r="C540" s="36"/>
      <c r="D540" s="36"/>
      <c r="E540" s="36"/>
      <c r="F540" s="36"/>
      <c r="G540" s="36"/>
      <c r="H540" s="37"/>
      <c r="I540" s="36"/>
      <c r="J540" s="38"/>
      <c r="K540" s="38"/>
      <c r="L540" s="39"/>
      <c r="M540" s="39"/>
      <c r="N540" s="39"/>
      <c r="O540" s="39"/>
      <c r="P540" s="39"/>
      <c r="Q540" s="39"/>
      <c r="R540" s="39"/>
      <c r="S540" s="39"/>
      <c r="T540" s="39"/>
      <c r="U540" s="39"/>
      <c r="V540" s="39"/>
      <c r="W540" s="39"/>
      <c r="X540" s="39"/>
      <c r="Y540" s="39"/>
      <c r="Z540" s="39"/>
      <c r="AA540" s="39"/>
      <c r="AB540" s="39"/>
    </row>
    <row r="541">
      <c r="A541" s="1"/>
      <c r="B541" s="36"/>
      <c r="C541" s="36"/>
      <c r="D541" s="36"/>
      <c r="E541" s="36"/>
      <c r="F541" s="36"/>
      <c r="G541" s="36"/>
      <c r="H541" s="37"/>
      <c r="I541" s="36"/>
      <c r="J541" s="38"/>
      <c r="K541" s="38"/>
      <c r="L541" s="39"/>
      <c r="M541" s="39"/>
      <c r="N541" s="39"/>
      <c r="O541" s="39"/>
      <c r="P541" s="39"/>
      <c r="Q541" s="39"/>
      <c r="R541" s="39"/>
      <c r="S541" s="39"/>
      <c r="T541" s="39"/>
      <c r="U541" s="39"/>
      <c r="V541" s="39"/>
      <c r="W541" s="39"/>
      <c r="X541" s="39"/>
      <c r="Y541" s="39"/>
      <c r="Z541" s="39"/>
      <c r="AA541" s="39"/>
      <c r="AB541" s="39"/>
    </row>
    <row r="542">
      <c r="A542" s="1"/>
      <c r="B542" s="36"/>
      <c r="C542" s="36"/>
      <c r="D542" s="36"/>
      <c r="E542" s="36"/>
      <c r="F542" s="36"/>
      <c r="G542" s="36"/>
      <c r="H542" s="37"/>
      <c r="I542" s="36"/>
      <c r="J542" s="38"/>
      <c r="K542" s="38"/>
      <c r="L542" s="39"/>
      <c r="M542" s="39"/>
      <c r="N542" s="39"/>
      <c r="O542" s="39"/>
      <c r="P542" s="39"/>
      <c r="Q542" s="39"/>
      <c r="R542" s="39"/>
      <c r="S542" s="39"/>
      <c r="T542" s="39"/>
      <c r="U542" s="39"/>
      <c r="V542" s="39"/>
      <c r="W542" s="39"/>
      <c r="X542" s="39"/>
      <c r="Y542" s="39"/>
      <c r="Z542" s="39"/>
      <c r="AA542" s="39"/>
      <c r="AB542" s="39"/>
    </row>
    <row r="543">
      <c r="A543" s="1"/>
      <c r="B543" s="36"/>
      <c r="C543" s="36"/>
      <c r="D543" s="36"/>
      <c r="E543" s="36"/>
      <c r="F543" s="36"/>
      <c r="G543" s="36"/>
      <c r="H543" s="37"/>
      <c r="I543" s="36"/>
      <c r="J543" s="38"/>
      <c r="K543" s="38"/>
      <c r="L543" s="39"/>
      <c r="M543" s="39"/>
      <c r="N543" s="39"/>
      <c r="O543" s="39"/>
      <c r="P543" s="39"/>
      <c r="Q543" s="39"/>
      <c r="R543" s="39"/>
      <c r="S543" s="39"/>
      <c r="T543" s="39"/>
      <c r="U543" s="39"/>
      <c r="V543" s="39"/>
      <c r="W543" s="39"/>
      <c r="X543" s="39"/>
      <c r="Y543" s="39"/>
      <c r="Z543" s="39"/>
      <c r="AA543" s="39"/>
      <c r="AB543" s="39"/>
    </row>
    <row r="544">
      <c r="A544" s="1"/>
      <c r="B544" s="36"/>
      <c r="C544" s="36"/>
      <c r="D544" s="36"/>
      <c r="E544" s="36"/>
      <c r="F544" s="36"/>
      <c r="G544" s="36"/>
      <c r="H544" s="37"/>
      <c r="I544" s="36"/>
      <c r="J544" s="38"/>
      <c r="K544" s="38"/>
      <c r="L544" s="39"/>
      <c r="M544" s="39"/>
      <c r="N544" s="39"/>
      <c r="O544" s="39"/>
      <c r="P544" s="39"/>
      <c r="Q544" s="39"/>
      <c r="R544" s="39"/>
      <c r="S544" s="39"/>
      <c r="T544" s="39"/>
      <c r="U544" s="39"/>
      <c r="V544" s="39"/>
      <c r="W544" s="39"/>
      <c r="X544" s="39"/>
      <c r="Y544" s="39"/>
      <c r="Z544" s="39"/>
      <c r="AA544" s="39"/>
      <c r="AB544" s="39"/>
    </row>
    <row r="545">
      <c r="A545" s="1"/>
      <c r="B545" s="36"/>
      <c r="C545" s="36"/>
      <c r="D545" s="36"/>
      <c r="E545" s="36"/>
      <c r="F545" s="36"/>
      <c r="G545" s="36"/>
      <c r="H545" s="37"/>
      <c r="I545" s="36"/>
      <c r="J545" s="38"/>
      <c r="K545" s="38"/>
      <c r="L545" s="39"/>
      <c r="M545" s="39"/>
      <c r="N545" s="39"/>
      <c r="O545" s="39"/>
      <c r="P545" s="39"/>
      <c r="Q545" s="39"/>
      <c r="R545" s="39"/>
      <c r="S545" s="39"/>
      <c r="T545" s="39"/>
      <c r="U545" s="39"/>
      <c r="V545" s="39"/>
      <c r="W545" s="39"/>
      <c r="X545" s="39"/>
      <c r="Y545" s="39"/>
      <c r="Z545" s="39"/>
      <c r="AA545" s="39"/>
      <c r="AB545" s="39"/>
    </row>
    <row r="546">
      <c r="A546" s="1"/>
      <c r="B546" s="36"/>
      <c r="C546" s="36"/>
      <c r="D546" s="36"/>
      <c r="E546" s="36"/>
      <c r="F546" s="36"/>
      <c r="G546" s="36"/>
      <c r="H546" s="37"/>
      <c r="I546" s="36"/>
      <c r="J546" s="38"/>
      <c r="K546" s="38"/>
      <c r="L546" s="39"/>
      <c r="M546" s="39"/>
      <c r="N546" s="39"/>
      <c r="O546" s="39"/>
      <c r="P546" s="39"/>
      <c r="Q546" s="39"/>
      <c r="R546" s="39"/>
      <c r="S546" s="39"/>
      <c r="T546" s="39"/>
      <c r="U546" s="39"/>
      <c r="V546" s="39"/>
      <c r="W546" s="39"/>
      <c r="X546" s="39"/>
      <c r="Y546" s="39"/>
      <c r="Z546" s="39"/>
      <c r="AA546" s="39"/>
      <c r="AB546" s="39"/>
    </row>
    <row r="547">
      <c r="A547" s="1"/>
      <c r="B547" s="36"/>
      <c r="C547" s="36"/>
      <c r="D547" s="36"/>
      <c r="E547" s="36"/>
      <c r="F547" s="36"/>
      <c r="G547" s="36"/>
      <c r="H547" s="37"/>
      <c r="I547" s="36"/>
      <c r="J547" s="38"/>
      <c r="K547" s="38"/>
      <c r="L547" s="39"/>
      <c r="M547" s="39"/>
      <c r="N547" s="39"/>
      <c r="O547" s="39"/>
      <c r="P547" s="39"/>
      <c r="Q547" s="39"/>
      <c r="R547" s="39"/>
      <c r="S547" s="39"/>
      <c r="T547" s="39"/>
      <c r="U547" s="39"/>
      <c r="V547" s="39"/>
      <c r="W547" s="39"/>
      <c r="X547" s="39"/>
      <c r="Y547" s="39"/>
      <c r="Z547" s="39"/>
      <c r="AA547" s="39"/>
      <c r="AB547" s="39"/>
    </row>
    <row r="548">
      <c r="A548" s="1"/>
      <c r="B548" s="36"/>
      <c r="C548" s="36"/>
      <c r="D548" s="36"/>
      <c r="E548" s="36"/>
      <c r="F548" s="36"/>
      <c r="G548" s="36"/>
      <c r="H548" s="37"/>
      <c r="I548" s="36"/>
      <c r="J548" s="38"/>
      <c r="K548" s="38"/>
      <c r="L548" s="39"/>
      <c r="M548" s="39"/>
      <c r="N548" s="39"/>
      <c r="O548" s="39"/>
      <c r="P548" s="39"/>
      <c r="Q548" s="39"/>
      <c r="R548" s="39"/>
      <c r="S548" s="39"/>
      <c r="T548" s="39"/>
      <c r="U548" s="39"/>
      <c r="V548" s="39"/>
      <c r="W548" s="39"/>
      <c r="X548" s="39"/>
      <c r="Y548" s="39"/>
      <c r="Z548" s="39"/>
      <c r="AA548" s="39"/>
      <c r="AB548" s="39"/>
    </row>
    <row r="549">
      <c r="A549" s="1"/>
      <c r="B549" s="36"/>
      <c r="C549" s="36"/>
      <c r="D549" s="36"/>
      <c r="E549" s="36"/>
      <c r="F549" s="36"/>
      <c r="G549" s="36"/>
      <c r="H549" s="37"/>
      <c r="I549" s="36"/>
      <c r="J549" s="38"/>
      <c r="K549" s="38"/>
      <c r="L549" s="39"/>
      <c r="M549" s="39"/>
      <c r="N549" s="39"/>
      <c r="O549" s="39"/>
      <c r="P549" s="39"/>
      <c r="Q549" s="39"/>
      <c r="R549" s="39"/>
      <c r="S549" s="39"/>
      <c r="T549" s="39"/>
      <c r="U549" s="39"/>
      <c r="V549" s="39"/>
      <c r="W549" s="39"/>
      <c r="X549" s="39"/>
      <c r="Y549" s="39"/>
      <c r="Z549" s="39"/>
      <c r="AA549" s="39"/>
      <c r="AB549" s="39"/>
    </row>
    <row r="550">
      <c r="A550" s="1"/>
      <c r="B550" s="36"/>
      <c r="C550" s="36"/>
      <c r="D550" s="36"/>
      <c r="E550" s="36"/>
      <c r="F550" s="36"/>
      <c r="G550" s="36"/>
      <c r="H550" s="37"/>
      <c r="I550" s="36"/>
      <c r="J550" s="38"/>
      <c r="K550" s="38"/>
      <c r="L550" s="39"/>
      <c r="M550" s="39"/>
      <c r="N550" s="39"/>
      <c r="O550" s="39"/>
      <c r="P550" s="39"/>
      <c r="Q550" s="39"/>
      <c r="R550" s="39"/>
      <c r="S550" s="39"/>
      <c r="T550" s="39"/>
      <c r="U550" s="39"/>
      <c r="V550" s="39"/>
      <c r="W550" s="39"/>
      <c r="X550" s="39"/>
      <c r="Y550" s="39"/>
      <c r="Z550" s="39"/>
      <c r="AA550" s="39"/>
      <c r="AB550" s="39"/>
    </row>
    <row r="551">
      <c r="A551" s="1"/>
      <c r="B551" s="36"/>
      <c r="C551" s="36"/>
      <c r="D551" s="36"/>
      <c r="E551" s="36"/>
      <c r="F551" s="36"/>
      <c r="G551" s="36"/>
      <c r="H551" s="37"/>
      <c r="I551" s="36"/>
      <c r="J551" s="38"/>
      <c r="K551" s="38"/>
      <c r="L551" s="39"/>
      <c r="M551" s="39"/>
      <c r="N551" s="39"/>
      <c r="O551" s="39"/>
      <c r="P551" s="39"/>
      <c r="Q551" s="39"/>
      <c r="R551" s="39"/>
      <c r="S551" s="39"/>
      <c r="T551" s="39"/>
      <c r="U551" s="39"/>
      <c r="V551" s="39"/>
      <c r="W551" s="39"/>
      <c r="X551" s="39"/>
      <c r="Y551" s="39"/>
      <c r="Z551" s="39"/>
      <c r="AA551" s="39"/>
      <c r="AB551" s="39"/>
    </row>
    <row r="552">
      <c r="A552" s="1"/>
      <c r="B552" s="36"/>
      <c r="C552" s="36"/>
      <c r="D552" s="36"/>
      <c r="E552" s="36"/>
      <c r="F552" s="36"/>
      <c r="G552" s="36"/>
      <c r="H552" s="37"/>
      <c r="I552" s="36"/>
      <c r="J552" s="38"/>
      <c r="K552" s="38"/>
      <c r="L552" s="39"/>
      <c r="M552" s="39"/>
      <c r="N552" s="39"/>
      <c r="O552" s="39"/>
      <c r="P552" s="39"/>
      <c r="Q552" s="39"/>
      <c r="R552" s="39"/>
      <c r="S552" s="39"/>
      <c r="T552" s="39"/>
      <c r="U552" s="39"/>
      <c r="V552" s="39"/>
      <c r="W552" s="39"/>
      <c r="X552" s="39"/>
      <c r="Y552" s="39"/>
      <c r="Z552" s="39"/>
      <c r="AA552" s="39"/>
      <c r="AB552" s="39"/>
    </row>
    <row r="553">
      <c r="A553" s="1"/>
      <c r="B553" s="36"/>
      <c r="C553" s="36"/>
      <c r="D553" s="36"/>
      <c r="E553" s="36"/>
      <c r="F553" s="36"/>
      <c r="G553" s="36"/>
      <c r="H553" s="37"/>
      <c r="I553" s="36"/>
      <c r="J553" s="38"/>
      <c r="K553" s="38"/>
      <c r="L553" s="39"/>
      <c r="M553" s="39"/>
      <c r="N553" s="39"/>
      <c r="O553" s="39"/>
      <c r="P553" s="39"/>
      <c r="Q553" s="39"/>
      <c r="R553" s="39"/>
      <c r="S553" s="39"/>
      <c r="T553" s="39"/>
      <c r="U553" s="39"/>
      <c r="V553" s="39"/>
      <c r="W553" s="39"/>
      <c r="X553" s="39"/>
      <c r="Y553" s="39"/>
      <c r="Z553" s="39"/>
      <c r="AA553" s="39"/>
      <c r="AB553" s="39"/>
    </row>
    <row r="554">
      <c r="A554" s="1"/>
      <c r="B554" s="36"/>
      <c r="C554" s="36"/>
      <c r="D554" s="36"/>
      <c r="E554" s="36"/>
      <c r="F554" s="36"/>
      <c r="G554" s="36"/>
      <c r="H554" s="37"/>
      <c r="I554" s="36"/>
      <c r="J554" s="38"/>
      <c r="K554" s="38"/>
      <c r="L554" s="39"/>
      <c r="M554" s="39"/>
      <c r="N554" s="39"/>
      <c r="O554" s="39"/>
      <c r="P554" s="39"/>
      <c r="Q554" s="39"/>
      <c r="R554" s="39"/>
      <c r="S554" s="39"/>
      <c r="T554" s="39"/>
      <c r="U554" s="39"/>
      <c r="V554" s="39"/>
      <c r="W554" s="39"/>
      <c r="X554" s="39"/>
      <c r="Y554" s="39"/>
      <c r="Z554" s="39"/>
      <c r="AA554" s="39"/>
      <c r="AB554" s="39"/>
    </row>
    <row r="555">
      <c r="A555" s="1"/>
      <c r="B555" s="36"/>
      <c r="C555" s="36"/>
      <c r="D555" s="36"/>
      <c r="E555" s="36"/>
      <c r="F555" s="36"/>
      <c r="G555" s="36"/>
      <c r="H555" s="37"/>
      <c r="I555" s="36"/>
      <c r="J555" s="38"/>
      <c r="K555" s="38"/>
      <c r="L555" s="39"/>
      <c r="M555" s="39"/>
      <c r="N555" s="39"/>
      <c r="O555" s="39"/>
      <c r="P555" s="39"/>
      <c r="Q555" s="39"/>
      <c r="R555" s="39"/>
      <c r="S555" s="39"/>
      <c r="T555" s="39"/>
      <c r="U555" s="39"/>
      <c r="V555" s="39"/>
      <c r="W555" s="39"/>
      <c r="X555" s="39"/>
      <c r="Y555" s="39"/>
      <c r="Z555" s="39"/>
      <c r="AA555" s="39"/>
      <c r="AB555" s="39"/>
    </row>
    <row r="556">
      <c r="A556" s="1"/>
      <c r="B556" s="36"/>
      <c r="C556" s="36"/>
      <c r="D556" s="36"/>
      <c r="E556" s="36"/>
      <c r="F556" s="36"/>
      <c r="G556" s="36"/>
      <c r="H556" s="37"/>
      <c r="I556" s="36"/>
      <c r="J556" s="38"/>
      <c r="K556" s="38"/>
      <c r="L556" s="39"/>
      <c r="M556" s="39"/>
      <c r="N556" s="39"/>
      <c r="O556" s="39"/>
      <c r="P556" s="39"/>
      <c r="Q556" s="39"/>
      <c r="R556" s="39"/>
      <c r="S556" s="39"/>
      <c r="T556" s="39"/>
      <c r="U556" s="39"/>
      <c r="V556" s="39"/>
      <c r="W556" s="39"/>
      <c r="X556" s="39"/>
      <c r="Y556" s="39"/>
      <c r="Z556" s="39"/>
      <c r="AA556" s="39"/>
      <c r="AB556" s="39"/>
    </row>
    <row r="557">
      <c r="A557" s="1"/>
      <c r="B557" s="36"/>
      <c r="C557" s="36"/>
      <c r="D557" s="36"/>
      <c r="E557" s="36"/>
      <c r="F557" s="36"/>
      <c r="G557" s="36"/>
      <c r="H557" s="37"/>
      <c r="I557" s="36"/>
      <c r="J557" s="38"/>
      <c r="K557" s="38"/>
      <c r="L557" s="39"/>
      <c r="M557" s="39"/>
      <c r="N557" s="39"/>
      <c r="O557" s="39"/>
      <c r="P557" s="39"/>
      <c r="Q557" s="39"/>
      <c r="R557" s="39"/>
      <c r="S557" s="39"/>
      <c r="T557" s="39"/>
      <c r="U557" s="39"/>
      <c r="V557" s="39"/>
      <c r="W557" s="39"/>
      <c r="X557" s="39"/>
      <c r="Y557" s="39"/>
      <c r="Z557" s="39"/>
      <c r="AA557" s="39"/>
      <c r="AB557" s="39"/>
    </row>
    <row r="558">
      <c r="A558" s="1"/>
      <c r="B558" s="36"/>
      <c r="C558" s="36"/>
      <c r="D558" s="36"/>
      <c r="E558" s="36"/>
      <c r="F558" s="36"/>
      <c r="G558" s="36"/>
      <c r="H558" s="37"/>
      <c r="I558" s="36"/>
      <c r="J558" s="38"/>
      <c r="K558" s="38"/>
      <c r="L558" s="39"/>
      <c r="M558" s="39"/>
      <c r="N558" s="39"/>
      <c r="O558" s="39"/>
      <c r="P558" s="39"/>
      <c r="Q558" s="39"/>
      <c r="R558" s="39"/>
      <c r="S558" s="39"/>
      <c r="T558" s="39"/>
      <c r="U558" s="39"/>
      <c r="V558" s="39"/>
      <c r="W558" s="39"/>
      <c r="X558" s="39"/>
      <c r="Y558" s="39"/>
      <c r="Z558" s="39"/>
      <c r="AA558" s="39"/>
      <c r="AB558" s="39"/>
    </row>
    <row r="559">
      <c r="A559" s="1"/>
      <c r="B559" s="36"/>
      <c r="C559" s="36"/>
      <c r="D559" s="36"/>
      <c r="E559" s="36"/>
      <c r="F559" s="36"/>
      <c r="G559" s="36"/>
      <c r="H559" s="37"/>
      <c r="I559" s="36"/>
      <c r="J559" s="38"/>
      <c r="K559" s="38"/>
      <c r="L559" s="39"/>
      <c r="M559" s="39"/>
      <c r="N559" s="39"/>
      <c r="O559" s="39"/>
      <c r="P559" s="39"/>
      <c r="Q559" s="39"/>
      <c r="R559" s="39"/>
      <c r="S559" s="39"/>
      <c r="T559" s="39"/>
      <c r="U559" s="39"/>
      <c r="V559" s="39"/>
      <c r="W559" s="39"/>
      <c r="X559" s="39"/>
      <c r="Y559" s="39"/>
      <c r="Z559" s="39"/>
      <c r="AA559" s="39"/>
      <c r="AB559" s="39"/>
    </row>
    <row r="560">
      <c r="A560" s="1"/>
      <c r="B560" s="36"/>
      <c r="C560" s="36"/>
      <c r="D560" s="36"/>
      <c r="E560" s="36"/>
      <c r="F560" s="36"/>
      <c r="G560" s="36"/>
      <c r="H560" s="37"/>
      <c r="I560" s="36"/>
      <c r="J560" s="38"/>
      <c r="K560" s="38"/>
      <c r="L560" s="39"/>
      <c r="M560" s="39"/>
      <c r="N560" s="39"/>
      <c r="O560" s="39"/>
      <c r="P560" s="39"/>
      <c r="Q560" s="39"/>
      <c r="R560" s="39"/>
      <c r="S560" s="39"/>
      <c r="T560" s="39"/>
      <c r="U560" s="39"/>
      <c r="V560" s="39"/>
      <c r="W560" s="39"/>
      <c r="X560" s="39"/>
      <c r="Y560" s="39"/>
      <c r="Z560" s="39"/>
      <c r="AA560" s="39"/>
      <c r="AB560" s="39"/>
    </row>
    <row r="561">
      <c r="A561" s="1"/>
      <c r="B561" s="36"/>
      <c r="C561" s="36"/>
      <c r="D561" s="36"/>
      <c r="E561" s="36"/>
      <c r="F561" s="36"/>
      <c r="G561" s="36"/>
      <c r="H561" s="37"/>
      <c r="I561" s="36"/>
      <c r="J561" s="38"/>
      <c r="K561" s="38"/>
      <c r="L561" s="39"/>
      <c r="M561" s="39"/>
      <c r="N561" s="39"/>
      <c r="O561" s="39"/>
      <c r="P561" s="39"/>
      <c r="Q561" s="39"/>
      <c r="R561" s="39"/>
      <c r="S561" s="39"/>
      <c r="T561" s="39"/>
      <c r="U561" s="39"/>
      <c r="V561" s="39"/>
      <c r="W561" s="39"/>
      <c r="X561" s="39"/>
      <c r="Y561" s="39"/>
      <c r="Z561" s="39"/>
      <c r="AA561" s="39"/>
      <c r="AB561" s="39"/>
    </row>
    <row r="562">
      <c r="A562" s="1"/>
      <c r="B562" s="36"/>
      <c r="C562" s="36"/>
      <c r="D562" s="36"/>
      <c r="E562" s="36"/>
      <c r="F562" s="36"/>
      <c r="G562" s="36"/>
      <c r="H562" s="37"/>
      <c r="I562" s="36"/>
      <c r="J562" s="38"/>
      <c r="K562" s="38"/>
      <c r="L562" s="39"/>
      <c r="M562" s="39"/>
      <c r="N562" s="39"/>
      <c r="O562" s="39"/>
      <c r="P562" s="39"/>
      <c r="Q562" s="39"/>
      <c r="R562" s="39"/>
      <c r="S562" s="39"/>
      <c r="T562" s="39"/>
      <c r="U562" s="39"/>
      <c r="V562" s="39"/>
      <c r="W562" s="39"/>
      <c r="X562" s="39"/>
      <c r="Y562" s="39"/>
      <c r="Z562" s="39"/>
      <c r="AA562" s="39"/>
      <c r="AB562" s="39"/>
    </row>
    <row r="563">
      <c r="A563" s="1"/>
      <c r="B563" s="36"/>
      <c r="C563" s="36"/>
      <c r="D563" s="36"/>
      <c r="E563" s="36"/>
      <c r="F563" s="36"/>
      <c r="G563" s="36"/>
      <c r="H563" s="37"/>
      <c r="I563" s="36"/>
      <c r="J563" s="38"/>
      <c r="K563" s="38"/>
      <c r="L563" s="39"/>
      <c r="M563" s="39"/>
      <c r="N563" s="39"/>
      <c r="O563" s="39"/>
      <c r="P563" s="39"/>
      <c r="Q563" s="39"/>
      <c r="R563" s="39"/>
      <c r="S563" s="39"/>
      <c r="T563" s="39"/>
      <c r="U563" s="39"/>
      <c r="V563" s="39"/>
      <c r="W563" s="39"/>
      <c r="X563" s="39"/>
      <c r="Y563" s="39"/>
      <c r="Z563" s="39"/>
      <c r="AA563" s="39"/>
      <c r="AB563" s="39"/>
    </row>
    <row r="564">
      <c r="A564" s="1"/>
      <c r="B564" s="36"/>
      <c r="C564" s="36"/>
      <c r="D564" s="36"/>
      <c r="E564" s="36"/>
      <c r="F564" s="36"/>
      <c r="G564" s="36"/>
      <c r="H564" s="37"/>
      <c r="I564" s="36"/>
      <c r="J564" s="38"/>
      <c r="K564" s="38"/>
      <c r="L564" s="39"/>
      <c r="M564" s="39"/>
      <c r="N564" s="39"/>
      <c r="O564" s="39"/>
      <c r="P564" s="39"/>
      <c r="Q564" s="39"/>
      <c r="R564" s="39"/>
      <c r="S564" s="39"/>
      <c r="T564" s="39"/>
      <c r="U564" s="39"/>
      <c r="V564" s="39"/>
      <c r="W564" s="39"/>
      <c r="X564" s="39"/>
      <c r="Y564" s="39"/>
      <c r="Z564" s="39"/>
      <c r="AA564" s="39"/>
      <c r="AB564" s="39"/>
    </row>
    <row r="565">
      <c r="A565" s="1"/>
      <c r="B565" s="36"/>
      <c r="C565" s="36"/>
      <c r="D565" s="36"/>
      <c r="E565" s="36"/>
      <c r="F565" s="36"/>
      <c r="G565" s="36"/>
      <c r="H565" s="37"/>
      <c r="I565" s="36"/>
      <c r="J565" s="38"/>
      <c r="K565" s="38"/>
      <c r="L565" s="39"/>
      <c r="M565" s="39"/>
      <c r="N565" s="39"/>
      <c r="O565" s="39"/>
      <c r="P565" s="39"/>
      <c r="Q565" s="39"/>
      <c r="R565" s="39"/>
      <c r="S565" s="39"/>
      <c r="T565" s="39"/>
      <c r="U565" s="39"/>
      <c r="V565" s="39"/>
      <c r="W565" s="39"/>
      <c r="X565" s="39"/>
      <c r="Y565" s="39"/>
      <c r="Z565" s="39"/>
      <c r="AA565" s="39"/>
      <c r="AB565" s="39"/>
    </row>
    <row r="566">
      <c r="A566" s="1"/>
      <c r="B566" s="36"/>
      <c r="C566" s="36"/>
      <c r="D566" s="36"/>
      <c r="E566" s="36"/>
      <c r="F566" s="36"/>
      <c r="G566" s="36"/>
      <c r="H566" s="37"/>
      <c r="I566" s="36"/>
      <c r="J566" s="38"/>
      <c r="K566" s="38"/>
      <c r="L566" s="39"/>
      <c r="M566" s="39"/>
      <c r="N566" s="39"/>
      <c r="O566" s="39"/>
      <c r="P566" s="39"/>
      <c r="Q566" s="39"/>
      <c r="R566" s="39"/>
      <c r="S566" s="39"/>
      <c r="T566" s="39"/>
      <c r="U566" s="39"/>
      <c r="V566" s="39"/>
      <c r="W566" s="39"/>
      <c r="X566" s="39"/>
      <c r="Y566" s="39"/>
      <c r="Z566" s="39"/>
      <c r="AA566" s="39"/>
      <c r="AB566" s="39"/>
    </row>
    <row r="567">
      <c r="A567" s="1"/>
      <c r="B567" s="36"/>
      <c r="C567" s="36"/>
      <c r="D567" s="36"/>
      <c r="E567" s="36"/>
      <c r="F567" s="36"/>
      <c r="G567" s="36"/>
      <c r="H567" s="37"/>
      <c r="I567" s="36"/>
      <c r="J567" s="38"/>
      <c r="K567" s="38"/>
      <c r="L567" s="39"/>
      <c r="M567" s="39"/>
      <c r="N567" s="39"/>
      <c r="O567" s="39"/>
      <c r="P567" s="39"/>
      <c r="Q567" s="39"/>
      <c r="R567" s="39"/>
      <c r="S567" s="39"/>
      <c r="T567" s="39"/>
      <c r="U567" s="39"/>
      <c r="V567" s="39"/>
      <c r="W567" s="39"/>
      <c r="X567" s="39"/>
      <c r="Y567" s="39"/>
      <c r="Z567" s="39"/>
      <c r="AA567" s="39"/>
      <c r="AB567" s="39"/>
    </row>
    <row r="568">
      <c r="A568" s="1"/>
      <c r="B568" s="36"/>
      <c r="C568" s="36"/>
      <c r="D568" s="36"/>
      <c r="E568" s="36"/>
      <c r="F568" s="36"/>
      <c r="G568" s="36"/>
      <c r="H568" s="37"/>
      <c r="I568" s="36"/>
      <c r="J568" s="38"/>
      <c r="K568" s="38"/>
      <c r="L568" s="39"/>
      <c r="M568" s="39"/>
      <c r="N568" s="39"/>
      <c r="O568" s="39"/>
      <c r="P568" s="39"/>
      <c r="Q568" s="39"/>
      <c r="R568" s="39"/>
      <c r="S568" s="39"/>
      <c r="T568" s="39"/>
      <c r="U568" s="39"/>
      <c r="V568" s="39"/>
      <c r="W568" s="39"/>
      <c r="X568" s="39"/>
      <c r="Y568" s="39"/>
      <c r="Z568" s="39"/>
      <c r="AA568" s="39"/>
      <c r="AB568" s="39"/>
    </row>
    <row r="569">
      <c r="A569" s="1"/>
      <c r="B569" s="36"/>
      <c r="C569" s="36"/>
      <c r="D569" s="36"/>
      <c r="E569" s="36"/>
      <c r="F569" s="36"/>
      <c r="G569" s="36"/>
      <c r="H569" s="37"/>
      <c r="I569" s="36"/>
      <c r="J569" s="38"/>
      <c r="K569" s="38"/>
      <c r="L569" s="39"/>
      <c r="M569" s="39"/>
      <c r="N569" s="39"/>
      <c r="O569" s="39"/>
      <c r="P569" s="39"/>
      <c r="Q569" s="39"/>
      <c r="R569" s="39"/>
      <c r="S569" s="39"/>
      <c r="T569" s="39"/>
      <c r="U569" s="39"/>
      <c r="V569" s="39"/>
      <c r="W569" s="39"/>
      <c r="X569" s="39"/>
      <c r="Y569" s="39"/>
      <c r="Z569" s="39"/>
      <c r="AA569" s="39"/>
      <c r="AB569" s="39"/>
    </row>
    <row r="570">
      <c r="A570" s="1"/>
      <c r="B570" s="36"/>
      <c r="C570" s="36"/>
      <c r="D570" s="36"/>
      <c r="E570" s="36"/>
      <c r="F570" s="36"/>
      <c r="G570" s="36"/>
      <c r="H570" s="37"/>
      <c r="I570" s="36"/>
      <c r="J570" s="38"/>
      <c r="K570" s="38"/>
      <c r="L570" s="39"/>
      <c r="M570" s="39"/>
      <c r="N570" s="39"/>
      <c r="O570" s="39"/>
      <c r="P570" s="39"/>
      <c r="Q570" s="39"/>
      <c r="R570" s="39"/>
      <c r="S570" s="39"/>
      <c r="T570" s="39"/>
      <c r="U570" s="39"/>
      <c r="V570" s="39"/>
      <c r="W570" s="39"/>
      <c r="X570" s="39"/>
      <c r="Y570" s="39"/>
      <c r="Z570" s="39"/>
      <c r="AA570" s="39"/>
      <c r="AB570" s="39"/>
    </row>
    <row r="571">
      <c r="A571" s="1"/>
      <c r="B571" s="36"/>
      <c r="C571" s="36"/>
      <c r="D571" s="36"/>
      <c r="E571" s="36"/>
      <c r="F571" s="36"/>
      <c r="G571" s="36"/>
      <c r="H571" s="37"/>
      <c r="I571" s="36"/>
      <c r="J571" s="38"/>
      <c r="K571" s="38"/>
      <c r="L571" s="39"/>
      <c r="M571" s="39"/>
      <c r="N571" s="39"/>
      <c r="O571" s="39"/>
      <c r="P571" s="39"/>
      <c r="Q571" s="39"/>
      <c r="R571" s="39"/>
      <c r="S571" s="39"/>
      <c r="T571" s="39"/>
      <c r="U571" s="39"/>
      <c r="V571" s="39"/>
      <c r="W571" s="39"/>
      <c r="X571" s="39"/>
      <c r="Y571" s="39"/>
      <c r="Z571" s="39"/>
      <c r="AA571" s="39"/>
      <c r="AB571" s="39"/>
    </row>
    <row r="572">
      <c r="A572" s="1"/>
      <c r="B572" s="36"/>
      <c r="C572" s="36"/>
      <c r="D572" s="36"/>
      <c r="E572" s="36"/>
      <c r="F572" s="36"/>
      <c r="G572" s="36"/>
      <c r="H572" s="37"/>
      <c r="I572" s="36"/>
      <c r="J572" s="38"/>
      <c r="K572" s="38"/>
      <c r="L572" s="39"/>
      <c r="M572" s="39"/>
      <c r="N572" s="39"/>
      <c r="O572" s="39"/>
      <c r="P572" s="39"/>
      <c r="Q572" s="39"/>
      <c r="R572" s="39"/>
      <c r="S572" s="39"/>
      <c r="T572" s="39"/>
      <c r="U572" s="39"/>
      <c r="V572" s="39"/>
      <c r="W572" s="39"/>
      <c r="X572" s="39"/>
      <c r="Y572" s="39"/>
      <c r="Z572" s="39"/>
      <c r="AA572" s="39"/>
      <c r="AB572" s="39"/>
    </row>
    <row r="573">
      <c r="A573" s="1"/>
      <c r="B573" s="36"/>
      <c r="C573" s="36"/>
      <c r="D573" s="36"/>
      <c r="E573" s="36"/>
      <c r="F573" s="36"/>
      <c r="G573" s="36"/>
      <c r="H573" s="37"/>
      <c r="I573" s="36"/>
      <c r="J573" s="38"/>
      <c r="K573" s="38"/>
      <c r="L573" s="39"/>
      <c r="M573" s="39"/>
      <c r="N573" s="39"/>
      <c r="O573" s="39"/>
      <c r="P573" s="39"/>
      <c r="Q573" s="39"/>
      <c r="R573" s="39"/>
      <c r="S573" s="39"/>
      <c r="T573" s="39"/>
      <c r="U573" s="39"/>
      <c r="V573" s="39"/>
      <c r="W573" s="39"/>
      <c r="X573" s="39"/>
      <c r="Y573" s="39"/>
      <c r="Z573" s="39"/>
      <c r="AA573" s="39"/>
      <c r="AB573" s="39"/>
    </row>
    <row r="574">
      <c r="A574" s="1"/>
      <c r="B574" s="36"/>
      <c r="C574" s="36"/>
      <c r="D574" s="36"/>
      <c r="E574" s="36"/>
      <c r="F574" s="36"/>
      <c r="G574" s="36"/>
      <c r="H574" s="37"/>
      <c r="I574" s="36"/>
      <c r="J574" s="38"/>
      <c r="K574" s="38"/>
      <c r="L574" s="39"/>
      <c r="M574" s="39"/>
      <c r="N574" s="39"/>
      <c r="O574" s="39"/>
      <c r="P574" s="39"/>
      <c r="Q574" s="39"/>
      <c r="R574" s="39"/>
      <c r="S574" s="39"/>
      <c r="T574" s="39"/>
      <c r="U574" s="39"/>
      <c r="V574" s="39"/>
      <c r="W574" s="39"/>
      <c r="X574" s="39"/>
      <c r="Y574" s="39"/>
      <c r="Z574" s="39"/>
      <c r="AA574" s="39"/>
      <c r="AB574" s="39"/>
    </row>
    <row r="575">
      <c r="A575" s="1"/>
      <c r="B575" s="36"/>
      <c r="C575" s="36"/>
      <c r="D575" s="36"/>
      <c r="E575" s="36"/>
      <c r="F575" s="36"/>
      <c r="G575" s="36"/>
      <c r="H575" s="37"/>
      <c r="I575" s="36"/>
      <c r="J575" s="38"/>
      <c r="K575" s="38"/>
      <c r="L575" s="39"/>
      <c r="M575" s="39"/>
      <c r="N575" s="39"/>
      <c r="O575" s="39"/>
      <c r="P575" s="39"/>
      <c r="Q575" s="39"/>
      <c r="R575" s="39"/>
      <c r="S575" s="39"/>
      <c r="T575" s="39"/>
      <c r="U575" s="39"/>
      <c r="V575" s="39"/>
      <c r="W575" s="39"/>
      <c r="X575" s="39"/>
      <c r="Y575" s="39"/>
      <c r="Z575" s="39"/>
      <c r="AA575" s="39"/>
      <c r="AB575" s="39"/>
    </row>
    <row r="576">
      <c r="A576" s="1"/>
      <c r="B576" s="36"/>
      <c r="C576" s="36"/>
      <c r="D576" s="36"/>
      <c r="E576" s="36"/>
      <c r="F576" s="36"/>
      <c r="G576" s="36"/>
      <c r="H576" s="37"/>
      <c r="I576" s="36"/>
      <c r="J576" s="38"/>
      <c r="K576" s="38"/>
      <c r="L576" s="39"/>
      <c r="M576" s="39"/>
      <c r="N576" s="39"/>
      <c r="O576" s="39"/>
      <c r="P576" s="39"/>
      <c r="Q576" s="39"/>
      <c r="R576" s="39"/>
      <c r="S576" s="39"/>
      <c r="T576" s="39"/>
      <c r="U576" s="39"/>
      <c r="V576" s="39"/>
      <c r="W576" s="39"/>
      <c r="X576" s="39"/>
      <c r="Y576" s="39"/>
      <c r="Z576" s="39"/>
      <c r="AA576" s="39"/>
      <c r="AB576" s="39"/>
    </row>
    <row r="577">
      <c r="A577" s="1"/>
      <c r="B577" s="36"/>
      <c r="C577" s="36"/>
      <c r="D577" s="36"/>
      <c r="E577" s="36"/>
      <c r="F577" s="36"/>
      <c r="G577" s="36"/>
      <c r="H577" s="37"/>
      <c r="I577" s="36"/>
      <c r="J577" s="38"/>
      <c r="K577" s="38"/>
      <c r="L577" s="39"/>
      <c r="M577" s="39"/>
      <c r="N577" s="39"/>
      <c r="O577" s="39"/>
      <c r="P577" s="39"/>
      <c r="Q577" s="39"/>
      <c r="R577" s="39"/>
      <c r="S577" s="39"/>
      <c r="T577" s="39"/>
      <c r="U577" s="39"/>
      <c r="V577" s="39"/>
      <c r="W577" s="39"/>
      <c r="X577" s="39"/>
      <c r="Y577" s="39"/>
      <c r="Z577" s="39"/>
      <c r="AA577" s="39"/>
      <c r="AB577" s="39"/>
    </row>
    <row r="578">
      <c r="A578" s="1"/>
      <c r="B578" s="36"/>
      <c r="C578" s="36"/>
      <c r="D578" s="36"/>
      <c r="E578" s="36"/>
      <c r="F578" s="36"/>
      <c r="G578" s="36"/>
      <c r="H578" s="37"/>
      <c r="I578" s="36"/>
      <c r="J578" s="38"/>
      <c r="K578" s="38"/>
      <c r="L578" s="39"/>
      <c r="M578" s="39"/>
      <c r="N578" s="39"/>
      <c r="O578" s="39"/>
      <c r="P578" s="39"/>
      <c r="Q578" s="39"/>
      <c r="R578" s="39"/>
      <c r="S578" s="39"/>
      <c r="T578" s="39"/>
      <c r="U578" s="39"/>
      <c r="V578" s="39"/>
      <c r="W578" s="39"/>
      <c r="X578" s="39"/>
      <c r="Y578" s="39"/>
      <c r="Z578" s="39"/>
      <c r="AA578" s="39"/>
      <c r="AB578" s="39"/>
    </row>
    <row r="579">
      <c r="A579" s="1"/>
      <c r="B579" s="36"/>
      <c r="C579" s="36"/>
      <c r="D579" s="36"/>
      <c r="E579" s="36"/>
      <c r="F579" s="36"/>
      <c r="G579" s="36"/>
      <c r="H579" s="37"/>
      <c r="I579" s="36"/>
      <c r="J579" s="38"/>
      <c r="K579" s="38"/>
      <c r="L579" s="39"/>
      <c r="M579" s="39"/>
      <c r="N579" s="39"/>
      <c r="O579" s="39"/>
      <c r="P579" s="39"/>
      <c r="Q579" s="39"/>
      <c r="R579" s="39"/>
      <c r="S579" s="39"/>
      <c r="T579" s="39"/>
      <c r="U579" s="39"/>
      <c r="V579" s="39"/>
      <c r="W579" s="39"/>
      <c r="X579" s="39"/>
      <c r="Y579" s="39"/>
      <c r="Z579" s="39"/>
      <c r="AA579" s="39"/>
      <c r="AB579" s="39"/>
    </row>
    <row r="580">
      <c r="A580" s="1"/>
      <c r="B580" s="36"/>
      <c r="C580" s="36"/>
      <c r="D580" s="36"/>
      <c r="E580" s="36"/>
      <c r="F580" s="36"/>
      <c r="G580" s="36"/>
      <c r="H580" s="37"/>
      <c r="I580" s="36"/>
      <c r="J580" s="38"/>
      <c r="K580" s="38"/>
      <c r="L580" s="39"/>
      <c r="M580" s="39"/>
      <c r="N580" s="39"/>
      <c r="O580" s="39"/>
      <c r="P580" s="39"/>
      <c r="Q580" s="39"/>
      <c r="R580" s="39"/>
      <c r="S580" s="39"/>
      <c r="T580" s="39"/>
      <c r="U580" s="39"/>
      <c r="V580" s="39"/>
      <c r="W580" s="39"/>
      <c r="X580" s="39"/>
      <c r="Y580" s="39"/>
      <c r="Z580" s="39"/>
      <c r="AA580" s="39"/>
      <c r="AB580" s="39"/>
    </row>
    <row r="581">
      <c r="A581" s="1"/>
      <c r="B581" s="36"/>
      <c r="C581" s="36"/>
      <c r="D581" s="36"/>
      <c r="E581" s="36"/>
      <c r="F581" s="36"/>
      <c r="G581" s="36"/>
      <c r="H581" s="37"/>
      <c r="I581" s="36"/>
      <c r="J581" s="38"/>
      <c r="K581" s="38"/>
      <c r="L581" s="39"/>
      <c r="M581" s="39"/>
      <c r="N581" s="39"/>
      <c r="O581" s="39"/>
      <c r="P581" s="39"/>
      <c r="Q581" s="39"/>
      <c r="R581" s="39"/>
      <c r="S581" s="39"/>
      <c r="T581" s="39"/>
      <c r="U581" s="39"/>
      <c r="V581" s="39"/>
      <c r="W581" s="39"/>
      <c r="X581" s="39"/>
      <c r="Y581" s="39"/>
      <c r="Z581" s="39"/>
      <c r="AA581" s="39"/>
      <c r="AB581" s="39"/>
    </row>
    <row r="582">
      <c r="A582" s="1"/>
      <c r="B582" s="36"/>
      <c r="C582" s="36"/>
      <c r="D582" s="36"/>
      <c r="E582" s="36"/>
      <c r="F582" s="36"/>
      <c r="G582" s="36"/>
      <c r="H582" s="37"/>
      <c r="I582" s="36"/>
      <c r="J582" s="38"/>
      <c r="K582" s="38"/>
      <c r="L582" s="39"/>
      <c r="M582" s="39"/>
      <c r="N582" s="39"/>
      <c r="O582" s="39"/>
      <c r="P582" s="39"/>
      <c r="Q582" s="39"/>
      <c r="R582" s="39"/>
      <c r="S582" s="39"/>
      <c r="T582" s="39"/>
      <c r="U582" s="39"/>
      <c r="V582" s="39"/>
      <c r="W582" s="39"/>
      <c r="X582" s="39"/>
      <c r="Y582" s="39"/>
      <c r="Z582" s="39"/>
      <c r="AA582" s="39"/>
      <c r="AB582" s="39"/>
    </row>
    <row r="583">
      <c r="A583" s="1"/>
      <c r="B583" s="36"/>
      <c r="C583" s="36"/>
      <c r="D583" s="36"/>
      <c r="E583" s="36"/>
      <c r="F583" s="36"/>
      <c r="G583" s="36"/>
      <c r="H583" s="37"/>
      <c r="I583" s="36"/>
      <c r="J583" s="38"/>
      <c r="K583" s="38"/>
      <c r="L583" s="39"/>
      <c r="M583" s="39"/>
      <c r="N583" s="39"/>
      <c r="O583" s="39"/>
      <c r="P583" s="39"/>
      <c r="Q583" s="39"/>
      <c r="R583" s="39"/>
      <c r="S583" s="39"/>
      <c r="T583" s="39"/>
      <c r="U583" s="39"/>
      <c r="V583" s="39"/>
      <c r="W583" s="39"/>
      <c r="X583" s="39"/>
      <c r="Y583" s="39"/>
      <c r="Z583" s="39"/>
      <c r="AA583" s="39"/>
      <c r="AB583" s="39"/>
    </row>
    <row r="584">
      <c r="A584" s="1"/>
      <c r="B584" s="36"/>
      <c r="C584" s="36"/>
      <c r="D584" s="36"/>
      <c r="E584" s="36"/>
      <c r="F584" s="36"/>
      <c r="G584" s="36"/>
      <c r="H584" s="37"/>
      <c r="I584" s="36"/>
      <c r="J584" s="38"/>
      <c r="K584" s="38"/>
      <c r="L584" s="39"/>
      <c r="M584" s="39"/>
      <c r="N584" s="39"/>
      <c r="O584" s="39"/>
      <c r="P584" s="39"/>
      <c r="Q584" s="39"/>
      <c r="R584" s="39"/>
      <c r="S584" s="39"/>
      <c r="T584" s="39"/>
      <c r="U584" s="39"/>
      <c r="V584" s="39"/>
      <c r="W584" s="39"/>
      <c r="X584" s="39"/>
      <c r="Y584" s="39"/>
      <c r="Z584" s="39"/>
      <c r="AA584" s="39"/>
      <c r="AB584" s="39"/>
    </row>
    <row r="585">
      <c r="A585" s="1"/>
      <c r="B585" s="36"/>
      <c r="C585" s="36"/>
      <c r="D585" s="36"/>
      <c r="E585" s="36"/>
      <c r="F585" s="36"/>
      <c r="G585" s="36"/>
      <c r="H585" s="37"/>
      <c r="I585" s="36"/>
      <c r="J585" s="38"/>
      <c r="K585" s="38"/>
      <c r="L585" s="39"/>
      <c r="M585" s="39"/>
      <c r="N585" s="39"/>
      <c r="O585" s="39"/>
      <c r="P585" s="39"/>
      <c r="Q585" s="39"/>
      <c r="R585" s="39"/>
      <c r="S585" s="39"/>
      <c r="T585" s="39"/>
      <c r="U585" s="39"/>
      <c r="V585" s="39"/>
      <c r="W585" s="39"/>
      <c r="X585" s="39"/>
      <c r="Y585" s="39"/>
      <c r="Z585" s="39"/>
      <c r="AA585" s="39"/>
      <c r="AB585" s="39"/>
    </row>
    <row r="586">
      <c r="A586" s="1"/>
      <c r="B586" s="36"/>
      <c r="C586" s="36"/>
      <c r="D586" s="36"/>
      <c r="E586" s="36"/>
      <c r="F586" s="36"/>
      <c r="G586" s="36"/>
      <c r="H586" s="37"/>
      <c r="I586" s="36"/>
      <c r="J586" s="38"/>
      <c r="K586" s="38"/>
      <c r="L586" s="39"/>
      <c r="M586" s="39"/>
      <c r="N586" s="39"/>
      <c r="O586" s="39"/>
      <c r="P586" s="39"/>
      <c r="Q586" s="39"/>
      <c r="R586" s="39"/>
      <c r="S586" s="39"/>
      <c r="T586" s="39"/>
      <c r="U586" s="39"/>
      <c r="V586" s="39"/>
      <c r="W586" s="39"/>
      <c r="X586" s="39"/>
      <c r="Y586" s="39"/>
      <c r="Z586" s="39"/>
      <c r="AA586" s="39"/>
      <c r="AB586" s="39"/>
    </row>
    <row r="587">
      <c r="A587" s="1"/>
      <c r="B587" s="36"/>
      <c r="C587" s="36"/>
      <c r="D587" s="36"/>
      <c r="E587" s="36"/>
      <c r="F587" s="36"/>
      <c r="G587" s="36"/>
      <c r="H587" s="37"/>
      <c r="I587" s="36"/>
      <c r="J587" s="38"/>
      <c r="K587" s="38"/>
      <c r="L587" s="39"/>
      <c r="M587" s="39"/>
      <c r="N587" s="39"/>
      <c r="O587" s="39"/>
      <c r="P587" s="39"/>
      <c r="Q587" s="39"/>
      <c r="R587" s="39"/>
      <c r="S587" s="39"/>
      <c r="T587" s="39"/>
      <c r="U587" s="39"/>
      <c r="V587" s="39"/>
      <c r="W587" s="39"/>
      <c r="X587" s="39"/>
      <c r="Y587" s="39"/>
      <c r="Z587" s="39"/>
      <c r="AA587" s="39"/>
      <c r="AB587" s="39"/>
    </row>
    <row r="588">
      <c r="A588" s="1"/>
      <c r="B588" s="36"/>
      <c r="C588" s="36"/>
      <c r="D588" s="36"/>
      <c r="E588" s="36"/>
      <c r="F588" s="36"/>
      <c r="G588" s="36"/>
      <c r="H588" s="37"/>
      <c r="I588" s="36"/>
      <c r="J588" s="38"/>
      <c r="K588" s="38"/>
      <c r="L588" s="39"/>
      <c r="M588" s="39"/>
      <c r="N588" s="39"/>
      <c r="O588" s="39"/>
      <c r="P588" s="39"/>
      <c r="Q588" s="39"/>
      <c r="R588" s="39"/>
      <c r="S588" s="39"/>
      <c r="T588" s="39"/>
      <c r="U588" s="39"/>
      <c r="V588" s="39"/>
      <c r="W588" s="39"/>
      <c r="X588" s="39"/>
      <c r="Y588" s="39"/>
      <c r="Z588" s="39"/>
      <c r="AA588" s="39"/>
      <c r="AB588" s="39"/>
    </row>
    <row r="589">
      <c r="A589" s="1"/>
      <c r="B589" s="36"/>
      <c r="C589" s="36"/>
      <c r="D589" s="36"/>
      <c r="E589" s="36"/>
      <c r="F589" s="36"/>
      <c r="G589" s="36"/>
      <c r="H589" s="37"/>
      <c r="I589" s="36"/>
      <c r="J589" s="38"/>
      <c r="K589" s="38"/>
      <c r="L589" s="39"/>
      <c r="M589" s="39"/>
      <c r="N589" s="39"/>
      <c r="O589" s="39"/>
      <c r="P589" s="39"/>
      <c r="Q589" s="39"/>
      <c r="R589" s="39"/>
      <c r="S589" s="39"/>
      <c r="T589" s="39"/>
      <c r="U589" s="39"/>
      <c r="V589" s="39"/>
      <c r="W589" s="39"/>
      <c r="X589" s="39"/>
      <c r="Y589" s="39"/>
      <c r="Z589" s="39"/>
      <c r="AA589" s="39"/>
      <c r="AB589" s="39"/>
    </row>
    <row r="590">
      <c r="A590" s="1"/>
      <c r="B590" s="36"/>
      <c r="C590" s="36"/>
      <c r="D590" s="36"/>
      <c r="E590" s="36"/>
      <c r="F590" s="36"/>
      <c r="G590" s="36"/>
      <c r="H590" s="37"/>
      <c r="I590" s="36"/>
      <c r="J590" s="38"/>
      <c r="K590" s="38"/>
      <c r="L590" s="39"/>
      <c r="M590" s="39"/>
      <c r="N590" s="39"/>
      <c r="O590" s="39"/>
      <c r="P590" s="39"/>
      <c r="Q590" s="39"/>
      <c r="R590" s="39"/>
      <c r="S590" s="39"/>
      <c r="T590" s="39"/>
      <c r="U590" s="39"/>
      <c r="V590" s="39"/>
      <c r="W590" s="39"/>
      <c r="X590" s="39"/>
      <c r="Y590" s="39"/>
      <c r="Z590" s="39"/>
      <c r="AA590" s="39"/>
      <c r="AB590" s="39"/>
    </row>
    <row r="591">
      <c r="A591" s="1"/>
      <c r="B591" s="36"/>
      <c r="C591" s="36"/>
      <c r="D591" s="36"/>
      <c r="E591" s="36"/>
      <c r="F591" s="36"/>
      <c r="G591" s="36"/>
      <c r="H591" s="37"/>
      <c r="I591" s="36"/>
      <c r="J591" s="38"/>
      <c r="K591" s="38"/>
      <c r="L591" s="39"/>
      <c r="M591" s="39"/>
      <c r="N591" s="39"/>
      <c r="O591" s="39"/>
      <c r="P591" s="39"/>
      <c r="Q591" s="39"/>
      <c r="R591" s="39"/>
      <c r="S591" s="39"/>
      <c r="T591" s="39"/>
      <c r="U591" s="39"/>
      <c r="V591" s="39"/>
      <c r="W591" s="39"/>
      <c r="X591" s="39"/>
      <c r="Y591" s="39"/>
      <c r="Z591" s="39"/>
      <c r="AA591" s="39"/>
      <c r="AB591" s="39"/>
    </row>
    <row r="592">
      <c r="A592" s="1"/>
      <c r="B592" s="36"/>
      <c r="C592" s="36"/>
      <c r="D592" s="36"/>
      <c r="E592" s="36"/>
      <c r="F592" s="36"/>
      <c r="G592" s="36"/>
      <c r="H592" s="37"/>
      <c r="I592" s="36"/>
      <c r="J592" s="38"/>
      <c r="K592" s="38"/>
      <c r="L592" s="39"/>
      <c r="M592" s="39"/>
      <c r="N592" s="39"/>
      <c r="O592" s="39"/>
      <c r="P592" s="39"/>
      <c r="Q592" s="39"/>
      <c r="R592" s="39"/>
      <c r="S592" s="39"/>
      <c r="T592" s="39"/>
      <c r="U592" s="39"/>
      <c r="V592" s="39"/>
      <c r="W592" s="39"/>
      <c r="X592" s="39"/>
      <c r="Y592" s="39"/>
      <c r="Z592" s="39"/>
      <c r="AA592" s="39"/>
      <c r="AB592" s="39"/>
    </row>
    <row r="593">
      <c r="A593" s="1"/>
      <c r="B593" s="36"/>
      <c r="C593" s="36"/>
      <c r="D593" s="36"/>
      <c r="E593" s="36"/>
      <c r="F593" s="36"/>
      <c r="G593" s="36"/>
      <c r="H593" s="37"/>
      <c r="I593" s="36"/>
      <c r="J593" s="38"/>
      <c r="K593" s="38"/>
      <c r="L593" s="39"/>
      <c r="M593" s="39"/>
      <c r="N593" s="39"/>
      <c r="O593" s="39"/>
      <c r="P593" s="39"/>
      <c r="Q593" s="39"/>
      <c r="R593" s="39"/>
      <c r="S593" s="39"/>
      <c r="T593" s="39"/>
      <c r="U593" s="39"/>
      <c r="V593" s="39"/>
      <c r="W593" s="39"/>
      <c r="X593" s="39"/>
      <c r="Y593" s="39"/>
      <c r="Z593" s="39"/>
      <c r="AA593" s="39"/>
      <c r="AB593" s="39"/>
    </row>
    <row r="594">
      <c r="A594" s="1"/>
      <c r="B594" s="36"/>
      <c r="C594" s="36"/>
      <c r="D594" s="36"/>
      <c r="E594" s="36"/>
      <c r="F594" s="36"/>
      <c r="G594" s="36"/>
      <c r="H594" s="37"/>
      <c r="I594" s="36"/>
      <c r="J594" s="38"/>
      <c r="K594" s="38"/>
      <c r="L594" s="39"/>
      <c r="M594" s="39"/>
      <c r="N594" s="39"/>
      <c r="O594" s="39"/>
      <c r="P594" s="39"/>
      <c r="Q594" s="39"/>
      <c r="R594" s="39"/>
      <c r="S594" s="39"/>
      <c r="T594" s="39"/>
      <c r="U594" s="39"/>
      <c r="V594" s="39"/>
      <c r="W594" s="39"/>
      <c r="X594" s="39"/>
      <c r="Y594" s="39"/>
      <c r="Z594" s="39"/>
      <c r="AA594" s="39"/>
      <c r="AB594" s="39"/>
    </row>
    <row r="595">
      <c r="A595" s="1"/>
      <c r="B595" s="36"/>
      <c r="C595" s="36"/>
      <c r="D595" s="36"/>
      <c r="E595" s="36"/>
      <c r="F595" s="36"/>
      <c r="G595" s="36"/>
      <c r="H595" s="37"/>
      <c r="I595" s="36"/>
      <c r="J595" s="38"/>
      <c r="K595" s="38"/>
      <c r="L595" s="39"/>
      <c r="M595" s="39"/>
      <c r="N595" s="39"/>
      <c r="O595" s="39"/>
      <c r="P595" s="39"/>
      <c r="Q595" s="39"/>
      <c r="R595" s="39"/>
      <c r="S595" s="39"/>
      <c r="T595" s="39"/>
      <c r="U595" s="39"/>
      <c r="V595" s="39"/>
      <c r="W595" s="39"/>
      <c r="X595" s="39"/>
      <c r="Y595" s="39"/>
      <c r="Z595" s="39"/>
      <c r="AA595" s="39"/>
      <c r="AB595" s="39"/>
    </row>
    <row r="596">
      <c r="A596" s="1"/>
      <c r="B596" s="36"/>
      <c r="C596" s="36"/>
      <c r="D596" s="36"/>
      <c r="E596" s="36"/>
      <c r="F596" s="36"/>
      <c r="G596" s="36"/>
      <c r="H596" s="37"/>
      <c r="I596" s="36"/>
      <c r="J596" s="38"/>
      <c r="K596" s="38"/>
      <c r="L596" s="39"/>
      <c r="M596" s="39"/>
      <c r="N596" s="39"/>
      <c r="O596" s="39"/>
      <c r="P596" s="39"/>
      <c r="Q596" s="39"/>
      <c r="R596" s="39"/>
      <c r="S596" s="39"/>
      <c r="T596" s="39"/>
      <c r="U596" s="39"/>
      <c r="V596" s="39"/>
      <c r="W596" s="39"/>
      <c r="X596" s="39"/>
      <c r="Y596" s="39"/>
      <c r="Z596" s="39"/>
      <c r="AA596" s="39"/>
      <c r="AB596" s="39"/>
    </row>
    <row r="597">
      <c r="A597" s="1"/>
      <c r="B597" s="36"/>
      <c r="C597" s="36"/>
      <c r="D597" s="36"/>
      <c r="E597" s="36"/>
      <c r="F597" s="36"/>
      <c r="G597" s="36"/>
      <c r="H597" s="37"/>
      <c r="I597" s="36"/>
      <c r="J597" s="38"/>
      <c r="K597" s="38"/>
      <c r="L597" s="39"/>
      <c r="M597" s="39"/>
      <c r="N597" s="39"/>
      <c r="O597" s="39"/>
      <c r="P597" s="39"/>
      <c r="Q597" s="39"/>
      <c r="R597" s="39"/>
      <c r="S597" s="39"/>
      <c r="T597" s="39"/>
      <c r="U597" s="39"/>
      <c r="V597" s="39"/>
      <c r="W597" s="39"/>
      <c r="X597" s="39"/>
      <c r="Y597" s="39"/>
      <c r="Z597" s="39"/>
      <c r="AA597" s="39"/>
      <c r="AB597" s="39"/>
    </row>
    <row r="598">
      <c r="A598" s="1"/>
      <c r="B598" s="36"/>
      <c r="C598" s="36"/>
      <c r="D598" s="36"/>
      <c r="E598" s="36"/>
      <c r="F598" s="36"/>
      <c r="G598" s="36"/>
      <c r="H598" s="37"/>
      <c r="I598" s="36"/>
      <c r="J598" s="38"/>
      <c r="K598" s="38"/>
      <c r="L598" s="39"/>
      <c r="M598" s="39"/>
      <c r="N598" s="39"/>
      <c r="O598" s="39"/>
      <c r="P598" s="39"/>
      <c r="Q598" s="39"/>
      <c r="R598" s="39"/>
      <c r="S598" s="39"/>
      <c r="T598" s="39"/>
      <c r="U598" s="39"/>
      <c r="V598" s="39"/>
      <c r="W598" s="39"/>
      <c r="X598" s="39"/>
      <c r="Y598" s="39"/>
      <c r="Z598" s="39"/>
      <c r="AA598" s="39"/>
      <c r="AB598" s="39"/>
    </row>
    <row r="599">
      <c r="A599" s="1"/>
      <c r="B599" s="36"/>
      <c r="C599" s="36"/>
      <c r="D599" s="36"/>
      <c r="E599" s="36"/>
      <c r="F599" s="36"/>
      <c r="G599" s="36"/>
      <c r="H599" s="37"/>
      <c r="I599" s="36"/>
      <c r="J599" s="38"/>
      <c r="K599" s="38"/>
      <c r="L599" s="39"/>
      <c r="M599" s="39"/>
      <c r="N599" s="39"/>
      <c r="O599" s="39"/>
      <c r="P599" s="39"/>
      <c r="Q599" s="39"/>
      <c r="R599" s="39"/>
      <c r="S599" s="39"/>
      <c r="T599" s="39"/>
      <c r="U599" s="39"/>
      <c r="V599" s="39"/>
      <c r="W599" s="39"/>
      <c r="X599" s="39"/>
      <c r="Y599" s="39"/>
      <c r="Z599" s="39"/>
      <c r="AA599" s="39"/>
      <c r="AB599" s="39"/>
    </row>
    <row r="600">
      <c r="A600" s="1"/>
      <c r="B600" s="36"/>
      <c r="C600" s="36"/>
      <c r="D600" s="36"/>
      <c r="E600" s="36"/>
      <c r="F600" s="36"/>
      <c r="G600" s="36"/>
      <c r="H600" s="37"/>
      <c r="I600" s="36"/>
      <c r="J600" s="38"/>
      <c r="K600" s="38"/>
      <c r="L600" s="39"/>
      <c r="M600" s="39"/>
      <c r="N600" s="39"/>
      <c r="O600" s="39"/>
      <c r="P600" s="39"/>
      <c r="Q600" s="39"/>
      <c r="R600" s="39"/>
      <c r="S600" s="39"/>
      <c r="T600" s="39"/>
      <c r="U600" s="39"/>
      <c r="V600" s="39"/>
      <c r="W600" s="39"/>
      <c r="X600" s="39"/>
      <c r="Y600" s="39"/>
      <c r="Z600" s="39"/>
      <c r="AA600" s="39"/>
      <c r="AB600" s="39"/>
    </row>
    <row r="601">
      <c r="A601" s="1"/>
      <c r="B601" s="36"/>
      <c r="C601" s="36"/>
      <c r="D601" s="36"/>
      <c r="E601" s="36"/>
      <c r="F601" s="36"/>
      <c r="G601" s="36"/>
      <c r="H601" s="37"/>
      <c r="I601" s="36"/>
      <c r="J601" s="38"/>
      <c r="K601" s="38"/>
      <c r="L601" s="39"/>
      <c r="M601" s="39"/>
      <c r="N601" s="39"/>
      <c r="O601" s="39"/>
      <c r="P601" s="39"/>
      <c r="Q601" s="39"/>
      <c r="R601" s="39"/>
      <c r="S601" s="39"/>
      <c r="T601" s="39"/>
      <c r="U601" s="39"/>
      <c r="V601" s="39"/>
      <c r="W601" s="39"/>
      <c r="X601" s="39"/>
      <c r="Y601" s="39"/>
      <c r="Z601" s="39"/>
      <c r="AA601" s="39"/>
      <c r="AB601" s="39"/>
    </row>
    <row r="602">
      <c r="A602" s="1"/>
      <c r="B602" s="36"/>
      <c r="C602" s="36"/>
      <c r="D602" s="36"/>
      <c r="E602" s="36"/>
      <c r="F602" s="36"/>
      <c r="G602" s="36"/>
      <c r="H602" s="37"/>
      <c r="I602" s="36"/>
      <c r="J602" s="38"/>
      <c r="K602" s="38"/>
      <c r="L602" s="39"/>
      <c r="M602" s="39"/>
      <c r="N602" s="39"/>
      <c r="O602" s="39"/>
      <c r="P602" s="39"/>
      <c r="Q602" s="39"/>
      <c r="R602" s="39"/>
      <c r="S602" s="39"/>
      <c r="T602" s="39"/>
      <c r="U602" s="39"/>
      <c r="V602" s="39"/>
      <c r="W602" s="39"/>
      <c r="X602" s="39"/>
      <c r="Y602" s="39"/>
      <c r="Z602" s="39"/>
      <c r="AA602" s="39"/>
      <c r="AB602" s="39"/>
    </row>
    <row r="603">
      <c r="A603" s="1"/>
      <c r="B603" s="36"/>
      <c r="C603" s="36"/>
      <c r="D603" s="36"/>
      <c r="E603" s="36"/>
      <c r="F603" s="36"/>
      <c r="G603" s="36"/>
      <c r="H603" s="37"/>
      <c r="I603" s="36"/>
      <c r="J603" s="38"/>
      <c r="K603" s="38"/>
      <c r="L603" s="39"/>
      <c r="M603" s="39"/>
      <c r="N603" s="39"/>
      <c r="O603" s="39"/>
      <c r="P603" s="39"/>
      <c r="Q603" s="39"/>
      <c r="R603" s="39"/>
      <c r="S603" s="39"/>
      <c r="T603" s="39"/>
      <c r="U603" s="39"/>
      <c r="V603" s="39"/>
      <c r="W603" s="39"/>
      <c r="X603" s="39"/>
      <c r="Y603" s="39"/>
      <c r="Z603" s="39"/>
      <c r="AA603" s="39"/>
      <c r="AB603" s="39"/>
    </row>
    <row r="604">
      <c r="A604" s="1"/>
      <c r="B604" s="36"/>
      <c r="C604" s="36"/>
      <c r="D604" s="36"/>
      <c r="E604" s="36"/>
      <c r="F604" s="36"/>
      <c r="G604" s="36"/>
      <c r="H604" s="37"/>
      <c r="I604" s="36"/>
      <c r="J604" s="38"/>
      <c r="K604" s="38"/>
      <c r="L604" s="39"/>
      <c r="M604" s="39"/>
      <c r="N604" s="39"/>
      <c r="O604" s="39"/>
      <c r="P604" s="39"/>
      <c r="Q604" s="39"/>
      <c r="R604" s="39"/>
      <c r="S604" s="39"/>
      <c r="T604" s="39"/>
      <c r="U604" s="39"/>
      <c r="V604" s="39"/>
      <c r="W604" s="39"/>
      <c r="X604" s="39"/>
      <c r="Y604" s="39"/>
      <c r="Z604" s="39"/>
      <c r="AA604" s="39"/>
      <c r="AB604" s="39"/>
    </row>
    <row r="605">
      <c r="A605" s="1"/>
      <c r="B605" s="36"/>
      <c r="C605" s="36"/>
      <c r="D605" s="36"/>
      <c r="E605" s="36"/>
      <c r="F605" s="36"/>
      <c r="G605" s="36"/>
      <c r="H605" s="37"/>
      <c r="I605" s="36"/>
      <c r="J605" s="38"/>
      <c r="K605" s="38"/>
      <c r="L605" s="39"/>
      <c r="M605" s="39"/>
      <c r="N605" s="39"/>
      <c r="O605" s="39"/>
      <c r="P605" s="39"/>
      <c r="Q605" s="39"/>
      <c r="R605" s="39"/>
      <c r="S605" s="39"/>
      <c r="T605" s="39"/>
      <c r="U605" s="39"/>
      <c r="V605" s="39"/>
      <c r="W605" s="39"/>
      <c r="X605" s="39"/>
      <c r="Y605" s="39"/>
      <c r="Z605" s="39"/>
      <c r="AA605" s="39"/>
      <c r="AB605" s="39"/>
    </row>
    <row r="606">
      <c r="A606" s="1"/>
      <c r="B606" s="36"/>
      <c r="C606" s="36"/>
      <c r="D606" s="36"/>
      <c r="E606" s="36"/>
      <c r="F606" s="36"/>
      <c r="G606" s="36"/>
      <c r="H606" s="37"/>
      <c r="I606" s="36"/>
      <c r="J606" s="38"/>
      <c r="K606" s="38"/>
      <c r="L606" s="39"/>
      <c r="M606" s="39"/>
      <c r="N606" s="39"/>
      <c r="O606" s="39"/>
      <c r="P606" s="39"/>
      <c r="Q606" s="39"/>
      <c r="R606" s="39"/>
      <c r="S606" s="39"/>
      <c r="T606" s="39"/>
      <c r="U606" s="39"/>
      <c r="V606" s="39"/>
      <c r="W606" s="39"/>
      <c r="X606" s="39"/>
      <c r="Y606" s="39"/>
      <c r="Z606" s="39"/>
      <c r="AA606" s="39"/>
      <c r="AB606" s="39"/>
    </row>
    <row r="607">
      <c r="A607" s="1"/>
      <c r="B607" s="36"/>
      <c r="C607" s="36"/>
      <c r="D607" s="36"/>
      <c r="E607" s="36"/>
      <c r="F607" s="36"/>
      <c r="G607" s="36"/>
      <c r="H607" s="37"/>
      <c r="I607" s="36"/>
      <c r="J607" s="38"/>
      <c r="K607" s="38"/>
      <c r="L607" s="39"/>
      <c r="M607" s="39"/>
      <c r="N607" s="39"/>
      <c r="O607" s="39"/>
      <c r="P607" s="39"/>
      <c r="Q607" s="39"/>
      <c r="R607" s="39"/>
      <c r="S607" s="39"/>
      <c r="T607" s="39"/>
      <c r="U607" s="39"/>
      <c r="V607" s="39"/>
      <c r="W607" s="39"/>
      <c r="X607" s="39"/>
      <c r="Y607" s="39"/>
      <c r="Z607" s="39"/>
      <c r="AA607" s="39"/>
      <c r="AB607" s="39"/>
    </row>
    <row r="608">
      <c r="A608" s="1"/>
      <c r="B608" s="36"/>
      <c r="C608" s="36"/>
      <c r="D608" s="36"/>
      <c r="E608" s="36"/>
      <c r="F608" s="36"/>
      <c r="G608" s="36"/>
      <c r="H608" s="37"/>
      <c r="I608" s="36"/>
      <c r="J608" s="38"/>
      <c r="K608" s="38"/>
      <c r="L608" s="39"/>
      <c r="M608" s="39"/>
      <c r="N608" s="39"/>
      <c r="O608" s="39"/>
      <c r="P608" s="39"/>
      <c r="Q608" s="39"/>
      <c r="R608" s="39"/>
      <c r="S608" s="39"/>
      <c r="T608" s="39"/>
      <c r="U608" s="39"/>
      <c r="V608" s="39"/>
      <c r="W608" s="39"/>
      <c r="X608" s="39"/>
      <c r="Y608" s="39"/>
      <c r="Z608" s="39"/>
      <c r="AA608" s="39"/>
      <c r="AB608" s="39"/>
    </row>
    <row r="609">
      <c r="A609" s="1"/>
      <c r="B609" s="36"/>
      <c r="C609" s="36"/>
      <c r="D609" s="36"/>
      <c r="E609" s="36"/>
      <c r="F609" s="36"/>
      <c r="G609" s="36"/>
      <c r="H609" s="37"/>
      <c r="I609" s="36"/>
      <c r="J609" s="38"/>
      <c r="K609" s="38"/>
      <c r="L609" s="39"/>
      <c r="M609" s="39"/>
      <c r="N609" s="39"/>
      <c r="O609" s="39"/>
      <c r="P609" s="39"/>
      <c r="Q609" s="39"/>
      <c r="R609" s="39"/>
      <c r="S609" s="39"/>
      <c r="T609" s="39"/>
      <c r="U609" s="39"/>
      <c r="V609" s="39"/>
      <c r="W609" s="39"/>
      <c r="X609" s="39"/>
      <c r="Y609" s="39"/>
      <c r="Z609" s="39"/>
      <c r="AA609" s="39"/>
      <c r="AB609" s="39"/>
    </row>
    <row r="610">
      <c r="A610" s="1"/>
      <c r="B610" s="36"/>
      <c r="C610" s="36"/>
      <c r="D610" s="36"/>
      <c r="E610" s="36"/>
      <c r="F610" s="36"/>
      <c r="G610" s="36"/>
      <c r="H610" s="37"/>
      <c r="I610" s="36"/>
      <c r="J610" s="38"/>
      <c r="K610" s="38"/>
      <c r="L610" s="39"/>
      <c r="M610" s="39"/>
      <c r="N610" s="39"/>
      <c r="O610" s="39"/>
      <c r="P610" s="39"/>
      <c r="Q610" s="39"/>
      <c r="R610" s="39"/>
      <c r="S610" s="39"/>
      <c r="T610" s="39"/>
      <c r="U610" s="39"/>
      <c r="V610" s="39"/>
      <c r="W610" s="39"/>
      <c r="X610" s="39"/>
      <c r="Y610" s="39"/>
      <c r="Z610" s="39"/>
      <c r="AA610" s="39"/>
      <c r="AB610" s="39"/>
    </row>
    <row r="611">
      <c r="A611" s="1"/>
      <c r="B611" s="36"/>
      <c r="C611" s="36"/>
      <c r="D611" s="36"/>
      <c r="E611" s="36"/>
      <c r="F611" s="36"/>
      <c r="G611" s="36"/>
      <c r="H611" s="37"/>
      <c r="I611" s="36"/>
      <c r="J611" s="38"/>
      <c r="K611" s="38"/>
      <c r="L611" s="39"/>
      <c r="M611" s="39"/>
      <c r="N611" s="39"/>
      <c r="O611" s="39"/>
      <c r="P611" s="39"/>
      <c r="Q611" s="39"/>
      <c r="R611" s="39"/>
      <c r="S611" s="39"/>
      <c r="T611" s="39"/>
      <c r="U611" s="39"/>
      <c r="V611" s="39"/>
      <c r="W611" s="39"/>
      <c r="X611" s="39"/>
      <c r="Y611" s="39"/>
      <c r="Z611" s="39"/>
      <c r="AA611" s="39"/>
      <c r="AB611" s="39"/>
    </row>
    <row r="612">
      <c r="A612" s="1"/>
      <c r="B612" s="36"/>
      <c r="C612" s="36"/>
      <c r="D612" s="36"/>
      <c r="E612" s="36"/>
      <c r="F612" s="36"/>
      <c r="G612" s="36"/>
      <c r="H612" s="37"/>
      <c r="I612" s="36"/>
      <c r="J612" s="38"/>
      <c r="K612" s="38"/>
      <c r="L612" s="39"/>
      <c r="M612" s="39"/>
      <c r="N612" s="39"/>
      <c r="O612" s="39"/>
      <c r="P612" s="39"/>
      <c r="Q612" s="39"/>
      <c r="R612" s="39"/>
      <c r="S612" s="39"/>
      <c r="T612" s="39"/>
      <c r="U612" s="39"/>
      <c r="V612" s="39"/>
      <c r="W612" s="39"/>
      <c r="X612" s="39"/>
      <c r="Y612" s="39"/>
      <c r="Z612" s="39"/>
      <c r="AA612" s="39"/>
      <c r="AB612" s="39"/>
    </row>
    <row r="613">
      <c r="A613" s="1"/>
      <c r="B613" s="36"/>
      <c r="C613" s="36"/>
      <c r="D613" s="36"/>
      <c r="E613" s="36"/>
      <c r="F613" s="36"/>
      <c r="G613" s="36"/>
      <c r="H613" s="37"/>
      <c r="I613" s="36"/>
      <c r="J613" s="38"/>
      <c r="K613" s="38"/>
      <c r="L613" s="39"/>
      <c r="M613" s="39"/>
      <c r="N613" s="39"/>
      <c r="O613" s="39"/>
      <c r="P613" s="39"/>
      <c r="Q613" s="39"/>
      <c r="R613" s="39"/>
      <c r="S613" s="39"/>
      <c r="T613" s="39"/>
      <c r="U613" s="39"/>
      <c r="V613" s="39"/>
      <c r="W613" s="39"/>
      <c r="X613" s="39"/>
      <c r="Y613" s="39"/>
      <c r="Z613" s="39"/>
      <c r="AA613" s="39"/>
      <c r="AB613" s="39"/>
    </row>
    <row r="614">
      <c r="A614" s="1"/>
      <c r="B614" s="36"/>
      <c r="C614" s="36"/>
      <c r="D614" s="36"/>
      <c r="E614" s="36"/>
      <c r="F614" s="36"/>
      <c r="G614" s="36"/>
      <c r="H614" s="37"/>
      <c r="I614" s="36"/>
      <c r="J614" s="38"/>
      <c r="K614" s="38"/>
      <c r="L614" s="39"/>
      <c r="M614" s="39"/>
      <c r="N614" s="39"/>
      <c r="O614" s="39"/>
      <c r="P614" s="39"/>
      <c r="Q614" s="39"/>
      <c r="R614" s="39"/>
      <c r="S614" s="39"/>
      <c r="T614" s="39"/>
      <c r="U614" s="39"/>
      <c r="V614" s="39"/>
      <c r="W614" s="39"/>
      <c r="X614" s="39"/>
      <c r="Y614" s="39"/>
      <c r="Z614" s="39"/>
      <c r="AA614" s="39"/>
      <c r="AB614" s="39"/>
    </row>
    <row r="615">
      <c r="A615" s="1"/>
      <c r="B615" s="36"/>
      <c r="C615" s="36"/>
      <c r="D615" s="36"/>
      <c r="E615" s="36"/>
      <c r="F615" s="36"/>
      <c r="G615" s="36"/>
      <c r="H615" s="37"/>
      <c r="I615" s="36"/>
      <c r="J615" s="38"/>
      <c r="K615" s="38"/>
      <c r="L615" s="39"/>
      <c r="M615" s="39"/>
      <c r="N615" s="39"/>
      <c r="O615" s="39"/>
      <c r="P615" s="39"/>
      <c r="Q615" s="39"/>
      <c r="R615" s="39"/>
      <c r="S615" s="39"/>
      <c r="T615" s="39"/>
      <c r="U615" s="39"/>
      <c r="V615" s="39"/>
      <c r="W615" s="39"/>
      <c r="X615" s="39"/>
      <c r="Y615" s="39"/>
      <c r="Z615" s="39"/>
      <c r="AA615" s="39"/>
      <c r="AB615" s="39"/>
    </row>
    <row r="616">
      <c r="A616" s="1"/>
      <c r="B616" s="36"/>
      <c r="C616" s="36"/>
      <c r="D616" s="36"/>
      <c r="E616" s="36"/>
      <c r="F616" s="36"/>
      <c r="G616" s="36"/>
      <c r="H616" s="37"/>
      <c r="I616" s="36"/>
      <c r="J616" s="38"/>
      <c r="K616" s="38"/>
      <c r="L616" s="39"/>
      <c r="M616" s="39"/>
      <c r="N616" s="39"/>
      <c r="O616" s="39"/>
      <c r="P616" s="39"/>
      <c r="Q616" s="39"/>
      <c r="R616" s="39"/>
      <c r="S616" s="39"/>
      <c r="T616" s="39"/>
      <c r="U616" s="39"/>
      <c r="V616" s="39"/>
      <c r="W616" s="39"/>
      <c r="X616" s="39"/>
      <c r="Y616" s="39"/>
      <c r="Z616" s="39"/>
      <c r="AA616" s="39"/>
      <c r="AB616" s="39"/>
    </row>
    <row r="617">
      <c r="A617" s="1"/>
      <c r="B617" s="36"/>
      <c r="C617" s="36"/>
      <c r="D617" s="36"/>
      <c r="E617" s="36"/>
      <c r="F617" s="36"/>
      <c r="G617" s="36"/>
      <c r="H617" s="37"/>
      <c r="I617" s="36"/>
      <c r="J617" s="38"/>
      <c r="K617" s="38"/>
      <c r="L617" s="39"/>
      <c r="M617" s="39"/>
      <c r="N617" s="39"/>
      <c r="O617" s="39"/>
      <c r="P617" s="39"/>
      <c r="Q617" s="39"/>
      <c r="R617" s="39"/>
      <c r="S617" s="39"/>
      <c r="T617" s="39"/>
      <c r="U617" s="39"/>
      <c r="V617" s="39"/>
      <c r="W617" s="39"/>
      <c r="X617" s="39"/>
      <c r="Y617" s="39"/>
      <c r="Z617" s="39"/>
      <c r="AA617" s="39"/>
      <c r="AB617" s="39"/>
    </row>
    <row r="618">
      <c r="A618" s="1"/>
      <c r="B618" s="36"/>
      <c r="C618" s="36"/>
      <c r="D618" s="36"/>
      <c r="E618" s="36"/>
      <c r="F618" s="36"/>
      <c r="G618" s="36"/>
      <c r="H618" s="37"/>
      <c r="I618" s="36"/>
      <c r="J618" s="38"/>
      <c r="K618" s="38"/>
      <c r="L618" s="39"/>
      <c r="M618" s="39"/>
      <c r="N618" s="39"/>
      <c r="O618" s="39"/>
      <c r="P618" s="39"/>
      <c r="Q618" s="39"/>
      <c r="R618" s="39"/>
      <c r="S618" s="39"/>
      <c r="T618" s="39"/>
      <c r="U618" s="39"/>
      <c r="V618" s="39"/>
      <c r="W618" s="39"/>
      <c r="X618" s="39"/>
      <c r="Y618" s="39"/>
      <c r="Z618" s="39"/>
      <c r="AA618" s="39"/>
      <c r="AB618" s="39"/>
    </row>
    <row r="619">
      <c r="A619" s="1"/>
      <c r="B619" s="36"/>
      <c r="C619" s="36"/>
      <c r="D619" s="36"/>
      <c r="E619" s="36"/>
      <c r="F619" s="36"/>
      <c r="G619" s="36"/>
      <c r="H619" s="37"/>
      <c r="I619" s="36"/>
      <c r="J619" s="38"/>
      <c r="K619" s="38"/>
      <c r="L619" s="39"/>
      <c r="M619" s="39"/>
      <c r="N619" s="39"/>
      <c r="O619" s="39"/>
      <c r="P619" s="39"/>
      <c r="Q619" s="39"/>
      <c r="R619" s="39"/>
      <c r="S619" s="39"/>
      <c r="T619" s="39"/>
      <c r="U619" s="39"/>
      <c r="V619" s="39"/>
      <c r="W619" s="39"/>
      <c r="X619" s="39"/>
      <c r="Y619" s="39"/>
      <c r="Z619" s="39"/>
      <c r="AA619" s="39"/>
      <c r="AB619" s="39"/>
    </row>
    <row r="620">
      <c r="A620" s="1"/>
      <c r="B620" s="36"/>
      <c r="C620" s="36"/>
      <c r="D620" s="36"/>
      <c r="E620" s="36"/>
      <c r="F620" s="36"/>
      <c r="G620" s="36"/>
      <c r="H620" s="37"/>
      <c r="I620" s="36"/>
      <c r="J620" s="38"/>
      <c r="K620" s="38"/>
      <c r="L620" s="39"/>
      <c r="M620" s="39"/>
      <c r="N620" s="39"/>
      <c r="O620" s="39"/>
      <c r="P620" s="39"/>
      <c r="Q620" s="39"/>
      <c r="R620" s="39"/>
      <c r="S620" s="39"/>
      <c r="T620" s="39"/>
      <c r="U620" s="39"/>
      <c r="V620" s="39"/>
      <c r="W620" s="39"/>
      <c r="X620" s="39"/>
      <c r="Y620" s="39"/>
      <c r="Z620" s="39"/>
      <c r="AA620" s="39"/>
      <c r="AB620" s="39"/>
    </row>
    <row r="621">
      <c r="A621" s="1"/>
      <c r="B621" s="36"/>
      <c r="C621" s="36"/>
      <c r="D621" s="36"/>
      <c r="E621" s="36"/>
      <c r="F621" s="36"/>
      <c r="G621" s="36"/>
      <c r="H621" s="37"/>
      <c r="I621" s="36"/>
      <c r="J621" s="38"/>
      <c r="K621" s="38"/>
      <c r="L621" s="39"/>
      <c r="M621" s="39"/>
      <c r="N621" s="39"/>
      <c r="O621" s="39"/>
      <c r="P621" s="39"/>
      <c r="Q621" s="39"/>
      <c r="R621" s="39"/>
      <c r="S621" s="39"/>
      <c r="T621" s="39"/>
      <c r="U621" s="39"/>
      <c r="V621" s="39"/>
      <c r="W621" s="39"/>
      <c r="X621" s="39"/>
      <c r="Y621" s="39"/>
      <c r="Z621" s="39"/>
      <c r="AA621" s="39"/>
      <c r="AB621" s="39"/>
    </row>
    <row r="622">
      <c r="A622" s="1"/>
      <c r="B622" s="36"/>
      <c r="C622" s="36"/>
      <c r="D622" s="36"/>
      <c r="E622" s="36"/>
      <c r="F622" s="36"/>
      <c r="G622" s="36"/>
      <c r="H622" s="37"/>
      <c r="I622" s="36"/>
      <c r="J622" s="38"/>
      <c r="K622" s="38"/>
      <c r="L622" s="39"/>
      <c r="M622" s="39"/>
      <c r="N622" s="39"/>
      <c r="O622" s="39"/>
      <c r="P622" s="39"/>
      <c r="Q622" s="39"/>
      <c r="R622" s="39"/>
      <c r="S622" s="39"/>
      <c r="T622" s="39"/>
      <c r="U622" s="39"/>
      <c r="V622" s="39"/>
      <c r="W622" s="39"/>
      <c r="X622" s="39"/>
      <c r="Y622" s="39"/>
      <c r="Z622" s="39"/>
      <c r="AA622" s="39"/>
      <c r="AB622" s="39"/>
    </row>
    <row r="623">
      <c r="A623" s="1"/>
      <c r="B623" s="36"/>
      <c r="C623" s="36"/>
      <c r="D623" s="36"/>
      <c r="E623" s="36"/>
      <c r="F623" s="36"/>
      <c r="G623" s="36"/>
      <c r="H623" s="37"/>
      <c r="I623" s="36"/>
      <c r="J623" s="38"/>
      <c r="K623" s="38"/>
      <c r="L623" s="39"/>
      <c r="M623" s="39"/>
      <c r="N623" s="39"/>
      <c r="O623" s="39"/>
      <c r="P623" s="39"/>
      <c r="Q623" s="39"/>
      <c r="R623" s="39"/>
      <c r="S623" s="39"/>
      <c r="T623" s="39"/>
      <c r="U623" s="39"/>
      <c r="V623" s="39"/>
      <c r="W623" s="39"/>
      <c r="X623" s="39"/>
      <c r="Y623" s="39"/>
      <c r="Z623" s="39"/>
      <c r="AA623" s="39"/>
      <c r="AB623" s="39"/>
    </row>
    <row r="624">
      <c r="A624" s="1"/>
      <c r="B624" s="36"/>
      <c r="C624" s="36"/>
      <c r="D624" s="36"/>
      <c r="E624" s="36"/>
      <c r="F624" s="36"/>
      <c r="G624" s="36"/>
      <c r="H624" s="37"/>
      <c r="I624" s="36"/>
      <c r="J624" s="38"/>
      <c r="K624" s="38"/>
      <c r="L624" s="39"/>
      <c r="M624" s="39"/>
      <c r="N624" s="39"/>
      <c r="O624" s="39"/>
      <c r="P624" s="39"/>
      <c r="Q624" s="39"/>
      <c r="R624" s="39"/>
      <c r="S624" s="39"/>
      <c r="T624" s="39"/>
      <c r="U624" s="39"/>
      <c r="V624" s="39"/>
      <c r="W624" s="39"/>
      <c r="X624" s="39"/>
      <c r="Y624" s="39"/>
      <c r="Z624" s="39"/>
      <c r="AA624" s="39"/>
      <c r="AB624" s="39"/>
    </row>
    <row r="625">
      <c r="A625" s="1"/>
      <c r="B625" s="36"/>
      <c r="C625" s="36"/>
      <c r="D625" s="36"/>
      <c r="E625" s="36"/>
      <c r="F625" s="36"/>
      <c r="G625" s="36"/>
      <c r="H625" s="37"/>
      <c r="I625" s="36"/>
      <c r="J625" s="38"/>
      <c r="K625" s="38"/>
      <c r="L625" s="39"/>
      <c r="M625" s="39"/>
      <c r="N625" s="39"/>
      <c r="O625" s="39"/>
      <c r="P625" s="39"/>
      <c r="Q625" s="39"/>
      <c r="R625" s="39"/>
      <c r="S625" s="39"/>
      <c r="T625" s="39"/>
      <c r="U625" s="39"/>
      <c r="V625" s="39"/>
      <c r="W625" s="39"/>
      <c r="X625" s="39"/>
      <c r="Y625" s="39"/>
      <c r="Z625" s="39"/>
      <c r="AA625" s="39"/>
      <c r="AB625" s="39"/>
    </row>
    <row r="626">
      <c r="A626" s="1"/>
      <c r="B626" s="36"/>
      <c r="C626" s="36"/>
      <c r="D626" s="36"/>
      <c r="E626" s="36"/>
      <c r="F626" s="36"/>
      <c r="G626" s="36"/>
      <c r="H626" s="37"/>
      <c r="I626" s="36"/>
      <c r="J626" s="38"/>
      <c r="K626" s="38"/>
      <c r="L626" s="39"/>
      <c r="M626" s="39"/>
      <c r="N626" s="39"/>
      <c r="O626" s="39"/>
      <c r="P626" s="39"/>
      <c r="Q626" s="39"/>
      <c r="R626" s="39"/>
      <c r="S626" s="39"/>
      <c r="T626" s="39"/>
      <c r="U626" s="39"/>
      <c r="V626" s="39"/>
      <c r="W626" s="39"/>
      <c r="X626" s="39"/>
      <c r="Y626" s="39"/>
      <c r="Z626" s="39"/>
      <c r="AA626" s="39"/>
      <c r="AB626" s="39"/>
    </row>
    <row r="627">
      <c r="A627" s="1"/>
      <c r="B627" s="36"/>
      <c r="C627" s="36"/>
      <c r="D627" s="36"/>
      <c r="E627" s="36"/>
      <c r="F627" s="36"/>
      <c r="G627" s="36"/>
      <c r="H627" s="37"/>
      <c r="I627" s="36"/>
      <c r="J627" s="38"/>
      <c r="K627" s="38"/>
      <c r="L627" s="39"/>
      <c r="M627" s="39"/>
      <c r="N627" s="39"/>
      <c r="O627" s="39"/>
      <c r="P627" s="39"/>
      <c r="Q627" s="39"/>
      <c r="R627" s="39"/>
      <c r="S627" s="39"/>
      <c r="T627" s="39"/>
      <c r="U627" s="39"/>
      <c r="V627" s="39"/>
      <c r="W627" s="39"/>
      <c r="X627" s="39"/>
      <c r="Y627" s="39"/>
      <c r="Z627" s="39"/>
      <c r="AA627" s="39"/>
      <c r="AB627" s="39"/>
    </row>
    <row r="628">
      <c r="A628" s="1"/>
      <c r="B628" s="36"/>
      <c r="C628" s="36"/>
      <c r="D628" s="36"/>
      <c r="E628" s="36"/>
      <c r="F628" s="36"/>
      <c r="G628" s="36"/>
      <c r="H628" s="37"/>
      <c r="I628" s="36"/>
      <c r="J628" s="38"/>
      <c r="K628" s="38"/>
      <c r="L628" s="39"/>
      <c r="M628" s="39"/>
      <c r="N628" s="39"/>
      <c r="O628" s="39"/>
      <c r="P628" s="39"/>
      <c r="Q628" s="39"/>
      <c r="R628" s="39"/>
      <c r="S628" s="39"/>
      <c r="T628" s="39"/>
      <c r="U628" s="39"/>
      <c r="V628" s="39"/>
      <c r="W628" s="39"/>
      <c r="X628" s="39"/>
      <c r="Y628" s="39"/>
      <c r="Z628" s="39"/>
      <c r="AA628" s="39"/>
      <c r="AB628" s="39"/>
    </row>
    <row r="629">
      <c r="A629" s="1"/>
      <c r="B629" s="36"/>
      <c r="C629" s="36"/>
      <c r="D629" s="36"/>
      <c r="E629" s="36"/>
      <c r="F629" s="36"/>
      <c r="G629" s="36"/>
      <c r="H629" s="37"/>
      <c r="I629" s="36"/>
      <c r="J629" s="38"/>
      <c r="K629" s="38"/>
      <c r="L629" s="39"/>
      <c r="M629" s="39"/>
      <c r="N629" s="39"/>
      <c r="O629" s="39"/>
      <c r="P629" s="39"/>
      <c r="Q629" s="39"/>
      <c r="R629" s="39"/>
      <c r="S629" s="39"/>
      <c r="T629" s="39"/>
      <c r="U629" s="39"/>
      <c r="V629" s="39"/>
      <c r="W629" s="39"/>
      <c r="X629" s="39"/>
      <c r="Y629" s="39"/>
      <c r="Z629" s="39"/>
      <c r="AA629" s="39"/>
      <c r="AB629" s="39"/>
    </row>
    <row r="630">
      <c r="A630" s="1"/>
      <c r="B630" s="36"/>
      <c r="C630" s="36"/>
      <c r="D630" s="36"/>
      <c r="E630" s="36"/>
      <c r="F630" s="36"/>
      <c r="G630" s="36"/>
      <c r="H630" s="37"/>
      <c r="I630" s="36"/>
      <c r="J630" s="38"/>
      <c r="K630" s="38"/>
      <c r="L630" s="39"/>
      <c r="M630" s="39"/>
      <c r="N630" s="39"/>
      <c r="O630" s="39"/>
      <c r="P630" s="39"/>
      <c r="Q630" s="39"/>
      <c r="R630" s="39"/>
      <c r="S630" s="39"/>
      <c r="T630" s="39"/>
      <c r="U630" s="39"/>
      <c r="V630" s="39"/>
      <c r="W630" s="39"/>
      <c r="X630" s="39"/>
      <c r="Y630" s="39"/>
      <c r="Z630" s="39"/>
      <c r="AA630" s="39"/>
      <c r="AB630" s="39"/>
    </row>
    <row r="631">
      <c r="A631" s="1"/>
      <c r="B631" s="36"/>
      <c r="C631" s="36"/>
      <c r="D631" s="36"/>
      <c r="E631" s="36"/>
      <c r="F631" s="36"/>
      <c r="G631" s="36"/>
      <c r="H631" s="37"/>
      <c r="I631" s="36"/>
      <c r="J631" s="38"/>
      <c r="K631" s="38"/>
      <c r="L631" s="39"/>
      <c r="M631" s="39"/>
      <c r="N631" s="39"/>
      <c r="O631" s="39"/>
      <c r="P631" s="39"/>
      <c r="Q631" s="39"/>
      <c r="R631" s="39"/>
      <c r="S631" s="39"/>
      <c r="T631" s="39"/>
      <c r="U631" s="39"/>
      <c r="V631" s="39"/>
      <c r="W631" s="39"/>
      <c r="X631" s="39"/>
      <c r="Y631" s="39"/>
      <c r="Z631" s="39"/>
      <c r="AA631" s="39"/>
      <c r="AB631" s="39"/>
    </row>
    <row r="632">
      <c r="A632" s="1"/>
      <c r="B632" s="36"/>
      <c r="C632" s="36"/>
      <c r="D632" s="36"/>
      <c r="E632" s="36"/>
      <c r="F632" s="36"/>
      <c r="G632" s="36"/>
      <c r="H632" s="37"/>
      <c r="I632" s="36"/>
      <c r="J632" s="38"/>
      <c r="K632" s="38"/>
      <c r="L632" s="39"/>
      <c r="M632" s="39"/>
      <c r="N632" s="39"/>
      <c r="O632" s="39"/>
      <c r="P632" s="39"/>
      <c r="Q632" s="39"/>
      <c r="R632" s="39"/>
      <c r="S632" s="39"/>
      <c r="T632" s="39"/>
      <c r="U632" s="39"/>
      <c r="V632" s="39"/>
      <c r="W632" s="39"/>
      <c r="X632" s="39"/>
      <c r="Y632" s="39"/>
      <c r="Z632" s="39"/>
      <c r="AA632" s="39"/>
      <c r="AB632" s="39"/>
    </row>
    <row r="633">
      <c r="A633" s="1"/>
      <c r="B633" s="36"/>
      <c r="C633" s="36"/>
      <c r="D633" s="36"/>
      <c r="E633" s="36"/>
      <c r="F633" s="36"/>
      <c r="G633" s="36"/>
      <c r="H633" s="37"/>
      <c r="I633" s="36"/>
      <c r="J633" s="38"/>
      <c r="K633" s="38"/>
      <c r="L633" s="39"/>
      <c r="M633" s="39"/>
      <c r="N633" s="39"/>
      <c r="O633" s="39"/>
      <c r="P633" s="39"/>
      <c r="Q633" s="39"/>
      <c r="R633" s="39"/>
      <c r="S633" s="39"/>
      <c r="T633" s="39"/>
      <c r="U633" s="39"/>
      <c r="V633" s="39"/>
      <c r="W633" s="39"/>
      <c r="X633" s="39"/>
      <c r="Y633" s="39"/>
      <c r="Z633" s="39"/>
      <c r="AA633" s="39"/>
      <c r="AB633" s="39"/>
    </row>
    <row r="634">
      <c r="A634" s="1"/>
      <c r="B634" s="36"/>
      <c r="C634" s="36"/>
      <c r="D634" s="36"/>
      <c r="E634" s="36"/>
      <c r="F634" s="36"/>
      <c r="G634" s="36"/>
      <c r="H634" s="37"/>
      <c r="I634" s="36"/>
      <c r="J634" s="38"/>
      <c r="K634" s="38"/>
      <c r="L634" s="39"/>
      <c r="M634" s="39"/>
      <c r="N634" s="39"/>
      <c r="O634" s="39"/>
      <c r="P634" s="39"/>
      <c r="Q634" s="39"/>
      <c r="R634" s="39"/>
      <c r="S634" s="39"/>
      <c r="T634" s="39"/>
      <c r="U634" s="39"/>
      <c r="V634" s="39"/>
      <c r="W634" s="39"/>
      <c r="X634" s="39"/>
      <c r="Y634" s="39"/>
      <c r="Z634" s="39"/>
      <c r="AA634" s="39"/>
      <c r="AB634" s="39"/>
    </row>
    <row r="635">
      <c r="A635" s="1"/>
      <c r="B635" s="36"/>
      <c r="C635" s="36"/>
      <c r="D635" s="36"/>
      <c r="E635" s="36"/>
      <c r="F635" s="36"/>
      <c r="G635" s="36"/>
      <c r="H635" s="37"/>
      <c r="I635" s="36"/>
      <c r="J635" s="38"/>
      <c r="K635" s="38"/>
      <c r="L635" s="39"/>
      <c r="M635" s="39"/>
      <c r="N635" s="39"/>
      <c r="O635" s="39"/>
      <c r="P635" s="39"/>
      <c r="Q635" s="39"/>
      <c r="R635" s="39"/>
      <c r="S635" s="39"/>
      <c r="T635" s="39"/>
      <c r="U635" s="39"/>
      <c r="V635" s="39"/>
      <c r="W635" s="39"/>
      <c r="X635" s="39"/>
      <c r="Y635" s="39"/>
      <c r="Z635" s="39"/>
      <c r="AA635" s="39"/>
      <c r="AB635" s="39"/>
    </row>
    <row r="636">
      <c r="A636" s="1"/>
      <c r="B636" s="36"/>
      <c r="C636" s="36"/>
      <c r="D636" s="36"/>
      <c r="E636" s="36"/>
      <c r="F636" s="36"/>
      <c r="G636" s="36"/>
      <c r="H636" s="37"/>
      <c r="I636" s="36"/>
      <c r="J636" s="38"/>
      <c r="K636" s="38"/>
      <c r="L636" s="39"/>
      <c r="M636" s="39"/>
      <c r="N636" s="39"/>
      <c r="O636" s="39"/>
      <c r="P636" s="39"/>
      <c r="Q636" s="39"/>
      <c r="R636" s="39"/>
      <c r="S636" s="39"/>
      <c r="T636" s="39"/>
      <c r="U636" s="39"/>
      <c r="V636" s="39"/>
      <c r="W636" s="39"/>
      <c r="X636" s="39"/>
      <c r="Y636" s="39"/>
      <c r="Z636" s="39"/>
      <c r="AA636" s="39"/>
      <c r="AB636" s="39"/>
    </row>
    <row r="637">
      <c r="A637" s="1"/>
      <c r="B637" s="36"/>
      <c r="C637" s="36"/>
      <c r="D637" s="36"/>
      <c r="E637" s="36"/>
      <c r="F637" s="36"/>
      <c r="G637" s="36"/>
      <c r="H637" s="37"/>
      <c r="I637" s="36"/>
      <c r="J637" s="38"/>
      <c r="K637" s="38"/>
      <c r="L637" s="39"/>
      <c r="M637" s="39"/>
      <c r="N637" s="39"/>
      <c r="O637" s="39"/>
      <c r="P637" s="39"/>
      <c r="Q637" s="39"/>
      <c r="R637" s="39"/>
      <c r="S637" s="39"/>
      <c r="T637" s="39"/>
      <c r="U637" s="39"/>
      <c r="V637" s="39"/>
      <c r="W637" s="39"/>
      <c r="X637" s="39"/>
      <c r="Y637" s="39"/>
      <c r="Z637" s="39"/>
      <c r="AA637" s="39"/>
      <c r="AB637" s="39"/>
    </row>
    <row r="638">
      <c r="A638" s="1"/>
      <c r="B638" s="36"/>
      <c r="C638" s="36"/>
      <c r="D638" s="36"/>
      <c r="E638" s="36"/>
      <c r="F638" s="36"/>
      <c r="G638" s="36"/>
      <c r="H638" s="37"/>
      <c r="I638" s="36"/>
      <c r="J638" s="38"/>
      <c r="K638" s="38"/>
      <c r="L638" s="39"/>
      <c r="M638" s="39"/>
      <c r="N638" s="39"/>
      <c r="O638" s="39"/>
      <c r="P638" s="39"/>
      <c r="Q638" s="39"/>
      <c r="R638" s="39"/>
      <c r="S638" s="39"/>
      <c r="T638" s="39"/>
      <c r="U638" s="39"/>
      <c r="V638" s="39"/>
      <c r="W638" s="39"/>
      <c r="X638" s="39"/>
      <c r="Y638" s="39"/>
      <c r="Z638" s="39"/>
      <c r="AA638" s="39"/>
      <c r="AB638" s="39"/>
    </row>
    <row r="639">
      <c r="A639" s="1"/>
      <c r="B639" s="36"/>
      <c r="C639" s="36"/>
      <c r="D639" s="36"/>
      <c r="E639" s="36"/>
      <c r="F639" s="36"/>
      <c r="G639" s="36"/>
      <c r="H639" s="37"/>
      <c r="I639" s="36"/>
      <c r="J639" s="38"/>
      <c r="K639" s="38"/>
      <c r="L639" s="39"/>
      <c r="M639" s="39"/>
      <c r="N639" s="39"/>
      <c r="O639" s="39"/>
      <c r="P639" s="39"/>
      <c r="Q639" s="39"/>
      <c r="R639" s="39"/>
      <c r="S639" s="39"/>
      <c r="T639" s="39"/>
      <c r="U639" s="39"/>
      <c r="V639" s="39"/>
      <c r="W639" s="39"/>
      <c r="X639" s="39"/>
      <c r="Y639" s="39"/>
      <c r="Z639" s="39"/>
      <c r="AA639" s="39"/>
      <c r="AB639" s="39"/>
    </row>
    <row r="640">
      <c r="A640" s="1"/>
      <c r="B640" s="36"/>
      <c r="C640" s="36"/>
      <c r="D640" s="36"/>
      <c r="E640" s="36"/>
      <c r="F640" s="36"/>
      <c r="G640" s="36"/>
      <c r="H640" s="37"/>
      <c r="I640" s="36"/>
      <c r="J640" s="38"/>
      <c r="K640" s="38"/>
      <c r="L640" s="39"/>
      <c r="M640" s="39"/>
      <c r="N640" s="39"/>
      <c r="O640" s="39"/>
      <c r="P640" s="39"/>
      <c r="Q640" s="39"/>
      <c r="R640" s="39"/>
      <c r="S640" s="39"/>
      <c r="T640" s="39"/>
      <c r="U640" s="39"/>
      <c r="V640" s="39"/>
      <c r="W640" s="39"/>
      <c r="X640" s="39"/>
      <c r="Y640" s="39"/>
      <c r="Z640" s="39"/>
      <c r="AA640" s="39"/>
      <c r="AB640" s="39"/>
    </row>
    <row r="641">
      <c r="A641" s="1"/>
      <c r="B641" s="36"/>
      <c r="C641" s="36"/>
      <c r="D641" s="36"/>
      <c r="E641" s="36"/>
      <c r="F641" s="36"/>
      <c r="G641" s="36"/>
      <c r="H641" s="37"/>
      <c r="I641" s="36"/>
      <c r="J641" s="38"/>
      <c r="K641" s="38"/>
      <c r="L641" s="39"/>
      <c r="M641" s="39"/>
      <c r="N641" s="39"/>
      <c r="O641" s="39"/>
      <c r="P641" s="39"/>
      <c r="Q641" s="39"/>
      <c r="R641" s="39"/>
      <c r="S641" s="39"/>
      <c r="T641" s="39"/>
      <c r="U641" s="39"/>
      <c r="V641" s="39"/>
      <c r="W641" s="39"/>
      <c r="X641" s="39"/>
      <c r="Y641" s="39"/>
      <c r="Z641" s="39"/>
      <c r="AA641" s="39"/>
      <c r="AB641" s="39"/>
    </row>
    <row r="642">
      <c r="A642" s="1"/>
      <c r="B642" s="36"/>
      <c r="C642" s="36"/>
      <c r="D642" s="36"/>
      <c r="E642" s="36"/>
      <c r="F642" s="36"/>
      <c r="G642" s="36"/>
      <c r="H642" s="37"/>
      <c r="I642" s="36"/>
      <c r="J642" s="38"/>
      <c r="K642" s="38"/>
      <c r="L642" s="39"/>
      <c r="M642" s="39"/>
      <c r="N642" s="39"/>
      <c r="O642" s="39"/>
      <c r="P642" s="39"/>
      <c r="Q642" s="39"/>
      <c r="R642" s="39"/>
      <c r="S642" s="39"/>
      <c r="T642" s="39"/>
      <c r="U642" s="39"/>
      <c r="V642" s="39"/>
      <c r="W642" s="39"/>
      <c r="X642" s="39"/>
      <c r="Y642" s="39"/>
      <c r="Z642" s="39"/>
      <c r="AA642" s="39"/>
      <c r="AB642" s="39"/>
    </row>
    <row r="643">
      <c r="A643" s="1"/>
      <c r="B643" s="36"/>
      <c r="C643" s="36"/>
      <c r="D643" s="36"/>
      <c r="E643" s="36"/>
      <c r="F643" s="36"/>
      <c r="G643" s="36"/>
      <c r="H643" s="37"/>
      <c r="I643" s="36"/>
      <c r="J643" s="38"/>
      <c r="K643" s="38"/>
      <c r="L643" s="39"/>
      <c r="M643" s="39"/>
      <c r="N643" s="39"/>
      <c r="O643" s="39"/>
      <c r="P643" s="39"/>
      <c r="Q643" s="39"/>
      <c r="R643" s="39"/>
      <c r="S643" s="39"/>
      <c r="T643" s="39"/>
      <c r="U643" s="39"/>
      <c r="V643" s="39"/>
      <c r="W643" s="39"/>
      <c r="X643" s="39"/>
      <c r="Y643" s="39"/>
      <c r="Z643" s="39"/>
      <c r="AA643" s="39"/>
      <c r="AB643" s="39"/>
    </row>
    <row r="644">
      <c r="A644" s="1"/>
      <c r="B644" s="36"/>
      <c r="C644" s="36"/>
      <c r="D644" s="36"/>
      <c r="E644" s="36"/>
      <c r="F644" s="36"/>
      <c r="G644" s="36"/>
      <c r="H644" s="37"/>
      <c r="I644" s="36"/>
      <c r="J644" s="38"/>
      <c r="K644" s="38"/>
      <c r="L644" s="39"/>
      <c r="M644" s="39"/>
      <c r="N644" s="39"/>
      <c r="O644" s="39"/>
      <c r="P644" s="39"/>
      <c r="Q644" s="39"/>
      <c r="R644" s="39"/>
      <c r="S644" s="39"/>
      <c r="T644" s="39"/>
      <c r="U644" s="39"/>
      <c r="V644" s="39"/>
      <c r="W644" s="39"/>
      <c r="X644" s="39"/>
      <c r="Y644" s="39"/>
      <c r="Z644" s="39"/>
      <c r="AA644" s="39"/>
      <c r="AB644" s="39"/>
    </row>
    <row r="645">
      <c r="A645" s="1"/>
      <c r="B645" s="36"/>
      <c r="C645" s="36"/>
      <c r="D645" s="36"/>
      <c r="E645" s="36"/>
      <c r="F645" s="36"/>
      <c r="G645" s="36"/>
      <c r="H645" s="37"/>
      <c r="I645" s="36"/>
      <c r="J645" s="38"/>
      <c r="K645" s="38"/>
      <c r="L645" s="39"/>
      <c r="M645" s="39"/>
      <c r="N645" s="39"/>
      <c r="O645" s="39"/>
      <c r="P645" s="39"/>
      <c r="Q645" s="39"/>
      <c r="R645" s="39"/>
      <c r="S645" s="39"/>
      <c r="T645" s="39"/>
      <c r="U645" s="39"/>
      <c r="V645" s="39"/>
      <c r="W645" s="39"/>
      <c r="X645" s="39"/>
      <c r="Y645" s="39"/>
      <c r="Z645" s="39"/>
      <c r="AA645" s="39"/>
      <c r="AB645" s="39"/>
    </row>
    <row r="646">
      <c r="A646" s="1"/>
      <c r="B646" s="36"/>
      <c r="C646" s="36"/>
      <c r="D646" s="36"/>
      <c r="E646" s="36"/>
      <c r="F646" s="36"/>
      <c r="G646" s="36"/>
      <c r="H646" s="37"/>
      <c r="I646" s="36"/>
      <c r="J646" s="38"/>
      <c r="K646" s="38"/>
      <c r="L646" s="39"/>
      <c r="M646" s="39"/>
      <c r="N646" s="39"/>
      <c r="O646" s="39"/>
      <c r="P646" s="39"/>
      <c r="Q646" s="39"/>
      <c r="R646" s="39"/>
      <c r="S646" s="39"/>
      <c r="T646" s="39"/>
      <c r="U646" s="39"/>
      <c r="V646" s="39"/>
      <c r="W646" s="39"/>
      <c r="X646" s="39"/>
      <c r="Y646" s="39"/>
      <c r="Z646" s="39"/>
      <c r="AA646" s="39"/>
      <c r="AB646" s="39"/>
    </row>
    <row r="647">
      <c r="A647" s="1"/>
      <c r="B647" s="36"/>
      <c r="C647" s="36"/>
      <c r="D647" s="36"/>
      <c r="E647" s="36"/>
      <c r="F647" s="36"/>
      <c r="G647" s="36"/>
      <c r="H647" s="37"/>
      <c r="I647" s="36"/>
      <c r="J647" s="38"/>
      <c r="K647" s="38"/>
      <c r="L647" s="39"/>
      <c r="M647" s="39"/>
      <c r="N647" s="39"/>
      <c r="O647" s="39"/>
      <c r="P647" s="39"/>
      <c r="Q647" s="39"/>
      <c r="R647" s="39"/>
      <c r="S647" s="39"/>
      <c r="T647" s="39"/>
      <c r="U647" s="39"/>
      <c r="V647" s="39"/>
      <c r="W647" s="39"/>
      <c r="X647" s="39"/>
      <c r="Y647" s="39"/>
      <c r="Z647" s="39"/>
      <c r="AA647" s="39"/>
      <c r="AB647" s="39"/>
    </row>
    <row r="648">
      <c r="A648" s="1"/>
      <c r="B648" s="36"/>
      <c r="C648" s="36"/>
      <c r="D648" s="36"/>
      <c r="E648" s="36"/>
      <c r="F648" s="36"/>
      <c r="G648" s="36"/>
      <c r="H648" s="37"/>
      <c r="I648" s="36"/>
      <c r="J648" s="38"/>
      <c r="K648" s="38"/>
      <c r="L648" s="39"/>
      <c r="M648" s="39"/>
      <c r="N648" s="39"/>
      <c r="O648" s="39"/>
      <c r="P648" s="39"/>
      <c r="Q648" s="39"/>
      <c r="R648" s="39"/>
      <c r="S648" s="39"/>
      <c r="T648" s="39"/>
      <c r="U648" s="39"/>
      <c r="V648" s="39"/>
      <c r="W648" s="39"/>
      <c r="X648" s="39"/>
      <c r="Y648" s="39"/>
      <c r="Z648" s="39"/>
      <c r="AA648" s="39"/>
      <c r="AB648" s="39"/>
    </row>
    <row r="649">
      <c r="A649" s="1"/>
      <c r="B649" s="36"/>
      <c r="C649" s="36"/>
      <c r="D649" s="36"/>
      <c r="E649" s="36"/>
      <c r="F649" s="36"/>
      <c r="G649" s="36"/>
      <c r="H649" s="37"/>
      <c r="I649" s="36"/>
      <c r="J649" s="38"/>
      <c r="K649" s="38"/>
      <c r="L649" s="39"/>
      <c r="M649" s="39"/>
      <c r="N649" s="39"/>
      <c r="O649" s="39"/>
      <c r="P649" s="39"/>
      <c r="Q649" s="39"/>
      <c r="R649" s="39"/>
      <c r="S649" s="39"/>
      <c r="T649" s="39"/>
      <c r="U649" s="39"/>
      <c r="V649" s="39"/>
      <c r="W649" s="39"/>
      <c r="X649" s="39"/>
      <c r="Y649" s="39"/>
      <c r="Z649" s="39"/>
      <c r="AA649" s="39"/>
      <c r="AB649" s="39"/>
    </row>
    <row r="650">
      <c r="A650" s="1"/>
      <c r="B650" s="36"/>
      <c r="C650" s="36"/>
      <c r="D650" s="36"/>
      <c r="E650" s="36"/>
      <c r="F650" s="36"/>
      <c r="G650" s="36"/>
      <c r="H650" s="37"/>
      <c r="I650" s="36"/>
      <c r="J650" s="38"/>
      <c r="K650" s="38"/>
      <c r="L650" s="39"/>
      <c r="M650" s="39"/>
      <c r="N650" s="39"/>
      <c r="O650" s="39"/>
      <c r="P650" s="39"/>
      <c r="Q650" s="39"/>
      <c r="R650" s="39"/>
      <c r="S650" s="39"/>
      <c r="T650" s="39"/>
      <c r="U650" s="39"/>
      <c r="V650" s="39"/>
      <c r="W650" s="39"/>
      <c r="X650" s="39"/>
      <c r="Y650" s="39"/>
      <c r="Z650" s="39"/>
      <c r="AA650" s="39"/>
      <c r="AB650" s="39"/>
    </row>
    <row r="651">
      <c r="A651" s="1"/>
      <c r="B651" s="36"/>
      <c r="C651" s="36"/>
      <c r="D651" s="36"/>
      <c r="E651" s="36"/>
      <c r="F651" s="36"/>
      <c r="G651" s="36"/>
      <c r="H651" s="37"/>
      <c r="I651" s="36"/>
      <c r="J651" s="38"/>
      <c r="K651" s="38"/>
      <c r="L651" s="39"/>
      <c r="M651" s="39"/>
      <c r="N651" s="39"/>
      <c r="O651" s="39"/>
      <c r="P651" s="39"/>
      <c r="Q651" s="39"/>
      <c r="R651" s="39"/>
      <c r="S651" s="39"/>
      <c r="T651" s="39"/>
      <c r="U651" s="39"/>
      <c r="V651" s="39"/>
      <c r="W651" s="39"/>
      <c r="X651" s="39"/>
      <c r="Y651" s="39"/>
      <c r="Z651" s="39"/>
      <c r="AA651" s="39"/>
      <c r="AB651" s="39"/>
    </row>
    <row r="652">
      <c r="A652" s="1"/>
      <c r="B652" s="36"/>
      <c r="C652" s="36"/>
      <c r="D652" s="36"/>
      <c r="E652" s="36"/>
      <c r="F652" s="36"/>
      <c r="G652" s="36"/>
      <c r="H652" s="37"/>
      <c r="I652" s="36"/>
      <c r="J652" s="38"/>
      <c r="K652" s="38"/>
      <c r="L652" s="39"/>
      <c r="M652" s="39"/>
      <c r="N652" s="39"/>
      <c r="O652" s="39"/>
      <c r="P652" s="39"/>
      <c r="Q652" s="39"/>
      <c r="R652" s="39"/>
      <c r="S652" s="39"/>
      <c r="T652" s="39"/>
      <c r="U652" s="39"/>
      <c r="V652" s="39"/>
      <c r="W652" s="39"/>
      <c r="X652" s="39"/>
      <c r="Y652" s="39"/>
      <c r="Z652" s="39"/>
      <c r="AA652" s="39"/>
      <c r="AB652" s="39"/>
    </row>
    <row r="653">
      <c r="A653" s="1"/>
      <c r="B653" s="36"/>
      <c r="C653" s="36"/>
      <c r="D653" s="36"/>
      <c r="E653" s="36"/>
      <c r="F653" s="36"/>
      <c r="G653" s="36"/>
      <c r="H653" s="37"/>
      <c r="I653" s="36"/>
      <c r="J653" s="38"/>
      <c r="K653" s="38"/>
      <c r="L653" s="39"/>
      <c r="M653" s="39"/>
      <c r="N653" s="39"/>
      <c r="O653" s="39"/>
      <c r="P653" s="39"/>
      <c r="Q653" s="39"/>
      <c r="R653" s="39"/>
      <c r="S653" s="39"/>
      <c r="T653" s="39"/>
      <c r="U653" s="39"/>
      <c r="V653" s="39"/>
      <c r="W653" s="39"/>
      <c r="X653" s="39"/>
      <c r="Y653" s="39"/>
      <c r="Z653" s="39"/>
      <c r="AA653" s="39"/>
      <c r="AB653" s="39"/>
    </row>
    <row r="654">
      <c r="A654" s="1"/>
      <c r="B654" s="36"/>
      <c r="C654" s="36"/>
      <c r="D654" s="36"/>
      <c r="E654" s="36"/>
      <c r="F654" s="36"/>
      <c r="G654" s="36"/>
      <c r="H654" s="37"/>
      <c r="I654" s="36"/>
      <c r="J654" s="38"/>
      <c r="K654" s="38"/>
      <c r="L654" s="39"/>
      <c r="M654" s="39"/>
      <c r="N654" s="39"/>
      <c r="O654" s="39"/>
      <c r="P654" s="39"/>
      <c r="Q654" s="39"/>
      <c r="R654" s="39"/>
      <c r="S654" s="39"/>
      <c r="T654" s="39"/>
      <c r="U654" s="39"/>
      <c r="V654" s="39"/>
      <c r="W654" s="39"/>
      <c r="X654" s="39"/>
      <c r="Y654" s="39"/>
      <c r="Z654" s="39"/>
      <c r="AA654" s="39"/>
      <c r="AB654" s="39"/>
    </row>
    <row r="655">
      <c r="A655" s="1"/>
      <c r="B655" s="36"/>
      <c r="C655" s="36"/>
      <c r="D655" s="36"/>
      <c r="E655" s="36"/>
      <c r="F655" s="36"/>
      <c r="G655" s="36"/>
      <c r="H655" s="37"/>
      <c r="I655" s="36"/>
      <c r="J655" s="38"/>
      <c r="K655" s="38"/>
      <c r="L655" s="39"/>
      <c r="M655" s="39"/>
      <c r="N655" s="39"/>
      <c r="O655" s="39"/>
      <c r="P655" s="39"/>
      <c r="Q655" s="39"/>
      <c r="R655" s="39"/>
      <c r="S655" s="39"/>
      <c r="T655" s="39"/>
      <c r="U655" s="39"/>
      <c r="V655" s="39"/>
      <c r="W655" s="39"/>
      <c r="X655" s="39"/>
      <c r="Y655" s="39"/>
      <c r="Z655" s="39"/>
      <c r="AA655" s="39"/>
      <c r="AB655" s="39"/>
    </row>
    <row r="656">
      <c r="A656" s="1"/>
      <c r="B656" s="36"/>
      <c r="C656" s="36"/>
      <c r="D656" s="36"/>
      <c r="E656" s="36"/>
      <c r="F656" s="36"/>
      <c r="G656" s="36"/>
      <c r="H656" s="37"/>
      <c r="I656" s="36"/>
      <c r="J656" s="38"/>
      <c r="K656" s="38"/>
      <c r="L656" s="39"/>
      <c r="M656" s="39"/>
      <c r="N656" s="39"/>
      <c r="O656" s="39"/>
      <c r="P656" s="39"/>
      <c r="Q656" s="39"/>
      <c r="R656" s="39"/>
      <c r="S656" s="39"/>
      <c r="T656" s="39"/>
      <c r="U656" s="39"/>
      <c r="V656" s="39"/>
      <c r="W656" s="39"/>
      <c r="X656" s="39"/>
      <c r="Y656" s="39"/>
      <c r="Z656" s="39"/>
      <c r="AA656" s="39"/>
      <c r="AB656" s="39"/>
    </row>
    <row r="657">
      <c r="A657" s="1"/>
      <c r="B657" s="36"/>
      <c r="C657" s="36"/>
      <c r="D657" s="36"/>
      <c r="E657" s="36"/>
      <c r="F657" s="36"/>
      <c r="G657" s="36"/>
      <c r="H657" s="37"/>
      <c r="I657" s="36"/>
      <c r="J657" s="38"/>
      <c r="K657" s="38"/>
      <c r="L657" s="39"/>
      <c r="M657" s="39"/>
      <c r="N657" s="39"/>
      <c r="O657" s="39"/>
      <c r="P657" s="39"/>
      <c r="Q657" s="39"/>
      <c r="R657" s="39"/>
      <c r="S657" s="39"/>
      <c r="T657" s="39"/>
      <c r="U657" s="39"/>
      <c r="V657" s="39"/>
      <c r="W657" s="39"/>
      <c r="X657" s="39"/>
      <c r="Y657" s="39"/>
      <c r="Z657" s="39"/>
      <c r="AA657" s="39"/>
      <c r="AB657" s="39"/>
    </row>
    <row r="658">
      <c r="A658" s="1"/>
      <c r="B658" s="36"/>
      <c r="C658" s="36"/>
      <c r="D658" s="36"/>
      <c r="E658" s="36"/>
      <c r="F658" s="36"/>
      <c r="G658" s="36"/>
      <c r="H658" s="37"/>
      <c r="I658" s="36"/>
      <c r="J658" s="38"/>
      <c r="K658" s="38"/>
      <c r="L658" s="39"/>
      <c r="M658" s="39"/>
      <c r="N658" s="39"/>
      <c r="O658" s="39"/>
      <c r="P658" s="39"/>
      <c r="Q658" s="39"/>
      <c r="R658" s="39"/>
      <c r="S658" s="39"/>
      <c r="T658" s="39"/>
      <c r="U658" s="39"/>
      <c r="V658" s="39"/>
      <c r="W658" s="39"/>
      <c r="X658" s="39"/>
      <c r="Y658" s="39"/>
      <c r="Z658" s="39"/>
      <c r="AA658" s="39"/>
      <c r="AB658" s="39"/>
    </row>
    <row r="659">
      <c r="A659" s="1"/>
      <c r="B659" s="36"/>
      <c r="C659" s="36"/>
      <c r="D659" s="36"/>
      <c r="E659" s="36"/>
      <c r="F659" s="36"/>
      <c r="G659" s="36"/>
      <c r="H659" s="37"/>
      <c r="I659" s="36"/>
      <c r="J659" s="38"/>
      <c r="K659" s="38"/>
      <c r="L659" s="39"/>
      <c r="M659" s="39"/>
      <c r="N659" s="39"/>
      <c r="O659" s="39"/>
      <c r="P659" s="39"/>
      <c r="Q659" s="39"/>
      <c r="R659" s="39"/>
      <c r="S659" s="39"/>
      <c r="T659" s="39"/>
      <c r="U659" s="39"/>
      <c r="V659" s="39"/>
      <c r="W659" s="39"/>
      <c r="X659" s="39"/>
      <c r="Y659" s="39"/>
      <c r="Z659" s="39"/>
      <c r="AA659" s="39"/>
      <c r="AB659" s="39"/>
    </row>
    <row r="660">
      <c r="A660" s="1"/>
      <c r="B660" s="36"/>
      <c r="C660" s="36"/>
      <c r="D660" s="36"/>
      <c r="E660" s="36"/>
      <c r="F660" s="36"/>
      <c r="G660" s="36"/>
      <c r="H660" s="37"/>
      <c r="I660" s="36"/>
      <c r="J660" s="38"/>
      <c r="K660" s="38"/>
      <c r="L660" s="39"/>
      <c r="M660" s="39"/>
      <c r="N660" s="39"/>
      <c r="O660" s="39"/>
      <c r="P660" s="39"/>
      <c r="Q660" s="39"/>
      <c r="R660" s="39"/>
      <c r="S660" s="39"/>
      <c r="T660" s="39"/>
      <c r="U660" s="39"/>
      <c r="V660" s="39"/>
      <c r="W660" s="39"/>
      <c r="X660" s="39"/>
      <c r="Y660" s="39"/>
      <c r="Z660" s="39"/>
      <c r="AA660" s="39"/>
      <c r="AB660" s="39"/>
    </row>
    <row r="661">
      <c r="A661" s="1"/>
      <c r="B661" s="36"/>
      <c r="C661" s="36"/>
      <c r="D661" s="36"/>
      <c r="E661" s="36"/>
      <c r="F661" s="36"/>
      <c r="G661" s="36"/>
      <c r="H661" s="37"/>
      <c r="I661" s="36"/>
      <c r="J661" s="38"/>
      <c r="K661" s="38"/>
      <c r="L661" s="39"/>
      <c r="M661" s="39"/>
      <c r="N661" s="39"/>
      <c r="O661" s="39"/>
      <c r="P661" s="39"/>
      <c r="Q661" s="39"/>
      <c r="R661" s="39"/>
      <c r="S661" s="39"/>
      <c r="T661" s="39"/>
      <c r="U661" s="39"/>
      <c r="V661" s="39"/>
      <c r="W661" s="39"/>
      <c r="X661" s="39"/>
      <c r="Y661" s="39"/>
      <c r="Z661" s="39"/>
      <c r="AA661" s="39"/>
      <c r="AB661" s="39"/>
    </row>
    <row r="662">
      <c r="A662" s="1"/>
      <c r="B662" s="36"/>
      <c r="C662" s="36"/>
      <c r="D662" s="36"/>
      <c r="E662" s="36"/>
      <c r="F662" s="36"/>
      <c r="G662" s="36"/>
      <c r="H662" s="37"/>
      <c r="I662" s="36"/>
      <c r="J662" s="38"/>
      <c r="K662" s="38"/>
      <c r="L662" s="39"/>
      <c r="M662" s="39"/>
      <c r="N662" s="39"/>
      <c r="O662" s="39"/>
      <c r="P662" s="39"/>
      <c r="Q662" s="39"/>
      <c r="R662" s="39"/>
      <c r="S662" s="39"/>
      <c r="T662" s="39"/>
      <c r="U662" s="39"/>
      <c r="V662" s="39"/>
      <c r="W662" s="39"/>
      <c r="X662" s="39"/>
      <c r="Y662" s="39"/>
      <c r="Z662" s="39"/>
      <c r="AA662" s="39"/>
      <c r="AB662" s="39"/>
    </row>
    <row r="663">
      <c r="A663" s="1"/>
      <c r="B663" s="36"/>
      <c r="C663" s="36"/>
      <c r="D663" s="36"/>
      <c r="E663" s="36"/>
      <c r="F663" s="36"/>
      <c r="G663" s="36"/>
      <c r="H663" s="37"/>
      <c r="I663" s="36"/>
      <c r="J663" s="38"/>
      <c r="K663" s="38"/>
      <c r="L663" s="39"/>
      <c r="M663" s="39"/>
      <c r="N663" s="39"/>
      <c r="O663" s="39"/>
      <c r="P663" s="39"/>
      <c r="Q663" s="39"/>
      <c r="R663" s="39"/>
      <c r="S663" s="39"/>
      <c r="T663" s="39"/>
      <c r="U663" s="39"/>
      <c r="V663" s="39"/>
      <c r="W663" s="39"/>
      <c r="X663" s="39"/>
      <c r="Y663" s="39"/>
      <c r="Z663" s="39"/>
      <c r="AA663" s="39"/>
      <c r="AB663" s="39"/>
    </row>
    <row r="664">
      <c r="A664" s="1"/>
      <c r="B664" s="36"/>
      <c r="C664" s="36"/>
      <c r="D664" s="36"/>
      <c r="E664" s="36"/>
      <c r="F664" s="36"/>
      <c r="G664" s="36"/>
      <c r="H664" s="37"/>
      <c r="I664" s="36"/>
      <c r="J664" s="38"/>
      <c r="K664" s="38"/>
      <c r="L664" s="39"/>
      <c r="M664" s="39"/>
      <c r="N664" s="39"/>
      <c r="O664" s="39"/>
      <c r="P664" s="39"/>
      <c r="Q664" s="39"/>
      <c r="R664" s="39"/>
      <c r="S664" s="39"/>
      <c r="T664" s="39"/>
      <c r="U664" s="39"/>
      <c r="V664" s="39"/>
      <c r="W664" s="39"/>
      <c r="X664" s="39"/>
      <c r="Y664" s="39"/>
      <c r="Z664" s="39"/>
      <c r="AA664" s="39"/>
      <c r="AB664" s="39"/>
    </row>
    <row r="665">
      <c r="A665" s="1"/>
      <c r="B665" s="36"/>
      <c r="C665" s="36"/>
      <c r="D665" s="36"/>
      <c r="E665" s="36"/>
      <c r="F665" s="36"/>
      <c r="G665" s="36"/>
      <c r="H665" s="37"/>
      <c r="I665" s="36"/>
      <c r="J665" s="38"/>
      <c r="K665" s="38"/>
      <c r="L665" s="39"/>
      <c r="M665" s="39"/>
      <c r="N665" s="39"/>
      <c r="O665" s="39"/>
      <c r="P665" s="39"/>
      <c r="Q665" s="39"/>
      <c r="R665" s="39"/>
      <c r="S665" s="39"/>
      <c r="T665" s="39"/>
      <c r="U665" s="39"/>
      <c r="V665" s="39"/>
      <c r="W665" s="39"/>
      <c r="X665" s="39"/>
      <c r="Y665" s="39"/>
      <c r="Z665" s="39"/>
      <c r="AA665" s="39"/>
      <c r="AB665" s="39"/>
    </row>
    <row r="666">
      <c r="A666" s="1"/>
      <c r="B666" s="36"/>
      <c r="C666" s="36"/>
      <c r="D666" s="36"/>
      <c r="E666" s="36"/>
      <c r="F666" s="36"/>
      <c r="G666" s="36"/>
      <c r="H666" s="37"/>
      <c r="I666" s="36"/>
      <c r="J666" s="38"/>
      <c r="K666" s="38"/>
      <c r="L666" s="39"/>
      <c r="M666" s="39"/>
      <c r="N666" s="39"/>
      <c r="O666" s="39"/>
      <c r="P666" s="39"/>
      <c r="Q666" s="39"/>
      <c r="R666" s="39"/>
      <c r="S666" s="39"/>
      <c r="T666" s="39"/>
      <c r="U666" s="39"/>
      <c r="V666" s="39"/>
      <c r="W666" s="39"/>
      <c r="X666" s="39"/>
      <c r="Y666" s="39"/>
      <c r="Z666" s="39"/>
      <c r="AA666" s="39"/>
      <c r="AB666" s="39"/>
    </row>
    <row r="667">
      <c r="A667" s="1"/>
      <c r="B667" s="36"/>
      <c r="C667" s="36"/>
      <c r="D667" s="36"/>
      <c r="E667" s="36"/>
      <c r="F667" s="36"/>
      <c r="G667" s="36"/>
      <c r="H667" s="37"/>
      <c r="I667" s="36"/>
      <c r="J667" s="38"/>
      <c r="K667" s="38"/>
      <c r="L667" s="39"/>
      <c r="M667" s="39"/>
      <c r="N667" s="39"/>
      <c r="O667" s="39"/>
      <c r="P667" s="39"/>
      <c r="Q667" s="39"/>
      <c r="R667" s="39"/>
      <c r="S667" s="39"/>
      <c r="T667" s="39"/>
      <c r="U667" s="39"/>
      <c r="V667" s="39"/>
      <c r="W667" s="39"/>
      <c r="X667" s="39"/>
      <c r="Y667" s="39"/>
      <c r="Z667" s="39"/>
      <c r="AA667" s="39"/>
      <c r="AB667" s="39"/>
    </row>
    <row r="668">
      <c r="A668" s="1"/>
      <c r="B668" s="36"/>
      <c r="C668" s="36"/>
      <c r="D668" s="36"/>
      <c r="E668" s="36"/>
      <c r="F668" s="36"/>
      <c r="G668" s="36"/>
      <c r="H668" s="37"/>
      <c r="I668" s="36"/>
      <c r="J668" s="38"/>
      <c r="K668" s="38"/>
      <c r="L668" s="39"/>
      <c r="M668" s="39"/>
      <c r="N668" s="39"/>
      <c r="O668" s="39"/>
      <c r="P668" s="39"/>
      <c r="Q668" s="39"/>
      <c r="R668" s="39"/>
      <c r="S668" s="39"/>
      <c r="T668" s="39"/>
      <c r="U668" s="39"/>
      <c r="V668" s="39"/>
      <c r="W668" s="39"/>
      <c r="X668" s="39"/>
      <c r="Y668" s="39"/>
      <c r="Z668" s="39"/>
      <c r="AA668" s="39"/>
      <c r="AB668" s="39"/>
    </row>
    <row r="669">
      <c r="A669" s="1"/>
      <c r="B669" s="36"/>
      <c r="C669" s="36"/>
      <c r="D669" s="36"/>
      <c r="E669" s="36"/>
      <c r="F669" s="36"/>
      <c r="G669" s="36"/>
      <c r="H669" s="37"/>
      <c r="I669" s="36"/>
      <c r="J669" s="38"/>
      <c r="K669" s="38"/>
      <c r="L669" s="39"/>
      <c r="M669" s="39"/>
      <c r="N669" s="39"/>
      <c r="O669" s="39"/>
      <c r="P669" s="39"/>
      <c r="Q669" s="39"/>
      <c r="R669" s="39"/>
      <c r="S669" s="39"/>
      <c r="T669" s="39"/>
      <c r="U669" s="39"/>
      <c r="V669" s="39"/>
      <c r="W669" s="39"/>
      <c r="X669" s="39"/>
      <c r="Y669" s="39"/>
      <c r="Z669" s="39"/>
      <c r="AA669" s="39"/>
      <c r="AB669" s="39"/>
    </row>
    <row r="670">
      <c r="A670" s="1"/>
      <c r="B670" s="36"/>
      <c r="C670" s="36"/>
      <c r="D670" s="36"/>
      <c r="E670" s="36"/>
      <c r="F670" s="36"/>
      <c r="G670" s="36"/>
      <c r="H670" s="37"/>
      <c r="I670" s="36"/>
      <c r="J670" s="38"/>
      <c r="K670" s="38"/>
      <c r="L670" s="39"/>
      <c r="M670" s="39"/>
      <c r="N670" s="39"/>
      <c r="O670" s="39"/>
      <c r="P670" s="39"/>
      <c r="Q670" s="39"/>
      <c r="R670" s="39"/>
      <c r="S670" s="39"/>
      <c r="T670" s="39"/>
      <c r="U670" s="39"/>
      <c r="V670" s="39"/>
      <c r="W670" s="39"/>
      <c r="X670" s="39"/>
      <c r="Y670" s="39"/>
      <c r="Z670" s="39"/>
      <c r="AA670" s="39"/>
      <c r="AB670" s="39"/>
    </row>
    <row r="671">
      <c r="A671" s="1"/>
      <c r="B671" s="36"/>
      <c r="C671" s="36"/>
      <c r="D671" s="36"/>
      <c r="E671" s="36"/>
      <c r="F671" s="36"/>
      <c r="G671" s="36"/>
      <c r="H671" s="37"/>
      <c r="I671" s="36"/>
      <c r="J671" s="38"/>
      <c r="K671" s="38"/>
      <c r="L671" s="39"/>
      <c r="M671" s="39"/>
      <c r="N671" s="39"/>
      <c r="O671" s="39"/>
      <c r="P671" s="39"/>
      <c r="Q671" s="39"/>
      <c r="R671" s="39"/>
      <c r="S671" s="39"/>
      <c r="T671" s="39"/>
      <c r="U671" s="39"/>
      <c r="V671" s="39"/>
      <c r="W671" s="39"/>
      <c r="X671" s="39"/>
      <c r="Y671" s="39"/>
      <c r="Z671" s="39"/>
      <c r="AA671" s="39"/>
      <c r="AB671" s="39"/>
    </row>
    <row r="672">
      <c r="A672" s="1"/>
      <c r="B672" s="36"/>
      <c r="C672" s="36"/>
      <c r="D672" s="36"/>
      <c r="E672" s="36"/>
      <c r="F672" s="36"/>
      <c r="G672" s="36"/>
      <c r="H672" s="37"/>
      <c r="I672" s="36"/>
      <c r="J672" s="38"/>
      <c r="K672" s="38"/>
      <c r="L672" s="39"/>
      <c r="M672" s="39"/>
      <c r="N672" s="39"/>
      <c r="O672" s="39"/>
      <c r="P672" s="39"/>
      <c r="Q672" s="39"/>
      <c r="R672" s="39"/>
      <c r="S672" s="39"/>
      <c r="T672" s="39"/>
      <c r="U672" s="39"/>
      <c r="V672" s="39"/>
      <c r="W672" s="39"/>
      <c r="X672" s="39"/>
      <c r="Y672" s="39"/>
      <c r="Z672" s="39"/>
      <c r="AA672" s="39"/>
      <c r="AB672" s="39"/>
    </row>
    <row r="673">
      <c r="A673" s="1"/>
      <c r="B673" s="36"/>
      <c r="C673" s="36"/>
      <c r="D673" s="36"/>
      <c r="E673" s="36"/>
      <c r="F673" s="36"/>
      <c r="G673" s="36"/>
      <c r="H673" s="37"/>
      <c r="I673" s="36"/>
      <c r="J673" s="38"/>
      <c r="K673" s="38"/>
      <c r="L673" s="39"/>
      <c r="M673" s="39"/>
      <c r="N673" s="39"/>
      <c r="O673" s="39"/>
      <c r="P673" s="39"/>
      <c r="Q673" s="39"/>
      <c r="R673" s="39"/>
      <c r="S673" s="39"/>
      <c r="T673" s="39"/>
      <c r="U673" s="39"/>
      <c r="V673" s="39"/>
      <c r="W673" s="39"/>
      <c r="X673" s="39"/>
      <c r="Y673" s="39"/>
      <c r="Z673" s="39"/>
      <c r="AA673" s="39"/>
      <c r="AB673" s="39"/>
    </row>
    <row r="674">
      <c r="A674" s="1"/>
      <c r="B674" s="36"/>
      <c r="C674" s="36"/>
      <c r="D674" s="36"/>
      <c r="E674" s="36"/>
      <c r="F674" s="36"/>
      <c r="G674" s="36"/>
      <c r="H674" s="37"/>
      <c r="I674" s="36"/>
      <c r="J674" s="38"/>
      <c r="K674" s="38"/>
      <c r="L674" s="39"/>
      <c r="M674" s="39"/>
      <c r="N674" s="39"/>
      <c r="O674" s="39"/>
      <c r="P674" s="39"/>
      <c r="Q674" s="39"/>
      <c r="R674" s="39"/>
      <c r="S674" s="39"/>
      <c r="T674" s="39"/>
      <c r="U674" s="39"/>
      <c r="V674" s="39"/>
      <c r="W674" s="39"/>
      <c r="X674" s="39"/>
      <c r="Y674" s="39"/>
      <c r="Z674" s="39"/>
      <c r="AA674" s="39"/>
      <c r="AB674" s="39"/>
    </row>
    <row r="675">
      <c r="A675" s="1"/>
      <c r="B675" s="36"/>
      <c r="C675" s="36"/>
      <c r="D675" s="36"/>
      <c r="E675" s="36"/>
      <c r="F675" s="36"/>
      <c r="G675" s="36"/>
      <c r="H675" s="37"/>
      <c r="I675" s="36"/>
      <c r="J675" s="38"/>
      <c r="K675" s="38"/>
      <c r="L675" s="39"/>
      <c r="M675" s="39"/>
      <c r="N675" s="39"/>
      <c r="O675" s="39"/>
      <c r="P675" s="39"/>
      <c r="Q675" s="39"/>
      <c r="R675" s="39"/>
      <c r="S675" s="39"/>
      <c r="T675" s="39"/>
      <c r="U675" s="39"/>
      <c r="V675" s="39"/>
      <c r="W675" s="39"/>
      <c r="X675" s="39"/>
      <c r="Y675" s="39"/>
      <c r="Z675" s="39"/>
      <c r="AA675" s="39"/>
      <c r="AB675" s="39"/>
    </row>
    <row r="676">
      <c r="A676" s="1"/>
      <c r="B676" s="36"/>
      <c r="C676" s="36"/>
      <c r="D676" s="36"/>
      <c r="E676" s="36"/>
      <c r="F676" s="36"/>
      <c r="G676" s="36"/>
      <c r="H676" s="37"/>
      <c r="I676" s="36"/>
      <c r="J676" s="38"/>
      <c r="K676" s="38"/>
      <c r="L676" s="39"/>
      <c r="M676" s="39"/>
      <c r="N676" s="39"/>
      <c r="O676" s="39"/>
      <c r="P676" s="39"/>
      <c r="Q676" s="39"/>
      <c r="R676" s="39"/>
      <c r="S676" s="39"/>
      <c r="T676" s="39"/>
      <c r="U676" s="39"/>
      <c r="V676" s="39"/>
      <c r="W676" s="39"/>
      <c r="X676" s="39"/>
      <c r="Y676" s="39"/>
      <c r="Z676" s="39"/>
      <c r="AA676" s="39"/>
      <c r="AB676" s="39"/>
    </row>
    <row r="677">
      <c r="A677" s="1"/>
      <c r="B677" s="36"/>
      <c r="C677" s="36"/>
      <c r="D677" s="36"/>
      <c r="E677" s="36"/>
      <c r="F677" s="36"/>
      <c r="G677" s="36"/>
      <c r="H677" s="37"/>
      <c r="I677" s="36"/>
      <c r="J677" s="38"/>
      <c r="K677" s="38"/>
      <c r="L677" s="39"/>
      <c r="M677" s="39"/>
      <c r="N677" s="39"/>
      <c r="O677" s="39"/>
      <c r="P677" s="39"/>
      <c r="Q677" s="39"/>
      <c r="R677" s="39"/>
      <c r="S677" s="39"/>
      <c r="T677" s="39"/>
      <c r="U677" s="39"/>
      <c r="V677" s="39"/>
      <c r="W677" s="39"/>
      <c r="X677" s="39"/>
      <c r="Y677" s="39"/>
      <c r="Z677" s="39"/>
      <c r="AA677" s="39"/>
      <c r="AB677" s="39"/>
    </row>
    <row r="678">
      <c r="A678" s="1"/>
      <c r="B678" s="36"/>
      <c r="C678" s="36"/>
      <c r="D678" s="36"/>
      <c r="E678" s="36"/>
      <c r="F678" s="36"/>
      <c r="G678" s="36"/>
      <c r="H678" s="37"/>
      <c r="I678" s="36"/>
      <c r="J678" s="38"/>
      <c r="K678" s="38"/>
      <c r="L678" s="39"/>
      <c r="M678" s="39"/>
      <c r="N678" s="39"/>
      <c r="O678" s="39"/>
      <c r="P678" s="39"/>
      <c r="Q678" s="39"/>
      <c r="R678" s="39"/>
      <c r="S678" s="39"/>
      <c r="T678" s="39"/>
      <c r="U678" s="39"/>
      <c r="V678" s="39"/>
      <c r="W678" s="39"/>
      <c r="X678" s="39"/>
      <c r="Y678" s="39"/>
      <c r="Z678" s="39"/>
      <c r="AA678" s="39"/>
      <c r="AB678" s="39"/>
    </row>
    <row r="679">
      <c r="A679" s="1"/>
      <c r="B679" s="36"/>
      <c r="C679" s="36"/>
      <c r="D679" s="36"/>
      <c r="E679" s="36"/>
      <c r="F679" s="36"/>
      <c r="G679" s="36"/>
      <c r="H679" s="37"/>
      <c r="I679" s="36"/>
      <c r="J679" s="38"/>
      <c r="K679" s="38"/>
      <c r="L679" s="39"/>
      <c r="M679" s="39"/>
      <c r="N679" s="39"/>
      <c r="O679" s="39"/>
      <c r="P679" s="39"/>
      <c r="Q679" s="39"/>
      <c r="R679" s="39"/>
      <c r="S679" s="39"/>
      <c r="T679" s="39"/>
      <c r="U679" s="39"/>
      <c r="V679" s="39"/>
      <c r="W679" s="39"/>
      <c r="X679" s="39"/>
      <c r="Y679" s="39"/>
      <c r="Z679" s="39"/>
      <c r="AA679" s="39"/>
      <c r="AB679" s="39"/>
    </row>
    <row r="680">
      <c r="A680" s="1"/>
      <c r="B680" s="36"/>
      <c r="C680" s="36"/>
      <c r="D680" s="36"/>
      <c r="E680" s="36"/>
      <c r="F680" s="36"/>
      <c r="G680" s="36"/>
      <c r="H680" s="37"/>
      <c r="I680" s="36"/>
      <c r="J680" s="38"/>
      <c r="K680" s="38"/>
      <c r="L680" s="39"/>
      <c r="M680" s="39"/>
      <c r="N680" s="39"/>
      <c r="O680" s="39"/>
      <c r="P680" s="39"/>
      <c r="Q680" s="39"/>
      <c r="R680" s="39"/>
      <c r="S680" s="39"/>
      <c r="T680" s="39"/>
      <c r="U680" s="39"/>
      <c r="V680" s="39"/>
      <c r="W680" s="39"/>
      <c r="X680" s="39"/>
      <c r="Y680" s="39"/>
      <c r="Z680" s="39"/>
      <c r="AA680" s="39"/>
      <c r="AB680" s="39"/>
    </row>
    <row r="681">
      <c r="A681" s="1"/>
      <c r="B681" s="36"/>
      <c r="C681" s="36"/>
      <c r="D681" s="36"/>
      <c r="E681" s="36"/>
      <c r="F681" s="36"/>
      <c r="G681" s="36"/>
      <c r="H681" s="37"/>
      <c r="I681" s="36"/>
      <c r="J681" s="38"/>
      <c r="K681" s="38"/>
      <c r="L681" s="39"/>
      <c r="M681" s="39"/>
      <c r="N681" s="39"/>
      <c r="O681" s="39"/>
      <c r="P681" s="39"/>
      <c r="Q681" s="39"/>
      <c r="R681" s="39"/>
      <c r="S681" s="39"/>
      <c r="T681" s="39"/>
      <c r="U681" s="39"/>
      <c r="V681" s="39"/>
      <c r="W681" s="39"/>
      <c r="X681" s="39"/>
      <c r="Y681" s="39"/>
      <c r="Z681" s="39"/>
      <c r="AA681" s="39"/>
      <c r="AB681" s="39"/>
    </row>
    <row r="682">
      <c r="A682" s="1"/>
      <c r="B682" s="36"/>
      <c r="C682" s="36"/>
      <c r="D682" s="36"/>
      <c r="E682" s="36"/>
      <c r="F682" s="36"/>
      <c r="G682" s="36"/>
      <c r="H682" s="37"/>
      <c r="I682" s="36"/>
      <c r="J682" s="38"/>
      <c r="K682" s="38"/>
      <c r="L682" s="39"/>
      <c r="M682" s="39"/>
      <c r="N682" s="39"/>
      <c r="O682" s="39"/>
      <c r="P682" s="39"/>
      <c r="Q682" s="39"/>
      <c r="R682" s="39"/>
      <c r="S682" s="39"/>
      <c r="T682" s="39"/>
      <c r="U682" s="39"/>
      <c r="V682" s="39"/>
      <c r="W682" s="39"/>
      <c r="X682" s="39"/>
      <c r="Y682" s="39"/>
      <c r="Z682" s="39"/>
      <c r="AA682" s="39"/>
      <c r="AB682" s="39"/>
    </row>
    <row r="683">
      <c r="A683" s="1"/>
      <c r="B683" s="36"/>
      <c r="C683" s="36"/>
      <c r="D683" s="36"/>
      <c r="E683" s="36"/>
      <c r="F683" s="36"/>
      <c r="G683" s="36"/>
      <c r="H683" s="37"/>
      <c r="I683" s="36"/>
      <c r="J683" s="38"/>
      <c r="K683" s="38"/>
      <c r="L683" s="39"/>
      <c r="M683" s="39"/>
      <c r="N683" s="39"/>
      <c r="O683" s="39"/>
      <c r="P683" s="39"/>
      <c r="Q683" s="39"/>
      <c r="R683" s="39"/>
      <c r="S683" s="39"/>
      <c r="T683" s="39"/>
      <c r="U683" s="39"/>
      <c r="V683" s="39"/>
      <c r="W683" s="39"/>
      <c r="X683" s="39"/>
      <c r="Y683" s="39"/>
      <c r="Z683" s="39"/>
      <c r="AA683" s="39"/>
      <c r="AB683" s="39"/>
    </row>
    <row r="684">
      <c r="A684" s="1"/>
      <c r="B684" s="36"/>
      <c r="C684" s="36"/>
      <c r="D684" s="36"/>
      <c r="E684" s="36"/>
      <c r="F684" s="36"/>
      <c r="G684" s="36"/>
      <c r="H684" s="37"/>
      <c r="I684" s="36"/>
      <c r="J684" s="38"/>
      <c r="K684" s="38"/>
      <c r="L684" s="39"/>
      <c r="M684" s="39"/>
      <c r="N684" s="39"/>
      <c r="O684" s="39"/>
      <c r="P684" s="39"/>
      <c r="Q684" s="39"/>
      <c r="R684" s="39"/>
      <c r="S684" s="39"/>
      <c r="T684" s="39"/>
      <c r="U684" s="39"/>
      <c r="V684" s="39"/>
      <c r="W684" s="39"/>
      <c r="X684" s="39"/>
      <c r="Y684" s="39"/>
      <c r="Z684" s="39"/>
      <c r="AA684" s="39"/>
      <c r="AB684" s="39"/>
    </row>
    <row r="685">
      <c r="A685" s="1"/>
      <c r="B685" s="36"/>
      <c r="C685" s="36"/>
      <c r="D685" s="36"/>
      <c r="E685" s="36"/>
      <c r="F685" s="36"/>
      <c r="G685" s="36"/>
      <c r="H685" s="37"/>
      <c r="I685" s="36"/>
      <c r="J685" s="38"/>
      <c r="K685" s="38"/>
      <c r="L685" s="39"/>
      <c r="M685" s="39"/>
      <c r="N685" s="39"/>
      <c r="O685" s="39"/>
      <c r="P685" s="39"/>
      <c r="Q685" s="39"/>
      <c r="R685" s="39"/>
      <c r="S685" s="39"/>
      <c r="T685" s="39"/>
      <c r="U685" s="39"/>
      <c r="V685" s="39"/>
      <c r="W685" s="39"/>
      <c r="X685" s="39"/>
      <c r="Y685" s="39"/>
      <c r="Z685" s="39"/>
      <c r="AA685" s="39"/>
      <c r="AB685" s="39"/>
    </row>
    <row r="686">
      <c r="A686" s="1"/>
      <c r="B686" s="36"/>
      <c r="C686" s="36"/>
      <c r="D686" s="36"/>
      <c r="E686" s="36"/>
      <c r="F686" s="36"/>
      <c r="G686" s="36"/>
      <c r="H686" s="37"/>
      <c r="I686" s="36"/>
      <c r="J686" s="38"/>
      <c r="K686" s="38"/>
      <c r="L686" s="39"/>
      <c r="M686" s="39"/>
      <c r="N686" s="39"/>
      <c r="O686" s="39"/>
      <c r="P686" s="39"/>
      <c r="Q686" s="39"/>
      <c r="R686" s="39"/>
      <c r="S686" s="39"/>
      <c r="T686" s="39"/>
      <c r="U686" s="39"/>
      <c r="V686" s="39"/>
      <c r="W686" s="39"/>
      <c r="X686" s="39"/>
      <c r="Y686" s="39"/>
      <c r="Z686" s="39"/>
      <c r="AA686" s="39"/>
      <c r="AB686" s="39"/>
    </row>
    <row r="687">
      <c r="A687" s="1"/>
      <c r="B687" s="36"/>
      <c r="C687" s="36"/>
      <c r="D687" s="36"/>
      <c r="E687" s="36"/>
      <c r="F687" s="36"/>
      <c r="G687" s="36"/>
      <c r="H687" s="37"/>
      <c r="I687" s="36"/>
      <c r="J687" s="38"/>
      <c r="K687" s="38"/>
      <c r="L687" s="39"/>
      <c r="M687" s="39"/>
      <c r="N687" s="39"/>
      <c r="O687" s="39"/>
      <c r="P687" s="39"/>
      <c r="Q687" s="39"/>
      <c r="R687" s="39"/>
      <c r="S687" s="39"/>
      <c r="T687" s="39"/>
      <c r="U687" s="39"/>
      <c r="V687" s="39"/>
      <c r="W687" s="39"/>
      <c r="X687" s="39"/>
      <c r="Y687" s="39"/>
      <c r="Z687" s="39"/>
      <c r="AA687" s="39"/>
      <c r="AB687" s="39"/>
    </row>
    <row r="688">
      <c r="A688" s="1"/>
      <c r="B688" s="36"/>
      <c r="C688" s="36"/>
      <c r="D688" s="36"/>
      <c r="E688" s="36"/>
      <c r="F688" s="36"/>
      <c r="G688" s="36"/>
      <c r="H688" s="37"/>
      <c r="I688" s="36"/>
      <c r="J688" s="38"/>
      <c r="K688" s="38"/>
      <c r="L688" s="39"/>
      <c r="M688" s="39"/>
      <c r="N688" s="39"/>
      <c r="O688" s="39"/>
      <c r="P688" s="39"/>
      <c r="Q688" s="39"/>
      <c r="R688" s="39"/>
      <c r="S688" s="39"/>
      <c r="T688" s="39"/>
      <c r="U688" s="39"/>
      <c r="V688" s="39"/>
      <c r="W688" s="39"/>
      <c r="X688" s="39"/>
      <c r="Y688" s="39"/>
      <c r="Z688" s="39"/>
      <c r="AA688" s="39"/>
      <c r="AB688" s="39"/>
    </row>
    <row r="689">
      <c r="A689" s="1"/>
      <c r="B689" s="36"/>
      <c r="C689" s="36"/>
      <c r="D689" s="36"/>
      <c r="E689" s="36"/>
      <c r="F689" s="36"/>
      <c r="G689" s="36"/>
      <c r="H689" s="37"/>
      <c r="I689" s="36"/>
      <c r="J689" s="38"/>
      <c r="K689" s="38"/>
      <c r="L689" s="39"/>
      <c r="M689" s="39"/>
      <c r="N689" s="39"/>
      <c r="O689" s="39"/>
      <c r="P689" s="39"/>
      <c r="Q689" s="39"/>
      <c r="R689" s="39"/>
      <c r="S689" s="39"/>
      <c r="T689" s="39"/>
      <c r="U689" s="39"/>
      <c r="V689" s="39"/>
      <c r="W689" s="39"/>
      <c r="X689" s="39"/>
      <c r="Y689" s="39"/>
      <c r="Z689" s="39"/>
      <c r="AA689" s="39"/>
      <c r="AB689" s="39"/>
    </row>
    <row r="690">
      <c r="A690" s="1"/>
      <c r="B690" s="36"/>
      <c r="C690" s="36"/>
      <c r="D690" s="36"/>
      <c r="E690" s="36"/>
      <c r="F690" s="36"/>
      <c r="G690" s="36"/>
      <c r="H690" s="37"/>
      <c r="I690" s="36"/>
      <c r="J690" s="38"/>
      <c r="K690" s="38"/>
      <c r="L690" s="39"/>
      <c r="M690" s="39"/>
      <c r="N690" s="39"/>
      <c r="O690" s="39"/>
      <c r="P690" s="39"/>
      <c r="Q690" s="39"/>
      <c r="R690" s="39"/>
      <c r="S690" s="39"/>
      <c r="T690" s="39"/>
      <c r="U690" s="39"/>
      <c r="V690" s="39"/>
      <c r="W690" s="39"/>
      <c r="X690" s="39"/>
      <c r="Y690" s="39"/>
      <c r="Z690" s="39"/>
      <c r="AA690" s="39"/>
      <c r="AB690" s="39"/>
    </row>
    <row r="691">
      <c r="A691" s="1"/>
      <c r="B691" s="36"/>
      <c r="C691" s="36"/>
      <c r="D691" s="36"/>
      <c r="E691" s="36"/>
      <c r="F691" s="36"/>
      <c r="G691" s="36"/>
      <c r="H691" s="37"/>
      <c r="I691" s="36"/>
      <c r="J691" s="38"/>
      <c r="K691" s="38"/>
      <c r="L691" s="39"/>
      <c r="M691" s="39"/>
      <c r="N691" s="39"/>
      <c r="O691" s="39"/>
      <c r="P691" s="39"/>
      <c r="Q691" s="39"/>
      <c r="R691" s="39"/>
      <c r="S691" s="39"/>
      <c r="T691" s="39"/>
      <c r="U691" s="39"/>
      <c r="V691" s="39"/>
      <c r="W691" s="39"/>
      <c r="X691" s="39"/>
      <c r="Y691" s="39"/>
      <c r="Z691" s="39"/>
      <c r="AA691" s="39"/>
      <c r="AB691" s="39"/>
    </row>
    <row r="692">
      <c r="A692" s="1"/>
      <c r="B692" s="36"/>
      <c r="C692" s="36"/>
      <c r="D692" s="36"/>
      <c r="E692" s="36"/>
      <c r="F692" s="36"/>
      <c r="G692" s="36"/>
      <c r="H692" s="37"/>
      <c r="I692" s="36"/>
      <c r="J692" s="38"/>
      <c r="K692" s="38"/>
      <c r="L692" s="39"/>
      <c r="M692" s="39"/>
      <c r="N692" s="39"/>
      <c r="O692" s="39"/>
      <c r="P692" s="39"/>
      <c r="Q692" s="39"/>
      <c r="R692" s="39"/>
      <c r="S692" s="39"/>
      <c r="T692" s="39"/>
      <c r="U692" s="39"/>
      <c r="V692" s="39"/>
      <c r="W692" s="39"/>
      <c r="X692" s="39"/>
      <c r="Y692" s="39"/>
      <c r="Z692" s="39"/>
      <c r="AA692" s="39"/>
      <c r="AB692" s="39"/>
    </row>
    <row r="693">
      <c r="A693" s="1"/>
      <c r="B693" s="36"/>
      <c r="C693" s="36"/>
      <c r="D693" s="36"/>
      <c r="E693" s="36"/>
      <c r="F693" s="36"/>
      <c r="G693" s="36"/>
      <c r="H693" s="37"/>
      <c r="I693" s="36"/>
      <c r="J693" s="38"/>
      <c r="K693" s="38"/>
      <c r="L693" s="39"/>
      <c r="M693" s="39"/>
      <c r="N693" s="39"/>
      <c r="O693" s="39"/>
      <c r="P693" s="39"/>
      <c r="Q693" s="39"/>
      <c r="R693" s="39"/>
      <c r="S693" s="39"/>
      <c r="T693" s="39"/>
      <c r="U693" s="39"/>
      <c r="V693" s="39"/>
      <c r="W693" s="39"/>
      <c r="X693" s="39"/>
      <c r="Y693" s="39"/>
      <c r="Z693" s="39"/>
      <c r="AA693" s="39"/>
      <c r="AB693" s="39"/>
    </row>
    <row r="694">
      <c r="A694" s="1"/>
      <c r="B694" s="36"/>
      <c r="C694" s="36"/>
      <c r="D694" s="36"/>
      <c r="E694" s="36"/>
      <c r="F694" s="36"/>
      <c r="G694" s="36"/>
      <c r="H694" s="37"/>
      <c r="I694" s="36"/>
      <c r="J694" s="38"/>
      <c r="K694" s="38"/>
      <c r="L694" s="39"/>
      <c r="M694" s="39"/>
      <c r="N694" s="39"/>
      <c r="O694" s="39"/>
      <c r="P694" s="39"/>
      <c r="Q694" s="39"/>
      <c r="R694" s="39"/>
      <c r="S694" s="39"/>
      <c r="T694" s="39"/>
      <c r="U694" s="39"/>
      <c r="V694" s="39"/>
      <c r="W694" s="39"/>
      <c r="X694" s="39"/>
      <c r="Y694" s="39"/>
      <c r="Z694" s="39"/>
      <c r="AA694" s="39"/>
      <c r="AB694" s="39"/>
    </row>
    <row r="695">
      <c r="A695" s="1"/>
      <c r="B695" s="36"/>
      <c r="C695" s="36"/>
      <c r="D695" s="36"/>
      <c r="E695" s="36"/>
      <c r="F695" s="36"/>
      <c r="G695" s="36"/>
      <c r="H695" s="37"/>
      <c r="I695" s="36"/>
      <c r="J695" s="38"/>
      <c r="K695" s="38"/>
      <c r="L695" s="39"/>
      <c r="M695" s="39"/>
      <c r="N695" s="39"/>
      <c r="O695" s="39"/>
      <c r="P695" s="39"/>
      <c r="Q695" s="39"/>
      <c r="R695" s="39"/>
      <c r="S695" s="39"/>
      <c r="T695" s="39"/>
      <c r="U695" s="39"/>
      <c r="V695" s="39"/>
      <c r="W695" s="39"/>
      <c r="X695" s="39"/>
      <c r="Y695" s="39"/>
      <c r="Z695" s="39"/>
      <c r="AA695" s="39"/>
      <c r="AB695" s="39"/>
    </row>
    <row r="696">
      <c r="A696" s="1"/>
      <c r="B696" s="36"/>
      <c r="C696" s="36"/>
      <c r="D696" s="36"/>
      <c r="E696" s="36"/>
      <c r="F696" s="36"/>
      <c r="G696" s="36"/>
      <c r="H696" s="37"/>
      <c r="I696" s="36"/>
      <c r="J696" s="38"/>
      <c r="K696" s="38"/>
      <c r="L696" s="39"/>
      <c r="M696" s="39"/>
      <c r="N696" s="39"/>
      <c r="O696" s="39"/>
      <c r="P696" s="39"/>
      <c r="Q696" s="39"/>
      <c r="R696" s="39"/>
      <c r="S696" s="39"/>
      <c r="T696" s="39"/>
      <c r="U696" s="39"/>
      <c r="V696" s="39"/>
      <c r="W696" s="39"/>
      <c r="X696" s="39"/>
      <c r="Y696" s="39"/>
      <c r="Z696" s="39"/>
      <c r="AA696" s="39"/>
      <c r="AB696" s="39"/>
    </row>
    <row r="697">
      <c r="A697" s="1"/>
      <c r="B697" s="36"/>
      <c r="C697" s="36"/>
      <c r="D697" s="36"/>
      <c r="E697" s="36"/>
      <c r="F697" s="36"/>
      <c r="G697" s="36"/>
      <c r="H697" s="37"/>
      <c r="I697" s="36"/>
      <c r="J697" s="38"/>
      <c r="K697" s="38"/>
      <c r="L697" s="39"/>
      <c r="M697" s="39"/>
      <c r="N697" s="39"/>
      <c r="O697" s="39"/>
      <c r="P697" s="39"/>
      <c r="Q697" s="39"/>
      <c r="R697" s="39"/>
      <c r="S697" s="39"/>
      <c r="T697" s="39"/>
      <c r="U697" s="39"/>
      <c r="V697" s="39"/>
      <c r="W697" s="39"/>
      <c r="X697" s="39"/>
      <c r="Y697" s="39"/>
      <c r="Z697" s="39"/>
      <c r="AA697" s="39"/>
      <c r="AB697" s="39"/>
    </row>
    <row r="698">
      <c r="A698" s="1"/>
      <c r="B698" s="36"/>
      <c r="C698" s="36"/>
      <c r="D698" s="36"/>
      <c r="E698" s="36"/>
      <c r="F698" s="36"/>
      <c r="G698" s="36"/>
      <c r="H698" s="37"/>
      <c r="I698" s="36"/>
      <c r="J698" s="38"/>
      <c r="K698" s="38"/>
      <c r="L698" s="39"/>
      <c r="M698" s="39"/>
      <c r="N698" s="39"/>
      <c r="O698" s="39"/>
      <c r="P698" s="39"/>
      <c r="Q698" s="39"/>
      <c r="R698" s="39"/>
      <c r="S698" s="39"/>
      <c r="T698" s="39"/>
      <c r="U698" s="39"/>
      <c r="V698" s="39"/>
      <c r="W698" s="39"/>
      <c r="X698" s="39"/>
      <c r="Y698" s="39"/>
      <c r="Z698" s="39"/>
      <c r="AA698" s="39"/>
      <c r="AB698" s="39"/>
    </row>
    <row r="699">
      <c r="A699" s="1"/>
      <c r="B699" s="36"/>
      <c r="C699" s="36"/>
      <c r="D699" s="36"/>
      <c r="E699" s="36"/>
      <c r="F699" s="36"/>
      <c r="G699" s="36"/>
      <c r="H699" s="37"/>
      <c r="I699" s="36"/>
      <c r="J699" s="38"/>
      <c r="K699" s="38"/>
      <c r="L699" s="39"/>
      <c r="M699" s="39"/>
      <c r="N699" s="39"/>
      <c r="O699" s="39"/>
      <c r="P699" s="39"/>
      <c r="Q699" s="39"/>
      <c r="R699" s="39"/>
      <c r="S699" s="39"/>
      <c r="T699" s="39"/>
      <c r="U699" s="39"/>
      <c r="V699" s="39"/>
      <c r="W699" s="39"/>
      <c r="X699" s="39"/>
      <c r="Y699" s="39"/>
      <c r="Z699" s="39"/>
      <c r="AA699" s="39"/>
      <c r="AB699" s="39"/>
    </row>
    <row r="700">
      <c r="A700" s="1"/>
      <c r="B700" s="36"/>
      <c r="C700" s="36"/>
      <c r="D700" s="36"/>
      <c r="E700" s="36"/>
      <c r="F700" s="36"/>
      <c r="G700" s="36"/>
      <c r="H700" s="37"/>
      <c r="I700" s="36"/>
      <c r="J700" s="38"/>
      <c r="K700" s="38"/>
      <c r="L700" s="39"/>
      <c r="M700" s="39"/>
      <c r="N700" s="39"/>
      <c r="O700" s="39"/>
      <c r="P700" s="39"/>
      <c r="Q700" s="39"/>
      <c r="R700" s="39"/>
      <c r="S700" s="39"/>
      <c r="T700" s="39"/>
      <c r="U700" s="39"/>
      <c r="V700" s="39"/>
      <c r="W700" s="39"/>
      <c r="X700" s="39"/>
      <c r="Y700" s="39"/>
      <c r="Z700" s="39"/>
      <c r="AA700" s="39"/>
      <c r="AB700" s="39"/>
    </row>
    <row r="701">
      <c r="A701" s="1"/>
      <c r="B701" s="36"/>
      <c r="C701" s="36"/>
      <c r="D701" s="36"/>
      <c r="E701" s="36"/>
      <c r="F701" s="36"/>
      <c r="G701" s="36"/>
      <c r="H701" s="37"/>
      <c r="I701" s="36"/>
      <c r="J701" s="38"/>
      <c r="K701" s="38"/>
      <c r="L701" s="39"/>
      <c r="M701" s="39"/>
      <c r="N701" s="39"/>
      <c r="O701" s="39"/>
      <c r="P701" s="39"/>
      <c r="Q701" s="39"/>
      <c r="R701" s="39"/>
      <c r="S701" s="39"/>
      <c r="T701" s="39"/>
      <c r="U701" s="39"/>
      <c r="V701" s="39"/>
      <c r="W701" s="39"/>
      <c r="X701" s="39"/>
      <c r="Y701" s="39"/>
      <c r="Z701" s="39"/>
      <c r="AA701" s="39"/>
      <c r="AB701" s="39"/>
    </row>
    <row r="702">
      <c r="A702" s="1"/>
      <c r="B702" s="36"/>
      <c r="C702" s="36"/>
      <c r="D702" s="36"/>
      <c r="E702" s="36"/>
      <c r="F702" s="36"/>
      <c r="G702" s="36"/>
      <c r="H702" s="37"/>
      <c r="I702" s="36"/>
      <c r="J702" s="38"/>
      <c r="K702" s="38"/>
      <c r="L702" s="39"/>
      <c r="M702" s="39"/>
      <c r="N702" s="39"/>
      <c r="O702" s="39"/>
      <c r="P702" s="39"/>
      <c r="Q702" s="39"/>
      <c r="R702" s="39"/>
      <c r="S702" s="39"/>
      <c r="T702" s="39"/>
      <c r="U702" s="39"/>
      <c r="V702" s="39"/>
      <c r="W702" s="39"/>
      <c r="X702" s="39"/>
      <c r="Y702" s="39"/>
      <c r="Z702" s="39"/>
      <c r="AA702" s="39"/>
      <c r="AB702" s="39"/>
    </row>
    <row r="703">
      <c r="A703" s="1"/>
      <c r="B703" s="36"/>
      <c r="C703" s="36"/>
      <c r="D703" s="36"/>
      <c r="E703" s="36"/>
      <c r="F703" s="36"/>
      <c r="G703" s="36"/>
      <c r="H703" s="37"/>
      <c r="I703" s="36"/>
      <c r="J703" s="38"/>
      <c r="K703" s="38"/>
      <c r="L703" s="39"/>
      <c r="M703" s="39"/>
      <c r="N703" s="39"/>
      <c r="O703" s="39"/>
      <c r="P703" s="39"/>
      <c r="Q703" s="39"/>
      <c r="R703" s="39"/>
      <c r="S703" s="39"/>
      <c r="T703" s="39"/>
      <c r="U703" s="39"/>
      <c r="V703" s="39"/>
      <c r="W703" s="39"/>
      <c r="X703" s="39"/>
      <c r="Y703" s="39"/>
      <c r="Z703" s="39"/>
      <c r="AA703" s="39"/>
      <c r="AB703" s="39"/>
    </row>
    <row r="704">
      <c r="A704" s="1"/>
      <c r="B704" s="36"/>
      <c r="C704" s="36"/>
      <c r="D704" s="36"/>
      <c r="E704" s="36"/>
      <c r="F704" s="36"/>
      <c r="G704" s="36"/>
      <c r="H704" s="37"/>
      <c r="I704" s="36"/>
      <c r="J704" s="38"/>
      <c r="K704" s="38"/>
      <c r="L704" s="39"/>
      <c r="M704" s="39"/>
      <c r="N704" s="39"/>
      <c r="O704" s="39"/>
      <c r="P704" s="39"/>
      <c r="Q704" s="39"/>
      <c r="R704" s="39"/>
      <c r="S704" s="39"/>
      <c r="T704" s="39"/>
      <c r="U704" s="39"/>
      <c r="V704" s="39"/>
      <c r="W704" s="39"/>
      <c r="X704" s="39"/>
      <c r="Y704" s="39"/>
      <c r="Z704" s="39"/>
      <c r="AA704" s="39"/>
      <c r="AB704" s="39"/>
    </row>
    <row r="705">
      <c r="A705" s="1"/>
      <c r="B705" s="36"/>
      <c r="C705" s="36"/>
      <c r="D705" s="36"/>
      <c r="E705" s="36"/>
      <c r="F705" s="36"/>
      <c r="G705" s="36"/>
      <c r="H705" s="37"/>
      <c r="I705" s="36"/>
      <c r="J705" s="38"/>
      <c r="K705" s="38"/>
      <c r="L705" s="39"/>
      <c r="M705" s="39"/>
      <c r="N705" s="39"/>
      <c r="O705" s="39"/>
      <c r="P705" s="39"/>
      <c r="Q705" s="39"/>
      <c r="R705" s="39"/>
      <c r="S705" s="39"/>
      <c r="T705" s="39"/>
      <c r="U705" s="39"/>
      <c r="V705" s="39"/>
      <c r="W705" s="39"/>
      <c r="X705" s="39"/>
      <c r="Y705" s="39"/>
      <c r="Z705" s="39"/>
      <c r="AA705" s="39"/>
      <c r="AB705" s="39"/>
    </row>
    <row r="706">
      <c r="A706" s="1"/>
      <c r="B706" s="36"/>
      <c r="C706" s="36"/>
      <c r="D706" s="36"/>
      <c r="E706" s="36"/>
      <c r="F706" s="36"/>
      <c r="G706" s="36"/>
      <c r="H706" s="37"/>
      <c r="I706" s="36"/>
      <c r="J706" s="38"/>
      <c r="K706" s="38"/>
      <c r="L706" s="39"/>
      <c r="M706" s="39"/>
      <c r="N706" s="39"/>
      <c r="O706" s="39"/>
      <c r="P706" s="39"/>
      <c r="Q706" s="39"/>
      <c r="R706" s="39"/>
      <c r="S706" s="39"/>
      <c r="T706" s="39"/>
      <c r="U706" s="39"/>
      <c r="V706" s="39"/>
      <c r="W706" s="39"/>
      <c r="X706" s="39"/>
      <c r="Y706" s="39"/>
      <c r="Z706" s="39"/>
      <c r="AA706" s="39"/>
      <c r="AB706" s="39"/>
    </row>
    <row r="707">
      <c r="A707" s="1"/>
      <c r="B707" s="36"/>
      <c r="C707" s="36"/>
      <c r="D707" s="36"/>
      <c r="E707" s="36"/>
      <c r="F707" s="36"/>
      <c r="G707" s="36"/>
      <c r="H707" s="37"/>
      <c r="I707" s="36"/>
      <c r="J707" s="38"/>
      <c r="K707" s="38"/>
      <c r="L707" s="39"/>
      <c r="M707" s="39"/>
      <c r="N707" s="39"/>
      <c r="O707" s="39"/>
      <c r="P707" s="39"/>
      <c r="Q707" s="39"/>
      <c r="R707" s="39"/>
      <c r="S707" s="39"/>
      <c r="T707" s="39"/>
      <c r="U707" s="39"/>
      <c r="V707" s="39"/>
      <c r="W707" s="39"/>
      <c r="X707" s="39"/>
      <c r="Y707" s="39"/>
      <c r="Z707" s="39"/>
      <c r="AA707" s="39"/>
      <c r="AB707" s="39"/>
    </row>
    <row r="708">
      <c r="A708" s="1"/>
      <c r="B708" s="36"/>
      <c r="C708" s="36"/>
      <c r="D708" s="36"/>
      <c r="E708" s="36"/>
      <c r="F708" s="36"/>
      <c r="G708" s="36"/>
      <c r="H708" s="37"/>
      <c r="I708" s="36"/>
      <c r="J708" s="38"/>
      <c r="K708" s="38"/>
      <c r="L708" s="39"/>
      <c r="M708" s="39"/>
      <c r="N708" s="39"/>
      <c r="O708" s="39"/>
      <c r="P708" s="39"/>
      <c r="Q708" s="39"/>
      <c r="R708" s="39"/>
      <c r="S708" s="39"/>
      <c r="T708" s="39"/>
      <c r="U708" s="39"/>
      <c r="V708" s="39"/>
      <c r="W708" s="39"/>
      <c r="X708" s="39"/>
      <c r="Y708" s="39"/>
      <c r="Z708" s="39"/>
      <c r="AA708" s="39"/>
      <c r="AB708" s="39"/>
    </row>
    <row r="709">
      <c r="A709" s="1"/>
      <c r="B709" s="36"/>
      <c r="C709" s="36"/>
      <c r="D709" s="36"/>
      <c r="E709" s="36"/>
      <c r="F709" s="36"/>
      <c r="G709" s="36"/>
      <c r="H709" s="37"/>
      <c r="I709" s="36"/>
      <c r="J709" s="38"/>
      <c r="K709" s="38"/>
      <c r="L709" s="39"/>
      <c r="M709" s="39"/>
      <c r="N709" s="39"/>
      <c r="O709" s="39"/>
      <c r="P709" s="39"/>
      <c r="Q709" s="39"/>
      <c r="R709" s="39"/>
      <c r="S709" s="39"/>
      <c r="T709" s="39"/>
      <c r="U709" s="39"/>
      <c r="V709" s="39"/>
      <c r="W709" s="39"/>
      <c r="X709" s="39"/>
      <c r="Y709" s="39"/>
      <c r="Z709" s="39"/>
      <c r="AA709" s="39"/>
      <c r="AB709" s="39"/>
    </row>
    <row r="710">
      <c r="A710" s="1"/>
      <c r="B710" s="36"/>
      <c r="C710" s="36"/>
      <c r="D710" s="36"/>
      <c r="E710" s="36"/>
      <c r="F710" s="36"/>
      <c r="G710" s="36"/>
      <c r="H710" s="37"/>
      <c r="I710" s="36"/>
      <c r="J710" s="38"/>
      <c r="K710" s="38"/>
      <c r="L710" s="39"/>
      <c r="M710" s="39"/>
      <c r="N710" s="39"/>
      <c r="O710" s="39"/>
      <c r="P710" s="39"/>
      <c r="Q710" s="39"/>
      <c r="R710" s="39"/>
      <c r="S710" s="39"/>
      <c r="T710" s="39"/>
      <c r="U710" s="39"/>
      <c r="V710" s="39"/>
      <c r="W710" s="39"/>
      <c r="X710" s="39"/>
      <c r="Y710" s="39"/>
      <c r="Z710" s="39"/>
      <c r="AA710" s="39"/>
      <c r="AB710" s="39"/>
    </row>
    <row r="711">
      <c r="A711" s="1"/>
      <c r="B711" s="36"/>
      <c r="C711" s="36"/>
      <c r="D711" s="36"/>
      <c r="E711" s="36"/>
      <c r="F711" s="36"/>
      <c r="G711" s="36"/>
      <c r="H711" s="37"/>
      <c r="I711" s="36"/>
      <c r="J711" s="38"/>
      <c r="K711" s="38"/>
      <c r="L711" s="39"/>
      <c r="M711" s="39"/>
      <c r="N711" s="39"/>
      <c r="O711" s="39"/>
      <c r="P711" s="39"/>
      <c r="Q711" s="39"/>
      <c r="R711" s="39"/>
      <c r="S711" s="39"/>
      <c r="T711" s="39"/>
      <c r="U711" s="39"/>
      <c r="V711" s="39"/>
      <c r="W711" s="39"/>
      <c r="X711" s="39"/>
      <c r="Y711" s="39"/>
      <c r="Z711" s="39"/>
      <c r="AA711" s="39"/>
      <c r="AB711" s="39"/>
    </row>
    <row r="712">
      <c r="A712" s="1"/>
      <c r="B712" s="36"/>
      <c r="C712" s="36"/>
      <c r="D712" s="36"/>
      <c r="E712" s="36"/>
      <c r="F712" s="36"/>
      <c r="G712" s="36"/>
      <c r="H712" s="37"/>
      <c r="I712" s="36"/>
      <c r="J712" s="38"/>
      <c r="K712" s="38"/>
      <c r="L712" s="39"/>
      <c r="M712" s="39"/>
      <c r="N712" s="39"/>
      <c r="O712" s="39"/>
      <c r="P712" s="39"/>
      <c r="Q712" s="39"/>
      <c r="R712" s="39"/>
      <c r="S712" s="39"/>
      <c r="T712" s="39"/>
      <c r="U712" s="39"/>
      <c r="V712" s="39"/>
      <c r="W712" s="39"/>
      <c r="X712" s="39"/>
      <c r="Y712" s="39"/>
      <c r="Z712" s="39"/>
      <c r="AA712" s="39"/>
      <c r="AB712" s="39"/>
    </row>
    <row r="713">
      <c r="A713" s="1"/>
      <c r="B713" s="36"/>
      <c r="C713" s="36"/>
      <c r="D713" s="36"/>
      <c r="E713" s="36"/>
      <c r="F713" s="36"/>
      <c r="G713" s="36"/>
      <c r="H713" s="37"/>
      <c r="I713" s="36"/>
      <c r="J713" s="38"/>
      <c r="K713" s="38"/>
      <c r="L713" s="39"/>
      <c r="M713" s="39"/>
      <c r="N713" s="39"/>
      <c r="O713" s="39"/>
      <c r="P713" s="39"/>
      <c r="Q713" s="39"/>
      <c r="R713" s="39"/>
      <c r="S713" s="39"/>
      <c r="T713" s="39"/>
      <c r="U713" s="39"/>
      <c r="V713" s="39"/>
      <c r="W713" s="39"/>
      <c r="X713" s="39"/>
      <c r="Y713" s="39"/>
      <c r="Z713" s="39"/>
      <c r="AA713" s="39"/>
      <c r="AB713" s="39"/>
    </row>
    <row r="714">
      <c r="A714" s="1"/>
      <c r="B714" s="36"/>
      <c r="C714" s="36"/>
      <c r="D714" s="36"/>
      <c r="E714" s="36"/>
      <c r="F714" s="36"/>
      <c r="G714" s="36"/>
      <c r="H714" s="37"/>
      <c r="I714" s="36"/>
      <c r="J714" s="38"/>
      <c r="K714" s="38"/>
      <c r="L714" s="39"/>
      <c r="M714" s="39"/>
      <c r="N714" s="39"/>
      <c r="O714" s="39"/>
      <c r="P714" s="39"/>
      <c r="Q714" s="39"/>
      <c r="R714" s="39"/>
      <c r="S714" s="39"/>
      <c r="T714" s="39"/>
      <c r="U714" s="39"/>
      <c r="V714" s="39"/>
      <c r="W714" s="39"/>
      <c r="X714" s="39"/>
      <c r="Y714" s="39"/>
      <c r="Z714" s="39"/>
      <c r="AA714" s="39"/>
      <c r="AB714" s="39"/>
    </row>
    <row r="715">
      <c r="A715" s="1"/>
      <c r="B715" s="36"/>
      <c r="C715" s="36"/>
      <c r="D715" s="36"/>
      <c r="E715" s="36"/>
      <c r="F715" s="36"/>
      <c r="G715" s="36"/>
      <c r="H715" s="37"/>
      <c r="I715" s="36"/>
      <c r="J715" s="38"/>
      <c r="K715" s="38"/>
      <c r="L715" s="39"/>
      <c r="M715" s="39"/>
      <c r="N715" s="39"/>
      <c r="O715" s="39"/>
      <c r="P715" s="39"/>
      <c r="Q715" s="39"/>
      <c r="R715" s="39"/>
      <c r="S715" s="39"/>
      <c r="T715" s="39"/>
      <c r="U715" s="39"/>
      <c r="V715" s="39"/>
      <c r="W715" s="39"/>
      <c r="X715" s="39"/>
      <c r="Y715" s="39"/>
      <c r="Z715" s="39"/>
      <c r="AA715" s="39"/>
      <c r="AB715" s="39"/>
    </row>
    <row r="716">
      <c r="A716" s="1"/>
      <c r="B716" s="36"/>
      <c r="C716" s="36"/>
      <c r="D716" s="36"/>
      <c r="E716" s="36"/>
      <c r="F716" s="36"/>
      <c r="G716" s="36"/>
      <c r="H716" s="37"/>
      <c r="I716" s="36"/>
      <c r="J716" s="38"/>
      <c r="K716" s="38"/>
      <c r="L716" s="39"/>
      <c r="M716" s="39"/>
      <c r="N716" s="39"/>
      <c r="O716" s="39"/>
      <c r="P716" s="39"/>
      <c r="Q716" s="39"/>
      <c r="R716" s="39"/>
      <c r="S716" s="39"/>
      <c r="T716" s="39"/>
      <c r="U716" s="39"/>
      <c r="V716" s="39"/>
      <c r="W716" s="39"/>
      <c r="X716" s="39"/>
      <c r="Y716" s="39"/>
      <c r="Z716" s="39"/>
      <c r="AA716" s="39"/>
      <c r="AB716" s="39"/>
    </row>
    <row r="717">
      <c r="A717" s="1"/>
      <c r="B717" s="36"/>
      <c r="C717" s="36"/>
      <c r="D717" s="36"/>
      <c r="E717" s="36"/>
      <c r="F717" s="36"/>
      <c r="G717" s="36"/>
      <c r="H717" s="37"/>
      <c r="I717" s="36"/>
      <c r="J717" s="38"/>
      <c r="K717" s="38"/>
      <c r="L717" s="39"/>
      <c r="M717" s="39"/>
      <c r="N717" s="39"/>
      <c r="O717" s="39"/>
      <c r="P717" s="39"/>
      <c r="Q717" s="39"/>
      <c r="R717" s="39"/>
      <c r="S717" s="39"/>
      <c r="T717" s="39"/>
      <c r="U717" s="39"/>
      <c r="V717" s="39"/>
      <c r="W717" s="39"/>
      <c r="X717" s="39"/>
      <c r="Y717" s="39"/>
      <c r="Z717" s="39"/>
      <c r="AA717" s="39"/>
      <c r="AB717" s="39"/>
    </row>
    <row r="718">
      <c r="A718" s="1"/>
      <c r="B718" s="36"/>
      <c r="C718" s="36"/>
      <c r="D718" s="36"/>
      <c r="E718" s="36"/>
      <c r="F718" s="36"/>
      <c r="G718" s="36"/>
      <c r="H718" s="37"/>
      <c r="I718" s="36"/>
      <c r="J718" s="38"/>
      <c r="K718" s="38"/>
      <c r="L718" s="39"/>
      <c r="M718" s="39"/>
      <c r="N718" s="39"/>
      <c r="O718" s="39"/>
      <c r="P718" s="39"/>
      <c r="Q718" s="39"/>
      <c r="R718" s="39"/>
      <c r="S718" s="39"/>
      <c r="T718" s="39"/>
      <c r="U718" s="39"/>
      <c r="V718" s="39"/>
      <c r="W718" s="39"/>
      <c r="X718" s="39"/>
      <c r="Y718" s="39"/>
      <c r="Z718" s="39"/>
      <c r="AA718" s="39"/>
      <c r="AB718" s="39"/>
    </row>
    <row r="719">
      <c r="A719" s="1"/>
      <c r="B719" s="36"/>
      <c r="C719" s="36"/>
      <c r="D719" s="36"/>
      <c r="E719" s="36"/>
      <c r="F719" s="36"/>
      <c r="G719" s="36"/>
      <c r="H719" s="37"/>
      <c r="I719" s="36"/>
      <c r="J719" s="38"/>
      <c r="K719" s="38"/>
      <c r="L719" s="39"/>
      <c r="M719" s="39"/>
      <c r="N719" s="39"/>
      <c r="O719" s="39"/>
      <c r="P719" s="39"/>
      <c r="Q719" s="39"/>
      <c r="R719" s="39"/>
      <c r="S719" s="39"/>
      <c r="T719" s="39"/>
      <c r="U719" s="39"/>
      <c r="V719" s="39"/>
      <c r="W719" s="39"/>
      <c r="X719" s="39"/>
      <c r="Y719" s="39"/>
      <c r="Z719" s="39"/>
      <c r="AA719" s="39"/>
      <c r="AB719" s="39"/>
    </row>
    <row r="720">
      <c r="A720" s="1"/>
      <c r="B720" s="36"/>
      <c r="C720" s="36"/>
      <c r="D720" s="36"/>
      <c r="E720" s="36"/>
      <c r="F720" s="36"/>
      <c r="G720" s="36"/>
      <c r="H720" s="37"/>
      <c r="I720" s="36"/>
      <c r="J720" s="38"/>
      <c r="K720" s="38"/>
      <c r="L720" s="39"/>
      <c r="M720" s="39"/>
      <c r="N720" s="39"/>
      <c r="O720" s="39"/>
      <c r="P720" s="39"/>
      <c r="Q720" s="39"/>
      <c r="R720" s="39"/>
      <c r="S720" s="39"/>
      <c r="T720" s="39"/>
      <c r="U720" s="39"/>
      <c r="V720" s="39"/>
      <c r="W720" s="39"/>
      <c r="X720" s="39"/>
      <c r="Y720" s="39"/>
      <c r="Z720" s="39"/>
      <c r="AA720" s="39"/>
      <c r="AB720" s="39"/>
    </row>
    <row r="721">
      <c r="A721" s="1"/>
      <c r="B721" s="36"/>
      <c r="C721" s="36"/>
      <c r="D721" s="36"/>
      <c r="E721" s="36"/>
      <c r="F721" s="36"/>
      <c r="G721" s="36"/>
      <c r="H721" s="37"/>
      <c r="I721" s="36"/>
      <c r="J721" s="38"/>
      <c r="K721" s="38"/>
      <c r="L721" s="39"/>
      <c r="M721" s="39"/>
      <c r="N721" s="39"/>
      <c r="O721" s="39"/>
      <c r="P721" s="39"/>
      <c r="Q721" s="39"/>
      <c r="R721" s="39"/>
      <c r="S721" s="39"/>
      <c r="T721" s="39"/>
      <c r="U721" s="39"/>
      <c r="V721" s="39"/>
      <c r="W721" s="39"/>
      <c r="X721" s="39"/>
      <c r="Y721" s="39"/>
      <c r="Z721" s="39"/>
      <c r="AA721" s="39"/>
      <c r="AB721" s="39"/>
    </row>
    <row r="722">
      <c r="A722" s="1"/>
      <c r="B722" s="36"/>
      <c r="C722" s="36"/>
      <c r="D722" s="36"/>
      <c r="E722" s="36"/>
      <c r="F722" s="36"/>
      <c r="G722" s="36"/>
      <c r="H722" s="37"/>
      <c r="I722" s="36"/>
      <c r="J722" s="38"/>
      <c r="K722" s="38"/>
      <c r="L722" s="39"/>
      <c r="M722" s="39"/>
      <c r="N722" s="39"/>
      <c r="O722" s="39"/>
      <c r="P722" s="39"/>
      <c r="Q722" s="39"/>
      <c r="R722" s="39"/>
      <c r="S722" s="39"/>
      <c r="T722" s="39"/>
      <c r="U722" s="39"/>
      <c r="V722" s="39"/>
      <c r="W722" s="39"/>
      <c r="X722" s="39"/>
      <c r="Y722" s="39"/>
      <c r="Z722" s="39"/>
      <c r="AA722" s="39"/>
      <c r="AB722" s="39"/>
    </row>
    <row r="723">
      <c r="A723" s="1"/>
      <c r="B723" s="36"/>
      <c r="C723" s="36"/>
      <c r="D723" s="36"/>
      <c r="E723" s="36"/>
      <c r="F723" s="36"/>
      <c r="G723" s="36"/>
      <c r="H723" s="37"/>
      <c r="I723" s="36"/>
      <c r="J723" s="38"/>
      <c r="K723" s="38"/>
      <c r="L723" s="39"/>
      <c r="M723" s="39"/>
      <c r="N723" s="39"/>
      <c r="O723" s="39"/>
      <c r="P723" s="39"/>
      <c r="Q723" s="39"/>
      <c r="R723" s="39"/>
      <c r="S723" s="39"/>
      <c r="T723" s="39"/>
      <c r="U723" s="39"/>
      <c r="V723" s="39"/>
      <c r="W723" s="39"/>
      <c r="X723" s="39"/>
      <c r="Y723" s="39"/>
      <c r="Z723" s="39"/>
      <c r="AA723" s="39"/>
      <c r="AB723" s="39"/>
    </row>
    <row r="724">
      <c r="A724" s="1"/>
      <c r="B724" s="36"/>
      <c r="C724" s="36"/>
      <c r="D724" s="36"/>
      <c r="E724" s="36"/>
      <c r="F724" s="36"/>
      <c r="G724" s="36"/>
      <c r="H724" s="37"/>
      <c r="I724" s="36"/>
      <c r="J724" s="38"/>
      <c r="K724" s="38"/>
      <c r="L724" s="39"/>
      <c r="M724" s="39"/>
      <c r="N724" s="39"/>
      <c r="O724" s="39"/>
      <c r="P724" s="39"/>
      <c r="Q724" s="39"/>
      <c r="R724" s="39"/>
      <c r="S724" s="39"/>
      <c r="T724" s="39"/>
      <c r="U724" s="39"/>
      <c r="V724" s="39"/>
      <c r="W724" s="39"/>
      <c r="X724" s="39"/>
      <c r="Y724" s="39"/>
      <c r="Z724" s="39"/>
      <c r="AA724" s="39"/>
      <c r="AB724" s="39"/>
    </row>
    <row r="725">
      <c r="A725" s="1"/>
      <c r="B725" s="36"/>
      <c r="C725" s="36"/>
      <c r="D725" s="36"/>
      <c r="E725" s="36"/>
      <c r="F725" s="36"/>
      <c r="G725" s="36"/>
      <c r="H725" s="37"/>
      <c r="I725" s="36"/>
      <c r="J725" s="38"/>
      <c r="K725" s="38"/>
      <c r="L725" s="39"/>
      <c r="M725" s="39"/>
      <c r="N725" s="39"/>
      <c r="O725" s="39"/>
      <c r="P725" s="39"/>
      <c r="Q725" s="39"/>
      <c r="R725" s="39"/>
      <c r="S725" s="39"/>
      <c r="T725" s="39"/>
      <c r="U725" s="39"/>
      <c r="V725" s="39"/>
      <c r="W725" s="39"/>
      <c r="X725" s="39"/>
      <c r="Y725" s="39"/>
      <c r="Z725" s="39"/>
      <c r="AA725" s="39"/>
      <c r="AB725" s="39"/>
    </row>
    <row r="726">
      <c r="A726" s="1"/>
      <c r="B726" s="36"/>
      <c r="C726" s="36"/>
      <c r="D726" s="36"/>
      <c r="E726" s="36"/>
      <c r="F726" s="36"/>
      <c r="G726" s="36"/>
      <c r="H726" s="37"/>
      <c r="I726" s="36"/>
      <c r="J726" s="38"/>
      <c r="K726" s="38"/>
      <c r="L726" s="39"/>
      <c r="M726" s="39"/>
      <c r="N726" s="39"/>
      <c r="O726" s="39"/>
      <c r="P726" s="39"/>
      <c r="Q726" s="39"/>
      <c r="R726" s="39"/>
      <c r="S726" s="39"/>
      <c r="T726" s="39"/>
      <c r="U726" s="39"/>
      <c r="V726" s="39"/>
      <c r="W726" s="39"/>
      <c r="X726" s="39"/>
      <c r="Y726" s="39"/>
      <c r="Z726" s="39"/>
      <c r="AA726" s="39"/>
      <c r="AB726" s="39"/>
    </row>
    <row r="727">
      <c r="A727" s="1"/>
      <c r="B727" s="36"/>
      <c r="C727" s="36"/>
      <c r="D727" s="36"/>
      <c r="E727" s="36"/>
      <c r="F727" s="36"/>
      <c r="G727" s="36"/>
      <c r="H727" s="37"/>
      <c r="I727" s="36"/>
      <c r="J727" s="38"/>
      <c r="K727" s="38"/>
      <c r="L727" s="39"/>
      <c r="M727" s="39"/>
      <c r="N727" s="39"/>
      <c r="O727" s="39"/>
      <c r="P727" s="39"/>
      <c r="Q727" s="39"/>
      <c r="R727" s="39"/>
      <c r="S727" s="39"/>
      <c r="T727" s="39"/>
      <c r="U727" s="39"/>
      <c r="V727" s="39"/>
      <c r="W727" s="39"/>
      <c r="X727" s="39"/>
      <c r="Y727" s="39"/>
      <c r="Z727" s="39"/>
      <c r="AA727" s="39"/>
      <c r="AB727" s="39"/>
    </row>
    <row r="728">
      <c r="A728" s="1"/>
      <c r="B728" s="36"/>
      <c r="C728" s="36"/>
      <c r="D728" s="36"/>
      <c r="E728" s="36"/>
      <c r="F728" s="36"/>
      <c r="G728" s="36"/>
      <c r="H728" s="37"/>
      <c r="I728" s="36"/>
      <c r="J728" s="38"/>
      <c r="K728" s="38"/>
      <c r="L728" s="39"/>
      <c r="M728" s="39"/>
      <c r="N728" s="39"/>
      <c r="O728" s="39"/>
      <c r="P728" s="39"/>
      <c r="Q728" s="39"/>
      <c r="R728" s="39"/>
      <c r="S728" s="39"/>
      <c r="T728" s="39"/>
      <c r="U728" s="39"/>
      <c r="V728" s="39"/>
      <c r="W728" s="39"/>
      <c r="X728" s="39"/>
      <c r="Y728" s="39"/>
      <c r="Z728" s="39"/>
      <c r="AA728" s="39"/>
      <c r="AB728" s="39"/>
    </row>
    <row r="729">
      <c r="A729" s="1"/>
      <c r="B729" s="36"/>
      <c r="C729" s="36"/>
      <c r="D729" s="36"/>
      <c r="E729" s="36"/>
      <c r="F729" s="36"/>
      <c r="G729" s="36"/>
      <c r="H729" s="37"/>
      <c r="I729" s="36"/>
      <c r="J729" s="38"/>
      <c r="K729" s="38"/>
      <c r="L729" s="39"/>
      <c r="M729" s="39"/>
      <c r="N729" s="39"/>
      <c r="O729" s="39"/>
      <c r="P729" s="39"/>
      <c r="Q729" s="39"/>
      <c r="R729" s="39"/>
      <c r="S729" s="39"/>
      <c r="T729" s="39"/>
      <c r="U729" s="39"/>
      <c r="V729" s="39"/>
      <c r="W729" s="39"/>
      <c r="X729" s="39"/>
      <c r="Y729" s="39"/>
      <c r="Z729" s="39"/>
      <c r="AA729" s="39"/>
      <c r="AB729" s="39"/>
    </row>
    <row r="730">
      <c r="A730" s="1"/>
      <c r="B730" s="36"/>
      <c r="C730" s="36"/>
      <c r="D730" s="36"/>
      <c r="E730" s="36"/>
      <c r="F730" s="36"/>
      <c r="G730" s="36"/>
      <c r="H730" s="37"/>
      <c r="I730" s="36"/>
      <c r="J730" s="38"/>
      <c r="K730" s="38"/>
      <c r="L730" s="39"/>
      <c r="M730" s="39"/>
      <c r="N730" s="39"/>
      <c r="O730" s="39"/>
      <c r="P730" s="39"/>
      <c r="Q730" s="39"/>
      <c r="R730" s="39"/>
      <c r="S730" s="39"/>
      <c r="T730" s="39"/>
      <c r="U730" s="39"/>
      <c r="V730" s="39"/>
      <c r="W730" s="39"/>
      <c r="X730" s="39"/>
      <c r="Y730" s="39"/>
      <c r="Z730" s="39"/>
      <c r="AA730" s="39"/>
      <c r="AB730" s="39"/>
    </row>
    <row r="731">
      <c r="A731" s="1"/>
      <c r="B731" s="36"/>
      <c r="C731" s="36"/>
      <c r="D731" s="36"/>
      <c r="E731" s="36"/>
      <c r="F731" s="36"/>
      <c r="G731" s="36"/>
      <c r="H731" s="37"/>
      <c r="I731" s="36"/>
      <c r="J731" s="38"/>
      <c r="K731" s="38"/>
      <c r="L731" s="39"/>
      <c r="M731" s="39"/>
      <c r="N731" s="39"/>
      <c r="O731" s="39"/>
      <c r="P731" s="39"/>
      <c r="Q731" s="39"/>
      <c r="R731" s="39"/>
      <c r="S731" s="39"/>
      <c r="T731" s="39"/>
      <c r="U731" s="39"/>
      <c r="V731" s="39"/>
      <c r="W731" s="39"/>
      <c r="X731" s="39"/>
      <c r="Y731" s="39"/>
      <c r="Z731" s="39"/>
      <c r="AA731" s="39"/>
      <c r="AB731" s="39"/>
    </row>
    <row r="732">
      <c r="A732" s="1"/>
      <c r="B732" s="36"/>
      <c r="C732" s="36"/>
      <c r="D732" s="36"/>
      <c r="E732" s="36"/>
      <c r="F732" s="36"/>
      <c r="G732" s="36"/>
      <c r="H732" s="37"/>
      <c r="I732" s="36"/>
      <c r="J732" s="38"/>
      <c r="K732" s="38"/>
      <c r="L732" s="39"/>
      <c r="M732" s="39"/>
      <c r="N732" s="39"/>
      <c r="O732" s="39"/>
      <c r="P732" s="39"/>
      <c r="Q732" s="39"/>
      <c r="R732" s="39"/>
      <c r="S732" s="39"/>
      <c r="T732" s="39"/>
      <c r="U732" s="39"/>
      <c r="V732" s="39"/>
      <c r="W732" s="39"/>
      <c r="X732" s="39"/>
      <c r="Y732" s="39"/>
      <c r="Z732" s="39"/>
      <c r="AA732" s="39"/>
      <c r="AB732" s="39"/>
    </row>
    <row r="733">
      <c r="A733" s="1"/>
      <c r="B733" s="36"/>
      <c r="C733" s="36"/>
      <c r="D733" s="36"/>
      <c r="E733" s="36"/>
      <c r="F733" s="36"/>
      <c r="G733" s="36"/>
      <c r="H733" s="37"/>
      <c r="I733" s="36"/>
      <c r="J733" s="38"/>
      <c r="K733" s="38"/>
      <c r="L733" s="39"/>
      <c r="M733" s="39"/>
      <c r="N733" s="39"/>
      <c r="O733" s="39"/>
      <c r="P733" s="39"/>
      <c r="Q733" s="39"/>
      <c r="R733" s="39"/>
      <c r="S733" s="39"/>
      <c r="T733" s="39"/>
      <c r="U733" s="39"/>
      <c r="V733" s="39"/>
      <c r="W733" s="39"/>
      <c r="X733" s="39"/>
      <c r="Y733" s="39"/>
      <c r="Z733" s="39"/>
      <c r="AA733" s="39"/>
      <c r="AB733" s="39"/>
    </row>
    <row r="734">
      <c r="A734" s="1"/>
      <c r="B734" s="36"/>
      <c r="C734" s="36"/>
      <c r="D734" s="36"/>
      <c r="E734" s="36"/>
      <c r="F734" s="36"/>
      <c r="G734" s="36"/>
      <c r="H734" s="37"/>
      <c r="I734" s="36"/>
      <c r="J734" s="38"/>
      <c r="K734" s="38"/>
      <c r="L734" s="39"/>
      <c r="M734" s="39"/>
      <c r="N734" s="39"/>
      <c r="O734" s="39"/>
      <c r="P734" s="39"/>
      <c r="Q734" s="39"/>
      <c r="R734" s="39"/>
      <c r="S734" s="39"/>
      <c r="T734" s="39"/>
      <c r="U734" s="39"/>
      <c r="V734" s="39"/>
      <c r="W734" s="39"/>
      <c r="X734" s="39"/>
      <c r="Y734" s="39"/>
      <c r="Z734" s="39"/>
      <c r="AA734" s="39"/>
      <c r="AB734" s="39"/>
    </row>
    <row r="735">
      <c r="A735" s="1"/>
      <c r="B735" s="36"/>
      <c r="C735" s="36"/>
      <c r="D735" s="36"/>
      <c r="E735" s="36"/>
      <c r="F735" s="36"/>
      <c r="G735" s="36"/>
      <c r="H735" s="37"/>
      <c r="I735" s="36"/>
      <c r="J735" s="38"/>
      <c r="K735" s="38"/>
      <c r="L735" s="39"/>
      <c r="M735" s="39"/>
      <c r="N735" s="39"/>
      <c r="O735" s="39"/>
      <c r="P735" s="39"/>
      <c r="Q735" s="39"/>
      <c r="R735" s="39"/>
      <c r="S735" s="39"/>
      <c r="T735" s="39"/>
      <c r="U735" s="39"/>
      <c r="V735" s="39"/>
      <c r="W735" s="39"/>
      <c r="X735" s="39"/>
      <c r="Y735" s="39"/>
      <c r="Z735" s="39"/>
      <c r="AA735" s="39"/>
      <c r="AB735" s="39"/>
    </row>
    <row r="736">
      <c r="A736" s="1"/>
      <c r="B736" s="36"/>
      <c r="C736" s="36"/>
      <c r="D736" s="36"/>
      <c r="E736" s="36"/>
      <c r="F736" s="36"/>
      <c r="G736" s="36"/>
      <c r="H736" s="37"/>
      <c r="I736" s="36"/>
      <c r="J736" s="38"/>
      <c r="K736" s="38"/>
      <c r="L736" s="39"/>
      <c r="M736" s="39"/>
      <c r="N736" s="39"/>
      <c r="O736" s="39"/>
      <c r="P736" s="39"/>
      <c r="Q736" s="39"/>
      <c r="R736" s="39"/>
      <c r="S736" s="39"/>
      <c r="T736" s="39"/>
      <c r="U736" s="39"/>
      <c r="V736" s="39"/>
      <c r="W736" s="39"/>
      <c r="X736" s="39"/>
      <c r="Y736" s="39"/>
      <c r="Z736" s="39"/>
      <c r="AA736" s="39"/>
      <c r="AB736" s="39"/>
    </row>
    <row r="737">
      <c r="A737" s="1"/>
      <c r="B737" s="36"/>
      <c r="C737" s="36"/>
      <c r="D737" s="36"/>
      <c r="E737" s="36"/>
      <c r="F737" s="36"/>
      <c r="G737" s="36"/>
      <c r="H737" s="37"/>
      <c r="I737" s="36"/>
      <c r="J737" s="38"/>
      <c r="K737" s="38"/>
      <c r="L737" s="39"/>
      <c r="M737" s="39"/>
      <c r="N737" s="39"/>
      <c r="O737" s="39"/>
      <c r="P737" s="39"/>
      <c r="Q737" s="39"/>
      <c r="R737" s="39"/>
      <c r="S737" s="39"/>
      <c r="T737" s="39"/>
      <c r="U737" s="39"/>
      <c r="V737" s="39"/>
      <c r="W737" s="39"/>
      <c r="X737" s="39"/>
      <c r="Y737" s="39"/>
      <c r="Z737" s="39"/>
      <c r="AA737" s="39"/>
      <c r="AB737" s="39"/>
    </row>
    <row r="738">
      <c r="A738" s="1"/>
      <c r="B738" s="36"/>
      <c r="C738" s="36"/>
      <c r="D738" s="36"/>
      <c r="E738" s="36"/>
      <c r="F738" s="36"/>
      <c r="G738" s="36"/>
      <c r="H738" s="37"/>
      <c r="I738" s="36"/>
      <c r="J738" s="38"/>
      <c r="K738" s="38"/>
      <c r="L738" s="39"/>
      <c r="M738" s="39"/>
      <c r="N738" s="39"/>
      <c r="O738" s="39"/>
      <c r="P738" s="39"/>
      <c r="Q738" s="39"/>
      <c r="R738" s="39"/>
      <c r="S738" s="39"/>
      <c r="T738" s="39"/>
      <c r="U738" s="39"/>
      <c r="V738" s="39"/>
      <c r="W738" s="39"/>
      <c r="X738" s="39"/>
      <c r="Y738" s="39"/>
      <c r="Z738" s="39"/>
      <c r="AA738" s="39"/>
      <c r="AB738" s="39"/>
    </row>
    <row r="739">
      <c r="A739" s="1"/>
      <c r="B739" s="36"/>
      <c r="C739" s="36"/>
      <c r="D739" s="36"/>
      <c r="E739" s="36"/>
      <c r="F739" s="36"/>
      <c r="G739" s="36"/>
      <c r="H739" s="37"/>
      <c r="I739" s="36"/>
      <c r="J739" s="38"/>
      <c r="K739" s="38"/>
      <c r="L739" s="39"/>
      <c r="M739" s="39"/>
      <c r="N739" s="39"/>
      <c r="O739" s="39"/>
      <c r="P739" s="39"/>
      <c r="Q739" s="39"/>
      <c r="R739" s="39"/>
      <c r="S739" s="39"/>
      <c r="T739" s="39"/>
      <c r="U739" s="39"/>
      <c r="V739" s="39"/>
      <c r="W739" s="39"/>
      <c r="X739" s="39"/>
      <c r="Y739" s="39"/>
      <c r="Z739" s="39"/>
      <c r="AA739" s="39"/>
      <c r="AB739" s="39"/>
    </row>
    <row r="740">
      <c r="A740" s="1"/>
      <c r="B740" s="36"/>
      <c r="C740" s="36"/>
      <c r="D740" s="36"/>
      <c r="E740" s="36"/>
      <c r="F740" s="36"/>
      <c r="G740" s="36"/>
      <c r="H740" s="37"/>
      <c r="I740" s="36"/>
      <c r="J740" s="38"/>
      <c r="K740" s="38"/>
      <c r="L740" s="39"/>
      <c r="M740" s="39"/>
      <c r="N740" s="39"/>
      <c r="O740" s="39"/>
      <c r="P740" s="39"/>
      <c r="Q740" s="39"/>
      <c r="R740" s="39"/>
      <c r="S740" s="39"/>
      <c r="T740" s="39"/>
      <c r="U740" s="39"/>
      <c r="V740" s="39"/>
      <c r="W740" s="39"/>
      <c r="X740" s="39"/>
      <c r="Y740" s="39"/>
      <c r="Z740" s="39"/>
      <c r="AA740" s="39"/>
      <c r="AB740" s="39"/>
    </row>
    <row r="741">
      <c r="A741" s="1"/>
      <c r="B741" s="36"/>
      <c r="C741" s="36"/>
      <c r="D741" s="36"/>
      <c r="E741" s="36"/>
      <c r="F741" s="36"/>
      <c r="G741" s="36"/>
      <c r="H741" s="37"/>
      <c r="I741" s="36"/>
      <c r="J741" s="38"/>
      <c r="K741" s="38"/>
      <c r="L741" s="39"/>
      <c r="M741" s="39"/>
      <c r="N741" s="39"/>
      <c r="O741" s="39"/>
      <c r="P741" s="39"/>
      <c r="Q741" s="39"/>
      <c r="R741" s="39"/>
      <c r="S741" s="39"/>
      <c r="T741" s="39"/>
      <c r="U741" s="39"/>
      <c r="V741" s="39"/>
      <c r="W741" s="39"/>
      <c r="X741" s="39"/>
      <c r="Y741" s="39"/>
      <c r="Z741" s="39"/>
      <c r="AA741" s="39"/>
      <c r="AB741" s="39"/>
    </row>
    <row r="742">
      <c r="A742" s="1"/>
      <c r="B742" s="36"/>
      <c r="C742" s="36"/>
      <c r="D742" s="36"/>
      <c r="E742" s="36"/>
      <c r="F742" s="36"/>
      <c r="G742" s="36"/>
      <c r="H742" s="37"/>
      <c r="I742" s="36"/>
      <c r="J742" s="38"/>
      <c r="K742" s="38"/>
      <c r="L742" s="39"/>
      <c r="M742" s="39"/>
      <c r="N742" s="39"/>
      <c r="O742" s="39"/>
      <c r="P742" s="39"/>
      <c r="Q742" s="39"/>
      <c r="R742" s="39"/>
      <c r="S742" s="39"/>
      <c r="T742" s="39"/>
      <c r="U742" s="39"/>
      <c r="V742" s="39"/>
      <c r="W742" s="39"/>
      <c r="X742" s="39"/>
      <c r="Y742" s="39"/>
      <c r="Z742" s="39"/>
      <c r="AA742" s="39"/>
      <c r="AB742" s="39"/>
    </row>
    <row r="743">
      <c r="A743" s="1"/>
      <c r="B743" s="36"/>
      <c r="C743" s="36"/>
      <c r="D743" s="36"/>
      <c r="E743" s="36"/>
      <c r="F743" s="36"/>
      <c r="G743" s="36"/>
      <c r="H743" s="37"/>
      <c r="I743" s="36"/>
      <c r="J743" s="38"/>
      <c r="K743" s="38"/>
      <c r="L743" s="39"/>
      <c r="M743" s="39"/>
      <c r="N743" s="39"/>
      <c r="O743" s="39"/>
      <c r="P743" s="39"/>
      <c r="Q743" s="39"/>
      <c r="R743" s="39"/>
      <c r="S743" s="39"/>
      <c r="T743" s="39"/>
      <c r="U743" s="39"/>
      <c r="V743" s="39"/>
      <c r="W743" s="39"/>
      <c r="X743" s="39"/>
      <c r="Y743" s="39"/>
      <c r="Z743" s="39"/>
      <c r="AA743" s="39"/>
      <c r="AB743" s="39"/>
    </row>
    <row r="744">
      <c r="A744" s="1"/>
      <c r="B744" s="36"/>
      <c r="C744" s="36"/>
      <c r="D744" s="36"/>
      <c r="E744" s="36"/>
      <c r="F744" s="36"/>
      <c r="G744" s="36"/>
      <c r="H744" s="37"/>
      <c r="I744" s="36"/>
      <c r="J744" s="38"/>
      <c r="K744" s="38"/>
      <c r="L744" s="39"/>
      <c r="M744" s="39"/>
      <c r="N744" s="39"/>
      <c r="O744" s="39"/>
      <c r="P744" s="39"/>
      <c r="Q744" s="39"/>
      <c r="R744" s="39"/>
      <c r="S744" s="39"/>
      <c r="T744" s="39"/>
      <c r="U744" s="39"/>
      <c r="V744" s="39"/>
      <c r="W744" s="39"/>
      <c r="X744" s="39"/>
      <c r="Y744" s="39"/>
      <c r="Z744" s="39"/>
      <c r="AA744" s="39"/>
      <c r="AB744" s="39"/>
    </row>
    <row r="745">
      <c r="A745" s="1"/>
      <c r="B745" s="36"/>
      <c r="C745" s="36"/>
      <c r="D745" s="36"/>
      <c r="E745" s="36"/>
      <c r="F745" s="36"/>
      <c r="G745" s="36"/>
      <c r="H745" s="37"/>
      <c r="I745" s="36"/>
      <c r="J745" s="38"/>
      <c r="K745" s="38"/>
      <c r="L745" s="39"/>
      <c r="M745" s="39"/>
      <c r="N745" s="39"/>
      <c r="O745" s="39"/>
      <c r="P745" s="39"/>
      <c r="Q745" s="39"/>
      <c r="R745" s="39"/>
      <c r="S745" s="39"/>
      <c r="T745" s="39"/>
      <c r="U745" s="39"/>
      <c r="V745" s="39"/>
      <c r="W745" s="39"/>
      <c r="X745" s="39"/>
      <c r="Y745" s="39"/>
      <c r="Z745" s="39"/>
      <c r="AA745" s="39"/>
      <c r="AB745" s="39"/>
    </row>
    <row r="746">
      <c r="A746" s="1"/>
      <c r="B746" s="36"/>
      <c r="C746" s="36"/>
      <c r="D746" s="36"/>
      <c r="E746" s="36"/>
      <c r="F746" s="36"/>
      <c r="G746" s="36"/>
      <c r="H746" s="37"/>
      <c r="I746" s="36"/>
      <c r="J746" s="38"/>
      <c r="K746" s="38"/>
      <c r="L746" s="39"/>
      <c r="M746" s="39"/>
      <c r="N746" s="39"/>
      <c r="O746" s="39"/>
      <c r="P746" s="39"/>
      <c r="Q746" s="39"/>
      <c r="R746" s="39"/>
      <c r="S746" s="39"/>
      <c r="T746" s="39"/>
      <c r="U746" s="39"/>
      <c r="V746" s="39"/>
      <c r="W746" s="39"/>
      <c r="X746" s="39"/>
      <c r="Y746" s="39"/>
      <c r="Z746" s="39"/>
      <c r="AA746" s="39"/>
      <c r="AB746" s="39"/>
    </row>
    <row r="747">
      <c r="A747" s="1"/>
      <c r="B747" s="36"/>
      <c r="C747" s="36"/>
      <c r="D747" s="36"/>
      <c r="E747" s="36"/>
      <c r="F747" s="36"/>
      <c r="G747" s="36"/>
      <c r="H747" s="37"/>
      <c r="I747" s="36"/>
      <c r="J747" s="38"/>
      <c r="K747" s="38"/>
      <c r="L747" s="39"/>
      <c r="M747" s="39"/>
      <c r="N747" s="39"/>
      <c r="O747" s="39"/>
      <c r="P747" s="39"/>
      <c r="Q747" s="39"/>
      <c r="R747" s="39"/>
      <c r="S747" s="39"/>
      <c r="T747" s="39"/>
      <c r="U747" s="39"/>
      <c r="V747" s="39"/>
      <c r="W747" s="39"/>
      <c r="X747" s="39"/>
      <c r="Y747" s="39"/>
      <c r="Z747" s="39"/>
      <c r="AA747" s="39"/>
      <c r="AB747" s="39"/>
    </row>
    <row r="748">
      <c r="A748" s="1"/>
      <c r="B748" s="36"/>
      <c r="C748" s="36"/>
      <c r="D748" s="36"/>
      <c r="E748" s="36"/>
      <c r="F748" s="36"/>
      <c r="G748" s="36"/>
      <c r="H748" s="37"/>
      <c r="I748" s="36"/>
      <c r="J748" s="38"/>
      <c r="K748" s="38"/>
      <c r="L748" s="39"/>
      <c r="M748" s="39"/>
      <c r="N748" s="39"/>
      <c r="O748" s="39"/>
      <c r="P748" s="39"/>
      <c r="Q748" s="39"/>
      <c r="R748" s="39"/>
      <c r="S748" s="39"/>
      <c r="T748" s="39"/>
      <c r="U748" s="39"/>
      <c r="V748" s="39"/>
      <c r="W748" s="39"/>
      <c r="X748" s="39"/>
      <c r="Y748" s="39"/>
      <c r="Z748" s="39"/>
      <c r="AA748" s="39"/>
      <c r="AB748" s="39"/>
    </row>
    <row r="749">
      <c r="A749" s="1"/>
      <c r="B749" s="36"/>
      <c r="C749" s="36"/>
      <c r="D749" s="36"/>
      <c r="E749" s="36"/>
      <c r="F749" s="36"/>
      <c r="G749" s="36"/>
      <c r="H749" s="37"/>
      <c r="I749" s="36"/>
      <c r="J749" s="38"/>
      <c r="K749" s="38"/>
      <c r="L749" s="39"/>
      <c r="M749" s="39"/>
      <c r="N749" s="39"/>
      <c r="O749" s="39"/>
      <c r="P749" s="39"/>
      <c r="Q749" s="39"/>
      <c r="R749" s="39"/>
      <c r="S749" s="39"/>
      <c r="T749" s="39"/>
      <c r="U749" s="39"/>
      <c r="V749" s="39"/>
      <c r="W749" s="39"/>
      <c r="X749" s="39"/>
      <c r="Y749" s="39"/>
      <c r="Z749" s="39"/>
      <c r="AA749" s="39"/>
      <c r="AB749" s="39"/>
    </row>
    <row r="750">
      <c r="A750" s="1"/>
      <c r="B750" s="36"/>
      <c r="C750" s="36"/>
      <c r="D750" s="36"/>
      <c r="E750" s="36"/>
      <c r="F750" s="36"/>
      <c r="G750" s="36"/>
      <c r="H750" s="37"/>
      <c r="I750" s="36"/>
      <c r="J750" s="38"/>
      <c r="K750" s="38"/>
      <c r="L750" s="39"/>
      <c r="M750" s="39"/>
      <c r="N750" s="39"/>
      <c r="O750" s="39"/>
      <c r="P750" s="39"/>
      <c r="Q750" s="39"/>
      <c r="R750" s="39"/>
      <c r="S750" s="39"/>
      <c r="T750" s="39"/>
      <c r="U750" s="39"/>
      <c r="V750" s="39"/>
      <c r="W750" s="39"/>
      <c r="X750" s="39"/>
      <c r="Y750" s="39"/>
      <c r="Z750" s="39"/>
      <c r="AA750" s="39"/>
      <c r="AB750" s="39"/>
    </row>
    <row r="751">
      <c r="A751" s="1"/>
      <c r="B751" s="36"/>
      <c r="C751" s="36"/>
      <c r="D751" s="36"/>
      <c r="E751" s="36"/>
      <c r="F751" s="36"/>
      <c r="G751" s="36"/>
      <c r="H751" s="37"/>
      <c r="I751" s="36"/>
      <c r="J751" s="38"/>
      <c r="K751" s="38"/>
      <c r="L751" s="39"/>
      <c r="M751" s="39"/>
      <c r="N751" s="39"/>
      <c r="O751" s="39"/>
      <c r="P751" s="39"/>
      <c r="Q751" s="39"/>
      <c r="R751" s="39"/>
      <c r="S751" s="39"/>
      <c r="T751" s="39"/>
      <c r="U751" s="39"/>
      <c r="V751" s="39"/>
      <c r="W751" s="39"/>
      <c r="X751" s="39"/>
      <c r="Y751" s="39"/>
      <c r="Z751" s="39"/>
      <c r="AA751" s="39"/>
      <c r="AB751" s="39"/>
    </row>
    <row r="752">
      <c r="A752" s="1"/>
      <c r="B752" s="36"/>
      <c r="C752" s="36"/>
      <c r="D752" s="36"/>
      <c r="E752" s="36"/>
      <c r="F752" s="36"/>
      <c r="G752" s="36"/>
      <c r="H752" s="37"/>
      <c r="I752" s="36"/>
      <c r="J752" s="38"/>
      <c r="K752" s="38"/>
      <c r="L752" s="39"/>
      <c r="M752" s="39"/>
      <c r="N752" s="39"/>
      <c r="O752" s="39"/>
      <c r="P752" s="39"/>
      <c r="Q752" s="39"/>
      <c r="R752" s="39"/>
      <c r="S752" s="39"/>
      <c r="T752" s="39"/>
      <c r="U752" s="39"/>
      <c r="V752" s="39"/>
      <c r="W752" s="39"/>
      <c r="X752" s="39"/>
      <c r="Y752" s="39"/>
      <c r="Z752" s="39"/>
      <c r="AA752" s="39"/>
      <c r="AB752" s="39"/>
    </row>
    <row r="753">
      <c r="A753" s="1"/>
      <c r="B753" s="36"/>
      <c r="C753" s="36"/>
      <c r="D753" s="36"/>
      <c r="E753" s="36"/>
      <c r="F753" s="36"/>
      <c r="G753" s="36"/>
      <c r="H753" s="37"/>
      <c r="I753" s="36"/>
      <c r="J753" s="38"/>
      <c r="K753" s="38"/>
      <c r="L753" s="39"/>
      <c r="M753" s="39"/>
      <c r="N753" s="39"/>
      <c r="O753" s="39"/>
      <c r="P753" s="39"/>
      <c r="Q753" s="39"/>
      <c r="R753" s="39"/>
      <c r="S753" s="39"/>
      <c r="T753" s="39"/>
      <c r="U753" s="39"/>
      <c r="V753" s="39"/>
      <c r="W753" s="39"/>
      <c r="X753" s="39"/>
      <c r="Y753" s="39"/>
      <c r="Z753" s="39"/>
      <c r="AA753" s="39"/>
      <c r="AB753" s="39"/>
    </row>
    <row r="754">
      <c r="A754" s="1"/>
      <c r="B754" s="36"/>
      <c r="C754" s="36"/>
      <c r="D754" s="36"/>
      <c r="E754" s="36"/>
      <c r="F754" s="36"/>
      <c r="G754" s="36"/>
      <c r="H754" s="37"/>
      <c r="I754" s="36"/>
      <c r="J754" s="38"/>
      <c r="K754" s="38"/>
      <c r="L754" s="39"/>
      <c r="M754" s="39"/>
      <c r="N754" s="39"/>
      <c r="O754" s="39"/>
      <c r="P754" s="39"/>
      <c r="Q754" s="39"/>
      <c r="R754" s="39"/>
      <c r="S754" s="39"/>
      <c r="T754" s="39"/>
      <c r="U754" s="39"/>
      <c r="V754" s="39"/>
      <c r="W754" s="39"/>
      <c r="X754" s="39"/>
      <c r="Y754" s="39"/>
      <c r="Z754" s="39"/>
      <c r="AA754" s="39"/>
      <c r="AB754" s="39"/>
    </row>
    <row r="755">
      <c r="A755" s="1"/>
      <c r="B755" s="36"/>
      <c r="C755" s="36"/>
      <c r="D755" s="36"/>
      <c r="E755" s="36"/>
      <c r="F755" s="36"/>
      <c r="G755" s="36"/>
      <c r="H755" s="37"/>
      <c r="I755" s="36"/>
      <c r="J755" s="38"/>
      <c r="K755" s="38"/>
      <c r="L755" s="39"/>
      <c r="M755" s="39"/>
      <c r="N755" s="39"/>
      <c r="O755" s="39"/>
      <c r="P755" s="39"/>
      <c r="Q755" s="39"/>
      <c r="R755" s="39"/>
      <c r="S755" s="39"/>
      <c r="T755" s="39"/>
      <c r="U755" s="39"/>
      <c r="V755" s="39"/>
      <c r="W755" s="39"/>
      <c r="X755" s="39"/>
      <c r="Y755" s="39"/>
      <c r="Z755" s="39"/>
      <c r="AA755" s="39"/>
      <c r="AB755" s="39"/>
    </row>
    <row r="756">
      <c r="A756" s="1"/>
      <c r="B756" s="36"/>
      <c r="C756" s="36"/>
      <c r="D756" s="36"/>
      <c r="E756" s="36"/>
      <c r="F756" s="36"/>
      <c r="G756" s="36"/>
      <c r="H756" s="37"/>
      <c r="I756" s="36"/>
      <c r="J756" s="38"/>
      <c r="K756" s="38"/>
      <c r="L756" s="39"/>
      <c r="M756" s="39"/>
      <c r="N756" s="39"/>
      <c r="O756" s="39"/>
      <c r="P756" s="39"/>
      <c r="Q756" s="39"/>
      <c r="R756" s="39"/>
      <c r="S756" s="39"/>
      <c r="T756" s="39"/>
      <c r="U756" s="39"/>
      <c r="V756" s="39"/>
      <c r="W756" s="39"/>
      <c r="X756" s="39"/>
      <c r="Y756" s="39"/>
      <c r="Z756" s="39"/>
      <c r="AA756" s="39"/>
      <c r="AB756" s="39"/>
    </row>
    <row r="757">
      <c r="A757" s="1"/>
      <c r="B757" s="36"/>
      <c r="C757" s="36"/>
      <c r="D757" s="36"/>
      <c r="E757" s="36"/>
      <c r="F757" s="36"/>
      <c r="G757" s="36"/>
      <c r="H757" s="37"/>
      <c r="I757" s="36"/>
      <c r="J757" s="38"/>
      <c r="K757" s="38"/>
      <c r="L757" s="39"/>
      <c r="M757" s="39"/>
      <c r="N757" s="39"/>
      <c r="O757" s="39"/>
      <c r="P757" s="39"/>
      <c r="Q757" s="39"/>
      <c r="R757" s="39"/>
      <c r="S757" s="39"/>
      <c r="T757" s="39"/>
      <c r="U757" s="39"/>
      <c r="V757" s="39"/>
      <c r="W757" s="39"/>
      <c r="X757" s="39"/>
      <c r="Y757" s="39"/>
      <c r="Z757" s="39"/>
      <c r="AA757" s="39"/>
      <c r="AB757" s="39"/>
    </row>
    <row r="758">
      <c r="A758" s="1"/>
      <c r="B758" s="36"/>
      <c r="C758" s="36"/>
      <c r="D758" s="36"/>
      <c r="E758" s="36"/>
      <c r="F758" s="36"/>
      <c r="G758" s="36"/>
      <c r="H758" s="37"/>
      <c r="I758" s="36"/>
      <c r="J758" s="38"/>
      <c r="K758" s="38"/>
      <c r="L758" s="39"/>
      <c r="M758" s="39"/>
      <c r="N758" s="39"/>
      <c r="O758" s="39"/>
      <c r="P758" s="39"/>
      <c r="Q758" s="39"/>
      <c r="R758" s="39"/>
      <c r="S758" s="39"/>
      <c r="T758" s="39"/>
      <c r="U758" s="39"/>
      <c r="V758" s="39"/>
      <c r="W758" s="39"/>
      <c r="X758" s="39"/>
      <c r="Y758" s="39"/>
      <c r="Z758" s="39"/>
      <c r="AA758" s="39"/>
      <c r="AB758" s="39"/>
    </row>
    <row r="759">
      <c r="A759" s="1"/>
      <c r="B759" s="36"/>
      <c r="C759" s="36"/>
      <c r="D759" s="36"/>
      <c r="E759" s="36"/>
      <c r="F759" s="36"/>
      <c r="G759" s="36"/>
      <c r="H759" s="37"/>
      <c r="I759" s="36"/>
      <c r="J759" s="38"/>
      <c r="K759" s="38"/>
      <c r="L759" s="39"/>
      <c r="M759" s="39"/>
      <c r="N759" s="39"/>
      <c r="O759" s="39"/>
      <c r="P759" s="39"/>
      <c r="Q759" s="39"/>
      <c r="R759" s="39"/>
      <c r="S759" s="39"/>
      <c r="T759" s="39"/>
      <c r="U759" s="39"/>
      <c r="V759" s="39"/>
      <c r="W759" s="39"/>
      <c r="X759" s="39"/>
      <c r="Y759" s="39"/>
      <c r="Z759" s="39"/>
      <c r="AA759" s="39"/>
      <c r="AB759" s="39"/>
    </row>
    <row r="760">
      <c r="A760" s="1"/>
      <c r="B760" s="36"/>
      <c r="C760" s="36"/>
      <c r="D760" s="36"/>
      <c r="E760" s="36"/>
      <c r="F760" s="36"/>
      <c r="G760" s="36"/>
      <c r="H760" s="37"/>
      <c r="I760" s="36"/>
      <c r="J760" s="38"/>
      <c r="K760" s="38"/>
      <c r="L760" s="39"/>
      <c r="M760" s="39"/>
      <c r="N760" s="39"/>
      <c r="O760" s="39"/>
      <c r="P760" s="39"/>
      <c r="Q760" s="39"/>
      <c r="R760" s="39"/>
      <c r="S760" s="39"/>
      <c r="T760" s="39"/>
      <c r="U760" s="39"/>
      <c r="V760" s="39"/>
      <c r="W760" s="39"/>
      <c r="X760" s="39"/>
      <c r="Y760" s="39"/>
      <c r="Z760" s="39"/>
      <c r="AA760" s="39"/>
      <c r="AB760" s="39"/>
    </row>
    <row r="761">
      <c r="A761" s="1"/>
      <c r="B761" s="36"/>
      <c r="C761" s="36"/>
      <c r="D761" s="36"/>
      <c r="E761" s="36"/>
      <c r="F761" s="36"/>
      <c r="G761" s="36"/>
      <c r="H761" s="37"/>
      <c r="I761" s="36"/>
      <c r="J761" s="38"/>
      <c r="K761" s="38"/>
      <c r="L761" s="39"/>
      <c r="M761" s="39"/>
      <c r="N761" s="39"/>
      <c r="O761" s="39"/>
      <c r="P761" s="39"/>
      <c r="Q761" s="39"/>
      <c r="R761" s="39"/>
      <c r="S761" s="39"/>
      <c r="T761" s="39"/>
      <c r="U761" s="39"/>
      <c r="V761" s="39"/>
      <c r="W761" s="39"/>
      <c r="X761" s="39"/>
      <c r="Y761" s="39"/>
      <c r="Z761" s="39"/>
      <c r="AA761" s="39"/>
      <c r="AB761" s="39"/>
    </row>
    <row r="762">
      <c r="A762" s="1"/>
      <c r="B762" s="36"/>
      <c r="C762" s="36"/>
      <c r="D762" s="36"/>
      <c r="E762" s="36"/>
      <c r="F762" s="36"/>
      <c r="G762" s="36"/>
      <c r="H762" s="37"/>
      <c r="I762" s="36"/>
      <c r="J762" s="38"/>
      <c r="K762" s="38"/>
      <c r="L762" s="39"/>
      <c r="M762" s="39"/>
      <c r="N762" s="39"/>
      <c r="O762" s="39"/>
      <c r="P762" s="39"/>
      <c r="Q762" s="39"/>
      <c r="R762" s="39"/>
      <c r="S762" s="39"/>
      <c r="T762" s="39"/>
      <c r="U762" s="39"/>
      <c r="V762" s="39"/>
      <c r="W762" s="39"/>
      <c r="X762" s="39"/>
      <c r="Y762" s="39"/>
      <c r="Z762" s="39"/>
      <c r="AA762" s="39"/>
      <c r="AB762" s="39"/>
    </row>
    <row r="763">
      <c r="A763" s="1"/>
      <c r="B763" s="36"/>
      <c r="C763" s="36"/>
      <c r="D763" s="36"/>
      <c r="E763" s="36"/>
      <c r="F763" s="36"/>
      <c r="G763" s="36"/>
      <c r="H763" s="37"/>
      <c r="I763" s="36"/>
      <c r="J763" s="38"/>
      <c r="K763" s="38"/>
      <c r="L763" s="39"/>
      <c r="M763" s="39"/>
      <c r="N763" s="39"/>
      <c r="O763" s="39"/>
      <c r="P763" s="39"/>
      <c r="Q763" s="39"/>
      <c r="R763" s="39"/>
      <c r="S763" s="39"/>
      <c r="T763" s="39"/>
      <c r="U763" s="39"/>
      <c r="V763" s="39"/>
      <c r="W763" s="39"/>
      <c r="X763" s="39"/>
      <c r="Y763" s="39"/>
      <c r="Z763" s="39"/>
      <c r="AA763" s="39"/>
      <c r="AB763" s="39"/>
    </row>
    <row r="764">
      <c r="A764" s="1"/>
      <c r="B764" s="36"/>
      <c r="C764" s="36"/>
      <c r="D764" s="36"/>
      <c r="E764" s="36"/>
      <c r="F764" s="36"/>
      <c r="G764" s="36"/>
      <c r="H764" s="37"/>
      <c r="I764" s="36"/>
      <c r="J764" s="38"/>
      <c r="K764" s="38"/>
      <c r="L764" s="39"/>
      <c r="M764" s="39"/>
      <c r="N764" s="39"/>
      <c r="O764" s="39"/>
      <c r="P764" s="39"/>
      <c r="Q764" s="39"/>
      <c r="R764" s="39"/>
      <c r="S764" s="39"/>
      <c r="T764" s="39"/>
      <c r="U764" s="39"/>
      <c r="V764" s="39"/>
      <c r="W764" s="39"/>
      <c r="X764" s="39"/>
      <c r="Y764" s="39"/>
      <c r="Z764" s="39"/>
      <c r="AA764" s="39"/>
      <c r="AB764" s="39"/>
    </row>
    <row r="765">
      <c r="A765" s="1"/>
      <c r="B765" s="36"/>
      <c r="C765" s="36"/>
      <c r="D765" s="36"/>
      <c r="E765" s="36"/>
      <c r="F765" s="36"/>
      <c r="G765" s="36"/>
      <c r="H765" s="37"/>
      <c r="I765" s="36"/>
      <c r="J765" s="38"/>
      <c r="K765" s="38"/>
      <c r="L765" s="39"/>
      <c r="M765" s="39"/>
      <c r="N765" s="39"/>
      <c r="O765" s="39"/>
      <c r="P765" s="39"/>
      <c r="Q765" s="39"/>
      <c r="R765" s="39"/>
      <c r="S765" s="39"/>
      <c r="T765" s="39"/>
      <c r="U765" s="39"/>
      <c r="V765" s="39"/>
      <c r="W765" s="39"/>
      <c r="X765" s="39"/>
      <c r="Y765" s="39"/>
      <c r="Z765" s="39"/>
      <c r="AA765" s="39"/>
      <c r="AB765" s="39"/>
    </row>
    <row r="766">
      <c r="A766" s="1"/>
      <c r="B766" s="36"/>
      <c r="C766" s="36"/>
      <c r="D766" s="36"/>
      <c r="E766" s="36"/>
      <c r="F766" s="36"/>
      <c r="G766" s="36"/>
      <c r="H766" s="37"/>
      <c r="I766" s="36"/>
      <c r="J766" s="38"/>
      <c r="K766" s="38"/>
      <c r="L766" s="39"/>
      <c r="M766" s="39"/>
      <c r="N766" s="39"/>
      <c r="O766" s="39"/>
      <c r="P766" s="39"/>
      <c r="Q766" s="39"/>
      <c r="R766" s="39"/>
      <c r="S766" s="39"/>
      <c r="T766" s="39"/>
      <c r="U766" s="39"/>
      <c r="V766" s="39"/>
      <c r="W766" s="39"/>
      <c r="X766" s="39"/>
      <c r="Y766" s="39"/>
      <c r="Z766" s="39"/>
      <c r="AA766" s="39"/>
      <c r="AB766" s="39"/>
    </row>
    <row r="767">
      <c r="A767" s="1"/>
      <c r="B767" s="36"/>
      <c r="C767" s="36"/>
      <c r="D767" s="36"/>
      <c r="E767" s="36"/>
      <c r="F767" s="36"/>
      <c r="G767" s="36"/>
      <c r="H767" s="37"/>
      <c r="I767" s="36"/>
      <c r="J767" s="38"/>
      <c r="K767" s="38"/>
      <c r="L767" s="39"/>
      <c r="M767" s="39"/>
      <c r="N767" s="39"/>
      <c r="O767" s="39"/>
      <c r="P767" s="39"/>
      <c r="Q767" s="39"/>
      <c r="R767" s="39"/>
      <c r="S767" s="39"/>
      <c r="T767" s="39"/>
      <c r="U767" s="39"/>
      <c r="V767" s="39"/>
      <c r="W767" s="39"/>
      <c r="X767" s="39"/>
      <c r="Y767" s="39"/>
      <c r="Z767" s="39"/>
      <c r="AA767" s="39"/>
      <c r="AB767" s="39"/>
    </row>
    <row r="768">
      <c r="A768" s="1"/>
      <c r="B768" s="36"/>
      <c r="C768" s="36"/>
      <c r="D768" s="36"/>
      <c r="E768" s="36"/>
      <c r="F768" s="36"/>
      <c r="G768" s="36"/>
      <c r="H768" s="37"/>
      <c r="I768" s="36"/>
      <c r="J768" s="38"/>
      <c r="K768" s="38"/>
      <c r="L768" s="39"/>
      <c r="M768" s="39"/>
      <c r="N768" s="39"/>
      <c r="O768" s="39"/>
      <c r="P768" s="39"/>
      <c r="Q768" s="39"/>
      <c r="R768" s="39"/>
      <c r="S768" s="39"/>
      <c r="T768" s="39"/>
      <c r="U768" s="39"/>
      <c r="V768" s="39"/>
      <c r="W768" s="39"/>
      <c r="X768" s="39"/>
      <c r="Y768" s="39"/>
      <c r="Z768" s="39"/>
      <c r="AA768" s="39"/>
      <c r="AB768" s="39"/>
    </row>
    <row r="769">
      <c r="A769" s="1"/>
      <c r="B769" s="36"/>
      <c r="C769" s="36"/>
      <c r="D769" s="36"/>
      <c r="E769" s="36"/>
      <c r="F769" s="36"/>
      <c r="G769" s="36"/>
      <c r="H769" s="37"/>
      <c r="I769" s="36"/>
      <c r="J769" s="38"/>
      <c r="K769" s="38"/>
      <c r="L769" s="39"/>
      <c r="M769" s="39"/>
      <c r="N769" s="39"/>
      <c r="O769" s="39"/>
      <c r="P769" s="39"/>
      <c r="Q769" s="39"/>
      <c r="R769" s="39"/>
      <c r="S769" s="39"/>
      <c r="T769" s="39"/>
      <c r="U769" s="39"/>
      <c r="V769" s="39"/>
      <c r="W769" s="39"/>
      <c r="X769" s="39"/>
      <c r="Y769" s="39"/>
      <c r="Z769" s="39"/>
      <c r="AA769" s="39"/>
      <c r="AB769" s="39"/>
    </row>
    <row r="770">
      <c r="A770" s="1"/>
      <c r="B770" s="36"/>
      <c r="C770" s="36"/>
      <c r="D770" s="36"/>
      <c r="E770" s="36"/>
      <c r="F770" s="36"/>
      <c r="G770" s="36"/>
      <c r="H770" s="37"/>
      <c r="I770" s="36"/>
      <c r="J770" s="38"/>
      <c r="K770" s="38"/>
      <c r="L770" s="39"/>
      <c r="M770" s="39"/>
      <c r="N770" s="39"/>
      <c r="O770" s="39"/>
      <c r="P770" s="39"/>
      <c r="Q770" s="39"/>
      <c r="R770" s="39"/>
      <c r="S770" s="39"/>
      <c r="T770" s="39"/>
      <c r="U770" s="39"/>
      <c r="V770" s="39"/>
      <c r="W770" s="39"/>
      <c r="X770" s="39"/>
      <c r="Y770" s="39"/>
      <c r="Z770" s="39"/>
      <c r="AA770" s="39"/>
      <c r="AB770" s="39"/>
    </row>
    <row r="771">
      <c r="A771" s="1"/>
      <c r="B771" s="36"/>
      <c r="C771" s="36"/>
      <c r="D771" s="36"/>
      <c r="E771" s="36"/>
      <c r="F771" s="36"/>
      <c r="G771" s="36"/>
      <c r="H771" s="37"/>
      <c r="I771" s="36"/>
      <c r="J771" s="38"/>
      <c r="K771" s="38"/>
      <c r="L771" s="39"/>
      <c r="M771" s="39"/>
      <c r="N771" s="39"/>
      <c r="O771" s="39"/>
      <c r="P771" s="39"/>
      <c r="Q771" s="39"/>
      <c r="R771" s="39"/>
      <c r="S771" s="39"/>
      <c r="T771" s="39"/>
      <c r="U771" s="39"/>
      <c r="V771" s="39"/>
      <c r="W771" s="39"/>
      <c r="X771" s="39"/>
      <c r="Y771" s="39"/>
      <c r="Z771" s="39"/>
      <c r="AA771" s="39"/>
      <c r="AB771" s="39"/>
    </row>
    <row r="772">
      <c r="A772" s="1"/>
      <c r="B772" s="36"/>
      <c r="C772" s="36"/>
      <c r="D772" s="36"/>
      <c r="E772" s="36"/>
      <c r="F772" s="36"/>
      <c r="G772" s="36"/>
      <c r="H772" s="37"/>
      <c r="I772" s="36"/>
      <c r="J772" s="38"/>
      <c r="K772" s="38"/>
      <c r="L772" s="39"/>
      <c r="M772" s="39"/>
      <c r="N772" s="39"/>
      <c r="O772" s="39"/>
      <c r="P772" s="39"/>
      <c r="Q772" s="39"/>
      <c r="R772" s="39"/>
      <c r="S772" s="39"/>
      <c r="T772" s="39"/>
      <c r="U772" s="39"/>
      <c r="V772" s="39"/>
      <c r="W772" s="39"/>
      <c r="X772" s="39"/>
      <c r="Y772" s="39"/>
      <c r="Z772" s="39"/>
      <c r="AA772" s="39"/>
      <c r="AB772" s="39"/>
    </row>
    <row r="773">
      <c r="A773" s="1"/>
      <c r="B773" s="36"/>
      <c r="C773" s="36"/>
      <c r="D773" s="36"/>
      <c r="E773" s="36"/>
      <c r="F773" s="36"/>
      <c r="G773" s="36"/>
      <c r="H773" s="37"/>
      <c r="I773" s="36"/>
      <c r="J773" s="38"/>
      <c r="K773" s="38"/>
      <c r="L773" s="39"/>
      <c r="M773" s="39"/>
      <c r="N773" s="39"/>
      <c r="O773" s="39"/>
      <c r="P773" s="39"/>
      <c r="Q773" s="39"/>
      <c r="R773" s="39"/>
      <c r="S773" s="39"/>
      <c r="T773" s="39"/>
      <c r="U773" s="39"/>
      <c r="V773" s="39"/>
      <c r="W773" s="39"/>
      <c r="X773" s="39"/>
      <c r="Y773" s="39"/>
      <c r="Z773" s="39"/>
      <c r="AA773" s="39"/>
      <c r="AB773" s="39"/>
    </row>
    <row r="774">
      <c r="A774" s="1"/>
      <c r="B774" s="36"/>
      <c r="C774" s="36"/>
      <c r="D774" s="36"/>
      <c r="E774" s="36"/>
      <c r="F774" s="36"/>
      <c r="G774" s="36"/>
      <c r="H774" s="37"/>
      <c r="I774" s="36"/>
      <c r="J774" s="38"/>
      <c r="K774" s="38"/>
      <c r="L774" s="39"/>
      <c r="M774" s="39"/>
      <c r="N774" s="39"/>
      <c r="O774" s="39"/>
      <c r="P774" s="39"/>
      <c r="Q774" s="39"/>
      <c r="R774" s="39"/>
      <c r="S774" s="39"/>
      <c r="T774" s="39"/>
      <c r="U774" s="39"/>
      <c r="V774" s="39"/>
      <c r="W774" s="39"/>
      <c r="X774" s="39"/>
      <c r="Y774" s="39"/>
      <c r="Z774" s="39"/>
      <c r="AA774" s="39"/>
      <c r="AB774" s="39"/>
    </row>
    <row r="775">
      <c r="A775" s="1"/>
      <c r="B775" s="36"/>
      <c r="C775" s="36"/>
      <c r="D775" s="36"/>
      <c r="E775" s="36"/>
      <c r="F775" s="36"/>
      <c r="G775" s="36"/>
      <c r="H775" s="37"/>
      <c r="I775" s="36"/>
      <c r="J775" s="38"/>
      <c r="K775" s="38"/>
      <c r="L775" s="39"/>
      <c r="M775" s="39"/>
      <c r="N775" s="39"/>
      <c r="O775" s="39"/>
      <c r="P775" s="39"/>
      <c r="Q775" s="39"/>
      <c r="R775" s="39"/>
      <c r="S775" s="39"/>
      <c r="T775" s="39"/>
      <c r="U775" s="39"/>
      <c r="V775" s="39"/>
      <c r="W775" s="39"/>
      <c r="X775" s="39"/>
      <c r="Y775" s="39"/>
      <c r="Z775" s="39"/>
      <c r="AA775" s="39"/>
      <c r="AB775" s="39"/>
    </row>
    <row r="776">
      <c r="A776" s="1"/>
      <c r="B776" s="36"/>
      <c r="C776" s="36"/>
      <c r="D776" s="36"/>
      <c r="E776" s="36"/>
      <c r="F776" s="36"/>
      <c r="G776" s="36"/>
      <c r="H776" s="37"/>
      <c r="I776" s="36"/>
      <c r="J776" s="38"/>
      <c r="K776" s="38"/>
      <c r="L776" s="39"/>
      <c r="M776" s="39"/>
      <c r="N776" s="39"/>
      <c r="O776" s="39"/>
      <c r="P776" s="39"/>
      <c r="Q776" s="39"/>
      <c r="R776" s="39"/>
      <c r="S776" s="39"/>
      <c r="T776" s="39"/>
      <c r="U776" s="39"/>
      <c r="V776" s="39"/>
      <c r="W776" s="39"/>
      <c r="X776" s="39"/>
      <c r="Y776" s="39"/>
      <c r="Z776" s="39"/>
      <c r="AA776" s="39"/>
      <c r="AB776" s="39"/>
    </row>
    <row r="777">
      <c r="A777" s="1"/>
      <c r="B777" s="36"/>
      <c r="C777" s="36"/>
      <c r="D777" s="36"/>
      <c r="E777" s="36"/>
      <c r="F777" s="36"/>
      <c r="G777" s="36"/>
      <c r="H777" s="37"/>
      <c r="I777" s="36"/>
      <c r="J777" s="38"/>
      <c r="K777" s="38"/>
      <c r="L777" s="39"/>
      <c r="M777" s="39"/>
      <c r="N777" s="39"/>
      <c r="O777" s="39"/>
      <c r="P777" s="39"/>
      <c r="Q777" s="39"/>
      <c r="R777" s="39"/>
      <c r="S777" s="39"/>
      <c r="T777" s="39"/>
      <c r="U777" s="39"/>
      <c r="V777" s="39"/>
      <c r="W777" s="39"/>
      <c r="X777" s="39"/>
      <c r="Y777" s="39"/>
      <c r="Z777" s="39"/>
      <c r="AA777" s="39"/>
      <c r="AB777" s="39"/>
    </row>
    <row r="778">
      <c r="A778" s="1"/>
      <c r="B778" s="36"/>
      <c r="C778" s="36"/>
      <c r="D778" s="36"/>
      <c r="E778" s="36"/>
      <c r="F778" s="36"/>
      <c r="G778" s="36"/>
      <c r="H778" s="37"/>
      <c r="I778" s="36"/>
      <c r="J778" s="38"/>
      <c r="K778" s="38"/>
      <c r="L778" s="39"/>
      <c r="M778" s="39"/>
      <c r="N778" s="39"/>
      <c r="O778" s="39"/>
      <c r="P778" s="39"/>
      <c r="Q778" s="39"/>
      <c r="R778" s="39"/>
      <c r="S778" s="39"/>
      <c r="T778" s="39"/>
      <c r="U778" s="39"/>
      <c r="V778" s="39"/>
      <c r="W778" s="39"/>
      <c r="X778" s="39"/>
      <c r="Y778" s="39"/>
      <c r="Z778" s="39"/>
      <c r="AA778" s="39"/>
      <c r="AB778" s="39"/>
    </row>
    <row r="779">
      <c r="A779" s="1"/>
      <c r="B779" s="36"/>
      <c r="C779" s="36"/>
      <c r="D779" s="36"/>
      <c r="E779" s="36"/>
      <c r="F779" s="36"/>
      <c r="G779" s="36"/>
      <c r="H779" s="37"/>
      <c r="I779" s="36"/>
      <c r="J779" s="38"/>
      <c r="K779" s="38"/>
      <c r="L779" s="39"/>
      <c r="M779" s="39"/>
      <c r="N779" s="39"/>
      <c r="O779" s="39"/>
      <c r="P779" s="39"/>
      <c r="Q779" s="39"/>
      <c r="R779" s="39"/>
      <c r="S779" s="39"/>
      <c r="T779" s="39"/>
      <c r="U779" s="39"/>
      <c r="V779" s="39"/>
      <c r="W779" s="39"/>
      <c r="X779" s="39"/>
      <c r="Y779" s="39"/>
      <c r="Z779" s="39"/>
      <c r="AA779" s="39"/>
      <c r="AB779" s="39"/>
    </row>
    <row r="780">
      <c r="A780" s="1"/>
      <c r="B780" s="36"/>
      <c r="C780" s="36"/>
      <c r="D780" s="36"/>
      <c r="E780" s="36"/>
      <c r="F780" s="36"/>
      <c r="G780" s="36"/>
      <c r="H780" s="37"/>
      <c r="I780" s="36"/>
      <c r="J780" s="38"/>
      <c r="K780" s="38"/>
      <c r="L780" s="39"/>
      <c r="M780" s="39"/>
      <c r="N780" s="39"/>
      <c r="O780" s="39"/>
      <c r="P780" s="39"/>
      <c r="Q780" s="39"/>
      <c r="R780" s="39"/>
      <c r="S780" s="39"/>
      <c r="T780" s="39"/>
      <c r="U780" s="39"/>
      <c r="V780" s="39"/>
      <c r="W780" s="39"/>
      <c r="X780" s="39"/>
      <c r="Y780" s="39"/>
      <c r="Z780" s="39"/>
      <c r="AA780" s="39"/>
      <c r="AB780" s="39"/>
    </row>
    <row r="781">
      <c r="A781" s="1"/>
      <c r="B781" s="36"/>
      <c r="C781" s="36"/>
      <c r="D781" s="36"/>
      <c r="E781" s="36"/>
      <c r="F781" s="36"/>
      <c r="G781" s="36"/>
      <c r="H781" s="37"/>
      <c r="I781" s="36"/>
      <c r="J781" s="38"/>
      <c r="K781" s="38"/>
      <c r="L781" s="39"/>
      <c r="M781" s="39"/>
      <c r="N781" s="39"/>
      <c r="O781" s="39"/>
      <c r="P781" s="39"/>
      <c r="Q781" s="39"/>
      <c r="R781" s="39"/>
      <c r="S781" s="39"/>
      <c r="T781" s="39"/>
      <c r="U781" s="39"/>
      <c r="V781" s="39"/>
      <c r="W781" s="39"/>
      <c r="X781" s="39"/>
      <c r="Y781" s="39"/>
      <c r="Z781" s="39"/>
      <c r="AA781" s="39"/>
      <c r="AB781" s="39"/>
    </row>
    <row r="782">
      <c r="A782" s="1"/>
      <c r="B782" s="36"/>
      <c r="C782" s="36"/>
      <c r="D782" s="36"/>
      <c r="E782" s="36"/>
      <c r="F782" s="36"/>
      <c r="G782" s="36"/>
      <c r="H782" s="37"/>
      <c r="I782" s="36"/>
      <c r="J782" s="38"/>
      <c r="K782" s="38"/>
      <c r="L782" s="39"/>
      <c r="M782" s="39"/>
      <c r="N782" s="39"/>
      <c r="O782" s="39"/>
      <c r="P782" s="39"/>
      <c r="Q782" s="39"/>
      <c r="R782" s="39"/>
      <c r="S782" s="39"/>
      <c r="T782" s="39"/>
      <c r="U782" s="39"/>
      <c r="V782" s="39"/>
      <c r="W782" s="39"/>
      <c r="X782" s="39"/>
      <c r="Y782" s="39"/>
      <c r="Z782" s="39"/>
      <c r="AA782" s="39"/>
      <c r="AB782" s="39"/>
    </row>
    <row r="783">
      <c r="A783" s="1"/>
      <c r="B783" s="36"/>
      <c r="C783" s="36"/>
      <c r="D783" s="36"/>
      <c r="E783" s="36"/>
      <c r="F783" s="36"/>
      <c r="G783" s="36"/>
      <c r="H783" s="37"/>
      <c r="I783" s="36"/>
      <c r="J783" s="38"/>
      <c r="K783" s="38"/>
      <c r="L783" s="39"/>
      <c r="M783" s="39"/>
      <c r="N783" s="39"/>
      <c r="O783" s="39"/>
      <c r="P783" s="39"/>
      <c r="Q783" s="39"/>
      <c r="R783" s="39"/>
      <c r="S783" s="39"/>
      <c r="T783" s="39"/>
      <c r="U783" s="39"/>
      <c r="V783" s="39"/>
      <c r="W783" s="39"/>
      <c r="X783" s="39"/>
      <c r="Y783" s="39"/>
      <c r="Z783" s="39"/>
      <c r="AA783" s="39"/>
      <c r="AB783" s="39"/>
    </row>
    <row r="784">
      <c r="A784" s="1"/>
      <c r="B784" s="36"/>
      <c r="C784" s="36"/>
      <c r="D784" s="36"/>
      <c r="E784" s="36"/>
      <c r="F784" s="36"/>
      <c r="G784" s="36"/>
      <c r="H784" s="37"/>
      <c r="I784" s="36"/>
      <c r="J784" s="38"/>
      <c r="K784" s="38"/>
      <c r="L784" s="39"/>
      <c r="M784" s="39"/>
      <c r="N784" s="39"/>
      <c r="O784" s="39"/>
      <c r="P784" s="39"/>
      <c r="Q784" s="39"/>
      <c r="R784" s="39"/>
      <c r="S784" s="39"/>
      <c r="T784" s="39"/>
      <c r="U784" s="39"/>
      <c r="V784" s="39"/>
      <c r="W784" s="39"/>
      <c r="X784" s="39"/>
      <c r="Y784" s="39"/>
      <c r="Z784" s="39"/>
      <c r="AA784" s="39"/>
      <c r="AB784" s="39"/>
    </row>
    <row r="785">
      <c r="A785" s="1"/>
      <c r="B785" s="36"/>
      <c r="C785" s="36"/>
      <c r="D785" s="36"/>
      <c r="E785" s="36"/>
      <c r="F785" s="36"/>
      <c r="G785" s="36"/>
      <c r="H785" s="37"/>
      <c r="I785" s="36"/>
      <c r="J785" s="38"/>
      <c r="K785" s="38"/>
      <c r="L785" s="39"/>
      <c r="M785" s="39"/>
      <c r="N785" s="39"/>
      <c r="O785" s="39"/>
      <c r="P785" s="39"/>
      <c r="Q785" s="39"/>
      <c r="R785" s="39"/>
      <c r="S785" s="39"/>
      <c r="T785" s="39"/>
      <c r="U785" s="39"/>
      <c r="V785" s="39"/>
      <c r="W785" s="39"/>
      <c r="X785" s="39"/>
      <c r="Y785" s="39"/>
      <c r="Z785" s="39"/>
      <c r="AA785" s="39"/>
      <c r="AB785" s="39"/>
    </row>
    <row r="786">
      <c r="A786" s="1"/>
      <c r="B786" s="36"/>
      <c r="C786" s="36"/>
      <c r="D786" s="36"/>
      <c r="E786" s="36"/>
      <c r="F786" s="36"/>
      <c r="G786" s="36"/>
      <c r="H786" s="37"/>
      <c r="I786" s="36"/>
      <c r="J786" s="38"/>
      <c r="K786" s="38"/>
      <c r="L786" s="39"/>
      <c r="M786" s="39"/>
      <c r="N786" s="39"/>
      <c r="O786" s="39"/>
      <c r="P786" s="39"/>
      <c r="Q786" s="39"/>
      <c r="R786" s="39"/>
      <c r="S786" s="39"/>
      <c r="T786" s="39"/>
      <c r="U786" s="39"/>
      <c r="V786" s="39"/>
      <c r="W786" s="39"/>
      <c r="X786" s="39"/>
      <c r="Y786" s="39"/>
      <c r="Z786" s="39"/>
      <c r="AA786" s="39"/>
      <c r="AB786" s="39"/>
    </row>
    <row r="787">
      <c r="A787" s="1"/>
      <c r="B787" s="36"/>
      <c r="C787" s="36"/>
      <c r="D787" s="36"/>
      <c r="E787" s="36"/>
      <c r="F787" s="36"/>
      <c r="G787" s="36"/>
      <c r="H787" s="37"/>
      <c r="I787" s="36"/>
      <c r="J787" s="38"/>
      <c r="K787" s="38"/>
      <c r="L787" s="39"/>
      <c r="M787" s="39"/>
      <c r="N787" s="39"/>
      <c r="O787" s="39"/>
      <c r="P787" s="39"/>
      <c r="Q787" s="39"/>
      <c r="R787" s="39"/>
      <c r="S787" s="39"/>
      <c r="T787" s="39"/>
      <c r="U787" s="39"/>
      <c r="V787" s="39"/>
      <c r="W787" s="39"/>
      <c r="X787" s="39"/>
      <c r="Y787" s="39"/>
      <c r="Z787" s="39"/>
      <c r="AA787" s="39"/>
      <c r="AB787" s="39"/>
    </row>
    <row r="788">
      <c r="A788" s="1"/>
      <c r="B788" s="36"/>
      <c r="C788" s="36"/>
      <c r="D788" s="36"/>
      <c r="E788" s="36"/>
      <c r="F788" s="36"/>
      <c r="G788" s="36"/>
      <c r="H788" s="37"/>
      <c r="I788" s="36"/>
      <c r="J788" s="38"/>
      <c r="K788" s="38"/>
      <c r="L788" s="39"/>
      <c r="M788" s="39"/>
      <c r="N788" s="39"/>
      <c r="O788" s="39"/>
      <c r="P788" s="39"/>
      <c r="Q788" s="39"/>
      <c r="R788" s="39"/>
      <c r="S788" s="39"/>
      <c r="T788" s="39"/>
      <c r="U788" s="39"/>
      <c r="V788" s="39"/>
      <c r="W788" s="39"/>
      <c r="X788" s="39"/>
      <c r="Y788" s="39"/>
      <c r="Z788" s="39"/>
      <c r="AA788" s="39"/>
      <c r="AB788" s="39"/>
    </row>
    <row r="789">
      <c r="A789" s="1"/>
      <c r="B789" s="36"/>
      <c r="C789" s="36"/>
      <c r="D789" s="36"/>
      <c r="E789" s="36"/>
      <c r="F789" s="36"/>
      <c r="G789" s="36"/>
      <c r="H789" s="37"/>
      <c r="I789" s="36"/>
      <c r="J789" s="38"/>
      <c r="K789" s="38"/>
      <c r="L789" s="39"/>
      <c r="M789" s="39"/>
      <c r="N789" s="39"/>
      <c r="O789" s="39"/>
      <c r="P789" s="39"/>
      <c r="Q789" s="39"/>
      <c r="R789" s="39"/>
      <c r="S789" s="39"/>
      <c r="T789" s="39"/>
      <c r="U789" s="39"/>
      <c r="V789" s="39"/>
      <c r="W789" s="39"/>
      <c r="X789" s="39"/>
      <c r="Y789" s="39"/>
      <c r="Z789" s="39"/>
      <c r="AA789" s="39"/>
      <c r="AB789" s="39"/>
    </row>
    <row r="790">
      <c r="A790" s="1"/>
      <c r="B790" s="36"/>
      <c r="C790" s="36"/>
      <c r="D790" s="36"/>
      <c r="E790" s="36"/>
      <c r="F790" s="36"/>
      <c r="G790" s="36"/>
      <c r="H790" s="37"/>
      <c r="I790" s="36"/>
      <c r="J790" s="38"/>
      <c r="K790" s="38"/>
      <c r="L790" s="39"/>
      <c r="M790" s="39"/>
      <c r="N790" s="39"/>
      <c r="O790" s="39"/>
      <c r="P790" s="39"/>
      <c r="Q790" s="39"/>
      <c r="R790" s="39"/>
      <c r="S790" s="39"/>
      <c r="T790" s="39"/>
      <c r="U790" s="39"/>
      <c r="V790" s="39"/>
      <c r="W790" s="39"/>
      <c r="X790" s="39"/>
      <c r="Y790" s="39"/>
      <c r="Z790" s="39"/>
      <c r="AA790" s="39"/>
      <c r="AB790" s="39"/>
    </row>
    <row r="791">
      <c r="A791" s="1"/>
      <c r="B791" s="36"/>
      <c r="C791" s="36"/>
      <c r="D791" s="36"/>
      <c r="E791" s="36"/>
      <c r="F791" s="36"/>
      <c r="G791" s="36"/>
      <c r="H791" s="37"/>
      <c r="I791" s="36"/>
      <c r="J791" s="38"/>
      <c r="K791" s="38"/>
      <c r="L791" s="39"/>
      <c r="M791" s="39"/>
      <c r="N791" s="39"/>
      <c r="O791" s="39"/>
      <c r="P791" s="39"/>
      <c r="Q791" s="39"/>
      <c r="R791" s="39"/>
      <c r="S791" s="39"/>
      <c r="T791" s="39"/>
      <c r="U791" s="39"/>
      <c r="V791" s="39"/>
      <c r="W791" s="39"/>
      <c r="X791" s="39"/>
      <c r="Y791" s="39"/>
      <c r="Z791" s="39"/>
      <c r="AA791" s="39"/>
      <c r="AB791" s="39"/>
    </row>
    <row r="792">
      <c r="A792" s="1"/>
      <c r="B792" s="36"/>
      <c r="C792" s="36"/>
      <c r="D792" s="36"/>
      <c r="E792" s="36"/>
      <c r="F792" s="36"/>
      <c r="G792" s="36"/>
      <c r="H792" s="37"/>
      <c r="I792" s="36"/>
      <c r="J792" s="38"/>
      <c r="K792" s="38"/>
      <c r="L792" s="39"/>
      <c r="M792" s="39"/>
      <c r="N792" s="39"/>
      <c r="O792" s="39"/>
      <c r="P792" s="39"/>
      <c r="Q792" s="39"/>
      <c r="R792" s="39"/>
      <c r="S792" s="39"/>
      <c r="T792" s="39"/>
      <c r="U792" s="39"/>
      <c r="V792" s="39"/>
      <c r="W792" s="39"/>
      <c r="X792" s="39"/>
      <c r="Y792" s="39"/>
      <c r="Z792" s="39"/>
      <c r="AA792" s="39"/>
      <c r="AB792" s="39"/>
    </row>
    <row r="793">
      <c r="A793" s="1"/>
      <c r="B793" s="36"/>
      <c r="C793" s="36"/>
      <c r="D793" s="36"/>
      <c r="E793" s="36"/>
      <c r="F793" s="36"/>
      <c r="G793" s="36"/>
      <c r="H793" s="37"/>
      <c r="I793" s="36"/>
      <c r="J793" s="38"/>
      <c r="K793" s="38"/>
      <c r="L793" s="39"/>
      <c r="M793" s="39"/>
      <c r="N793" s="39"/>
      <c r="O793" s="39"/>
      <c r="P793" s="39"/>
      <c r="Q793" s="39"/>
      <c r="R793" s="39"/>
      <c r="S793" s="39"/>
      <c r="T793" s="39"/>
      <c r="U793" s="39"/>
      <c r="V793" s="39"/>
      <c r="W793" s="39"/>
      <c r="X793" s="39"/>
      <c r="Y793" s="39"/>
      <c r="Z793" s="39"/>
      <c r="AA793" s="39"/>
      <c r="AB793" s="39"/>
    </row>
    <row r="794">
      <c r="A794" s="1"/>
      <c r="B794" s="36"/>
      <c r="C794" s="36"/>
      <c r="D794" s="36"/>
      <c r="E794" s="36"/>
      <c r="F794" s="36"/>
      <c r="G794" s="36"/>
      <c r="H794" s="37"/>
      <c r="I794" s="36"/>
      <c r="J794" s="38"/>
      <c r="K794" s="38"/>
      <c r="L794" s="39"/>
      <c r="M794" s="39"/>
      <c r="N794" s="39"/>
      <c r="O794" s="39"/>
      <c r="P794" s="39"/>
      <c r="Q794" s="39"/>
      <c r="R794" s="39"/>
      <c r="S794" s="39"/>
      <c r="T794" s="39"/>
      <c r="U794" s="39"/>
      <c r="V794" s="39"/>
      <c r="W794" s="39"/>
      <c r="X794" s="39"/>
      <c r="Y794" s="39"/>
      <c r="Z794" s="39"/>
      <c r="AA794" s="39"/>
      <c r="AB794" s="39"/>
    </row>
    <row r="795">
      <c r="A795" s="1"/>
      <c r="B795" s="36"/>
      <c r="C795" s="36"/>
      <c r="D795" s="36"/>
      <c r="E795" s="36"/>
      <c r="F795" s="36"/>
      <c r="G795" s="36"/>
      <c r="H795" s="37"/>
      <c r="I795" s="36"/>
      <c r="J795" s="38"/>
      <c r="K795" s="38"/>
      <c r="L795" s="39"/>
      <c r="M795" s="39"/>
      <c r="N795" s="39"/>
      <c r="O795" s="39"/>
      <c r="P795" s="39"/>
      <c r="Q795" s="39"/>
      <c r="R795" s="39"/>
      <c r="S795" s="39"/>
      <c r="T795" s="39"/>
      <c r="U795" s="39"/>
      <c r="V795" s="39"/>
      <c r="W795" s="39"/>
      <c r="X795" s="39"/>
      <c r="Y795" s="39"/>
      <c r="Z795" s="39"/>
      <c r="AA795" s="39"/>
      <c r="AB795" s="39"/>
    </row>
    <row r="796">
      <c r="A796" s="1"/>
      <c r="B796" s="36"/>
      <c r="C796" s="36"/>
      <c r="D796" s="36"/>
      <c r="E796" s="36"/>
      <c r="F796" s="36"/>
      <c r="G796" s="36"/>
      <c r="H796" s="37"/>
      <c r="I796" s="36"/>
      <c r="J796" s="38"/>
      <c r="K796" s="38"/>
      <c r="L796" s="39"/>
      <c r="M796" s="39"/>
      <c r="N796" s="39"/>
      <c r="O796" s="39"/>
      <c r="P796" s="39"/>
      <c r="Q796" s="39"/>
      <c r="R796" s="39"/>
      <c r="S796" s="39"/>
      <c r="T796" s="39"/>
      <c r="U796" s="39"/>
      <c r="V796" s="39"/>
      <c r="W796" s="39"/>
      <c r="X796" s="39"/>
      <c r="Y796" s="39"/>
      <c r="Z796" s="39"/>
      <c r="AA796" s="39"/>
      <c r="AB796" s="39"/>
    </row>
    <row r="797">
      <c r="A797" s="1"/>
      <c r="B797" s="36"/>
      <c r="C797" s="36"/>
      <c r="D797" s="36"/>
      <c r="E797" s="36"/>
      <c r="F797" s="36"/>
      <c r="G797" s="36"/>
      <c r="H797" s="37"/>
      <c r="I797" s="36"/>
      <c r="J797" s="38"/>
      <c r="K797" s="38"/>
      <c r="L797" s="39"/>
      <c r="M797" s="39"/>
      <c r="N797" s="39"/>
      <c r="O797" s="39"/>
      <c r="P797" s="39"/>
      <c r="Q797" s="39"/>
      <c r="R797" s="39"/>
      <c r="S797" s="39"/>
      <c r="T797" s="39"/>
      <c r="U797" s="39"/>
      <c r="V797" s="39"/>
      <c r="W797" s="39"/>
      <c r="X797" s="39"/>
      <c r="Y797" s="39"/>
      <c r="Z797" s="39"/>
      <c r="AA797" s="39"/>
      <c r="AB797" s="39"/>
    </row>
    <row r="798">
      <c r="A798" s="1"/>
      <c r="B798" s="36"/>
      <c r="C798" s="36"/>
      <c r="D798" s="36"/>
      <c r="E798" s="36"/>
      <c r="F798" s="36"/>
      <c r="G798" s="36"/>
      <c r="H798" s="37"/>
      <c r="I798" s="36"/>
      <c r="J798" s="38"/>
      <c r="K798" s="38"/>
      <c r="L798" s="39"/>
      <c r="M798" s="39"/>
      <c r="N798" s="39"/>
      <c r="O798" s="39"/>
      <c r="P798" s="39"/>
      <c r="Q798" s="39"/>
      <c r="R798" s="39"/>
      <c r="S798" s="39"/>
      <c r="T798" s="39"/>
      <c r="U798" s="39"/>
      <c r="V798" s="39"/>
      <c r="W798" s="39"/>
      <c r="X798" s="39"/>
      <c r="Y798" s="39"/>
      <c r="Z798" s="39"/>
      <c r="AA798" s="39"/>
      <c r="AB798" s="39"/>
    </row>
    <row r="799">
      <c r="A799" s="1"/>
      <c r="B799" s="36"/>
      <c r="C799" s="36"/>
      <c r="D799" s="36"/>
      <c r="E799" s="36"/>
      <c r="F799" s="36"/>
      <c r="G799" s="36"/>
      <c r="H799" s="37"/>
      <c r="I799" s="36"/>
      <c r="J799" s="38"/>
      <c r="K799" s="38"/>
      <c r="L799" s="39"/>
      <c r="M799" s="39"/>
      <c r="N799" s="39"/>
      <c r="O799" s="39"/>
      <c r="P799" s="39"/>
      <c r="Q799" s="39"/>
      <c r="R799" s="39"/>
      <c r="S799" s="39"/>
      <c r="T799" s="39"/>
      <c r="U799" s="39"/>
      <c r="V799" s="39"/>
      <c r="W799" s="39"/>
      <c r="X799" s="39"/>
      <c r="Y799" s="39"/>
      <c r="Z799" s="39"/>
      <c r="AA799" s="39"/>
      <c r="AB799" s="39"/>
    </row>
    <row r="800">
      <c r="A800" s="1"/>
      <c r="B800" s="36"/>
      <c r="C800" s="36"/>
      <c r="D800" s="36"/>
      <c r="E800" s="36"/>
      <c r="F800" s="36"/>
      <c r="G800" s="36"/>
      <c r="H800" s="37"/>
      <c r="I800" s="36"/>
      <c r="J800" s="38"/>
      <c r="K800" s="38"/>
      <c r="L800" s="39"/>
      <c r="M800" s="39"/>
      <c r="N800" s="39"/>
      <c r="O800" s="39"/>
      <c r="P800" s="39"/>
      <c r="Q800" s="39"/>
      <c r="R800" s="39"/>
      <c r="S800" s="39"/>
      <c r="T800" s="39"/>
      <c r="U800" s="39"/>
      <c r="V800" s="39"/>
      <c r="W800" s="39"/>
      <c r="X800" s="39"/>
      <c r="Y800" s="39"/>
      <c r="Z800" s="39"/>
      <c r="AA800" s="39"/>
      <c r="AB800" s="39"/>
    </row>
    <row r="801">
      <c r="A801" s="1"/>
      <c r="B801" s="36"/>
      <c r="C801" s="36"/>
      <c r="D801" s="36"/>
      <c r="E801" s="36"/>
      <c r="F801" s="36"/>
      <c r="G801" s="36"/>
      <c r="H801" s="37"/>
      <c r="I801" s="36"/>
      <c r="J801" s="38"/>
      <c r="K801" s="38"/>
      <c r="L801" s="39"/>
      <c r="M801" s="39"/>
      <c r="N801" s="39"/>
      <c r="O801" s="39"/>
      <c r="P801" s="39"/>
      <c r="Q801" s="39"/>
      <c r="R801" s="39"/>
      <c r="S801" s="39"/>
      <c r="T801" s="39"/>
      <c r="U801" s="39"/>
      <c r="V801" s="39"/>
      <c r="W801" s="39"/>
      <c r="X801" s="39"/>
      <c r="Y801" s="39"/>
      <c r="Z801" s="39"/>
      <c r="AA801" s="39"/>
      <c r="AB801" s="39"/>
    </row>
    <row r="802">
      <c r="A802" s="1"/>
      <c r="B802" s="36"/>
      <c r="C802" s="36"/>
      <c r="D802" s="36"/>
      <c r="E802" s="36"/>
      <c r="F802" s="36"/>
      <c r="G802" s="36"/>
      <c r="H802" s="37"/>
      <c r="I802" s="36"/>
      <c r="J802" s="38"/>
      <c r="K802" s="38"/>
      <c r="L802" s="39"/>
      <c r="M802" s="39"/>
      <c r="N802" s="39"/>
      <c r="O802" s="39"/>
      <c r="P802" s="39"/>
      <c r="Q802" s="39"/>
      <c r="R802" s="39"/>
      <c r="S802" s="39"/>
      <c r="T802" s="39"/>
      <c r="U802" s="39"/>
      <c r="V802" s="39"/>
      <c r="W802" s="39"/>
      <c r="X802" s="39"/>
      <c r="Y802" s="39"/>
      <c r="Z802" s="39"/>
      <c r="AA802" s="39"/>
      <c r="AB802" s="39"/>
    </row>
    <row r="803">
      <c r="A803" s="1"/>
      <c r="B803" s="36"/>
      <c r="C803" s="36"/>
      <c r="D803" s="36"/>
      <c r="E803" s="36"/>
      <c r="F803" s="36"/>
      <c r="G803" s="36"/>
      <c r="H803" s="37"/>
      <c r="I803" s="36"/>
      <c r="J803" s="38"/>
      <c r="K803" s="38"/>
      <c r="L803" s="39"/>
      <c r="M803" s="39"/>
      <c r="N803" s="39"/>
      <c r="O803" s="39"/>
      <c r="P803" s="39"/>
      <c r="Q803" s="39"/>
      <c r="R803" s="39"/>
      <c r="S803" s="39"/>
      <c r="T803" s="39"/>
      <c r="U803" s="39"/>
      <c r="V803" s="39"/>
      <c r="W803" s="39"/>
      <c r="X803" s="39"/>
      <c r="Y803" s="39"/>
      <c r="Z803" s="39"/>
      <c r="AA803" s="39"/>
      <c r="AB803" s="39"/>
    </row>
    <row r="804">
      <c r="A804" s="1"/>
      <c r="B804" s="36"/>
      <c r="C804" s="36"/>
      <c r="D804" s="36"/>
      <c r="E804" s="36"/>
      <c r="F804" s="36"/>
      <c r="G804" s="36"/>
      <c r="H804" s="37"/>
      <c r="I804" s="36"/>
      <c r="J804" s="38"/>
      <c r="K804" s="38"/>
      <c r="L804" s="39"/>
      <c r="M804" s="39"/>
      <c r="N804" s="39"/>
      <c r="O804" s="39"/>
      <c r="P804" s="39"/>
      <c r="Q804" s="39"/>
      <c r="R804" s="39"/>
      <c r="S804" s="39"/>
      <c r="T804" s="39"/>
      <c r="U804" s="39"/>
      <c r="V804" s="39"/>
      <c r="W804" s="39"/>
      <c r="X804" s="39"/>
      <c r="Y804" s="39"/>
      <c r="Z804" s="39"/>
      <c r="AA804" s="39"/>
      <c r="AB804" s="39"/>
    </row>
    <row r="805">
      <c r="A805" s="1"/>
      <c r="B805" s="36"/>
      <c r="C805" s="36"/>
      <c r="D805" s="36"/>
      <c r="E805" s="36"/>
      <c r="F805" s="36"/>
      <c r="G805" s="36"/>
      <c r="H805" s="37"/>
      <c r="I805" s="36"/>
      <c r="J805" s="38"/>
      <c r="K805" s="38"/>
      <c r="L805" s="39"/>
      <c r="M805" s="39"/>
      <c r="N805" s="39"/>
      <c r="O805" s="39"/>
      <c r="P805" s="39"/>
      <c r="Q805" s="39"/>
      <c r="R805" s="39"/>
      <c r="S805" s="39"/>
      <c r="T805" s="39"/>
      <c r="U805" s="39"/>
      <c r="V805" s="39"/>
      <c r="W805" s="39"/>
      <c r="X805" s="39"/>
      <c r="Y805" s="39"/>
      <c r="Z805" s="39"/>
      <c r="AA805" s="39"/>
      <c r="AB805" s="39"/>
    </row>
    <row r="806">
      <c r="A806" s="1"/>
      <c r="B806" s="36"/>
      <c r="C806" s="36"/>
      <c r="D806" s="36"/>
      <c r="E806" s="36"/>
      <c r="F806" s="36"/>
      <c r="G806" s="36"/>
      <c r="H806" s="37"/>
      <c r="I806" s="36"/>
      <c r="J806" s="38"/>
      <c r="K806" s="38"/>
      <c r="L806" s="39"/>
      <c r="M806" s="39"/>
      <c r="N806" s="39"/>
      <c r="O806" s="39"/>
      <c r="P806" s="39"/>
      <c r="Q806" s="39"/>
      <c r="R806" s="39"/>
      <c r="S806" s="39"/>
      <c r="T806" s="39"/>
      <c r="U806" s="39"/>
      <c r="V806" s="39"/>
      <c r="W806" s="39"/>
      <c r="X806" s="39"/>
      <c r="Y806" s="39"/>
      <c r="Z806" s="39"/>
      <c r="AA806" s="39"/>
      <c r="AB806" s="39"/>
    </row>
    <row r="807">
      <c r="A807" s="1"/>
      <c r="B807" s="36"/>
      <c r="C807" s="36"/>
      <c r="D807" s="36"/>
      <c r="E807" s="36"/>
      <c r="F807" s="36"/>
      <c r="G807" s="36"/>
      <c r="H807" s="37"/>
      <c r="I807" s="36"/>
      <c r="J807" s="38"/>
      <c r="K807" s="38"/>
      <c r="L807" s="39"/>
      <c r="M807" s="39"/>
      <c r="N807" s="39"/>
      <c r="O807" s="39"/>
      <c r="P807" s="39"/>
      <c r="Q807" s="39"/>
      <c r="R807" s="39"/>
      <c r="S807" s="39"/>
      <c r="T807" s="39"/>
      <c r="U807" s="39"/>
      <c r="V807" s="39"/>
      <c r="W807" s="39"/>
      <c r="X807" s="39"/>
      <c r="Y807" s="39"/>
      <c r="Z807" s="39"/>
      <c r="AA807" s="39"/>
      <c r="AB807" s="39"/>
    </row>
    <row r="808">
      <c r="A808" s="1"/>
      <c r="B808" s="36"/>
      <c r="C808" s="36"/>
      <c r="D808" s="36"/>
      <c r="E808" s="36"/>
      <c r="F808" s="36"/>
      <c r="G808" s="36"/>
      <c r="H808" s="37"/>
      <c r="I808" s="36"/>
      <c r="J808" s="38"/>
      <c r="K808" s="38"/>
      <c r="L808" s="39"/>
      <c r="M808" s="39"/>
      <c r="N808" s="39"/>
      <c r="O808" s="39"/>
      <c r="P808" s="39"/>
      <c r="Q808" s="39"/>
      <c r="R808" s="39"/>
      <c r="S808" s="39"/>
      <c r="T808" s="39"/>
      <c r="U808" s="39"/>
      <c r="V808" s="39"/>
      <c r="W808" s="39"/>
      <c r="X808" s="39"/>
      <c r="Y808" s="39"/>
      <c r="Z808" s="39"/>
      <c r="AA808" s="39"/>
      <c r="AB808" s="39"/>
    </row>
    <row r="809">
      <c r="A809" s="1"/>
      <c r="B809" s="36"/>
      <c r="C809" s="36"/>
      <c r="D809" s="36"/>
      <c r="E809" s="36"/>
      <c r="F809" s="36"/>
      <c r="G809" s="36"/>
      <c r="H809" s="37"/>
      <c r="I809" s="36"/>
      <c r="J809" s="38"/>
      <c r="K809" s="38"/>
      <c r="L809" s="39"/>
      <c r="M809" s="39"/>
      <c r="N809" s="39"/>
      <c r="O809" s="39"/>
      <c r="P809" s="39"/>
      <c r="Q809" s="39"/>
      <c r="R809" s="39"/>
      <c r="S809" s="39"/>
      <c r="T809" s="39"/>
      <c r="U809" s="39"/>
      <c r="V809" s="39"/>
      <c r="W809" s="39"/>
      <c r="X809" s="39"/>
      <c r="Y809" s="39"/>
      <c r="Z809" s="39"/>
      <c r="AA809" s="39"/>
      <c r="AB809" s="39"/>
    </row>
    <row r="810">
      <c r="A810" s="1"/>
      <c r="B810" s="36"/>
      <c r="C810" s="36"/>
      <c r="D810" s="36"/>
      <c r="E810" s="36"/>
      <c r="F810" s="36"/>
      <c r="G810" s="36"/>
      <c r="H810" s="37"/>
      <c r="I810" s="36"/>
      <c r="J810" s="38"/>
      <c r="K810" s="38"/>
      <c r="L810" s="39"/>
      <c r="M810" s="39"/>
      <c r="N810" s="39"/>
      <c r="O810" s="39"/>
      <c r="P810" s="39"/>
      <c r="Q810" s="39"/>
      <c r="R810" s="39"/>
      <c r="S810" s="39"/>
      <c r="T810" s="39"/>
      <c r="U810" s="39"/>
      <c r="V810" s="39"/>
      <c r="W810" s="39"/>
      <c r="X810" s="39"/>
      <c r="Y810" s="39"/>
      <c r="Z810" s="39"/>
      <c r="AA810" s="39"/>
      <c r="AB810" s="39"/>
    </row>
    <row r="811">
      <c r="A811" s="1"/>
      <c r="B811" s="36"/>
      <c r="C811" s="36"/>
      <c r="D811" s="36"/>
      <c r="E811" s="36"/>
      <c r="F811" s="36"/>
      <c r="G811" s="36"/>
      <c r="H811" s="37"/>
      <c r="I811" s="36"/>
      <c r="J811" s="38"/>
      <c r="K811" s="38"/>
      <c r="L811" s="39"/>
      <c r="M811" s="39"/>
      <c r="N811" s="39"/>
      <c r="O811" s="39"/>
      <c r="P811" s="39"/>
      <c r="Q811" s="39"/>
      <c r="R811" s="39"/>
      <c r="S811" s="39"/>
      <c r="T811" s="39"/>
      <c r="U811" s="39"/>
      <c r="V811" s="39"/>
      <c r="W811" s="39"/>
      <c r="X811" s="39"/>
      <c r="Y811" s="39"/>
      <c r="Z811" s="39"/>
      <c r="AA811" s="39"/>
      <c r="AB811" s="39"/>
    </row>
    <row r="812">
      <c r="A812" s="1"/>
      <c r="B812" s="36"/>
      <c r="C812" s="36"/>
      <c r="D812" s="36"/>
      <c r="E812" s="36"/>
      <c r="F812" s="36"/>
      <c r="G812" s="36"/>
      <c r="H812" s="37"/>
      <c r="I812" s="36"/>
      <c r="J812" s="38"/>
      <c r="K812" s="38"/>
      <c r="L812" s="39"/>
      <c r="M812" s="39"/>
      <c r="N812" s="39"/>
      <c r="O812" s="39"/>
      <c r="P812" s="39"/>
      <c r="Q812" s="39"/>
      <c r="R812" s="39"/>
      <c r="S812" s="39"/>
      <c r="T812" s="39"/>
      <c r="U812" s="39"/>
      <c r="V812" s="39"/>
      <c r="W812" s="39"/>
      <c r="X812" s="39"/>
      <c r="Y812" s="39"/>
      <c r="Z812" s="39"/>
      <c r="AA812" s="39"/>
      <c r="AB812" s="39"/>
    </row>
    <row r="813">
      <c r="A813" s="1"/>
      <c r="B813" s="36"/>
      <c r="C813" s="36"/>
      <c r="D813" s="36"/>
      <c r="E813" s="36"/>
      <c r="F813" s="36"/>
      <c r="G813" s="36"/>
      <c r="H813" s="37"/>
      <c r="I813" s="36"/>
      <c r="J813" s="38"/>
      <c r="K813" s="38"/>
      <c r="L813" s="39"/>
      <c r="M813" s="39"/>
      <c r="N813" s="39"/>
      <c r="O813" s="39"/>
      <c r="P813" s="39"/>
      <c r="Q813" s="39"/>
      <c r="R813" s="39"/>
      <c r="S813" s="39"/>
      <c r="T813" s="39"/>
      <c r="U813" s="39"/>
      <c r="V813" s="39"/>
      <c r="W813" s="39"/>
      <c r="X813" s="39"/>
      <c r="Y813" s="39"/>
      <c r="Z813" s="39"/>
      <c r="AA813" s="39"/>
      <c r="AB813" s="39"/>
    </row>
    <row r="814">
      <c r="A814" s="1"/>
      <c r="B814" s="36"/>
      <c r="C814" s="36"/>
      <c r="D814" s="36"/>
      <c r="E814" s="36"/>
      <c r="F814" s="36"/>
      <c r="G814" s="36"/>
      <c r="H814" s="37"/>
      <c r="I814" s="36"/>
      <c r="J814" s="38"/>
      <c r="K814" s="38"/>
      <c r="L814" s="39"/>
      <c r="M814" s="39"/>
      <c r="N814" s="39"/>
      <c r="O814" s="39"/>
      <c r="P814" s="39"/>
      <c r="Q814" s="39"/>
      <c r="R814" s="39"/>
      <c r="S814" s="39"/>
      <c r="T814" s="39"/>
      <c r="U814" s="39"/>
      <c r="V814" s="39"/>
      <c r="W814" s="39"/>
      <c r="X814" s="39"/>
      <c r="Y814" s="39"/>
      <c r="Z814" s="39"/>
      <c r="AA814" s="39"/>
      <c r="AB814" s="39"/>
    </row>
    <row r="815">
      <c r="A815" s="1"/>
      <c r="B815" s="36"/>
      <c r="C815" s="36"/>
      <c r="D815" s="36"/>
      <c r="E815" s="36"/>
      <c r="F815" s="36"/>
      <c r="G815" s="36"/>
      <c r="H815" s="37"/>
      <c r="I815" s="36"/>
      <c r="J815" s="38"/>
      <c r="K815" s="38"/>
      <c r="L815" s="39"/>
      <c r="M815" s="39"/>
      <c r="N815" s="39"/>
      <c r="O815" s="39"/>
      <c r="P815" s="39"/>
      <c r="Q815" s="39"/>
      <c r="R815" s="39"/>
      <c r="S815" s="39"/>
      <c r="T815" s="39"/>
      <c r="U815" s="39"/>
      <c r="V815" s="39"/>
      <c r="W815" s="39"/>
      <c r="X815" s="39"/>
      <c r="Y815" s="39"/>
      <c r="Z815" s="39"/>
      <c r="AA815" s="39"/>
      <c r="AB815" s="39"/>
    </row>
    <row r="816">
      <c r="A816" s="1"/>
      <c r="B816" s="36"/>
      <c r="C816" s="36"/>
      <c r="D816" s="36"/>
      <c r="E816" s="36"/>
      <c r="F816" s="36"/>
      <c r="G816" s="36"/>
      <c r="H816" s="37"/>
      <c r="I816" s="36"/>
      <c r="J816" s="38"/>
      <c r="K816" s="38"/>
      <c r="L816" s="39"/>
      <c r="M816" s="39"/>
      <c r="N816" s="39"/>
      <c r="O816" s="39"/>
      <c r="P816" s="39"/>
      <c r="Q816" s="39"/>
      <c r="R816" s="39"/>
      <c r="S816" s="39"/>
      <c r="T816" s="39"/>
      <c r="U816" s="39"/>
      <c r="V816" s="39"/>
      <c r="W816" s="39"/>
      <c r="X816" s="39"/>
      <c r="Y816" s="39"/>
      <c r="Z816" s="39"/>
      <c r="AA816" s="39"/>
      <c r="AB816" s="39"/>
    </row>
    <row r="817">
      <c r="A817" s="1"/>
      <c r="B817" s="36"/>
      <c r="C817" s="36"/>
      <c r="D817" s="36"/>
      <c r="E817" s="36"/>
      <c r="F817" s="36"/>
      <c r="G817" s="36"/>
      <c r="H817" s="37"/>
      <c r="I817" s="36"/>
      <c r="J817" s="38"/>
      <c r="K817" s="38"/>
      <c r="L817" s="39"/>
      <c r="M817" s="39"/>
      <c r="N817" s="39"/>
      <c r="O817" s="39"/>
      <c r="P817" s="39"/>
      <c r="Q817" s="39"/>
      <c r="R817" s="39"/>
      <c r="S817" s="39"/>
      <c r="T817" s="39"/>
      <c r="U817" s="39"/>
      <c r="V817" s="39"/>
      <c r="W817" s="39"/>
      <c r="X817" s="39"/>
      <c r="Y817" s="39"/>
      <c r="Z817" s="39"/>
      <c r="AA817" s="39"/>
      <c r="AB817" s="39"/>
    </row>
    <row r="818">
      <c r="A818" s="1"/>
      <c r="B818" s="36"/>
      <c r="C818" s="36"/>
      <c r="D818" s="36"/>
      <c r="E818" s="36"/>
      <c r="F818" s="36"/>
      <c r="G818" s="36"/>
      <c r="H818" s="37"/>
      <c r="I818" s="36"/>
      <c r="J818" s="38"/>
      <c r="K818" s="38"/>
      <c r="L818" s="39"/>
      <c r="M818" s="39"/>
      <c r="N818" s="39"/>
      <c r="O818" s="39"/>
      <c r="P818" s="39"/>
      <c r="Q818" s="39"/>
      <c r="R818" s="39"/>
      <c r="S818" s="39"/>
      <c r="T818" s="39"/>
      <c r="U818" s="39"/>
      <c r="V818" s="39"/>
      <c r="W818" s="39"/>
      <c r="X818" s="39"/>
      <c r="Y818" s="39"/>
      <c r="Z818" s="39"/>
      <c r="AA818" s="39"/>
      <c r="AB818" s="39"/>
    </row>
    <row r="819">
      <c r="A819" s="1"/>
      <c r="B819" s="36"/>
      <c r="C819" s="36"/>
      <c r="D819" s="36"/>
      <c r="E819" s="36"/>
      <c r="F819" s="36"/>
      <c r="G819" s="36"/>
      <c r="H819" s="37"/>
      <c r="I819" s="36"/>
      <c r="J819" s="38"/>
      <c r="K819" s="38"/>
      <c r="L819" s="39"/>
      <c r="M819" s="39"/>
      <c r="N819" s="39"/>
      <c r="O819" s="39"/>
      <c r="P819" s="39"/>
      <c r="Q819" s="39"/>
      <c r="R819" s="39"/>
      <c r="S819" s="39"/>
      <c r="T819" s="39"/>
      <c r="U819" s="39"/>
      <c r="V819" s="39"/>
      <c r="W819" s="39"/>
      <c r="X819" s="39"/>
      <c r="Y819" s="39"/>
      <c r="Z819" s="39"/>
      <c r="AA819" s="39"/>
      <c r="AB819" s="39"/>
    </row>
    <row r="820">
      <c r="A820" s="1"/>
      <c r="B820" s="36"/>
      <c r="C820" s="36"/>
      <c r="D820" s="36"/>
      <c r="E820" s="36"/>
      <c r="F820" s="36"/>
      <c r="G820" s="36"/>
      <c r="H820" s="37"/>
      <c r="I820" s="36"/>
      <c r="J820" s="38"/>
      <c r="K820" s="38"/>
      <c r="L820" s="39"/>
      <c r="M820" s="39"/>
      <c r="N820" s="39"/>
      <c r="O820" s="39"/>
      <c r="P820" s="39"/>
      <c r="Q820" s="39"/>
      <c r="R820" s="39"/>
      <c r="S820" s="39"/>
      <c r="T820" s="39"/>
      <c r="U820" s="39"/>
      <c r="V820" s="39"/>
      <c r="W820" s="39"/>
      <c r="X820" s="39"/>
      <c r="Y820" s="39"/>
      <c r="Z820" s="39"/>
      <c r="AA820" s="39"/>
      <c r="AB820" s="39"/>
    </row>
    <row r="821">
      <c r="A821" s="1"/>
      <c r="B821" s="36"/>
      <c r="C821" s="36"/>
      <c r="D821" s="36"/>
      <c r="E821" s="36"/>
      <c r="F821" s="36"/>
      <c r="G821" s="36"/>
      <c r="H821" s="37"/>
      <c r="I821" s="36"/>
      <c r="J821" s="38"/>
      <c r="K821" s="38"/>
      <c r="L821" s="39"/>
      <c r="M821" s="39"/>
      <c r="N821" s="39"/>
      <c r="O821" s="39"/>
      <c r="P821" s="39"/>
      <c r="Q821" s="39"/>
      <c r="R821" s="39"/>
      <c r="S821" s="39"/>
      <c r="T821" s="39"/>
      <c r="U821" s="39"/>
      <c r="V821" s="39"/>
      <c r="W821" s="39"/>
      <c r="X821" s="39"/>
      <c r="Y821" s="39"/>
      <c r="Z821" s="39"/>
      <c r="AA821" s="39"/>
      <c r="AB821" s="39"/>
    </row>
    <row r="822">
      <c r="A822" s="1"/>
      <c r="B822" s="36"/>
      <c r="C822" s="36"/>
      <c r="D822" s="36"/>
      <c r="E822" s="36"/>
      <c r="F822" s="36"/>
      <c r="G822" s="36"/>
      <c r="H822" s="37"/>
      <c r="I822" s="36"/>
      <c r="J822" s="38"/>
      <c r="K822" s="38"/>
      <c r="L822" s="39"/>
      <c r="M822" s="39"/>
      <c r="N822" s="39"/>
      <c r="O822" s="39"/>
      <c r="P822" s="39"/>
      <c r="Q822" s="39"/>
      <c r="R822" s="39"/>
      <c r="S822" s="39"/>
      <c r="T822" s="39"/>
      <c r="U822" s="39"/>
      <c r="V822" s="39"/>
      <c r="W822" s="39"/>
      <c r="X822" s="39"/>
      <c r="Y822" s="39"/>
      <c r="Z822" s="39"/>
      <c r="AA822" s="39"/>
      <c r="AB822" s="39"/>
    </row>
    <row r="823">
      <c r="A823" s="1"/>
      <c r="B823" s="36"/>
      <c r="C823" s="36"/>
      <c r="D823" s="36"/>
      <c r="E823" s="36"/>
      <c r="F823" s="36"/>
      <c r="G823" s="36"/>
      <c r="H823" s="37"/>
      <c r="I823" s="36"/>
      <c r="J823" s="38"/>
      <c r="K823" s="38"/>
      <c r="L823" s="39"/>
      <c r="M823" s="39"/>
      <c r="N823" s="39"/>
      <c r="O823" s="39"/>
      <c r="P823" s="39"/>
      <c r="Q823" s="39"/>
      <c r="R823" s="39"/>
      <c r="S823" s="39"/>
      <c r="T823" s="39"/>
      <c r="U823" s="39"/>
      <c r="V823" s="39"/>
      <c r="W823" s="39"/>
      <c r="X823" s="39"/>
      <c r="Y823" s="39"/>
      <c r="Z823" s="39"/>
      <c r="AA823" s="39"/>
      <c r="AB823" s="39"/>
    </row>
    <row r="824">
      <c r="A824" s="1"/>
      <c r="B824" s="36"/>
      <c r="C824" s="36"/>
      <c r="D824" s="36"/>
      <c r="E824" s="36"/>
      <c r="F824" s="36"/>
      <c r="G824" s="36"/>
      <c r="H824" s="37"/>
      <c r="I824" s="36"/>
      <c r="J824" s="38"/>
      <c r="K824" s="38"/>
      <c r="L824" s="39"/>
      <c r="M824" s="39"/>
      <c r="N824" s="39"/>
      <c r="O824" s="39"/>
      <c r="P824" s="39"/>
      <c r="Q824" s="39"/>
      <c r="R824" s="39"/>
      <c r="S824" s="39"/>
      <c r="T824" s="39"/>
      <c r="U824" s="39"/>
      <c r="V824" s="39"/>
      <c r="W824" s="39"/>
      <c r="X824" s="39"/>
      <c r="Y824" s="39"/>
      <c r="Z824" s="39"/>
      <c r="AA824" s="39"/>
      <c r="AB824" s="39"/>
    </row>
    <row r="825">
      <c r="A825" s="1"/>
      <c r="B825" s="36"/>
      <c r="C825" s="36"/>
      <c r="D825" s="36"/>
      <c r="E825" s="36"/>
      <c r="F825" s="36"/>
      <c r="G825" s="36"/>
      <c r="H825" s="37"/>
      <c r="I825" s="36"/>
      <c r="J825" s="38"/>
      <c r="K825" s="38"/>
      <c r="L825" s="39"/>
      <c r="M825" s="39"/>
      <c r="N825" s="39"/>
      <c r="O825" s="39"/>
      <c r="P825" s="39"/>
      <c r="Q825" s="39"/>
      <c r="R825" s="39"/>
      <c r="S825" s="39"/>
      <c r="T825" s="39"/>
      <c r="U825" s="39"/>
      <c r="V825" s="39"/>
      <c r="W825" s="39"/>
      <c r="X825" s="39"/>
      <c r="Y825" s="39"/>
      <c r="Z825" s="39"/>
      <c r="AA825" s="39"/>
      <c r="AB825" s="39"/>
    </row>
    <row r="826">
      <c r="A826" s="1"/>
      <c r="B826" s="36"/>
      <c r="C826" s="36"/>
      <c r="D826" s="36"/>
      <c r="E826" s="36"/>
      <c r="F826" s="36"/>
      <c r="G826" s="36"/>
      <c r="H826" s="37"/>
      <c r="I826" s="36"/>
      <c r="J826" s="38"/>
      <c r="K826" s="38"/>
      <c r="L826" s="39"/>
      <c r="M826" s="39"/>
      <c r="N826" s="39"/>
      <c r="O826" s="39"/>
      <c r="P826" s="39"/>
      <c r="Q826" s="39"/>
      <c r="R826" s="39"/>
      <c r="S826" s="39"/>
      <c r="T826" s="39"/>
      <c r="U826" s="39"/>
      <c r="V826" s="39"/>
      <c r="W826" s="39"/>
      <c r="X826" s="39"/>
      <c r="Y826" s="39"/>
      <c r="Z826" s="39"/>
      <c r="AA826" s="39"/>
      <c r="AB826" s="39"/>
    </row>
    <row r="827">
      <c r="A827" s="1"/>
      <c r="B827" s="36"/>
      <c r="C827" s="36"/>
      <c r="D827" s="36"/>
      <c r="E827" s="36"/>
      <c r="F827" s="36"/>
      <c r="G827" s="36"/>
      <c r="H827" s="37"/>
      <c r="I827" s="36"/>
      <c r="J827" s="38"/>
      <c r="K827" s="38"/>
      <c r="L827" s="39"/>
      <c r="M827" s="39"/>
      <c r="N827" s="39"/>
      <c r="O827" s="39"/>
      <c r="P827" s="39"/>
      <c r="Q827" s="39"/>
      <c r="R827" s="39"/>
      <c r="S827" s="39"/>
      <c r="T827" s="39"/>
      <c r="U827" s="39"/>
      <c r="V827" s="39"/>
      <c r="W827" s="39"/>
      <c r="X827" s="39"/>
      <c r="Y827" s="39"/>
      <c r="Z827" s="39"/>
      <c r="AA827" s="39"/>
      <c r="AB827" s="39"/>
    </row>
    <row r="828">
      <c r="A828" s="1"/>
      <c r="B828" s="36"/>
      <c r="C828" s="36"/>
      <c r="D828" s="36"/>
      <c r="E828" s="36"/>
      <c r="F828" s="36"/>
      <c r="G828" s="36"/>
      <c r="H828" s="37"/>
      <c r="I828" s="36"/>
      <c r="J828" s="38"/>
      <c r="K828" s="38"/>
      <c r="L828" s="39"/>
      <c r="M828" s="39"/>
      <c r="N828" s="39"/>
      <c r="O828" s="39"/>
      <c r="P828" s="39"/>
      <c r="Q828" s="39"/>
      <c r="R828" s="39"/>
      <c r="S828" s="39"/>
      <c r="T828" s="39"/>
      <c r="U828" s="39"/>
      <c r="V828" s="39"/>
      <c r="W828" s="39"/>
      <c r="X828" s="39"/>
      <c r="Y828" s="39"/>
      <c r="Z828" s="39"/>
      <c r="AA828" s="39"/>
      <c r="AB828" s="39"/>
    </row>
    <row r="829">
      <c r="A829" s="1"/>
      <c r="B829" s="36"/>
      <c r="C829" s="36"/>
      <c r="D829" s="36"/>
      <c r="E829" s="36"/>
      <c r="F829" s="36"/>
      <c r="G829" s="36"/>
      <c r="H829" s="37"/>
      <c r="I829" s="36"/>
      <c r="J829" s="38"/>
      <c r="K829" s="38"/>
      <c r="L829" s="39"/>
      <c r="M829" s="39"/>
      <c r="N829" s="39"/>
      <c r="O829" s="39"/>
      <c r="P829" s="39"/>
      <c r="Q829" s="39"/>
      <c r="R829" s="39"/>
      <c r="S829" s="39"/>
      <c r="T829" s="39"/>
      <c r="U829" s="39"/>
      <c r="V829" s="39"/>
      <c r="W829" s="39"/>
      <c r="X829" s="39"/>
      <c r="Y829" s="39"/>
      <c r="Z829" s="39"/>
      <c r="AA829" s="39"/>
      <c r="AB829" s="39"/>
    </row>
    <row r="830">
      <c r="A830" s="1"/>
      <c r="B830" s="36"/>
      <c r="C830" s="36"/>
      <c r="D830" s="36"/>
      <c r="E830" s="36"/>
      <c r="F830" s="36"/>
      <c r="G830" s="36"/>
      <c r="H830" s="37"/>
      <c r="I830" s="36"/>
      <c r="J830" s="38"/>
      <c r="K830" s="38"/>
      <c r="L830" s="39"/>
      <c r="M830" s="39"/>
      <c r="N830" s="39"/>
      <c r="O830" s="39"/>
      <c r="P830" s="39"/>
      <c r="Q830" s="39"/>
      <c r="R830" s="39"/>
      <c r="S830" s="39"/>
      <c r="T830" s="39"/>
      <c r="U830" s="39"/>
      <c r="V830" s="39"/>
      <c r="W830" s="39"/>
      <c r="X830" s="39"/>
      <c r="Y830" s="39"/>
      <c r="Z830" s="39"/>
      <c r="AA830" s="39"/>
      <c r="AB830" s="39"/>
    </row>
    <row r="831">
      <c r="A831" s="1"/>
      <c r="B831" s="36"/>
      <c r="C831" s="36"/>
      <c r="D831" s="36"/>
      <c r="E831" s="36"/>
      <c r="F831" s="36"/>
      <c r="G831" s="36"/>
      <c r="H831" s="37"/>
      <c r="I831" s="36"/>
      <c r="J831" s="38"/>
      <c r="K831" s="38"/>
      <c r="L831" s="39"/>
      <c r="M831" s="39"/>
      <c r="N831" s="39"/>
      <c r="O831" s="39"/>
      <c r="P831" s="39"/>
      <c r="Q831" s="39"/>
      <c r="R831" s="39"/>
      <c r="S831" s="39"/>
      <c r="T831" s="39"/>
      <c r="U831" s="39"/>
      <c r="V831" s="39"/>
      <c r="W831" s="39"/>
      <c r="X831" s="39"/>
      <c r="Y831" s="39"/>
      <c r="Z831" s="39"/>
      <c r="AA831" s="39"/>
      <c r="AB831" s="39"/>
    </row>
    <row r="832">
      <c r="A832" s="1"/>
      <c r="B832" s="36"/>
      <c r="C832" s="36"/>
      <c r="D832" s="36"/>
      <c r="E832" s="36"/>
      <c r="F832" s="36"/>
      <c r="G832" s="36"/>
      <c r="H832" s="37"/>
      <c r="I832" s="36"/>
      <c r="J832" s="38"/>
      <c r="K832" s="38"/>
      <c r="L832" s="39"/>
      <c r="M832" s="39"/>
      <c r="N832" s="39"/>
      <c r="O832" s="39"/>
      <c r="P832" s="39"/>
      <c r="Q832" s="39"/>
      <c r="R832" s="39"/>
      <c r="S832" s="39"/>
      <c r="T832" s="39"/>
      <c r="U832" s="39"/>
      <c r="V832" s="39"/>
      <c r="W832" s="39"/>
      <c r="X832" s="39"/>
      <c r="Y832" s="39"/>
      <c r="Z832" s="39"/>
      <c r="AA832" s="39"/>
      <c r="AB832" s="39"/>
    </row>
    <row r="833">
      <c r="A833" s="1"/>
      <c r="B833" s="36"/>
      <c r="C833" s="36"/>
      <c r="D833" s="36"/>
      <c r="E833" s="36"/>
      <c r="F833" s="36"/>
      <c r="G833" s="36"/>
      <c r="H833" s="37"/>
      <c r="I833" s="36"/>
      <c r="J833" s="38"/>
      <c r="K833" s="38"/>
      <c r="L833" s="39"/>
      <c r="M833" s="39"/>
      <c r="N833" s="39"/>
      <c r="O833" s="39"/>
      <c r="P833" s="39"/>
      <c r="Q833" s="39"/>
      <c r="R833" s="39"/>
      <c r="S833" s="39"/>
      <c r="T833" s="39"/>
      <c r="U833" s="39"/>
      <c r="V833" s="39"/>
      <c r="W833" s="39"/>
      <c r="X833" s="39"/>
      <c r="Y833" s="39"/>
      <c r="Z833" s="39"/>
      <c r="AA833" s="39"/>
      <c r="AB833" s="39"/>
    </row>
    <row r="834">
      <c r="A834" s="1"/>
      <c r="B834" s="36"/>
      <c r="C834" s="36"/>
      <c r="D834" s="36"/>
      <c r="E834" s="36"/>
      <c r="F834" s="36"/>
      <c r="G834" s="36"/>
      <c r="H834" s="37"/>
      <c r="I834" s="36"/>
      <c r="J834" s="38"/>
      <c r="K834" s="38"/>
      <c r="L834" s="39"/>
      <c r="M834" s="39"/>
      <c r="N834" s="39"/>
      <c r="O834" s="39"/>
      <c r="P834" s="39"/>
      <c r="Q834" s="39"/>
      <c r="R834" s="39"/>
      <c r="S834" s="39"/>
      <c r="T834" s="39"/>
      <c r="U834" s="39"/>
      <c r="V834" s="39"/>
      <c r="W834" s="39"/>
      <c r="X834" s="39"/>
      <c r="Y834" s="39"/>
      <c r="Z834" s="39"/>
      <c r="AA834" s="39"/>
      <c r="AB834" s="39"/>
    </row>
    <row r="835">
      <c r="A835" s="1"/>
      <c r="B835" s="36"/>
      <c r="C835" s="36"/>
      <c r="D835" s="36"/>
      <c r="E835" s="36"/>
      <c r="F835" s="36"/>
      <c r="G835" s="36"/>
      <c r="H835" s="37"/>
      <c r="I835" s="36"/>
      <c r="J835" s="38"/>
      <c r="K835" s="38"/>
      <c r="L835" s="39"/>
      <c r="M835" s="39"/>
      <c r="N835" s="39"/>
      <c r="O835" s="39"/>
      <c r="P835" s="39"/>
      <c r="Q835" s="39"/>
      <c r="R835" s="39"/>
      <c r="S835" s="39"/>
      <c r="T835" s="39"/>
      <c r="U835" s="39"/>
      <c r="V835" s="39"/>
      <c r="W835" s="39"/>
      <c r="X835" s="39"/>
      <c r="Y835" s="39"/>
      <c r="Z835" s="39"/>
      <c r="AA835" s="39"/>
      <c r="AB835" s="39"/>
    </row>
    <row r="836">
      <c r="A836" s="1"/>
      <c r="B836" s="36"/>
      <c r="C836" s="36"/>
      <c r="D836" s="36"/>
      <c r="E836" s="36"/>
      <c r="F836" s="36"/>
      <c r="G836" s="36"/>
      <c r="H836" s="37"/>
      <c r="I836" s="36"/>
      <c r="J836" s="38"/>
      <c r="K836" s="38"/>
      <c r="L836" s="39"/>
      <c r="M836" s="39"/>
      <c r="N836" s="39"/>
      <c r="O836" s="39"/>
      <c r="P836" s="39"/>
      <c r="Q836" s="39"/>
      <c r="R836" s="39"/>
      <c r="S836" s="39"/>
      <c r="T836" s="39"/>
      <c r="U836" s="39"/>
      <c r="V836" s="39"/>
      <c r="W836" s="39"/>
      <c r="X836" s="39"/>
      <c r="Y836" s="39"/>
      <c r="Z836" s="39"/>
      <c r="AA836" s="39"/>
      <c r="AB836" s="39"/>
    </row>
    <row r="837">
      <c r="A837" s="1"/>
      <c r="B837" s="36"/>
      <c r="C837" s="36"/>
      <c r="D837" s="36"/>
      <c r="E837" s="36"/>
      <c r="F837" s="36"/>
      <c r="G837" s="36"/>
      <c r="H837" s="37"/>
      <c r="I837" s="36"/>
      <c r="J837" s="38"/>
      <c r="K837" s="38"/>
      <c r="L837" s="39"/>
      <c r="M837" s="39"/>
      <c r="N837" s="39"/>
      <c r="O837" s="39"/>
      <c r="P837" s="39"/>
      <c r="Q837" s="39"/>
      <c r="R837" s="39"/>
      <c r="S837" s="39"/>
      <c r="T837" s="39"/>
      <c r="U837" s="39"/>
      <c r="V837" s="39"/>
      <c r="W837" s="39"/>
      <c r="X837" s="39"/>
      <c r="Y837" s="39"/>
      <c r="Z837" s="39"/>
      <c r="AA837" s="39"/>
      <c r="AB837" s="39"/>
    </row>
    <row r="838">
      <c r="A838" s="1"/>
      <c r="B838" s="36"/>
      <c r="C838" s="36"/>
      <c r="D838" s="36"/>
      <c r="E838" s="36"/>
      <c r="F838" s="36"/>
      <c r="G838" s="36"/>
      <c r="H838" s="37"/>
      <c r="I838" s="36"/>
      <c r="J838" s="38"/>
      <c r="K838" s="38"/>
      <c r="L838" s="39"/>
      <c r="M838" s="39"/>
      <c r="N838" s="39"/>
      <c r="O838" s="39"/>
      <c r="P838" s="39"/>
      <c r="Q838" s="39"/>
      <c r="R838" s="39"/>
      <c r="S838" s="39"/>
      <c r="T838" s="39"/>
      <c r="U838" s="39"/>
      <c r="V838" s="39"/>
      <c r="W838" s="39"/>
      <c r="X838" s="39"/>
      <c r="Y838" s="39"/>
      <c r="Z838" s="39"/>
      <c r="AA838" s="39"/>
      <c r="AB838" s="39"/>
    </row>
    <row r="839">
      <c r="A839" s="1"/>
      <c r="B839" s="36"/>
      <c r="C839" s="36"/>
      <c r="D839" s="36"/>
      <c r="E839" s="36"/>
      <c r="F839" s="36"/>
      <c r="G839" s="36"/>
      <c r="H839" s="37"/>
      <c r="I839" s="36"/>
      <c r="J839" s="38"/>
      <c r="K839" s="38"/>
      <c r="L839" s="39"/>
      <c r="M839" s="39"/>
      <c r="N839" s="39"/>
      <c r="O839" s="39"/>
      <c r="P839" s="39"/>
      <c r="Q839" s="39"/>
      <c r="R839" s="39"/>
      <c r="S839" s="39"/>
      <c r="T839" s="39"/>
      <c r="U839" s="39"/>
      <c r="V839" s="39"/>
      <c r="W839" s="39"/>
      <c r="X839" s="39"/>
      <c r="Y839" s="39"/>
      <c r="Z839" s="39"/>
      <c r="AA839" s="39"/>
      <c r="AB839" s="39"/>
    </row>
    <row r="840">
      <c r="A840" s="1"/>
      <c r="B840" s="36"/>
      <c r="C840" s="36"/>
      <c r="D840" s="36"/>
      <c r="E840" s="36"/>
      <c r="F840" s="36"/>
      <c r="G840" s="36"/>
      <c r="H840" s="37"/>
      <c r="I840" s="36"/>
      <c r="J840" s="38"/>
      <c r="K840" s="38"/>
      <c r="L840" s="39"/>
      <c r="M840" s="39"/>
      <c r="N840" s="39"/>
      <c r="O840" s="39"/>
      <c r="P840" s="39"/>
      <c r="Q840" s="39"/>
      <c r="R840" s="39"/>
      <c r="S840" s="39"/>
      <c r="T840" s="39"/>
      <c r="U840" s="39"/>
      <c r="V840" s="39"/>
      <c r="W840" s="39"/>
      <c r="X840" s="39"/>
      <c r="Y840" s="39"/>
      <c r="Z840" s="39"/>
      <c r="AA840" s="39"/>
      <c r="AB840" s="39"/>
    </row>
    <row r="841">
      <c r="A841" s="1"/>
      <c r="B841" s="36"/>
      <c r="C841" s="36"/>
      <c r="D841" s="36"/>
      <c r="E841" s="36"/>
      <c r="F841" s="36"/>
      <c r="G841" s="36"/>
      <c r="H841" s="37"/>
      <c r="I841" s="36"/>
      <c r="J841" s="38"/>
      <c r="K841" s="38"/>
      <c r="L841" s="39"/>
      <c r="M841" s="39"/>
      <c r="N841" s="39"/>
      <c r="O841" s="39"/>
      <c r="P841" s="39"/>
      <c r="Q841" s="39"/>
      <c r="R841" s="39"/>
      <c r="S841" s="39"/>
      <c r="T841" s="39"/>
      <c r="U841" s="39"/>
      <c r="V841" s="39"/>
      <c r="W841" s="39"/>
      <c r="X841" s="39"/>
      <c r="Y841" s="39"/>
      <c r="Z841" s="39"/>
      <c r="AA841" s="39"/>
      <c r="AB841" s="39"/>
    </row>
    <row r="842">
      <c r="A842" s="1"/>
      <c r="B842" s="36"/>
      <c r="C842" s="36"/>
      <c r="D842" s="36"/>
      <c r="E842" s="36"/>
      <c r="F842" s="36"/>
      <c r="G842" s="36"/>
      <c r="H842" s="37"/>
      <c r="I842" s="36"/>
      <c r="J842" s="38"/>
      <c r="K842" s="38"/>
      <c r="L842" s="39"/>
      <c r="M842" s="39"/>
      <c r="N842" s="39"/>
      <c r="O842" s="39"/>
      <c r="P842" s="39"/>
      <c r="Q842" s="39"/>
      <c r="R842" s="39"/>
      <c r="S842" s="39"/>
      <c r="T842" s="39"/>
      <c r="U842" s="39"/>
      <c r="V842" s="39"/>
      <c r="W842" s="39"/>
      <c r="X842" s="39"/>
      <c r="Y842" s="39"/>
      <c r="Z842" s="39"/>
      <c r="AA842" s="39"/>
      <c r="AB842" s="39"/>
    </row>
    <row r="843">
      <c r="A843" s="1"/>
      <c r="B843" s="36"/>
      <c r="C843" s="36"/>
      <c r="D843" s="36"/>
      <c r="E843" s="36"/>
      <c r="F843" s="36"/>
      <c r="G843" s="36"/>
      <c r="H843" s="37"/>
      <c r="I843" s="36"/>
      <c r="J843" s="38"/>
      <c r="K843" s="38"/>
      <c r="L843" s="39"/>
      <c r="M843" s="39"/>
      <c r="N843" s="39"/>
      <c r="O843" s="39"/>
      <c r="P843" s="39"/>
      <c r="Q843" s="39"/>
      <c r="R843" s="39"/>
      <c r="S843" s="39"/>
      <c r="T843" s="39"/>
      <c r="U843" s="39"/>
      <c r="V843" s="39"/>
      <c r="W843" s="39"/>
      <c r="X843" s="39"/>
      <c r="Y843" s="39"/>
      <c r="Z843" s="39"/>
      <c r="AA843" s="39"/>
      <c r="AB843" s="39"/>
    </row>
    <row r="844">
      <c r="A844" s="1"/>
      <c r="B844" s="36"/>
      <c r="C844" s="36"/>
      <c r="D844" s="36"/>
      <c r="E844" s="36"/>
      <c r="F844" s="36"/>
      <c r="G844" s="36"/>
      <c r="H844" s="37"/>
      <c r="I844" s="36"/>
      <c r="J844" s="38"/>
      <c r="K844" s="38"/>
      <c r="L844" s="39"/>
      <c r="M844" s="39"/>
      <c r="N844" s="39"/>
      <c r="O844" s="39"/>
      <c r="P844" s="39"/>
      <c r="Q844" s="39"/>
      <c r="R844" s="39"/>
      <c r="S844" s="39"/>
      <c r="T844" s="39"/>
      <c r="U844" s="39"/>
      <c r="V844" s="39"/>
      <c r="W844" s="39"/>
      <c r="X844" s="39"/>
      <c r="Y844" s="39"/>
      <c r="Z844" s="39"/>
      <c r="AA844" s="39"/>
      <c r="AB844" s="39"/>
    </row>
    <row r="845">
      <c r="A845" s="1"/>
      <c r="B845" s="36"/>
      <c r="C845" s="36"/>
      <c r="D845" s="36"/>
      <c r="E845" s="36"/>
      <c r="F845" s="36"/>
      <c r="G845" s="36"/>
      <c r="H845" s="37"/>
      <c r="I845" s="36"/>
      <c r="J845" s="38"/>
      <c r="K845" s="38"/>
      <c r="L845" s="39"/>
      <c r="M845" s="39"/>
      <c r="N845" s="39"/>
      <c r="O845" s="39"/>
      <c r="P845" s="39"/>
      <c r="Q845" s="39"/>
      <c r="R845" s="39"/>
      <c r="S845" s="39"/>
      <c r="T845" s="39"/>
      <c r="U845" s="39"/>
      <c r="V845" s="39"/>
      <c r="W845" s="39"/>
      <c r="X845" s="39"/>
      <c r="Y845" s="39"/>
      <c r="Z845" s="39"/>
      <c r="AA845" s="39"/>
      <c r="AB845" s="39"/>
    </row>
    <row r="846">
      <c r="A846" s="1"/>
      <c r="B846" s="36"/>
      <c r="C846" s="36"/>
      <c r="D846" s="36"/>
      <c r="E846" s="36"/>
      <c r="F846" s="36"/>
      <c r="G846" s="36"/>
      <c r="H846" s="37"/>
      <c r="I846" s="36"/>
      <c r="J846" s="38"/>
      <c r="K846" s="38"/>
      <c r="L846" s="39"/>
      <c r="M846" s="39"/>
      <c r="N846" s="39"/>
      <c r="O846" s="39"/>
      <c r="P846" s="39"/>
      <c r="Q846" s="39"/>
      <c r="R846" s="39"/>
      <c r="S846" s="39"/>
      <c r="T846" s="39"/>
      <c r="U846" s="39"/>
      <c r="V846" s="39"/>
      <c r="W846" s="39"/>
      <c r="X846" s="39"/>
      <c r="Y846" s="39"/>
      <c r="Z846" s="39"/>
      <c r="AA846" s="39"/>
      <c r="AB846" s="39"/>
    </row>
    <row r="847">
      <c r="A847" s="1"/>
      <c r="B847" s="36"/>
      <c r="C847" s="36"/>
      <c r="D847" s="36"/>
      <c r="E847" s="36"/>
      <c r="F847" s="36"/>
      <c r="G847" s="36"/>
      <c r="H847" s="37"/>
      <c r="I847" s="36"/>
      <c r="J847" s="38"/>
      <c r="K847" s="38"/>
      <c r="L847" s="39"/>
      <c r="M847" s="39"/>
      <c r="N847" s="39"/>
      <c r="O847" s="39"/>
      <c r="P847" s="39"/>
      <c r="Q847" s="39"/>
      <c r="R847" s="39"/>
      <c r="S847" s="39"/>
      <c r="T847" s="39"/>
      <c r="U847" s="39"/>
      <c r="V847" s="39"/>
      <c r="W847" s="39"/>
      <c r="X847" s="39"/>
      <c r="Y847" s="39"/>
      <c r="Z847" s="39"/>
      <c r="AA847" s="39"/>
      <c r="AB847" s="39"/>
    </row>
    <row r="848">
      <c r="A848" s="1"/>
      <c r="B848" s="36"/>
      <c r="C848" s="36"/>
      <c r="D848" s="36"/>
      <c r="E848" s="36"/>
      <c r="F848" s="36"/>
      <c r="G848" s="36"/>
      <c r="H848" s="37"/>
      <c r="I848" s="36"/>
      <c r="J848" s="38"/>
      <c r="K848" s="38"/>
      <c r="L848" s="39"/>
      <c r="M848" s="39"/>
      <c r="N848" s="39"/>
      <c r="O848" s="39"/>
      <c r="P848" s="39"/>
      <c r="Q848" s="39"/>
      <c r="R848" s="39"/>
      <c r="S848" s="39"/>
      <c r="T848" s="39"/>
      <c r="U848" s="39"/>
      <c r="V848" s="39"/>
      <c r="W848" s="39"/>
      <c r="X848" s="39"/>
      <c r="Y848" s="39"/>
      <c r="Z848" s="39"/>
      <c r="AA848" s="39"/>
      <c r="AB848" s="39"/>
    </row>
    <row r="849">
      <c r="A849" s="1"/>
      <c r="B849" s="36"/>
      <c r="C849" s="36"/>
      <c r="D849" s="36"/>
      <c r="E849" s="36"/>
      <c r="F849" s="36"/>
      <c r="G849" s="36"/>
      <c r="H849" s="37"/>
      <c r="I849" s="36"/>
      <c r="J849" s="38"/>
      <c r="K849" s="38"/>
      <c r="L849" s="39"/>
      <c r="M849" s="39"/>
      <c r="N849" s="39"/>
      <c r="O849" s="39"/>
      <c r="P849" s="39"/>
      <c r="Q849" s="39"/>
      <c r="R849" s="39"/>
      <c r="S849" s="39"/>
      <c r="T849" s="39"/>
      <c r="U849" s="39"/>
      <c r="V849" s="39"/>
      <c r="W849" s="39"/>
      <c r="X849" s="39"/>
      <c r="Y849" s="39"/>
      <c r="Z849" s="39"/>
      <c r="AA849" s="39"/>
      <c r="AB849" s="39"/>
    </row>
    <row r="850">
      <c r="A850" s="1"/>
      <c r="B850" s="36"/>
      <c r="C850" s="36"/>
      <c r="D850" s="36"/>
      <c r="E850" s="36"/>
      <c r="F850" s="36"/>
      <c r="G850" s="36"/>
      <c r="H850" s="37"/>
      <c r="I850" s="36"/>
      <c r="J850" s="38"/>
      <c r="K850" s="38"/>
      <c r="L850" s="39"/>
      <c r="M850" s="39"/>
      <c r="N850" s="39"/>
      <c r="O850" s="39"/>
      <c r="P850" s="39"/>
      <c r="Q850" s="39"/>
      <c r="R850" s="39"/>
      <c r="S850" s="39"/>
      <c r="T850" s="39"/>
      <c r="U850" s="39"/>
      <c r="V850" s="39"/>
      <c r="W850" s="39"/>
      <c r="X850" s="39"/>
      <c r="Y850" s="39"/>
      <c r="Z850" s="39"/>
      <c r="AA850" s="39"/>
      <c r="AB850" s="39"/>
    </row>
    <row r="851">
      <c r="A851" s="1"/>
      <c r="B851" s="36"/>
      <c r="C851" s="36"/>
      <c r="D851" s="36"/>
      <c r="E851" s="36"/>
      <c r="F851" s="36"/>
      <c r="G851" s="36"/>
      <c r="H851" s="37"/>
      <c r="I851" s="36"/>
      <c r="J851" s="38"/>
      <c r="K851" s="38"/>
      <c r="L851" s="39"/>
      <c r="M851" s="39"/>
      <c r="N851" s="39"/>
      <c r="O851" s="39"/>
      <c r="P851" s="39"/>
      <c r="Q851" s="39"/>
      <c r="R851" s="39"/>
      <c r="S851" s="39"/>
      <c r="T851" s="39"/>
      <c r="U851" s="39"/>
      <c r="V851" s="39"/>
      <c r="W851" s="39"/>
      <c r="X851" s="39"/>
      <c r="Y851" s="39"/>
      <c r="Z851" s="39"/>
      <c r="AA851" s="39"/>
      <c r="AB851" s="39"/>
    </row>
    <row r="852">
      <c r="A852" s="1"/>
      <c r="B852" s="36"/>
      <c r="C852" s="36"/>
      <c r="D852" s="36"/>
      <c r="E852" s="36"/>
      <c r="F852" s="36"/>
      <c r="G852" s="36"/>
      <c r="H852" s="37"/>
      <c r="I852" s="36"/>
      <c r="J852" s="38"/>
      <c r="K852" s="38"/>
      <c r="L852" s="39"/>
      <c r="M852" s="39"/>
      <c r="N852" s="39"/>
      <c r="O852" s="39"/>
      <c r="P852" s="39"/>
      <c r="Q852" s="39"/>
      <c r="R852" s="39"/>
      <c r="S852" s="39"/>
      <c r="T852" s="39"/>
      <c r="U852" s="39"/>
      <c r="V852" s="39"/>
      <c r="W852" s="39"/>
      <c r="X852" s="39"/>
      <c r="Y852" s="39"/>
      <c r="Z852" s="39"/>
      <c r="AA852" s="39"/>
      <c r="AB852" s="39"/>
    </row>
    <row r="853">
      <c r="A853" s="1"/>
      <c r="B853" s="36"/>
      <c r="C853" s="36"/>
      <c r="D853" s="36"/>
      <c r="E853" s="36"/>
      <c r="F853" s="36"/>
      <c r="G853" s="36"/>
      <c r="H853" s="37"/>
      <c r="I853" s="36"/>
      <c r="J853" s="38"/>
      <c r="K853" s="38"/>
      <c r="L853" s="39"/>
      <c r="M853" s="39"/>
      <c r="N853" s="39"/>
      <c r="O853" s="39"/>
      <c r="P853" s="39"/>
      <c r="Q853" s="39"/>
      <c r="R853" s="39"/>
      <c r="S853" s="39"/>
      <c r="T853" s="39"/>
      <c r="U853" s="39"/>
      <c r="V853" s="39"/>
      <c r="W853" s="39"/>
      <c r="X853" s="39"/>
      <c r="Y853" s="39"/>
      <c r="Z853" s="39"/>
      <c r="AA853" s="39"/>
      <c r="AB853" s="39"/>
    </row>
    <row r="854">
      <c r="A854" s="1"/>
      <c r="B854" s="36"/>
      <c r="C854" s="36"/>
      <c r="D854" s="36"/>
      <c r="E854" s="36"/>
      <c r="F854" s="36"/>
      <c r="G854" s="36"/>
      <c r="H854" s="37"/>
      <c r="I854" s="36"/>
      <c r="J854" s="38"/>
      <c r="K854" s="38"/>
      <c r="L854" s="39"/>
      <c r="M854" s="39"/>
      <c r="N854" s="39"/>
      <c r="O854" s="39"/>
      <c r="P854" s="39"/>
      <c r="Q854" s="39"/>
      <c r="R854" s="39"/>
      <c r="S854" s="39"/>
      <c r="T854" s="39"/>
      <c r="U854" s="39"/>
      <c r="V854" s="39"/>
      <c r="W854" s="39"/>
      <c r="X854" s="39"/>
      <c r="Y854" s="39"/>
      <c r="Z854" s="39"/>
      <c r="AA854" s="39"/>
      <c r="AB854" s="39"/>
    </row>
    <row r="855">
      <c r="A855" s="1"/>
      <c r="B855" s="36"/>
      <c r="C855" s="36"/>
      <c r="D855" s="36"/>
      <c r="E855" s="36"/>
      <c r="F855" s="36"/>
      <c r="G855" s="36"/>
      <c r="H855" s="37"/>
      <c r="I855" s="36"/>
      <c r="J855" s="38"/>
      <c r="K855" s="38"/>
      <c r="L855" s="39"/>
      <c r="M855" s="39"/>
      <c r="N855" s="39"/>
      <c r="O855" s="39"/>
      <c r="P855" s="39"/>
      <c r="Q855" s="39"/>
      <c r="R855" s="39"/>
      <c r="S855" s="39"/>
      <c r="T855" s="39"/>
      <c r="U855" s="39"/>
      <c r="V855" s="39"/>
      <c r="W855" s="39"/>
      <c r="X855" s="39"/>
      <c r="Y855" s="39"/>
      <c r="Z855" s="39"/>
      <c r="AA855" s="39"/>
      <c r="AB855" s="39"/>
    </row>
    <row r="856">
      <c r="A856" s="1"/>
      <c r="B856" s="36"/>
      <c r="C856" s="36"/>
      <c r="D856" s="36"/>
      <c r="E856" s="36"/>
      <c r="F856" s="36"/>
      <c r="G856" s="36"/>
      <c r="H856" s="37"/>
      <c r="I856" s="36"/>
      <c r="J856" s="38"/>
      <c r="K856" s="38"/>
      <c r="L856" s="39"/>
      <c r="M856" s="39"/>
      <c r="N856" s="39"/>
      <c r="O856" s="39"/>
      <c r="P856" s="39"/>
      <c r="Q856" s="39"/>
      <c r="R856" s="39"/>
      <c r="S856" s="39"/>
      <c r="T856" s="39"/>
      <c r="U856" s="39"/>
      <c r="V856" s="39"/>
      <c r="W856" s="39"/>
      <c r="X856" s="39"/>
      <c r="Y856" s="39"/>
      <c r="Z856" s="39"/>
      <c r="AA856" s="39"/>
      <c r="AB856" s="39"/>
    </row>
    <row r="857">
      <c r="A857" s="1"/>
      <c r="B857" s="36"/>
      <c r="C857" s="36"/>
      <c r="D857" s="36"/>
      <c r="E857" s="36"/>
      <c r="F857" s="36"/>
      <c r="G857" s="36"/>
      <c r="H857" s="37"/>
      <c r="I857" s="36"/>
      <c r="J857" s="38"/>
      <c r="K857" s="38"/>
      <c r="L857" s="39"/>
      <c r="M857" s="39"/>
      <c r="N857" s="39"/>
      <c r="O857" s="39"/>
      <c r="P857" s="39"/>
      <c r="Q857" s="39"/>
      <c r="R857" s="39"/>
      <c r="S857" s="39"/>
      <c r="T857" s="39"/>
      <c r="U857" s="39"/>
      <c r="V857" s="39"/>
      <c r="W857" s="39"/>
      <c r="X857" s="39"/>
      <c r="Y857" s="39"/>
      <c r="Z857" s="39"/>
      <c r="AA857" s="39"/>
      <c r="AB857" s="39"/>
    </row>
    <row r="858">
      <c r="A858" s="1"/>
      <c r="B858" s="36"/>
      <c r="C858" s="36"/>
      <c r="D858" s="36"/>
      <c r="E858" s="36"/>
      <c r="F858" s="36"/>
      <c r="G858" s="36"/>
      <c r="H858" s="37"/>
      <c r="I858" s="36"/>
      <c r="J858" s="38"/>
      <c r="K858" s="38"/>
      <c r="L858" s="39"/>
      <c r="M858" s="39"/>
      <c r="N858" s="39"/>
      <c r="O858" s="39"/>
      <c r="P858" s="39"/>
      <c r="Q858" s="39"/>
      <c r="R858" s="39"/>
      <c r="S858" s="39"/>
      <c r="T858" s="39"/>
      <c r="U858" s="39"/>
      <c r="V858" s="39"/>
      <c r="W858" s="39"/>
      <c r="X858" s="39"/>
      <c r="Y858" s="39"/>
      <c r="Z858" s="39"/>
      <c r="AA858" s="39"/>
      <c r="AB858" s="39"/>
    </row>
    <row r="859">
      <c r="A859" s="1"/>
      <c r="B859" s="36"/>
      <c r="C859" s="36"/>
      <c r="D859" s="36"/>
      <c r="E859" s="36"/>
      <c r="F859" s="36"/>
      <c r="G859" s="36"/>
      <c r="H859" s="37"/>
      <c r="I859" s="36"/>
      <c r="J859" s="38"/>
      <c r="K859" s="38"/>
      <c r="L859" s="39"/>
      <c r="M859" s="39"/>
      <c r="N859" s="39"/>
      <c r="O859" s="39"/>
      <c r="P859" s="39"/>
      <c r="Q859" s="39"/>
      <c r="R859" s="39"/>
      <c r="S859" s="39"/>
      <c r="T859" s="39"/>
      <c r="U859" s="39"/>
      <c r="V859" s="39"/>
      <c r="W859" s="39"/>
      <c r="X859" s="39"/>
      <c r="Y859" s="39"/>
      <c r="Z859" s="39"/>
      <c r="AA859" s="39"/>
      <c r="AB859" s="39"/>
    </row>
    <row r="860">
      <c r="A860" s="1"/>
      <c r="B860" s="36"/>
      <c r="C860" s="36"/>
      <c r="D860" s="36"/>
      <c r="E860" s="36"/>
      <c r="F860" s="36"/>
      <c r="G860" s="36"/>
      <c r="H860" s="37"/>
      <c r="I860" s="36"/>
      <c r="J860" s="38"/>
      <c r="K860" s="38"/>
      <c r="L860" s="39"/>
      <c r="M860" s="39"/>
      <c r="N860" s="39"/>
      <c r="O860" s="39"/>
      <c r="P860" s="39"/>
      <c r="Q860" s="39"/>
      <c r="R860" s="39"/>
      <c r="S860" s="39"/>
      <c r="T860" s="39"/>
      <c r="U860" s="39"/>
      <c r="V860" s="39"/>
      <c r="W860" s="39"/>
      <c r="X860" s="39"/>
      <c r="Y860" s="39"/>
      <c r="Z860" s="39"/>
      <c r="AA860" s="39"/>
      <c r="AB860" s="39"/>
    </row>
    <row r="861">
      <c r="A861" s="1"/>
      <c r="B861" s="36"/>
      <c r="C861" s="36"/>
      <c r="D861" s="36"/>
      <c r="E861" s="36"/>
      <c r="F861" s="36"/>
      <c r="G861" s="36"/>
      <c r="H861" s="37"/>
      <c r="I861" s="36"/>
      <c r="J861" s="38"/>
      <c r="K861" s="38"/>
      <c r="L861" s="39"/>
      <c r="M861" s="39"/>
      <c r="N861" s="39"/>
      <c r="O861" s="39"/>
      <c r="P861" s="39"/>
      <c r="Q861" s="39"/>
      <c r="R861" s="39"/>
      <c r="S861" s="39"/>
      <c r="T861" s="39"/>
      <c r="U861" s="39"/>
      <c r="V861" s="39"/>
      <c r="W861" s="39"/>
      <c r="X861" s="39"/>
      <c r="Y861" s="39"/>
      <c r="Z861" s="39"/>
      <c r="AA861" s="39"/>
      <c r="AB861" s="39"/>
    </row>
    <row r="862">
      <c r="A862" s="1"/>
      <c r="B862" s="36"/>
      <c r="C862" s="36"/>
      <c r="D862" s="36"/>
      <c r="E862" s="36"/>
      <c r="F862" s="36"/>
      <c r="G862" s="36"/>
      <c r="H862" s="37"/>
      <c r="I862" s="36"/>
      <c r="J862" s="38"/>
      <c r="K862" s="38"/>
      <c r="L862" s="39"/>
      <c r="M862" s="39"/>
      <c r="N862" s="39"/>
      <c r="O862" s="39"/>
      <c r="P862" s="39"/>
      <c r="Q862" s="39"/>
      <c r="R862" s="39"/>
      <c r="S862" s="39"/>
      <c r="T862" s="39"/>
      <c r="U862" s="39"/>
      <c r="V862" s="39"/>
      <c r="W862" s="39"/>
      <c r="X862" s="39"/>
      <c r="Y862" s="39"/>
      <c r="Z862" s="39"/>
      <c r="AA862" s="39"/>
      <c r="AB862" s="39"/>
    </row>
    <row r="863">
      <c r="A863" s="1"/>
      <c r="B863" s="36"/>
      <c r="C863" s="36"/>
      <c r="D863" s="36"/>
      <c r="E863" s="36"/>
      <c r="F863" s="36"/>
      <c r="G863" s="36"/>
      <c r="H863" s="37"/>
      <c r="I863" s="36"/>
      <c r="J863" s="38"/>
      <c r="K863" s="38"/>
      <c r="L863" s="39"/>
      <c r="M863" s="39"/>
      <c r="N863" s="39"/>
      <c r="O863" s="39"/>
      <c r="P863" s="39"/>
      <c r="Q863" s="39"/>
      <c r="R863" s="39"/>
      <c r="S863" s="39"/>
      <c r="T863" s="39"/>
      <c r="U863" s="39"/>
      <c r="V863" s="39"/>
      <c r="W863" s="39"/>
      <c r="X863" s="39"/>
      <c r="Y863" s="39"/>
      <c r="Z863" s="39"/>
      <c r="AA863" s="39"/>
      <c r="AB863" s="39"/>
    </row>
    <row r="864">
      <c r="A864" s="1"/>
      <c r="B864" s="36"/>
      <c r="C864" s="36"/>
      <c r="D864" s="36"/>
      <c r="E864" s="36"/>
      <c r="F864" s="36"/>
      <c r="G864" s="36"/>
      <c r="H864" s="37"/>
      <c r="I864" s="36"/>
      <c r="J864" s="38"/>
      <c r="K864" s="38"/>
      <c r="L864" s="39"/>
      <c r="M864" s="39"/>
      <c r="N864" s="39"/>
      <c r="O864" s="39"/>
      <c r="P864" s="39"/>
      <c r="Q864" s="39"/>
      <c r="R864" s="39"/>
      <c r="S864" s="39"/>
      <c r="T864" s="39"/>
      <c r="U864" s="39"/>
      <c r="V864" s="39"/>
      <c r="W864" s="39"/>
      <c r="X864" s="39"/>
      <c r="Y864" s="39"/>
      <c r="Z864" s="39"/>
      <c r="AA864" s="39"/>
      <c r="AB864" s="39"/>
    </row>
    <row r="865">
      <c r="A865" s="1"/>
      <c r="B865" s="36"/>
      <c r="C865" s="36"/>
      <c r="D865" s="36"/>
      <c r="E865" s="36"/>
      <c r="F865" s="36"/>
      <c r="G865" s="36"/>
      <c r="H865" s="37"/>
      <c r="I865" s="36"/>
      <c r="J865" s="38"/>
      <c r="K865" s="38"/>
      <c r="L865" s="39"/>
      <c r="M865" s="39"/>
      <c r="N865" s="39"/>
      <c r="O865" s="39"/>
      <c r="P865" s="39"/>
      <c r="Q865" s="39"/>
      <c r="R865" s="39"/>
      <c r="S865" s="39"/>
      <c r="T865" s="39"/>
      <c r="U865" s="39"/>
      <c r="V865" s="39"/>
      <c r="W865" s="39"/>
      <c r="X865" s="39"/>
      <c r="Y865" s="39"/>
      <c r="Z865" s="39"/>
      <c r="AA865" s="39"/>
      <c r="AB865" s="39"/>
    </row>
    <row r="866">
      <c r="A866" s="1"/>
      <c r="B866" s="36"/>
      <c r="C866" s="36"/>
      <c r="D866" s="36"/>
      <c r="E866" s="36"/>
      <c r="F866" s="36"/>
      <c r="G866" s="36"/>
      <c r="H866" s="37"/>
      <c r="I866" s="36"/>
      <c r="J866" s="38"/>
      <c r="K866" s="38"/>
      <c r="L866" s="39"/>
      <c r="M866" s="39"/>
      <c r="N866" s="39"/>
      <c r="O866" s="39"/>
      <c r="P866" s="39"/>
      <c r="Q866" s="39"/>
      <c r="R866" s="39"/>
      <c r="S866" s="39"/>
      <c r="T866" s="39"/>
      <c r="U866" s="39"/>
      <c r="V866" s="39"/>
      <c r="W866" s="39"/>
      <c r="X866" s="39"/>
      <c r="Y866" s="39"/>
      <c r="Z866" s="39"/>
      <c r="AA866" s="39"/>
      <c r="AB866" s="39"/>
    </row>
    <row r="867">
      <c r="A867" s="1"/>
      <c r="B867" s="36"/>
      <c r="C867" s="36"/>
      <c r="D867" s="36"/>
      <c r="E867" s="36"/>
      <c r="F867" s="36"/>
      <c r="G867" s="36"/>
      <c r="H867" s="37"/>
      <c r="I867" s="36"/>
      <c r="J867" s="38"/>
      <c r="K867" s="38"/>
      <c r="L867" s="39"/>
      <c r="M867" s="39"/>
      <c r="N867" s="39"/>
      <c r="O867" s="39"/>
      <c r="P867" s="39"/>
      <c r="Q867" s="39"/>
      <c r="R867" s="39"/>
      <c r="S867" s="39"/>
      <c r="T867" s="39"/>
      <c r="U867" s="39"/>
      <c r="V867" s="39"/>
      <c r="W867" s="39"/>
      <c r="X867" s="39"/>
      <c r="Y867" s="39"/>
      <c r="Z867" s="39"/>
      <c r="AA867" s="39"/>
      <c r="AB867" s="39"/>
    </row>
    <row r="868">
      <c r="A868" s="1"/>
      <c r="B868" s="36"/>
      <c r="C868" s="36"/>
      <c r="D868" s="36"/>
      <c r="E868" s="36"/>
      <c r="F868" s="36"/>
      <c r="G868" s="36"/>
      <c r="H868" s="37"/>
      <c r="I868" s="36"/>
      <c r="J868" s="38"/>
      <c r="K868" s="38"/>
      <c r="L868" s="39"/>
      <c r="M868" s="39"/>
      <c r="N868" s="39"/>
      <c r="O868" s="39"/>
      <c r="P868" s="39"/>
      <c r="Q868" s="39"/>
      <c r="R868" s="39"/>
      <c r="S868" s="39"/>
      <c r="T868" s="39"/>
      <c r="U868" s="39"/>
      <c r="V868" s="39"/>
      <c r="W868" s="39"/>
      <c r="X868" s="39"/>
      <c r="Y868" s="39"/>
      <c r="Z868" s="39"/>
      <c r="AA868" s="39"/>
      <c r="AB868" s="39"/>
    </row>
    <row r="869">
      <c r="A869" s="1"/>
      <c r="B869" s="36"/>
      <c r="C869" s="36"/>
      <c r="D869" s="36"/>
      <c r="E869" s="36"/>
      <c r="F869" s="36"/>
      <c r="G869" s="36"/>
      <c r="H869" s="37"/>
      <c r="I869" s="36"/>
      <c r="J869" s="38"/>
      <c r="K869" s="38"/>
      <c r="L869" s="39"/>
      <c r="M869" s="39"/>
      <c r="N869" s="39"/>
      <c r="O869" s="39"/>
      <c r="P869" s="39"/>
      <c r="Q869" s="39"/>
      <c r="R869" s="39"/>
      <c r="S869" s="39"/>
      <c r="T869" s="39"/>
      <c r="U869" s="39"/>
      <c r="V869" s="39"/>
      <c r="W869" s="39"/>
      <c r="X869" s="39"/>
      <c r="Y869" s="39"/>
      <c r="Z869" s="39"/>
      <c r="AA869" s="39"/>
      <c r="AB869" s="39"/>
    </row>
    <row r="870">
      <c r="A870" s="1"/>
      <c r="B870" s="36"/>
      <c r="C870" s="36"/>
      <c r="D870" s="36"/>
      <c r="E870" s="36"/>
      <c r="F870" s="36"/>
      <c r="G870" s="36"/>
      <c r="H870" s="37"/>
      <c r="I870" s="36"/>
      <c r="J870" s="38"/>
      <c r="K870" s="38"/>
      <c r="L870" s="39"/>
      <c r="M870" s="39"/>
      <c r="N870" s="39"/>
      <c r="O870" s="39"/>
      <c r="P870" s="39"/>
      <c r="Q870" s="39"/>
      <c r="R870" s="39"/>
      <c r="S870" s="39"/>
      <c r="T870" s="39"/>
      <c r="U870" s="39"/>
      <c r="V870" s="39"/>
      <c r="W870" s="39"/>
      <c r="X870" s="39"/>
      <c r="Y870" s="39"/>
      <c r="Z870" s="39"/>
      <c r="AA870" s="39"/>
      <c r="AB870" s="39"/>
    </row>
    <row r="871">
      <c r="A871" s="1"/>
      <c r="B871" s="36"/>
      <c r="C871" s="36"/>
      <c r="D871" s="36"/>
      <c r="E871" s="36"/>
      <c r="F871" s="36"/>
      <c r="G871" s="36"/>
      <c r="H871" s="37"/>
      <c r="I871" s="36"/>
      <c r="J871" s="38"/>
      <c r="K871" s="38"/>
      <c r="L871" s="39"/>
      <c r="M871" s="39"/>
      <c r="N871" s="39"/>
      <c r="O871" s="39"/>
      <c r="P871" s="39"/>
      <c r="Q871" s="39"/>
      <c r="R871" s="39"/>
      <c r="S871" s="39"/>
      <c r="T871" s="39"/>
      <c r="U871" s="39"/>
      <c r="V871" s="39"/>
      <c r="W871" s="39"/>
      <c r="X871" s="39"/>
      <c r="Y871" s="39"/>
      <c r="Z871" s="39"/>
      <c r="AA871" s="39"/>
      <c r="AB871" s="39"/>
    </row>
    <row r="872">
      <c r="A872" s="1"/>
      <c r="B872" s="36"/>
      <c r="C872" s="36"/>
      <c r="D872" s="36"/>
      <c r="E872" s="36"/>
      <c r="F872" s="36"/>
      <c r="G872" s="36"/>
      <c r="H872" s="37"/>
      <c r="I872" s="36"/>
      <c r="J872" s="38"/>
      <c r="K872" s="38"/>
      <c r="L872" s="39"/>
      <c r="M872" s="39"/>
      <c r="N872" s="39"/>
      <c r="O872" s="39"/>
      <c r="P872" s="39"/>
      <c r="Q872" s="39"/>
      <c r="R872" s="39"/>
      <c r="S872" s="39"/>
      <c r="T872" s="39"/>
      <c r="U872" s="39"/>
      <c r="V872" s="39"/>
      <c r="W872" s="39"/>
      <c r="X872" s="39"/>
      <c r="Y872" s="39"/>
      <c r="Z872" s="39"/>
      <c r="AA872" s="39"/>
      <c r="AB872" s="39"/>
    </row>
    <row r="873">
      <c r="A873" s="1"/>
      <c r="B873" s="36"/>
      <c r="C873" s="36"/>
      <c r="D873" s="36"/>
      <c r="E873" s="36"/>
      <c r="F873" s="36"/>
      <c r="G873" s="36"/>
      <c r="H873" s="37"/>
      <c r="I873" s="36"/>
      <c r="J873" s="38"/>
      <c r="K873" s="38"/>
      <c r="L873" s="39"/>
      <c r="M873" s="39"/>
      <c r="N873" s="39"/>
      <c r="O873" s="39"/>
      <c r="P873" s="39"/>
      <c r="Q873" s="39"/>
      <c r="R873" s="39"/>
      <c r="S873" s="39"/>
      <c r="T873" s="39"/>
      <c r="U873" s="39"/>
      <c r="V873" s="39"/>
      <c r="W873" s="39"/>
      <c r="X873" s="39"/>
      <c r="Y873" s="39"/>
      <c r="Z873" s="39"/>
      <c r="AA873" s="39"/>
      <c r="AB873" s="39"/>
    </row>
    <row r="874">
      <c r="A874" s="1"/>
      <c r="B874" s="36"/>
      <c r="C874" s="36"/>
      <c r="D874" s="36"/>
      <c r="E874" s="36"/>
      <c r="F874" s="36"/>
      <c r="G874" s="36"/>
      <c r="H874" s="37"/>
      <c r="I874" s="36"/>
      <c r="J874" s="38"/>
      <c r="K874" s="38"/>
      <c r="L874" s="39"/>
      <c r="M874" s="39"/>
      <c r="N874" s="39"/>
      <c r="O874" s="39"/>
      <c r="P874" s="39"/>
      <c r="Q874" s="39"/>
      <c r="R874" s="39"/>
      <c r="S874" s="39"/>
      <c r="T874" s="39"/>
      <c r="U874" s="39"/>
      <c r="V874" s="39"/>
      <c r="W874" s="39"/>
      <c r="X874" s="39"/>
      <c r="Y874" s="39"/>
      <c r="Z874" s="39"/>
      <c r="AA874" s="39"/>
      <c r="AB874" s="39"/>
    </row>
    <row r="875">
      <c r="A875" s="1"/>
      <c r="B875" s="36"/>
      <c r="C875" s="36"/>
      <c r="D875" s="36"/>
      <c r="E875" s="36"/>
      <c r="F875" s="36"/>
      <c r="G875" s="36"/>
      <c r="H875" s="37"/>
      <c r="I875" s="36"/>
      <c r="J875" s="38"/>
      <c r="K875" s="38"/>
      <c r="L875" s="39"/>
      <c r="M875" s="39"/>
      <c r="N875" s="39"/>
      <c r="O875" s="39"/>
      <c r="P875" s="39"/>
      <c r="Q875" s="39"/>
      <c r="R875" s="39"/>
      <c r="S875" s="39"/>
      <c r="T875" s="39"/>
      <c r="U875" s="39"/>
      <c r="V875" s="39"/>
      <c r="W875" s="39"/>
      <c r="X875" s="39"/>
      <c r="Y875" s="39"/>
      <c r="Z875" s="39"/>
      <c r="AA875" s="39"/>
      <c r="AB875" s="39"/>
    </row>
    <row r="876">
      <c r="A876" s="1"/>
      <c r="B876" s="36"/>
      <c r="C876" s="36"/>
      <c r="D876" s="36"/>
      <c r="E876" s="36"/>
      <c r="F876" s="36"/>
      <c r="G876" s="36"/>
      <c r="H876" s="37"/>
      <c r="I876" s="36"/>
      <c r="J876" s="38"/>
      <c r="K876" s="38"/>
      <c r="L876" s="39"/>
      <c r="M876" s="39"/>
      <c r="N876" s="39"/>
      <c r="O876" s="39"/>
      <c r="P876" s="39"/>
      <c r="Q876" s="39"/>
      <c r="R876" s="39"/>
      <c r="S876" s="39"/>
      <c r="T876" s="39"/>
      <c r="U876" s="39"/>
      <c r="V876" s="39"/>
      <c r="W876" s="39"/>
      <c r="X876" s="39"/>
      <c r="Y876" s="39"/>
      <c r="Z876" s="39"/>
      <c r="AA876" s="39"/>
      <c r="AB876" s="39"/>
    </row>
    <row r="877">
      <c r="A877" s="1"/>
      <c r="B877" s="36"/>
      <c r="C877" s="36"/>
      <c r="D877" s="36"/>
      <c r="E877" s="36"/>
      <c r="F877" s="36"/>
      <c r="G877" s="36"/>
      <c r="H877" s="37"/>
      <c r="I877" s="36"/>
      <c r="J877" s="38"/>
      <c r="K877" s="38"/>
      <c r="L877" s="39"/>
      <c r="M877" s="39"/>
      <c r="N877" s="39"/>
      <c r="O877" s="39"/>
      <c r="P877" s="39"/>
      <c r="Q877" s="39"/>
      <c r="R877" s="39"/>
      <c r="S877" s="39"/>
      <c r="T877" s="39"/>
      <c r="U877" s="39"/>
      <c r="V877" s="39"/>
      <c r="W877" s="39"/>
      <c r="X877" s="39"/>
      <c r="Y877" s="39"/>
      <c r="Z877" s="39"/>
      <c r="AA877" s="39"/>
      <c r="AB877" s="39"/>
    </row>
    <row r="878">
      <c r="A878" s="1"/>
      <c r="B878" s="36"/>
      <c r="C878" s="36"/>
      <c r="D878" s="36"/>
      <c r="E878" s="36"/>
      <c r="F878" s="36"/>
      <c r="G878" s="36"/>
      <c r="H878" s="37"/>
      <c r="I878" s="36"/>
      <c r="J878" s="38"/>
      <c r="K878" s="38"/>
      <c r="L878" s="39"/>
      <c r="M878" s="39"/>
      <c r="N878" s="39"/>
      <c r="O878" s="39"/>
      <c r="P878" s="39"/>
      <c r="Q878" s="39"/>
      <c r="R878" s="39"/>
      <c r="S878" s="39"/>
      <c r="T878" s="39"/>
      <c r="U878" s="39"/>
      <c r="V878" s="39"/>
      <c r="W878" s="39"/>
      <c r="X878" s="39"/>
      <c r="Y878" s="39"/>
      <c r="Z878" s="39"/>
      <c r="AA878" s="39"/>
      <c r="AB878" s="39"/>
    </row>
    <row r="879">
      <c r="A879" s="1"/>
      <c r="B879" s="36"/>
      <c r="C879" s="36"/>
      <c r="D879" s="36"/>
      <c r="E879" s="36"/>
      <c r="F879" s="36"/>
      <c r="G879" s="36"/>
      <c r="H879" s="37"/>
      <c r="I879" s="36"/>
      <c r="J879" s="38"/>
      <c r="K879" s="38"/>
      <c r="L879" s="39"/>
      <c r="M879" s="39"/>
      <c r="N879" s="39"/>
      <c r="O879" s="39"/>
      <c r="P879" s="39"/>
      <c r="Q879" s="39"/>
      <c r="R879" s="39"/>
      <c r="S879" s="39"/>
      <c r="T879" s="39"/>
      <c r="U879" s="39"/>
      <c r="V879" s="39"/>
      <c r="W879" s="39"/>
      <c r="X879" s="39"/>
      <c r="Y879" s="39"/>
      <c r="Z879" s="39"/>
      <c r="AA879" s="39"/>
      <c r="AB879" s="39"/>
    </row>
    <row r="880">
      <c r="A880" s="1"/>
      <c r="B880" s="36"/>
      <c r="C880" s="36"/>
      <c r="D880" s="36"/>
      <c r="E880" s="36"/>
      <c r="F880" s="36"/>
      <c r="G880" s="36"/>
      <c r="H880" s="37"/>
      <c r="I880" s="36"/>
      <c r="J880" s="38"/>
      <c r="K880" s="38"/>
      <c r="L880" s="39"/>
      <c r="M880" s="39"/>
      <c r="N880" s="39"/>
      <c r="O880" s="39"/>
      <c r="P880" s="39"/>
      <c r="Q880" s="39"/>
      <c r="R880" s="39"/>
      <c r="S880" s="39"/>
      <c r="T880" s="39"/>
      <c r="U880" s="39"/>
      <c r="V880" s="39"/>
      <c r="W880" s="39"/>
      <c r="X880" s="39"/>
      <c r="Y880" s="39"/>
      <c r="Z880" s="39"/>
      <c r="AA880" s="39"/>
      <c r="AB880" s="39"/>
    </row>
    <row r="881">
      <c r="A881" s="1"/>
      <c r="B881" s="36"/>
      <c r="C881" s="36"/>
      <c r="D881" s="36"/>
      <c r="E881" s="36"/>
      <c r="F881" s="36"/>
      <c r="G881" s="36"/>
      <c r="H881" s="37"/>
      <c r="I881" s="36"/>
      <c r="J881" s="38"/>
      <c r="K881" s="38"/>
      <c r="L881" s="39"/>
      <c r="M881" s="39"/>
      <c r="N881" s="39"/>
      <c r="O881" s="39"/>
      <c r="P881" s="39"/>
      <c r="Q881" s="39"/>
      <c r="R881" s="39"/>
      <c r="S881" s="39"/>
      <c r="T881" s="39"/>
      <c r="U881" s="39"/>
      <c r="V881" s="39"/>
      <c r="W881" s="39"/>
      <c r="X881" s="39"/>
      <c r="Y881" s="39"/>
      <c r="Z881" s="39"/>
      <c r="AA881" s="39"/>
      <c r="AB881" s="39"/>
    </row>
    <row r="882">
      <c r="A882" s="1"/>
      <c r="B882" s="36"/>
      <c r="C882" s="36"/>
      <c r="D882" s="36"/>
      <c r="E882" s="36"/>
      <c r="F882" s="36"/>
      <c r="G882" s="36"/>
      <c r="H882" s="37"/>
      <c r="I882" s="36"/>
      <c r="J882" s="38"/>
      <c r="K882" s="38"/>
      <c r="L882" s="39"/>
      <c r="M882" s="39"/>
      <c r="N882" s="39"/>
      <c r="O882" s="39"/>
      <c r="P882" s="39"/>
      <c r="Q882" s="39"/>
      <c r="R882" s="39"/>
      <c r="S882" s="39"/>
      <c r="T882" s="39"/>
      <c r="U882" s="39"/>
      <c r="V882" s="39"/>
      <c r="W882" s="39"/>
      <c r="X882" s="39"/>
      <c r="Y882" s="39"/>
      <c r="Z882" s="39"/>
      <c r="AA882" s="39"/>
      <c r="AB882" s="39"/>
    </row>
    <row r="883">
      <c r="A883" s="1"/>
      <c r="B883" s="36"/>
      <c r="C883" s="36"/>
      <c r="D883" s="36"/>
      <c r="E883" s="36"/>
      <c r="F883" s="36"/>
      <c r="G883" s="36"/>
      <c r="H883" s="37"/>
      <c r="I883" s="36"/>
      <c r="J883" s="38"/>
      <c r="K883" s="38"/>
      <c r="L883" s="39"/>
      <c r="M883" s="39"/>
      <c r="N883" s="39"/>
      <c r="O883" s="39"/>
      <c r="P883" s="39"/>
      <c r="Q883" s="39"/>
      <c r="R883" s="39"/>
      <c r="S883" s="39"/>
      <c r="T883" s="39"/>
      <c r="U883" s="39"/>
      <c r="V883" s="39"/>
      <c r="W883" s="39"/>
      <c r="X883" s="39"/>
      <c r="Y883" s="39"/>
      <c r="Z883" s="39"/>
      <c r="AA883" s="39"/>
      <c r="AB883" s="39"/>
    </row>
    <row r="884">
      <c r="A884" s="1"/>
      <c r="B884" s="36"/>
      <c r="C884" s="36"/>
      <c r="D884" s="36"/>
      <c r="E884" s="36"/>
      <c r="F884" s="36"/>
      <c r="G884" s="36"/>
      <c r="H884" s="37"/>
      <c r="I884" s="36"/>
      <c r="J884" s="38"/>
      <c r="K884" s="38"/>
      <c r="L884" s="39"/>
      <c r="M884" s="39"/>
      <c r="N884" s="39"/>
      <c r="O884" s="39"/>
      <c r="P884" s="39"/>
      <c r="Q884" s="39"/>
      <c r="R884" s="39"/>
      <c r="S884" s="39"/>
      <c r="T884" s="39"/>
      <c r="U884" s="39"/>
      <c r="V884" s="39"/>
      <c r="W884" s="39"/>
      <c r="X884" s="39"/>
      <c r="Y884" s="39"/>
      <c r="Z884" s="39"/>
      <c r="AA884" s="39"/>
      <c r="AB884" s="39"/>
    </row>
    <row r="885">
      <c r="A885" s="1"/>
      <c r="B885" s="36"/>
      <c r="C885" s="36"/>
      <c r="D885" s="36"/>
      <c r="E885" s="36"/>
      <c r="F885" s="36"/>
      <c r="G885" s="36"/>
      <c r="H885" s="37"/>
      <c r="I885" s="36"/>
      <c r="J885" s="38"/>
      <c r="K885" s="38"/>
      <c r="L885" s="39"/>
      <c r="M885" s="39"/>
      <c r="N885" s="39"/>
      <c r="O885" s="39"/>
      <c r="P885" s="39"/>
      <c r="Q885" s="39"/>
      <c r="R885" s="39"/>
      <c r="S885" s="39"/>
      <c r="T885" s="39"/>
      <c r="U885" s="39"/>
      <c r="V885" s="39"/>
      <c r="W885" s="39"/>
      <c r="X885" s="39"/>
      <c r="Y885" s="39"/>
      <c r="Z885" s="39"/>
      <c r="AA885" s="39"/>
      <c r="AB885" s="39"/>
    </row>
    <row r="886">
      <c r="A886" s="1"/>
      <c r="B886" s="36"/>
      <c r="C886" s="36"/>
      <c r="D886" s="36"/>
      <c r="E886" s="36"/>
      <c r="F886" s="36"/>
      <c r="G886" s="36"/>
      <c r="H886" s="37"/>
      <c r="I886" s="36"/>
      <c r="J886" s="38"/>
      <c r="K886" s="38"/>
      <c r="L886" s="39"/>
      <c r="M886" s="39"/>
      <c r="N886" s="39"/>
      <c r="O886" s="39"/>
      <c r="P886" s="39"/>
      <c r="Q886" s="39"/>
      <c r="R886" s="39"/>
      <c r="S886" s="39"/>
      <c r="T886" s="39"/>
      <c r="U886" s="39"/>
      <c r="V886" s="39"/>
      <c r="W886" s="39"/>
      <c r="X886" s="39"/>
      <c r="Y886" s="39"/>
      <c r="Z886" s="39"/>
      <c r="AA886" s="39"/>
      <c r="AB886" s="39"/>
    </row>
    <row r="887">
      <c r="A887" s="1"/>
      <c r="B887" s="36"/>
      <c r="C887" s="36"/>
      <c r="D887" s="36"/>
      <c r="E887" s="36"/>
      <c r="F887" s="36"/>
      <c r="G887" s="36"/>
      <c r="H887" s="37"/>
      <c r="I887" s="36"/>
      <c r="J887" s="38"/>
      <c r="K887" s="38"/>
      <c r="L887" s="39"/>
      <c r="M887" s="39"/>
      <c r="N887" s="39"/>
      <c r="O887" s="39"/>
      <c r="P887" s="39"/>
      <c r="Q887" s="39"/>
      <c r="R887" s="39"/>
      <c r="S887" s="39"/>
      <c r="T887" s="39"/>
      <c r="U887" s="39"/>
      <c r="V887" s="39"/>
      <c r="W887" s="39"/>
      <c r="X887" s="39"/>
      <c r="Y887" s="39"/>
      <c r="Z887" s="39"/>
      <c r="AA887" s="39"/>
      <c r="AB887" s="39"/>
    </row>
    <row r="888">
      <c r="A888" s="1"/>
      <c r="B888" s="36"/>
      <c r="C888" s="36"/>
      <c r="D888" s="36"/>
      <c r="E888" s="36"/>
      <c r="F888" s="36"/>
      <c r="G888" s="36"/>
      <c r="H888" s="37"/>
      <c r="I888" s="36"/>
      <c r="J888" s="38"/>
      <c r="K888" s="38"/>
      <c r="L888" s="39"/>
      <c r="M888" s="39"/>
      <c r="N888" s="39"/>
      <c r="O888" s="39"/>
      <c r="P888" s="39"/>
      <c r="Q888" s="39"/>
      <c r="R888" s="39"/>
      <c r="S888" s="39"/>
      <c r="T888" s="39"/>
      <c r="U888" s="39"/>
      <c r="V888" s="39"/>
      <c r="W888" s="39"/>
      <c r="X888" s="39"/>
      <c r="Y888" s="39"/>
      <c r="Z888" s="39"/>
      <c r="AA888" s="39"/>
      <c r="AB888" s="39"/>
    </row>
    <row r="889">
      <c r="A889" s="1"/>
      <c r="B889" s="36"/>
      <c r="C889" s="36"/>
      <c r="D889" s="36"/>
      <c r="E889" s="36"/>
      <c r="F889" s="36"/>
      <c r="G889" s="36"/>
      <c r="H889" s="37"/>
      <c r="I889" s="36"/>
      <c r="J889" s="38"/>
      <c r="K889" s="38"/>
      <c r="L889" s="39"/>
      <c r="M889" s="39"/>
      <c r="N889" s="39"/>
      <c r="O889" s="39"/>
      <c r="P889" s="39"/>
      <c r="Q889" s="39"/>
      <c r="R889" s="39"/>
      <c r="S889" s="39"/>
      <c r="T889" s="39"/>
      <c r="U889" s="39"/>
      <c r="V889" s="39"/>
      <c r="W889" s="39"/>
      <c r="X889" s="39"/>
      <c r="Y889" s="39"/>
      <c r="Z889" s="39"/>
      <c r="AA889" s="39"/>
      <c r="AB889" s="39"/>
    </row>
    <row r="890">
      <c r="A890" s="1"/>
      <c r="B890" s="36"/>
      <c r="C890" s="36"/>
      <c r="D890" s="36"/>
      <c r="E890" s="36"/>
      <c r="F890" s="36"/>
      <c r="G890" s="36"/>
      <c r="H890" s="37"/>
      <c r="I890" s="36"/>
      <c r="J890" s="38"/>
      <c r="K890" s="38"/>
      <c r="L890" s="39"/>
      <c r="M890" s="39"/>
      <c r="N890" s="39"/>
      <c r="O890" s="39"/>
      <c r="P890" s="39"/>
      <c r="Q890" s="39"/>
      <c r="R890" s="39"/>
      <c r="S890" s="39"/>
      <c r="T890" s="39"/>
      <c r="U890" s="39"/>
      <c r="V890" s="39"/>
      <c r="W890" s="39"/>
      <c r="X890" s="39"/>
      <c r="Y890" s="39"/>
      <c r="Z890" s="39"/>
      <c r="AA890" s="39"/>
      <c r="AB890" s="39"/>
    </row>
    <row r="891">
      <c r="A891" s="1"/>
      <c r="B891" s="36"/>
      <c r="C891" s="36"/>
      <c r="D891" s="36"/>
      <c r="E891" s="36"/>
      <c r="F891" s="36"/>
      <c r="G891" s="36"/>
      <c r="H891" s="37"/>
      <c r="I891" s="36"/>
      <c r="J891" s="38"/>
      <c r="K891" s="38"/>
      <c r="L891" s="39"/>
      <c r="M891" s="39"/>
      <c r="N891" s="39"/>
      <c r="O891" s="39"/>
      <c r="P891" s="39"/>
      <c r="Q891" s="39"/>
      <c r="R891" s="39"/>
      <c r="S891" s="39"/>
      <c r="T891" s="39"/>
      <c r="U891" s="39"/>
      <c r="V891" s="39"/>
      <c r="W891" s="39"/>
      <c r="X891" s="39"/>
      <c r="Y891" s="39"/>
      <c r="Z891" s="39"/>
      <c r="AA891" s="39"/>
      <c r="AB891" s="39"/>
    </row>
    <row r="892">
      <c r="A892" s="1"/>
      <c r="B892" s="36"/>
      <c r="C892" s="36"/>
      <c r="D892" s="36"/>
      <c r="E892" s="36"/>
      <c r="F892" s="36"/>
      <c r="G892" s="36"/>
      <c r="H892" s="37"/>
      <c r="I892" s="36"/>
      <c r="J892" s="38"/>
      <c r="K892" s="38"/>
      <c r="L892" s="39"/>
      <c r="M892" s="39"/>
      <c r="N892" s="39"/>
      <c r="O892" s="39"/>
      <c r="P892" s="39"/>
      <c r="Q892" s="39"/>
      <c r="R892" s="39"/>
      <c r="S892" s="39"/>
      <c r="T892" s="39"/>
      <c r="U892" s="39"/>
      <c r="V892" s="39"/>
      <c r="W892" s="39"/>
      <c r="X892" s="39"/>
      <c r="Y892" s="39"/>
      <c r="Z892" s="39"/>
      <c r="AA892" s="39"/>
      <c r="AB892" s="39"/>
    </row>
    <row r="893">
      <c r="A893" s="1"/>
      <c r="B893" s="36"/>
      <c r="C893" s="36"/>
      <c r="D893" s="36"/>
      <c r="E893" s="36"/>
      <c r="F893" s="36"/>
      <c r="G893" s="36"/>
      <c r="H893" s="37"/>
      <c r="I893" s="36"/>
      <c r="J893" s="38"/>
      <c r="K893" s="38"/>
      <c r="L893" s="39"/>
      <c r="M893" s="39"/>
      <c r="N893" s="39"/>
      <c r="O893" s="39"/>
      <c r="P893" s="39"/>
      <c r="Q893" s="39"/>
      <c r="R893" s="39"/>
      <c r="S893" s="39"/>
      <c r="T893" s="39"/>
      <c r="U893" s="39"/>
      <c r="V893" s="39"/>
      <c r="W893" s="39"/>
      <c r="X893" s="39"/>
      <c r="Y893" s="39"/>
      <c r="Z893" s="39"/>
      <c r="AA893" s="39"/>
      <c r="AB893" s="39"/>
    </row>
    <row r="894">
      <c r="A894" s="1"/>
      <c r="B894" s="36"/>
      <c r="C894" s="36"/>
      <c r="D894" s="36"/>
      <c r="E894" s="36"/>
      <c r="F894" s="36"/>
      <c r="G894" s="36"/>
      <c r="H894" s="37"/>
      <c r="I894" s="36"/>
      <c r="J894" s="38"/>
      <c r="K894" s="38"/>
      <c r="L894" s="39"/>
      <c r="M894" s="39"/>
      <c r="N894" s="39"/>
      <c r="O894" s="39"/>
      <c r="P894" s="39"/>
      <c r="Q894" s="39"/>
      <c r="R894" s="39"/>
      <c r="S894" s="39"/>
      <c r="T894" s="39"/>
      <c r="U894" s="39"/>
      <c r="V894" s="39"/>
      <c r="W894" s="39"/>
      <c r="X894" s="39"/>
      <c r="Y894" s="39"/>
      <c r="Z894" s="39"/>
      <c r="AA894" s="39"/>
      <c r="AB894" s="39"/>
    </row>
    <row r="895">
      <c r="A895" s="1"/>
      <c r="B895" s="36"/>
      <c r="C895" s="36"/>
      <c r="D895" s="36"/>
      <c r="E895" s="36"/>
      <c r="F895" s="36"/>
      <c r="G895" s="36"/>
      <c r="H895" s="37"/>
      <c r="I895" s="36"/>
      <c r="J895" s="38"/>
      <c r="K895" s="38"/>
      <c r="L895" s="39"/>
      <c r="M895" s="39"/>
      <c r="N895" s="39"/>
      <c r="O895" s="39"/>
      <c r="P895" s="39"/>
      <c r="Q895" s="39"/>
      <c r="R895" s="39"/>
      <c r="S895" s="39"/>
      <c r="T895" s="39"/>
      <c r="U895" s="39"/>
      <c r="V895" s="39"/>
      <c r="W895" s="39"/>
      <c r="X895" s="39"/>
      <c r="Y895" s="39"/>
      <c r="Z895" s="39"/>
      <c r="AA895" s="39"/>
      <c r="AB895" s="39"/>
    </row>
    <row r="896">
      <c r="A896" s="1"/>
      <c r="B896" s="36"/>
      <c r="C896" s="36"/>
      <c r="D896" s="36"/>
      <c r="E896" s="36"/>
      <c r="F896" s="36"/>
      <c r="G896" s="36"/>
      <c r="H896" s="37"/>
      <c r="I896" s="36"/>
      <c r="J896" s="38"/>
      <c r="K896" s="38"/>
      <c r="L896" s="39"/>
      <c r="M896" s="39"/>
      <c r="N896" s="39"/>
      <c r="O896" s="39"/>
      <c r="P896" s="39"/>
      <c r="Q896" s="39"/>
      <c r="R896" s="39"/>
      <c r="S896" s="39"/>
      <c r="T896" s="39"/>
      <c r="U896" s="39"/>
      <c r="V896" s="39"/>
      <c r="W896" s="39"/>
      <c r="X896" s="39"/>
      <c r="Y896" s="39"/>
      <c r="Z896" s="39"/>
      <c r="AA896" s="39"/>
      <c r="AB896" s="39"/>
    </row>
    <row r="897">
      <c r="A897" s="1"/>
      <c r="B897" s="36"/>
      <c r="C897" s="36"/>
      <c r="D897" s="36"/>
      <c r="E897" s="36"/>
      <c r="F897" s="36"/>
      <c r="G897" s="36"/>
      <c r="H897" s="37"/>
      <c r="I897" s="36"/>
      <c r="J897" s="38"/>
      <c r="K897" s="38"/>
      <c r="L897" s="39"/>
      <c r="M897" s="39"/>
      <c r="N897" s="39"/>
      <c r="O897" s="39"/>
      <c r="P897" s="39"/>
      <c r="Q897" s="39"/>
      <c r="R897" s="39"/>
      <c r="S897" s="39"/>
      <c r="T897" s="39"/>
      <c r="U897" s="39"/>
      <c r="V897" s="39"/>
      <c r="W897" s="39"/>
      <c r="X897" s="39"/>
      <c r="Y897" s="39"/>
      <c r="Z897" s="39"/>
      <c r="AA897" s="39"/>
      <c r="AB897" s="39"/>
    </row>
    <row r="898">
      <c r="A898" s="1"/>
      <c r="B898" s="36"/>
      <c r="C898" s="36"/>
      <c r="D898" s="36"/>
      <c r="E898" s="36"/>
      <c r="F898" s="36"/>
      <c r="G898" s="36"/>
      <c r="H898" s="37"/>
      <c r="I898" s="36"/>
      <c r="J898" s="38"/>
      <c r="K898" s="38"/>
      <c r="L898" s="39"/>
      <c r="M898" s="39"/>
      <c r="N898" s="39"/>
      <c r="O898" s="39"/>
      <c r="P898" s="39"/>
      <c r="Q898" s="39"/>
      <c r="R898" s="39"/>
      <c r="S898" s="39"/>
      <c r="T898" s="39"/>
      <c r="U898" s="39"/>
      <c r="V898" s="39"/>
      <c r="W898" s="39"/>
      <c r="X898" s="39"/>
      <c r="Y898" s="39"/>
      <c r="Z898" s="39"/>
      <c r="AA898" s="39"/>
      <c r="AB898" s="39"/>
    </row>
    <row r="899">
      <c r="A899" s="1"/>
      <c r="B899" s="36"/>
      <c r="C899" s="36"/>
      <c r="D899" s="36"/>
      <c r="E899" s="36"/>
      <c r="F899" s="36"/>
      <c r="G899" s="36"/>
      <c r="H899" s="37"/>
      <c r="I899" s="36"/>
      <c r="J899" s="38"/>
      <c r="K899" s="38"/>
      <c r="L899" s="39"/>
      <c r="M899" s="39"/>
      <c r="N899" s="39"/>
      <c r="O899" s="39"/>
      <c r="P899" s="39"/>
      <c r="Q899" s="39"/>
      <c r="R899" s="39"/>
      <c r="S899" s="39"/>
      <c r="T899" s="39"/>
      <c r="U899" s="39"/>
      <c r="V899" s="39"/>
      <c r="W899" s="39"/>
      <c r="X899" s="39"/>
      <c r="Y899" s="39"/>
      <c r="Z899" s="39"/>
      <c r="AA899" s="39"/>
      <c r="AB899" s="39"/>
    </row>
    <row r="900">
      <c r="A900" s="1"/>
      <c r="B900" s="36"/>
      <c r="C900" s="36"/>
      <c r="D900" s="36"/>
      <c r="E900" s="36"/>
      <c r="F900" s="36"/>
      <c r="G900" s="36"/>
      <c r="H900" s="37"/>
      <c r="I900" s="36"/>
      <c r="J900" s="38"/>
      <c r="K900" s="38"/>
      <c r="L900" s="39"/>
      <c r="M900" s="39"/>
      <c r="N900" s="39"/>
      <c r="O900" s="39"/>
      <c r="P900" s="39"/>
      <c r="Q900" s="39"/>
      <c r="R900" s="39"/>
      <c r="S900" s="39"/>
      <c r="T900" s="39"/>
      <c r="U900" s="39"/>
      <c r="V900" s="39"/>
      <c r="W900" s="39"/>
      <c r="X900" s="39"/>
      <c r="Y900" s="39"/>
      <c r="Z900" s="39"/>
      <c r="AA900" s="39"/>
      <c r="AB900" s="39"/>
    </row>
    <row r="901">
      <c r="A901" s="1"/>
      <c r="B901" s="36"/>
      <c r="C901" s="36"/>
      <c r="D901" s="36"/>
      <c r="E901" s="36"/>
      <c r="F901" s="36"/>
      <c r="G901" s="36"/>
      <c r="H901" s="37"/>
      <c r="I901" s="36"/>
      <c r="J901" s="38"/>
      <c r="K901" s="38"/>
      <c r="L901" s="39"/>
      <c r="M901" s="39"/>
      <c r="N901" s="39"/>
      <c r="O901" s="39"/>
      <c r="P901" s="39"/>
      <c r="Q901" s="39"/>
      <c r="R901" s="39"/>
      <c r="S901" s="39"/>
      <c r="T901" s="39"/>
      <c r="U901" s="39"/>
      <c r="V901" s="39"/>
      <c r="W901" s="39"/>
      <c r="X901" s="39"/>
      <c r="Y901" s="39"/>
      <c r="Z901" s="39"/>
      <c r="AA901" s="39"/>
      <c r="AB901" s="39"/>
    </row>
    <row r="902">
      <c r="A902" s="1"/>
      <c r="B902" s="36"/>
      <c r="C902" s="36"/>
      <c r="D902" s="36"/>
      <c r="E902" s="36"/>
      <c r="F902" s="36"/>
      <c r="G902" s="36"/>
      <c r="H902" s="37"/>
      <c r="I902" s="36"/>
      <c r="J902" s="38"/>
      <c r="K902" s="38"/>
      <c r="L902" s="39"/>
      <c r="M902" s="39"/>
      <c r="N902" s="39"/>
      <c r="O902" s="39"/>
      <c r="P902" s="39"/>
      <c r="Q902" s="39"/>
      <c r="R902" s="39"/>
      <c r="S902" s="39"/>
      <c r="T902" s="39"/>
      <c r="U902" s="39"/>
      <c r="V902" s="39"/>
      <c r="W902" s="39"/>
      <c r="X902" s="39"/>
      <c r="Y902" s="39"/>
      <c r="Z902" s="39"/>
      <c r="AA902" s="39"/>
      <c r="AB902" s="39"/>
    </row>
    <row r="903">
      <c r="A903" s="1"/>
      <c r="B903" s="36"/>
      <c r="C903" s="36"/>
      <c r="D903" s="36"/>
      <c r="E903" s="36"/>
      <c r="F903" s="36"/>
      <c r="G903" s="36"/>
      <c r="H903" s="37"/>
      <c r="I903" s="36"/>
      <c r="J903" s="38"/>
      <c r="K903" s="38"/>
      <c r="L903" s="39"/>
      <c r="M903" s="39"/>
      <c r="N903" s="39"/>
      <c r="O903" s="39"/>
      <c r="P903" s="39"/>
      <c r="Q903" s="39"/>
      <c r="R903" s="39"/>
      <c r="S903" s="39"/>
      <c r="T903" s="39"/>
      <c r="U903" s="39"/>
      <c r="V903" s="39"/>
      <c r="W903" s="39"/>
      <c r="X903" s="39"/>
      <c r="Y903" s="39"/>
      <c r="Z903" s="39"/>
      <c r="AA903" s="39"/>
      <c r="AB903" s="39"/>
    </row>
    <row r="904">
      <c r="A904" s="1"/>
      <c r="B904" s="36"/>
      <c r="C904" s="36"/>
      <c r="D904" s="36"/>
      <c r="E904" s="36"/>
      <c r="F904" s="36"/>
      <c r="G904" s="36"/>
      <c r="H904" s="37"/>
      <c r="I904" s="36"/>
      <c r="J904" s="38"/>
      <c r="K904" s="38"/>
      <c r="L904" s="39"/>
      <c r="M904" s="39"/>
      <c r="N904" s="39"/>
      <c r="O904" s="39"/>
      <c r="P904" s="39"/>
      <c r="Q904" s="39"/>
      <c r="R904" s="39"/>
      <c r="S904" s="39"/>
      <c r="T904" s="39"/>
      <c r="U904" s="39"/>
      <c r="V904" s="39"/>
      <c r="W904" s="39"/>
      <c r="X904" s="39"/>
      <c r="Y904" s="39"/>
      <c r="Z904" s="39"/>
      <c r="AA904" s="39"/>
      <c r="AB904" s="39"/>
    </row>
    <row r="905">
      <c r="A905" s="1"/>
      <c r="B905" s="36"/>
      <c r="C905" s="36"/>
      <c r="D905" s="36"/>
      <c r="E905" s="36"/>
      <c r="F905" s="36"/>
      <c r="G905" s="36"/>
      <c r="H905" s="37"/>
      <c r="I905" s="36"/>
      <c r="J905" s="38"/>
      <c r="K905" s="38"/>
      <c r="L905" s="39"/>
      <c r="M905" s="39"/>
      <c r="N905" s="39"/>
      <c r="O905" s="39"/>
      <c r="P905" s="39"/>
      <c r="Q905" s="39"/>
      <c r="R905" s="39"/>
      <c r="S905" s="39"/>
      <c r="T905" s="39"/>
      <c r="U905" s="39"/>
      <c r="V905" s="39"/>
      <c r="W905" s="39"/>
      <c r="X905" s="39"/>
      <c r="Y905" s="39"/>
      <c r="Z905" s="39"/>
      <c r="AA905" s="39"/>
      <c r="AB905" s="39"/>
    </row>
    <row r="906">
      <c r="A906" s="1"/>
      <c r="B906" s="36"/>
      <c r="C906" s="36"/>
      <c r="D906" s="36"/>
      <c r="E906" s="36"/>
      <c r="F906" s="36"/>
      <c r="G906" s="36"/>
      <c r="H906" s="37"/>
      <c r="I906" s="36"/>
      <c r="J906" s="38"/>
      <c r="K906" s="38"/>
      <c r="L906" s="39"/>
      <c r="M906" s="39"/>
      <c r="N906" s="39"/>
      <c r="O906" s="39"/>
      <c r="P906" s="39"/>
      <c r="Q906" s="39"/>
      <c r="R906" s="39"/>
      <c r="S906" s="39"/>
      <c r="T906" s="39"/>
      <c r="U906" s="39"/>
      <c r="V906" s="39"/>
      <c r="W906" s="39"/>
      <c r="X906" s="39"/>
      <c r="Y906" s="39"/>
      <c r="Z906" s="39"/>
      <c r="AA906" s="39"/>
      <c r="AB906" s="39"/>
    </row>
    <row r="907">
      <c r="A907" s="1"/>
      <c r="B907" s="36"/>
      <c r="C907" s="36"/>
      <c r="D907" s="36"/>
      <c r="E907" s="36"/>
      <c r="F907" s="36"/>
      <c r="G907" s="36"/>
      <c r="H907" s="37"/>
      <c r="I907" s="36"/>
      <c r="J907" s="38"/>
      <c r="K907" s="38"/>
      <c r="L907" s="39"/>
      <c r="M907" s="39"/>
      <c r="N907" s="39"/>
      <c r="O907" s="39"/>
      <c r="P907" s="39"/>
      <c r="Q907" s="39"/>
      <c r="R907" s="39"/>
      <c r="S907" s="39"/>
      <c r="T907" s="39"/>
      <c r="U907" s="39"/>
      <c r="V907" s="39"/>
      <c r="W907" s="39"/>
      <c r="X907" s="39"/>
      <c r="Y907" s="39"/>
      <c r="Z907" s="39"/>
      <c r="AA907" s="39"/>
      <c r="AB907" s="39"/>
    </row>
    <row r="908">
      <c r="A908" s="1"/>
      <c r="B908" s="36"/>
      <c r="C908" s="36"/>
      <c r="D908" s="36"/>
      <c r="E908" s="36"/>
      <c r="F908" s="36"/>
      <c r="G908" s="36"/>
      <c r="H908" s="37"/>
      <c r="I908" s="36"/>
      <c r="J908" s="38"/>
      <c r="K908" s="38"/>
      <c r="L908" s="39"/>
      <c r="M908" s="39"/>
      <c r="N908" s="39"/>
      <c r="O908" s="39"/>
      <c r="P908" s="39"/>
      <c r="Q908" s="39"/>
      <c r="R908" s="39"/>
      <c r="S908" s="39"/>
      <c r="T908" s="39"/>
      <c r="U908" s="39"/>
      <c r="V908" s="39"/>
      <c r="W908" s="39"/>
      <c r="X908" s="39"/>
      <c r="Y908" s="39"/>
      <c r="Z908" s="39"/>
      <c r="AA908" s="39"/>
      <c r="AB908" s="39"/>
    </row>
    <row r="909">
      <c r="A909" s="1"/>
      <c r="B909" s="36"/>
      <c r="C909" s="36"/>
      <c r="D909" s="36"/>
      <c r="E909" s="36"/>
      <c r="F909" s="36"/>
      <c r="G909" s="36"/>
      <c r="H909" s="37"/>
      <c r="I909" s="36"/>
      <c r="J909" s="38"/>
      <c r="K909" s="38"/>
      <c r="L909" s="39"/>
      <c r="M909" s="39"/>
      <c r="N909" s="39"/>
      <c r="O909" s="39"/>
      <c r="P909" s="39"/>
      <c r="Q909" s="39"/>
      <c r="R909" s="39"/>
      <c r="S909" s="39"/>
      <c r="T909" s="39"/>
      <c r="U909" s="39"/>
      <c r="V909" s="39"/>
      <c r="W909" s="39"/>
      <c r="X909" s="39"/>
      <c r="Y909" s="39"/>
      <c r="Z909" s="39"/>
      <c r="AA909" s="39"/>
      <c r="AB909" s="39"/>
    </row>
    <row r="910">
      <c r="A910" s="1"/>
      <c r="B910" s="36"/>
      <c r="C910" s="36"/>
      <c r="D910" s="36"/>
      <c r="E910" s="36"/>
      <c r="F910" s="36"/>
      <c r="G910" s="36"/>
      <c r="H910" s="37"/>
      <c r="I910" s="36"/>
      <c r="J910" s="38"/>
      <c r="K910" s="38"/>
      <c r="L910" s="39"/>
      <c r="M910" s="39"/>
      <c r="N910" s="39"/>
      <c r="O910" s="39"/>
      <c r="P910" s="39"/>
      <c r="Q910" s="39"/>
      <c r="R910" s="39"/>
      <c r="S910" s="39"/>
      <c r="T910" s="39"/>
      <c r="U910" s="39"/>
      <c r="V910" s="39"/>
      <c r="W910" s="39"/>
      <c r="X910" s="39"/>
      <c r="Y910" s="39"/>
      <c r="Z910" s="39"/>
      <c r="AA910" s="39"/>
      <c r="AB910" s="39"/>
    </row>
    <row r="911">
      <c r="A911" s="1"/>
      <c r="B911" s="36"/>
      <c r="C911" s="36"/>
      <c r="D911" s="36"/>
      <c r="E911" s="36"/>
      <c r="F911" s="36"/>
      <c r="G911" s="36"/>
      <c r="H911" s="37"/>
      <c r="I911" s="36"/>
      <c r="J911" s="38"/>
      <c r="K911" s="38"/>
      <c r="L911" s="39"/>
      <c r="M911" s="39"/>
      <c r="N911" s="39"/>
      <c r="O911" s="39"/>
      <c r="P911" s="39"/>
      <c r="Q911" s="39"/>
      <c r="R911" s="39"/>
      <c r="S911" s="39"/>
      <c r="T911" s="39"/>
      <c r="U911" s="39"/>
      <c r="V911" s="39"/>
      <c r="W911" s="39"/>
      <c r="X911" s="39"/>
      <c r="Y911" s="39"/>
      <c r="Z911" s="39"/>
      <c r="AA911" s="39"/>
      <c r="AB911" s="39"/>
    </row>
    <row r="912">
      <c r="A912" s="1"/>
      <c r="B912" s="36"/>
      <c r="C912" s="36"/>
      <c r="D912" s="36"/>
      <c r="E912" s="36"/>
      <c r="F912" s="36"/>
      <c r="G912" s="36"/>
      <c r="H912" s="37"/>
      <c r="I912" s="36"/>
      <c r="J912" s="38"/>
      <c r="K912" s="38"/>
      <c r="L912" s="39"/>
      <c r="M912" s="39"/>
      <c r="N912" s="39"/>
      <c r="O912" s="39"/>
      <c r="P912" s="39"/>
      <c r="Q912" s="39"/>
      <c r="R912" s="39"/>
      <c r="S912" s="39"/>
      <c r="T912" s="39"/>
      <c r="U912" s="39"/>
      <c r="V912" s="39"/>
      <c r="W912" s="39"/>
      <c r="X912" s="39"/>
      <c r="Y912" s="39"/>
      <c r="Z912" s="39"/>
      <c r="AA912" s="39"/>
      <c r="AB912" s="39"/>
    </row>
    <row r="913">
      <c r="A913" s="1"/>
      <c r="B913" s="36"/>
      <c r="C913" s="36"/>
      <c r="D913" s="36"/>
      <c r="E913" s="36"/>
      <c r="F913" s="36"/>
      <c r="G913" s="36"/>
      <c r="H913" s="37"/>
      <c r="I913" s="36"/>
      <c r="J913" s="38"/>
      <c r="K913" s="38"/>
      <c r="L913" s="39"/>
      <c r="M913" s="39"/>
      <c r="N913" s="39"/>
      <c r="O913" s="39"/>
      <c r="P913" s="39"/>
      <c r="Q913" s="39"/>
      <c r="R913" s="39"/>
      <c r="S913" s="39"/>
      <c r="T913" s="39"/>
      <c r="U913" s="39"/>
      <c r="V913" s="39"/>
      <c r="W913" s="39"/>
      <c r="X913" s="39"/>
      <c r="Y913" s="39"/>
      <c r="Z913" s="39"/>
      <c r="AA913" s="39"/>
      <c r="AB913" s="39"/>
    </row>
    <row r="914">
      <c r="A914" s="1"/>
      <c r="B914" s="36"/>
      <c r="C914" s="36"/>
      <c r="D914" s="36"/>
      <c r="E914" s="36"/>
      <c r="F914" s="36"/>
      <c r="G914" s="36"/>
      <c r="H914" s="37"/>
      <c r="I914" s="36"/>
      <c r="J914" s="38"/>
      <c r="K914" s="38"/>
      <c r="L914" s="39"/>
      <c r="M914" s="39"/>
      <c r="N914" s="39"/>
      <c r="O914" s="39"/>
      <c r="P914" s="39"/>
      <c r="Q914" s="39"/>
      <c r="R914" s="39"/>
      <c r="S914" s="39"/>
      <c r="T914" s="39"/>
      <c r="U914" s="39"/>
      <c r="V914" s="39"/>
      <c r="W914" s="39"/>
      <c r="X914" s="39"/>
      <c r="Y914" s="39"/>
      <c r="Z914" s="39"/>
      <c r="AA914" s="39"/>
      <c r="AB914" s="39"/>
    </row>
    <row r="915">
      <c r="A915" s="1"/>
      <c r="B915" s="36"/>
      <c r="C915" s="36"/>
      <c r="D915" s="36"/>
      <c r="E915" s="36"/>
      <c r="F915" s="36"/>
      <c r="G915" s="36"/>
      <c r="H915" s="37"/>
      <c r="I915" s="36"/>
      <c r="J915" s="38"/>
      <c r="K915" s="38"/>
      <c r="L915" s="39"/>
      <c r="M915" s="39"/>
      <c r="N915" s="39"/>
      <c r="O915" s="39"/>
      <c r="P915" s="39"/>
      <c r="Q915" s="39"/>
      <c r="R915" s="39"/>
      <c r="S915" s="39"/>
      <c r="T915" s="39"/>
      <c r="U915" s="39"/>
      <c r="V915" s="39"/>
      <c r="W915" s="39"/>
      <c r="X915" s="39"/>
      <c r="Y915" s="39"/>
      <c r="Z915" s="39"/>
      <c r="AA915" s="39"/>
      <c r="AB915" s="39"/>
    </row>
    <row r="916">
      <c r="A916" s="1"/>
      <c r="B916" s="36"/>
      <c r="C916" s="36"/>
      <c r="D916" s="36"/>
      <c r="E916" s="36"/>
      <c r="F916" s="36"/>
      <c r="G916" s="36"/>
      <c r="H916" s="37"/>
      <c r="I916" s="36"/>
      <c r="J916" s="38"/>
      <c r="K916" s="38"/>
      <c r="L916" s="39"/>
      <c r="M916" s="39"/>
      <c r="N916" s="39"/>
      <c r="O916" s="39"/>
      <c r="P916" s="39"/>
      <c r="Q916" s="39"/>
      <c r="R916" s="39"/>
      <c r="S916" s="39"/>
      <c r="T916" s="39"/>
      <c r="U916" s="39"/>
      <c r="V916" s="39"/>
      <c r="W916" s="39"/>
      <c r="X916" s="39"/>
      <c r="Y916" s="39"/>
      <c r="Z916" s="39"/>
      <c r="AA916" s="39"/>
      <c r="AB916" s="39"/>
    </row>
    <row r="917">
      <c r="A917" s="1"/>
      <c r="B917" s="36"/>
      <c r="C917" s="36"/>
      <c r="D917" s="36"/>
      <c r="E917" s="36"/>
      <c r="F917" s="36"/>
      <c r="G917" s="36"/>
      <c r="H917" s="37"/>
      <c r="I917" s="36"/>
      <c r="J917" s="38"/>
      <c r="K917" s="38"/>
      <c r="L917" s="39"/>
      <c r="M917" s="39"/>
      <c r="N917" s="39"/>
      <c r="O917" s="39"/>
      <c r="P917" s="39"/>
      <c r="Q917" s="39"/>
      <c r="R917" s="39"/>
      <c r="S917" s="39"/>
      <c r="T917" s="39"/>
      <c r="U917" s="39"/>
      <c r="V917" s="39"/>
      <c r="W917" s="39"/>
      <c r="X917" s="39"/>
      <c r="Y917" s="39"/>
      <c r="Z917" s="39"/>
      <c r="AA917" s="39"/>
      <c r="AB917" s="39"/>
    </row>
    <row r="918">
      <c r="A918" s="1"/>
      <c r="B918" s="36"/>
      <c r="C918" s="36"/>
      <c r="D918" s="36"/>
      <c r="E918" s="36"/>
      <c r="F918" s="36"/>
      <c r="G918" s="36"/>
      <c r="H918" s="37"/>
      <c r="I918" s="36"/>
      <c r="J918" s="38"/>
      <c r="K918" s="38"/>
      <c r="L918" s="39"/>
      <c r="M918" s="39"/>
      <c r="N918" s="39"/>
      <c r="O918" s="39"/>
      <c r="P918" s="39"/>
      <c r="Q918" s="39"/>
      <c r="R918" s="39"/>
      <c r="S918" s="39"/>
      <c r="T918" s="39"/>
      <c r="U918" s="39"/>
      <c r="V918" s="39"/>
      <c r="W918" s="39"/>
      <c r="X918" s="39"/>
      <c r="Y918" s="39"/>
      <c r="Z918" s="39"/>
      <c r="AA918" s="39"/>
      <c r="AB918" s="39"/>
    </row>
    <row r="919">
      <c r="A919" s="1"/>
      <c r="B919" s="36"/>
      <c r="C919" s="36"/>
      <c r="D919" s="36"/>
      <c r="E919" s="36"/>
      <c r="F919" s="36"/>
      <c r="G919" s="36"/>
      <c r="H919" s="37"/>
      <c r="I919" s="36"/>
      <c r="J919" s="38"/>
      <c r="K919" s="38"/>
      <c r="L919" s="39"/>
      <c r="M919" s="39"/>
      <c r="N919" s="39"/>
      <c r="O919" s="39"/>
      <c r="P919" s="39"/>
      <c r="Q919" s="39"/>
      <c r="R919" s="39"/>
      <c r="S919" s="39"/>
      <c r="T919" s="39"/>
      <c r="U919" s="39"/>
      <c r="V919" s="39"/>
      <c r="W919" s="39"/>
      <c r="X919" s="39"/>
      <c r="Y919" s="39"/>
      <c r="Z919" s="39"/>
      <c r="AA919" s="39"/>
      <c r="AB919" s="39"/>
    </row>
    <row r="920">
      <c r="A920" s="1"/>
      <c r="B920" s="36"/>
      <c r="C920" s="36"/>
      <c r="D920" s="36"/>
      <c r="E920" s="36"/>
      <c r="F920" s="36"/>
      <c r="G920" s="36"/>
      <c r="H920" s="37"/>
      <c r="I920" s="36"/>
      <c r="J920" s="38"/>
      <c r="K920" s="38"/>
      <c r="L920" s="39"/>
      <c r="M920" s="39"/>
      <c r="N920" s="39"/>
      <c r="O920" s="39"/>
      <c r="P920" s="39"/>
      <c r="Q920" s="39"/>
      <c r="R920" s="39"/>
      <c r="S920" s="39"/>
      <c r="T920" s="39"/>
      <c r="U920" s="39"/>
      <c r="V920" s="39"/>
      <c r="W920" s="39"/>
      <c r="X920" s="39"/>
      <c r="Y920" s="39"/>
      <c r="Z920" s="39"/>
      <c r="AA920" s="39"/>
      <c r="AB920" s="39"/>
    </row>
    <row r="921">
      <c r="A921" s="1"/>
      <c r="B921" s="36"/>
      <c r="C921" s="36"/>
      <c r="D921" s="36"/>
      <c r="E921" s="36"/>
      <c r="F921" s="36"/>
      <c r="G921" s="36"/>
      <c r="H921" s="37"/>
      <c r="I921" s="36"/>
      <c r="J921" s="38"/>
      <c r="K921" s="38"/>
      <c r="L921" s="39"/>
      <c r="M921" s="39"/>
      <c r="N921" s="39"/>
      <c r="O921" s="39"/>
      <c r="P921" s="39"/>
      <c r="Q921" s="39"/>
      <c r="R921" s="39"/>
      <c r="S921" s="39"/>
      <c r="T921" s="39"/>
      <c r="U921" s="39"/>
      <c r="V921" s="39"/>
      <c r="W921" s="39"/>
      <c r="X921" s="39"/>
      <c r="Y921" s="39"/>
      <c r="Z921" s="39"/>
      <c r="AA921" s="39"/>
      <c r="AB921" s="39"/>
    </row>
    <row r="922">
      <c r="A922" s="1"/>
      <c r="B922" s="36"/>
      <c r="C922" s="36"/>
      <c r="D922" s="36"/>
      <c r="E922" s="36"/>
      <c r="F922" s="36"/>
      <c r="G922" s="36"/>
      <c r="H922" s="37"/>
      <c r="I922" s="36"/>
      <c r="J922" s="38"/>
      <c r="K922" s="38"/>
      <c r="L922" s="39"/>
      <c r="M922" s="39"/>
      <c r="N922" s="39"/>
      <c r="O922" s="39"/>
      <c r="P922" s="39"/>
      <c r="Q922" s="39"/>
      <c r="R922" s="39"/>
      <c r="S922" s="39"/>
      <c r="T922" s="39"/>
      <c r="U922" s="39"/>
      <c r="V922" s="39"/>
      <c r="W922" s="39"/>
      <c r="X922" s="39"/>
      <c r="Y922" s="39"/>
      <c r="Z922" s="39"/>
      <c r="AA922" s="39"/>
      <c r="AB922" s="39"/>
    </row>
    <row r="923">
      <c r="A923" s="1"/>
      <c r="B923" s="36"/>
      <c r="C923" s="36"/>
      <c r="D923" s="36"/>
      <c r="E923" s="36"/>
      <c r="F923" s="36"/>
      <c r="G923" s="36"/>
      <c r="H923" s="37"/>
      <c r="I923" s="36"/>
      <c r="J923" s="38"/>
      <c r="K923" s="38"/>
      <c r="L923" s="39"/>
      <c r="M923" s="39"/>
      <c r="N923" s="39"/>
      <c r="O923" s="39"/>
      <c r="P923" s="39"/>
      <c r="Q923" s="39"/>
      <c r="R923" s="39"/>
      <c r="S923" s="39"/>
      <c r="T923" s="39"/>
      <c r="U923" s="39"/>
      <c r="V923" s="39"/>
      <c r="W923" s="39"/>
      <c r="X923" s="39"/>
      <c r="Y923" s="39"/>
      <c r="Z923" s="39"/>
      <c r="AA923" s="39"/>
      <c r="AB923" s="39"/>
    </row>
    <row r="924">
      <c r="A924" s="1"/>
      <c r="B924" s="36"/>
      <c r="C924" s="36"/>
      <c r="D924" s="36"/>
      <c r="E924" s="36"/>
      <c r="F924" s="36"/>
      <c r="G924" s="36"/>
      <c r="H924" s="37"/>
      <c r="I924" s="36"/>
      <c r="J924" s="38"/>
      <c r="K924" s="38"/>
      <c r="L924" s="39"/>
      <c r="M924" s="39"/>
      <c r="N924" s="39"/>
      <c r="O924" s="39"/>
      <c r="P924" s="39"/>
      <c r="Q924" s="39"/>
      <c r="R924" s="39"/>
      <c r="S924" s="39"/>
      <c r="T924" s="39"/>
      <c r="U924" s="39"/>
      <c r="V924" s="39"/>
      <c r="W924" s="39"/>
      <c r="X924" s="39"/>
      <c r="Y924" s="39"/>
      <c r="Z924" s="39"/>
      <c r="AA924" s="39"/>
      <c r="AB924" s="39"/>
    </row>
    <row r="925">
      <c r="A925" s="1"/>
      <c r="B925" s="36"/>
      <c r="C925" s="36"/>
      <c r="D925" s="36"/>
      <c r="E925" s="36"/>
      <c r="F925" s="36"/>
      <c r="G925" s="36"/>
      <c r="H925" s="37"/>
      <c r="I925" s="36"/>
      <c r="J925" s="38"/>
      <c r="K925" s="38"/>
      <c r="L925" s="39"/>
      <c r="M925" s="39"/>
      <c r="N925" s="39"/>
      <c r="O925" s="39"/>
      <c r="P925" s="39"/>
      <c r="Q925" s="39"/>
      <c r="R925" s="39"/>
      <c r="S925" s="39"/>
      <c r="T925" s="39"/>
      <c r="U925" s="39"/>
      <c r="V925" s="39"/>
      <c r="W925" s="39"/>
      <c r="X925" s="39"/>
      <c r="Y925" s="39"/>
      <c r="Z925" s="39"/>
      <c r="AA925" s="39"/>
      <c r="AB925" s="39"/>
    </row>
    <row r="926">
      <c r="A926" s="1"/>
      <c r="B926" s="36"/>
      <c r="C926" s="36"/>
      <c r="D926" s="36"/>
      <c r="E926" s="36"/>
      <c r="F926" s="36"/>
      <c r="G926" s="36"/>
      <c r="H926" s="37"/>
      <c r="I926" s="36"/>
      <c r="J926" s="38"/>
      <c r="K926" s="38"/>
      <c r="L926" s="39"/>
      <c r="M926" s="39"/>
      <c r="N926" s="39"/>
      <c r="O926" s="39"/>
      <c r="P926" s="39"/>
      <c r="Q926" s="39"/>
      <c r="R926" s="39"/>
      <c r="S926" s="39"/>
      <c r="T926" s="39"/>
      <c r="U926" s="39"/>
      <c r="V926" s="39"/>
      <c r="W926" s="39"/>
      <c r="X926" s="39"/>
      <c r="Y926" s="39"/>
      <c r="Z926" s="39"/>
      <c r="AA926" s="39"/>
      <c r="AB926" s="39"/>
    </row>
    <row r="927">
      <c r="A927" s="1"/>
      <c r="B927" s="36"/>
      <c r="C927" s="36"/>
      <c r="D927" s="36"/>
      <c r="E927" s="36"/>
      <c r="F927" s="36"/>
      <c r="G927" s="36"/>
      <c r="H927" s="37"/>
      <c r="I927" s="36"/>
      <c r="J927" s="38"/>
      <c r="K927" s="38"/>
      <c r="L927" s="39"/>
      <c r="M927" s="39"/>
      <c r="N927" s="39"/>
      <c r="O927" s="39"/>
      <c r="P927" s="39"/>
      <c r="Q927" s="39"/>
      <c r="R927" s="39"/>
      <c r="S927" s="39"/>
      <c r="T927" s="39"/>
      <c r="U927" s="39"/>
      <c r="V927" s="39"/>
      <c r="W927" s="39"/>
      <c r="X927" s="39"/>
      <c r="Y927" s="39"/>
      <c r="Z927" s="39"/>
      <c r="AA927" s="39"/>
      <c r="AB927" s="39"/>
    </row>
    <row r="928">
      <c r="A928" s="1"/>
      <c r="B928" s="36"/>
      <c r="C928" s="36"/>
      <c r="D928" s="36"/>
      <c r="E928" s="36"/>
      <c r="F928" s="36"/>
      <c r="G928" s="36"/>
      <c r="H928" s="37"/>
      <c r="I928" s="36"/>
      <c r="J928" s="38"/>
      <c r="K928" s="38"/>
      <c r="L928" s="39"/>
      <c r="M928" s="39"/>
      <c r="N928" s="39"/>
      <c r="O928" s="39"/>
      <c r="P928" s="39"/>
      <c r="Q928" s="39"/>
      <c r="R928" s="39"/>
      <c r="S928" s="39"/>
      <c r="T928" s="39"/>
      <c r="U928" s="39"/>
      <c r="V928" s="39"/>
      <c r="W928" s="39"/>
      <c r="X928" s="39"/>
      <c r="Y928" s="39"/>
      <c r="Z928" s="39"/>
      <c r="AA928" s="39"/>
      <c r="AB928" s="39"/>
    </row>
    <row r="929">
      <c r="A929" s="1"/>
      <c r="B929" s="36"/>
      <c r="C929" s="36"/>
      <c r="D929" s="36"/>
      <c r="E929" s="36"/>
      <c r="F929" s="36"/>
      <c r="G929" s="36"/>
      <c r="H929" s="37"/>
      <c r="I929" s="36"/>
      <c r="J929" s="38"/>
      <c r="K929" s="38"/>
      <c r="L929" s="39"/>
      <c r="M929" s="39"/>
      <c r="N929" s="39"/>
      <c r="O929" s="39"/>
      <c r="P929" s="39"/>
      <c r="Q929" s="39"/>
      <c r="R929" s="39"/>
      <c r="S929" s="39"/>
      <c r="T929" s="39"/>
      <c r="U929" s="39"/>
      <c r="V929" s="39"/>
      <c r="W929" s="39"/>
      <c r="X929" s="39"/>
      <c r="Y929" s="39"/>
      <c r="Z929" s="39"/>
      <c r="AA929" s="39"/>
      <c r="AB929" s="39"/>
    </row>
    <row r="930">
      <c r="A930" s="1"/>
      <c r="B930" s="36"/>
      <c r="C930" s="36"/>
      <c r="D930" s="36"/>
      <c r="E930" s="36"/>
      <c r="F930" s="36"/>
      <c r="G930" s="36"/>
      <c r="H930" s="37"/>
      <c r="I930" s="36"/>
      <c r="J930" s="38"/>
      <c r="K930" s="38"/>
      <c r="L930" s="39"/>
      <c r="M930" s="39"/>
      <c r="N930" s="39"/>
      <c r="O930" s="39"/>
      <c r="P930" s="39"/>
      <c r="Q930" s="39"/>
      <c r="R930" s="39"/>
      <c r="S930" s="39"/>
      <c r="T930" s="39"/>
      <c r="U930" s="39"/>
      <c r="V930" s="39"/>
      <c r="W930" s="39"/>
      <c r="X930" s="39"/>
      <c r="Y930" s="39"/>
      <c r="Z930" s="39"/>
      <c r="AA930" s="39"/>
      <c r="AB930" s="39"/>
    </row>
    <row r="931">
      <c r="A931" s="1"/>
      <c r="B931" s="36"/>
      <c r="C931" s="36"/>
      <c r="D931" s="36"/>
      <c r="E931" s="36"/>
      <c r="F931" s="36"/>
      <c r="G931" s="36"/>
      <c r="H931" s="37"/>
      <c r="I931" s="36"/>
      <c r="J931" s="38"/>
      <c r="K931" s="38"/>
      <c r="L931" s="39"/>
      <c r="M931" s="39"/>
      <c r="N931" s="39"/>
      <c r="O931" s="39"/>
      <c r="P931" s="39"/>
      <c r="Q931" s="39"/>
      <c r="R931" s="39"/>
      <c r="S931" s="39"/>
      <c r="T931" s="39"/>
      <c r="U931" s="39"/>
      <c r="V931" s="39"/>
      <c r="W931" s="39"/>
      <c r="X931" s="39"/>
      <c r="Y931" s="39"/>
      <c r="Z931" s="39"/>
      <c r="AA931" s="39"/>
      <c r="AB931" s="39"/>
    </row>
    <row r="932">
      <c r="A932" s="1"/>
      <c r="B932" s="36"/>
      <c r="C932" s="36"/>
      <c r="D932" s="36"/>
      <c r="E932" s="36"/>
      <c r="F932" s="36"/>
      <c r="G932" s="36"/>
      <c r="H932" s="37"/>
      <c r="I932" s="36"/>
      <c r="J932" s="38"/>
      <c r="K932" s="38"/>
      <c r="L932" s="39"/>
      <c r="M932" s="39"/>
      <c r="N932" s="39"/>
      <c r="O932" s="39"/>
      <c r="P932" s="39"/>
      <c r="Q932" s="39"/>
      <c r="R932" s="39"/>
      <c r="S932" s="39"/>
      <c r="T932" s="39"/>
      <c r="U932" s="39"/>
      <c r="V932" s="39"/>
      <c r="W932" s="39"/>
      <c r="X932" s="39"/>
      <c r="Y932" s="39"/>
      <c r="Z932" s="39"/>
      <c r="AA932" s="39"/>
      <c r="AB932" s="39"/>
    </row>
    <row r="933">
      <c r="A933" s="1"/>
      <c r="B933" s="36"/>
      <c r="C933" s="36"/>
      <c r="D933" s="36"/>
      <c r="E933" s="36"/>
      <c r="F933" s="36"/>
      <c r="G933" s="36"/>
      <c r="H933" s="37"/>
      <c r="I933" s="36"/>
      <c r="J933" s="38"/>
      <c r="K933" s="38"/>
      <c r="L933" s="39"/>
      <c r="M933" s="39"/>
      <c r="N933" s="39"/>
      <c r="O933" s="39"/>
      <c r="P933" s="39"/>
      <c r="Q933" s="39"/>
      <c r="R933" s="39"/>
      <c r="S933" s="39"/>
      <c r="T933" s="39"/>
      <c r="U933" s="39"/>
      <c r="V933" s="39"/>
      <c r="W933" s="39"/>
      <c r="X933" s="39"/>
      <c r="Y933" s="39"/>
      <c r="Z933" s="39"/>
      <c r="AA933" s="39"/>
      <c r="AB933" s="39"/>
    </row>
    <row r="934">
      <c r="A934" s="1"/>
      <c r="B934" s="36"/>
      <c r="C934" s="36"/>
      <c r="D934" s="36"/>
      <c r="E934" s="36"/>
      <c r="F934" s="36"/>
      <c r="G934" s="36"/>
      <c r="H934" s="37"/>
      <c r="I934" s="36"/>
      <c r="J934" s="38"/>
      <c r="K934" s="38"/>
      <c r="L934" s="39"/>
      <c r="M934" s="39"/>
      <c r="N934" s="39"/>
      <c r="O934" s="39"/>
      <c r="P934" s="39"/>
      <c r="Q934" s="39"/>
      <c r="R934" s="39"/>
      <c r="S934" s="39"/>
      <c r="T934" s="39"/>
      <c r="U934" s="39"/>
      <c r="V934" s="39"/>
      <c r="W934" s="39"/>
      <c r="X934" s="39"/>
      <c r="Y934" s="39"/>
      <c r="Z934" s="39"/>
      <c r="AA934" s="39"/>
      <c r="AB934" s="39"/>
    </row>
    <row r="935">
      <c r="A935" s="1"/>
      <c r="B935" s="36"/>
      <c r="C935" s="36"/>
      <c r="D935" s="36"/>
      <c r="E935" s="36"/>
      <c r="F935" s="36"/>
      <c r="G935" s="36"/>
      <c r="H935" s="37"/>
      <c r="I935" s="36"/>
      <c r="J935" s="38"/>
      <c r="K935" s="38"/>
      <c r="L935" s="39"/>
      <c r="M935" s="39"/>
      <c r="N935" s="39"/>
      <c r="O935" s="39"/>
      <c r="P935" s="39"/>
      <c r="Q935" s="39"/>
      <c r="R935" s="39"/>
      <c r="S935" s="39"/>
      <c r="T935" s="39"/>
      <c r="U935" s="39"/>
      <c r="V935" s="39"/>
      <c r="W935" s="39"/>
      <c r="X935" s="39"/>
      <c r="Y935" s="39"/>
      <c r="Z935" s="39"/>
      <c r="AA935" s="39"/>
      <c r="AB935" s="39"/>
    </row>
    <row r="936">
      <c r="A936" s="1"/>
      <c r="B936" s="36"/>
      <c r="C936" s="36"/>
      <c r="D936" s="36"/>
      <c r="E936" s="36"/>
      <c r="F936" s="36"/>
      <c r="G936" s="36"/>
      <c r="H936" s="37"/>
      <c r="I936" s="36"/>
      <c r="J936" s="38"/>
      <c r="K936" s="38"/>
      <c r="L936" s="39"/>
      <c r="M936" s="39"/>
      <c r="N936" s="39"/>
      <c r="O936" s="39"/>
      <c r="P936" s="39"/>
      <c r="Q936" s="39"/>
      <c r="R936" s="39"/>
      <c r="S936" s="39"/>
      <c r="T936" s="39"/>
      <c r="U936" s="39"/>
      <c r="V936" s="39"/>
      <c r="W936" s="39"/>
      <c r="X936" s="39"/>
      <c r="Y936" s="39"/>
      <c r="Z936" s="39"/>
      <c r="AA936" s="39"/>
      <c r="AB936" s="39"/>
    </row>
    <row r="937">
      <c r="A937" s="1"/>
      <c r="B937" s="36"/>
      <c r="C937" s="36"/>
      <c r="D937" s="36"/>
      <c r="E937" s="36"/>
      <c r="F937" s="36"/>
      <c r="G937" s="36"/>
      <c r="H937" s="37"/>
      <c r="I937" s="36"/>
      <c r="J937" s="38"/>
      <c r="K937" s="38"/>
      <c r="L937" s="39"/>
      <c r="M937" s="39"/>
      <c r="N937" s="39"/>
      <c r="O937" s="39"/>
      <c r="P937" s="39"/>
      <c r="Q937" s="39"/>
      <c r="R937" s="39"/>
      <c r="S937" s="39"/>
      <c r="T937" s="39"/>
      <c r="U937" s="39"/>
      <c r="V937" s="39"/>
      <c r="W937" s="39"/>
      <c r="X937" s="39"/>
      <c r="Y937" s="39"/>
      <c r="Z937" s="39"/>
      <c r="AA937" s="39"/>
      <c r="AB937" s="39"/>
    </row>
    <row r="938">
      <c r="A938" s="1"/>
      <c r="B938" s="36"/>
      <c r="C938" s="36"/>
      <c r="D938" s="36"/>
      <c r="E938" s="36"/>
      <c r="F938" s="36"/>
      <c r="G938" s="36"/>
      <c r="H938" s="37"/>
      <c r="I938" s="36"/>
      <c r="J938" s="38"/>
      <c r="K938" s="38"/>
      <c r="L938" s="39"/>
      <c r="M938" s="39"/>
      <c r="N938" s="39"/>
      <c r="O938" s="39"/>
      <c r="P938" s="39"/>
      <c r="Q938" s="39"/>
      <c r="R938" s="39"/>
      <c r="S938" s="39"/>
      <c r="T938" s="39"/>
      <c r="U938" s="39"/>
      <c r="V938" s="39"/>
      <c r="W938" s="39"/>
      <c r="X938" s="39"/>
      <c r="Y938" s="39"/>
      <c r="Z938" s="39"/>
      <c r="AA938" s="39"/>
      <c r="AB938" s="39"/>
    </row>
    <row r="939">
      <c r="A939" s="1"/>
      <c r="B939" s="36"/>
      <c r="C939" s="36"/>
      <c r="D939" s="36"/>
      <c r="E939" s="36"/>
      <c r="F939" s="36"/>
      <c r="G939" s="36"/>
      <c r="H939" s="37"/>
      <c r="I939" s="36"/>
      <c r="J939" s="38"/>
      <c r="K939" s="38"/>
      <c r="L939" s="39"/>
      <c r="M939" s="39"/>
      <c r="N939" s="39"/>
      <c r="O939" s="39"/>
      <c r="P939" s="39"/>
      <c r="Q939" s="39"/>
      <c r="R939" s="39"/>
      <c r="S939" s="39"/>
      <c r="T939" s="39"/>
      <c r="U939" s="39"/>
      <c r="V939" s="39"/>
      <c r="W939" s="39"/>
      <c r="X939" s="39"/>
      <c r="Y939" s="39"/>
      <c r="Z939" s="39"/>
      <c r="AA939" s="39"/>
      <c r="AB939" s="39"/>
    </row>
    <row r="940">
      <c r="A940" s="1"/>
      <c r="B940" s="36"/>
      <c r="C940" s="36"/>
      <c r="D940" s="36"/>
      <c r="E940" s="36"/>
      <c r="F940" s="36"/>
      <c r="G940" s="36"/>
      <c r="H940" s="37"/>
      <c r="I940" s="36"/>
      <c r="J940" s="38"/>
      <c r="K940" s="38"/>
      <c r="L940" s="39"/>
      <c r="M940" s="39"/>
      <c r="N940" s="39"/>
      <c r="O940" s="39"/>
      <c r="P940" s="39"/>
      <c r="Q940" s="39"/>
      <c r="R940" s="39"/>
      <c r="S940" s="39"/>
      <c r="T940" s="39"/>
      <c r="U940" s="39"/>
      <c r="V940" s="39"/>
      <c r="W940" s="39"/>
      <c r="X940" s="39"/>
      <c r="Y940" s="39"/>
      <c r="Z940" s="39"/>
      <c r="AA940" s="39"/>
      <c r="AB940" s="39"/>
    </row>
    <row r="941">
      <c r="A941" s="1"/>
      <c r="B941" s="36"/>
      <c r="C941" s="36"/>
      <c r="D941" s="36"/>
      <c r="E941" s="36"/>
      <c r="F941" s="36"/>
      <c r="G941" s="36"/>
      <c r="H941" s="37"/>
      <c r="I941" s="36"/>
      <c r="J941" s="38"/>
      <c r="K941" s="38"/>
      <c r="L941" s="39"/>
      <c r="M941" s="39"/>
      <c r="N941" s="39"/>
      <c r="O941" s="39"/>
      <c r="P941" s="39"/>
      <c r="Q941" s="39"/>
      <c r="R941" s="39"/>
      <c r="S941" s="39"/>
      <c r="T941" s="39"/>
      <c r="U941" s="39"/>
      <c r="V941" s="39"/>
      <c r="W941" s="39"/>
      <c r="X941" s="39"/>
      <c r="Y941" s="39"/>
      <c r="Z941" s="39"/>
      <c r="AA941" s="39"/>
      <c r="AB941" s="39"/>
    </row>
    <row r="942">
      <c r="A942" s="1"/>
      <c r="B942" s="36"/>
      <c r="C942" s="36"/>
      <c r="D942" s="36"/>
      <c r="E942" s="36"/>
      <c r="F942" s="36"/>
      <c r="G942" s="36"/>
      <c r="H942" s="37"/>
      <c r="I942" s="36"/>
      <c r="J942" s="38"/>
      <c r="K942" s="38"/>
      <c r="L942" s="39"/>
      <c r="M942" s="39"/>
      <c r="N942" s="39"/>
      <c r="O942" s="39"/>
      <c r="P942" s="39"/>
      <c r="Q942" s="39"/>
      <c r="R942" s="39"/>
      <c r="S942" s="39"/>
      <c r="T942" s="39"/>
      <c r="U942" s="39"/>
      <c r="V942" s="39"/>
      <c r="W942" s="39"/>
      <c r="X942" s="39"/>
      <c r="Y942" s="39"/>
      <c r="Z942" s="39"/>
      <c r="AA942" s="39"/>
      <c r="AB942" s="39"/>
    </row>
    <row r="943">
      <c r="A943" s="1"/>
      <c r="B943" s="36"/>
      <c r="C943" s="36"/>
      <c r="D943" s="36"/>
      <c r="E943" s="36"/>
      <c r="F943" s="36"/>
      <c r="G943" s="36"/>
      <c r="H943" s="37"/>
      <c r="I943" s="36"/>
      <c r="J943" s="38"/>
      <c r="K943" s="38"/>
      <c r="L943" s="39"/>
      <c r="M943" s="39"/>
      <c r="N943" s="39"/>
      <c r="O943" s="39"/>
      <c r="P943" s="39"/>
      <c r="Q943" s="39"/>
      <c r="R943" s="39"/>
      <c r="S943" s="39"/>
      <c r="T943" s="39"/>
      <c r="U943" s="39"/>
      <c r="V943" s="39"/>
      <c r="W943" s="39"/>
      <c r="X943" s="39"/>
      <c r="Y943" s="39"/>
      <c r="Z943" s="39"/>
      <c r="AA943" s="39"/>
      <c r="AB943" s="39"/>
    </row>
    <row r="944">
      <c r="A944" s="1"/>
      <c r="B944" s="36"/>
      <c r="C944" s="36"/>
      <c r="D944" s="36"/>
      <c r="E944" s="36"/>
      <c r="F944" s="36"/>
      <c r="G944" s="36"/>
      <c r="H944" s="37"/>
      <c r="I944" s="36"/>
      <c r="J944" s="38"/>
      <c r="K944" s="38"/>
      <c r="L944" s="39"/>
      <c r="M944" s="39"/>
      <c r="N944" s="39"/>
      <c r="O944" s="39"/>
      <c r="P944" s="39"/>
      <c r="Q944" s="39"/>
      <c r="R944" s="39"/>
      <c r="S944" s="39"/>
      <c r="T944" s="39"/>
      <c r="U944" s="39"/>
      <c r="V944" s="39"/>
      <c r="W944" s="39"/>
      <c r="X944" s="39"/>
      <c r="Y944" s="39"/>
      <c r="Z944" s="39"/>
      <c r="AA944" s="39"/>
      <c r="AB944" s="39"/>
    </row>
    <row r="945">
      <c r="A945" s="1"/>
      <c r="B945" s="36"/>
      <c r="C945" s="36"/>
      <c r="D945" s="36"/>
      <c r="E945" s="36"/>
      <c r="F945" s="36"/>
      <c r="G945" s="36"/>
      <c r="H945" s="37"/>
      <c r="I945" s="36"/>
      <c r="J945" s="38"/>
      <c r="K945" s="38"/>
      <c r="L945" s="39"/>
      <c r="M945" s="39"/>
      <c r="N945" s="39"/>
      <c r="O945" s="39"/>
      <c r="P945" s="39"/>
      <c r="Q945" s="39"/>
      <c r="R945" s="39"/>
      <c r="S945" s="39"/>
      <c r="T945" s="39"/>
      <c r="U945" s="39"/>
      <c r="V945" s="39"/>
      <c r="W945" s="39"/>
      <c r="X945" s="39"/>
      <c r="Y945" s="39"/>
      <c r="Z945" s="39"/>
      <c r="AA945" s="39"/>
      <c r="AB945" s="39"/>
    </row>
    <row r="946">
      <c r="A946" s="1"/>
      <c r="B946" s="36"/>
      <c r="C946" s="36"/>
      <c r="D946" s="36"/>
      <c r="E946" s="36"/>
      <c r="F946" s="36"/>
      <c r="G946" s="36"/>
      <c r="H946" s="37"/>
      <c r="I946" s="36"/>
      <c r="J946" s="38"/>
      <c r="K946" s="38"/>
      <c r="L946" s="39"/>
      <c r="M946" s="39"/>
      <c r="N946" s="39"/>
      <c r="O946" s="39"/>
      <c r="P946" s="39"/>
      <c r="Q946" s="39"/>
      <c r="R946" s="39"/>
      <c r="S946" s="39"/>
      <c r="T946" s="39"/>
      <c r="U946" s="39"/>
      <c r="V946" s="39"/>
      <c r="W946" s="39"/>
      <c r="X946" s="39"/>
      <c r="Y946" s="39"/>
      <c r="Z946" s="39"/>
      <c r="AA946" s="39"/>
      <c r="AB946" s="39"/>
    </row>
    <row r="947">
      <c r="A947" s="1"/>
      <c r="B947" s="36"/>
      <c r="C947" s="36"/>
      <c r="D947" s="36"/>
      <c r="E947" s="36"/>
      <c r="F947" s="36"/>
      <c r="G947" s="36"/>
      <c r="H947" s="37"/>
      <c r="I947" s="36"/>
      <c r="J947" s="38"/>
      <c r="K947" s="38"/>
      <c r="L947" s="39"/>
      <c r="M947" s="39"/>
      <c r="N947" s="39"/>
      <c r="O947" s="39"/>
      <c r="P947" s="39"/>
      <c r="Q947" s="39"/>
      <c r="R947" s="39"/>
      <c r="S947" s="39"/>
      <c r="T947" s="39"/>
      <c r="U947" s="39"/>
      <c r="V947" s="39"/>
      <c r="W947" s="39"/>
      <c r="X947" s="39"/>
      <c r="Y947" s="39"/>
      <c r="Z947" s="39"/>
      <c r="AA947" s="39"/>
      <c r="AB947" s="39"/>
    </row>
    <row r="948">
      <c r="A948" s="1"/>
      <c r="B948" s="36"/>
      <c r="C948" s="36"/>
      <c r="D948" s="36"/>
      <c r="E948" s="36"/>
      <c r="F948" s="36"/>
      <c r="G948" s="36"/>
      <c r="H948" s="37"/>
      <c r="I948" s="36"/>
      <c r="J948" s="38"/>
      <c r="K948" s="38"/>
      <c r="L948" s="39"/>
      <c r="M948" s="39"/>
      <c r="N948" s="39"/>
      <c r="O948" s="39"/>
      <c r="P948" s="39"/>
      <c r="Q948" s="39"/>
      <c r="R948" s="39"/>
      <c r="S948" s="39"/>
      <c r="T948" s="39"/>
      <c r="U948" s="39"/>
      <c r="V948" s="39"/>
      <c r="W948" s="39"/>
      <c r="X948" s="39"/>
      <c r="Y948" s="39"/>
      <c r="Z948" s="39"/>
      <c r="AA948" s="39"/>
      <c r="AB948" s="39"/>
    </row>
    <row r="949">
      <c r="A949" s="1"/>
      <c r="B949" s="36"/>
      <c r="C949" s="36"/>
      <c r="D949" s="36"/>
      <c r="E949" s="36"/>
      <c r="F949" s="36"/>
      <c r="G949" s="36"/>
      <c r="H949" s="37"/>
      <c r="I949" s="36"/>
      <c r="J949" s="38"/>
      <c r="K949" s="38"/>
      <c r="L949" s="39"/>
      <c r="M949" s="39"/>
      <c r="N949" s="39"/>
      <c r="O949" s="39"/>
      <c r="P949" s="39"/>
      <c r="Q949" s="39"/>
      <c r="R949" s="39"/>
      <c r="S949" s="39"/>
      <c r="T949" s="39"/>
      <c r="U949" s="39"/>
      <c r="V949" s="39"/>
      <c r="W949" s="39"/>
      <c r="X949" s="39"/>
      <c r="Y949" s="39"/>
      <c r="Z949" s="39"/>
      <c r="AA949" s="39"/>
      <c r="AB949" s="39"/>
    </row>
    <row r="950">
      <c r="A950" s="1"/>
      <c r="B950" s="36"/>
      <c r="C950" s="36"/>
      <c r="D950" s="36"/>
      <c r="E950" s="36"/>
      <c r="F950" s="36"/>
      <c r="G950" s="36"/>
      <c r="H950" s="37"/>
      <c r="I950" s="36"/>
      <c r="J950" s="38"/>
      <c r="K950" s="38"/>
      <c r="L950" s="39"/>
      <c r="M950" s="39"/>
      <c r="N950" s="39"/>
      <c r="O950" s="39"/>
      <c r="P950" s="39"/>
      <c r="Q950" s="39"/>
      <c r="R950" s="39"/>
      <c r="S950" s="39"/>
      <c r="T950" s="39"/>
      <c r="U950" s="39"/>
      <c r="V950" s="39"/>
      <c r="W950" s="39"/>
      <c r="X950" s="39"/>
      <c r="Y950" s="39"/>
      <c r="Z950" s="39"/>
      <c r="AA950" s="39"/>
      <c r="AB950" s="39"/>
    </row>
    <row r="951">
      <c r="A951" s="1"/>
      <c r="B951" s="36"/>
      <c r="C951" s="36"/>
      <c r="D951" s="36"/>
      <c r="E951" s="36"/>
      <c r="F951" s="36"/>
      <c r="G951" s="36"/>
      <c r="H951" s="37"/>
      <c r="I951" s="36"/>
      <c r="J951" s="38"/>
      <c r="K951" s="38"/>
      <c r="L951" s="39"/>
      <c r="M951" s="39"/>
      <c r="N951" s="39"/>
      <c r="O951" s="39"/>
      <c r="P951" s="39"/>
      <c r="Q951" s="39"/>
      <c r="R951" s="39"/>
      <c r="S951" s="39"/>
      <c r="T951" s="39"/>
      <c r="U951" s="39"/>
      <c r="V951" s="39"/>
      <c r="W951" s="39"/>
      <c r="X951" s="39"/>
      <c r="Y951" s="39"/>
      <c r="Z951" s="39"/>
      <c r="AA951" s="39"/>
      <c r="AB951" s="39"/>
    </row>
    <row r="952">
      <c r="A952" s="1"/>
      <c r="B952" s="36"/>
      <c r="C952" s="36"/>
      <c r="D952" s="36"/>
      <c r="E952" s="36"/>
      <c r="F952" s="36"/>
      <c r="G952" s="36"/>
      <c r="H952" s="37"/>
      <c r="I952" s="36"/>
      <c r="J952" s="38"/>
      <c r="K952" s="38"/>
      <c r="L952" s="39"/>
      <c r="M952" s="39"/>
      <c r="N952" s="39"/>
      <c r="O952" s="39"/>
      <c r="P952" s="39"/>
      <c r="Q952" s="39"/>
      <c r="R952" s="39"/>
      <c r="S952" s="39"/>
      <c r="T952" s="39"/>
      <c r="U952" s="39"/>
      <c r="V952" s="39"/>
      <c r="W952" s="39"/>
      <c r="X952" s="39"/>
      <c r="Y952" s="39"/>
      <c r="Z952" s="39"/>
      <c r="AA952" s="39"/>
      <c r="AB952" s="39"/>
    </row>
    <row r="953">
      <c r="A953" s="1"/>
      <c r="B953" s="36"/>
      <c r="C953" s="36"/>
      <c r="D953" s="36"/>
      <c r="E953" s="36"/>
      <c r="F953" s="36"/>
      <c r="G953" s="36"/>
      <c r="H953" s="37"/>
      <c r="I953" s="36"/>
      <c r="J953" s="38"/>
      <c r="K953" s="38"/>
      <c r="L953" s="39"/>
      <c r="M953" s="39"/>
      <c r="N953" s="39"/>
      <c r="O953" s="39"/>
      <c r="P953" s="39"/>
      <c r="Q953" s="39"/>
      <c r="R953" s="39"/>
      <c r="S953" s="39"/>
      <c r="T953" s="39"/>
      <c r="U953" s="39"/>
      <c r="V953" s="39"/>
      <c r="W953" s="39"/>
      <c r="X953" s="39"/>
      <c r="Y953" s="39"/>
      <c r="Z953" s="39"/>
      <c r="AA953" s="39"/>
      <c r="AB953" s="39"/>
    </row>
    <row r="954">
      <c r="A954" s="1"/>
      <c r="B954" s="36"/>
      <c r="C954" s="36"/>
      <c r="D954" s="36"/>
      <c r="E954" s="36"/>
      <c r="F954" s="36"/>
      <c r="G954" s="36"/>
      <c r="H954" s="37"/>
      <c r="I954" s="36"/>
      <c r="J954" s="38"/>
      <c r="K954" s="38"/>
      <c r="L954" s="39"/>
      <c r="M954" s="39"/>
      <c r="N954" s="39"/>
      <c r="O954" s="39"/>
      <c r="P954" s="39"/>
      <c r="Q954" s="39"/>
      <c r="R954" s="39"/>
      <c r="S954" s="39"/>
      <c r="T954" s="39"/>
      <c r="U954" s="39"/>
      <c r="V954" s="39"/>
      <c r="W954" s="39"/>
      <c r="X954" s="39"/>
      <c r="Y954" s="39"/>
      <c r="Z954" s="39"/>
      <c r="AA954" s="39"/>
      <c r="AB954" s="39"/>
    </row>
    <row r="955">
      <c r="A955" s="1"/>
      <c r="B955" s="36"/>
      <c r="C955" s="36"/>
      <c r="D955" s="36"/>
      <c r="E955" s="36"/>
      <c r="F955" s="36"/>
      <c r="G955" s="36"/>
      <c r="H955" s="37"/>
      <c r="I955" s="36"/>
      <c r="J955" s="38"/>
      <c r="K955" s="38"/>
      <c r="L955" s="39"/>
      <c r="M955" s="39"/>
      <c r="N955" s="39"/>
      <c r="O955" s="39"/>
      <c r="P955" s="39"/>
      <c r="Q955" s="39"/>
      <c r="R955" s="39"/>
      <c r="S955" s="39"/>
      <c r="T955" s="39"/>
      <c r="U955" s="39"/>
      <c r="V955" s="39"/>
      <c r="W955" s="39"/>
      <c r="X955" s="39"/>
      <c r="Y955" s="39"/>
      <c r="Z955" s="39"/>
      <c r="AA955" s="39"/>
      <c r="AB955" s="39"/>
    </row>
    <row r="956">
      <c r="A956" s="1"/>
      <c r="B956" s="36"/>
      <c r="C956" s="36"/>
      <c r="D956" s="36"/>
      <c r="E956" s="36"/>
      <c r="F956" s="36"/>
      <c r="G956" s="36"/>
      <c r="H956" s="37"/>
      <c r="I956" s="36"/>
      <c r="J956" s="38"/>
      <c r="K956" s="38"/>
      <c r="L956" s="39"/>
      <c r="M956" s="39"/>
      <c r="N956" s="39"/>
      <c r="O956" s="39"/>
      <c r="P956" s="39"/>
      <c r="Q956" s="39"/>
      <c r="R956" s="39"/>
      <c r="S956" s="39"/>
      <c r="T956" s="39"/>
      <c r="U956" s="39"/>
      <c r="V956" s="39"/>
      <c r="W956" s="39"/>
      <c r="X956" s="39"/>
      <c r="Y956" s="39"/>
      <c r="Z956" s="39"/>
      <c r="AA956" s="39"/>
      <c r="AB956" s="39"/>
    </row>
    <row r="957">
      <c r="A957" s="1"/>
      <c r="B957" s="36"/>
      <c r="C957" s="36"/>
      <c r="D957" s="36"/>
      <c r="E957" s="36"/>
      <c r="F957" s="36"/>
      <c r="G957" s="36"/>
      <c r="H957" s="37"/>
      <c r="I957" s="36"/>
      <c r="J957" s="38"/>
      <c r="K957" s="38"/>
      <c r="L957" s="39"/>
      <c r="M957" s="39"/>
      <c r="N957" s="39"/>
      <c r="O957" s="39"/>
      <c r="P957" s="39"/>
      <c r="Q957" s="39"/>
      <c r="R957" s="39"/>
      <c r="S957" s="39"/>
      <c r="T957" s="39"/>
      <c r="U957" s="39"/>
      <c r="V957" s="39"/>
      <c r="W957" s="39"/>
      <c r="X957" s="39"/>
      <c r="Y957" s="39"/>
      <c r="Z957" s="39"/>
      <c r="AA957" s="39"/>
      <c r="AB957" s="39"/>
    </row>
    <row r="958">
      <c r="A958" s="1"/>
      <c r="B958" s="36"/>
      <c r="C958" s="36"/>
      <c r="D958" s="36"/>
      <c r="E958" s="36"/>
      <c r="F958" s="36"/>
      <c r="G958" s="36"/>
      <c r="H958" s="37"/>
      <c r="I958" s="36"/>
      <c r="J958" s="38"/>
      <c r="K958" s="38"/>
      <c r="L958" s="39"/>
      <c r="M958" s="39"/>
      <c r="N958" s="39"/>
      <c r="O958" s="39"/>
      <c r="P958" s="39"/>
      <c r="Q958" s="39"/>
      <c r="R958" s="39"/>
      <c r="S958" s="39"/>
      <c r="T958" s="39"/>
      <c r="U958" s="39"/>
      <c r="V958" s="39"/>
      <c r="W958" s="39"/>
      <c r="X958" s="39"/>
      <c r="Y958" s="39"/>
      <c r="Z958" s="39"/>
      <c r="AA958" s="39"/>
      <c r="AB958" s="39"/>
    </row>
    <row r="959">
      <c r="A959" s="1"/>
      <c r="B959" s="36"/>
      <c r="C959" s="36"/>
      <c r="D959" s="36"/>
      <c r="E959" s="36"/>
      <c r="F959" s="36"/>
      <c r="G959" s="36"/>
      <c r="H959" s="37"/>
      <c r="I959" s="36"/>
      <c r="J959" s="38"/>
      <c r="K959" s="38"/>
      <c r="L959" s="39"/>
      <c r="M959" s="39"/>
      <c r="N959" s="39"/>
      <c r="O959" s="39"/>
      <c r="P959" s="39"/>
      <c r="Q959" s="39"/>
      <c r="R959" s="39"/>
      <c r="S959" s="39"/>
      <c r="T959" s="39"/>
      <c r="U959" s="39"/>
      <c r="V959" s="39"/>
      <c r="W959" s="39"/>
      <c r="X959" s="39"/>
      <c r="Y959" s="39"/>
      <c r="Z959" s="39"/>
      <c r="AA959" s="39"/>
      <c r="AB959" s="39"/>
    </row>
    <row r="960">
      <c r="A960" s="1"/>
      <c r="B960" s="36"/>
      <c r="C960" s="36"/>
      <c r="D960" s="36"/>
      <c r="E960" s="36"/>
      <c r="F960" s="36"/>
      <c r="G960" s="36"/>
      <c r="H960" s="37"/>
      <c r="I960" s="36"/>
      <c r="J960" s="38"/>
      <c r="K960" s="38"/>
      <c r="L960" s="39"/>
      <c r="M960" s="39"/>
      <c r="N960" s="39"/>
      <c r="O960" s="39"/>
      <c r="P960" s="39"/>
      <c r="Q960" s="39"/>
      <c r="R960" s="39"/>
      <c r="S960" s="39"/>
      <c r="T960" s="39"/>
      <c r="U960" s="39"/>
      <c r="V960" s="39"/>
      <c r="W960" s="39"/>
      <c r="X960" s="39"/>
      <c r="Y960" s="39"/>
      <c r="Z960" s="39"/>
      <c r="AA960" s="39"/>
      <c r="AB960" s="39"/>
    </row>
    <row r="961">
      <c r="A961" s="1"/>
      <c r="B961" s="36"/>
      <c r="C961" s="36"/>
      <c r="D961" s="36"/>
      <c r="E961" s="36"/>
      <c r="F961" s="36"/>
      <c r="G961" s="36"/>
      <c r="H961" s="37"/>
      <c r="I961" s="36"/>
      <c r="J961" s="38"/>
      <c r="K961" s="38"/>
      <c r="L961" s="39"/>
      <c r="M961" s="39"/>
      <c r="N961" s="39"/>
      <c r="O961" s="39"/>
      <c r="P961" s="39"/>
      <c r="Q961" s="39"/>
      <c r="R961" s="39"/>
      <c r="S961" s="39"/>
      <c r="T961" s="39"/>
      <c r="U961" s="39"/>
      <c r="V961" s="39"/>
      <c r="W961" s="39"/>
      <c r="X961" s="39"/>
      <c r="Y961" s="39"/>
      <c r="Z961" s="39"/>
      <c r="AA961" s="39"/>
      <c r="AB961" s="39"/>
    </row>
    <row r="962">
      <c r="A962" s="1"/>
      <c r="B962" s="36"/>
      <c r="C962" s="36"/>
      <c r="D962" s="36"/>
      <c r="E962" s="36"/>
      <c r="F962" s="36"/>
      <c r="G962" s="36"/>
      <c r="H962" s="37"/>
      <c r="I962" s="36"/>
      <c r="J962" s="38"/>
      <c r="K962" s="38"/>
      <c r="L962" s="39"/>
      <c r="M962" s="39"/>
      <c r="N962" s="39"/>
      <c r="O962" s="39"/>
      <c r="P962" s="39"/>
      <c r="Q962" s="39"/>
      <c r="R962" s="39"/>
      <c r="S962" s="39"/>
      <c r="T962" s="39"/>
      <c r="U962" s="39"/>
      <c r="V962" s="39"/>
      <c r="W962" s="39"/>
      <c r="X962" s="39"/>
      <c r="Y962" s="39"/>
      <c r="Z962" s="39"/>
      <c r="AA962" s="39"/>
      <c r="AB962" s="39"/>
    </row>
    <row r="963">
      <c r="A963" s="1"/>
      <c r="B963" s="36"/>
      <c r="C963" s="36"/>
      <c r="D963" s="36"/>
      <c r="E963" s="36"/>
      <c r="F963" s="36"/>
      <c r="G963" s="36"/>
      <c r="H963" s="37"/>
      <c r="I963" s="36"/>
      <c r="J963" s="38"/>
      <c r="K963" s="38"/>
      <c r="L963" s="39"/>
      <c r="M963" s="39"/>
      <c r="N963" s="39"/>
      <c r="O963" s="39"/>
      <c r="P963" s="39"/>
      <c r="Q963" s="39"/>
      <c r="R963" s="39"/>
      <c r="S963" s="39"/>
      <c r="T963" s="39"/>
      <c r="U963" s="39"/>
      <c r="V963" s="39"/>
      <c r="W963" s="39"/>
      <c r="X963" s="39"/>
      <c r="Y963" s="39"/>
      <c r="Z963" s="39"/>
      <c r="AA963" s="39"/>
      <c r="AB963" s="39"/>
    </row>
    <row r="964">
      <c r="A964" s="1"/>
      <c r="B964" s="36"/>
      <c r="C964" s="36"/>
      <c r="D964" s="36"/>
      <c r="E964" s="36"/>
      <c r="F964" s="36"/>
      <c r="G964" s="36"/>
      <c r="H964" s="37"/>
      <c r="I964" s="36"/>
      <c r="J964" s="38"/>
      <c r="K964" s="38"/>
      <c r="L964" s="39"/>
      <c r="M964" s="39"/>
      <c r="N964" s="39"/>
      <c r="O964" s="39"/>
      <c r="P964" s="39"/>
      <c r="Q964" s="39"/>
      <c r="R964" s="39"/>
      <c r="S964" s="39"/>
      <c r="T964" s="39"/>
      <c r="U964" s="39"/>
      <c r="V964" s="39"/>
      <c r="W964" s="39"/>
      <c r="X964" s="39"/>
      <c r="Y964" s="39"/>
      <c r="Z964" s="39"/>
      <c r="AA964" s="39"/>
      <c r="AB964" s="39"/>
    </row>
    <row r="965">
      <c r="A965" s="1"/>
      <c r="B965" s="36"/>
      <c r="C965" s="36"/>
      <c r="D965" s="36"/>
      <c r="E965" s="36"/>
      <c r="F965" s="36"/>
      <c r="G965" s="36"/>
      <c r="H965" s="37"/>
      <c r="I965" s="36"/>
      <c r="J965" s="38"/>
      <c r="K965" s="38"/>
      <c r="L965" s="39"/>
      <c r="M965" s="39"/>
      <c r="N965" s="39"/>
      <c r="O965" s="39"/>
      <c r="P965" s="39"/>
      <c r="Q965" s="39"/>
      <c r="R965" s="39"/>
      <c r="S965" s="39"/>
      <c r="T965" s="39"/>
      <c r="U965" s="39"/>
      <c r="V965" s="39"/>
      <c r="W965" s="39"/>
      <c r="X965" s="39"/>
      <c r="Y965" s="39"/>
      <c r="Z965" s="39"/>
      <c r="AA965" s="39"/>
      <c r="AB965" s="39"/>
    </row>
    <row r="966">
      <c r="A966" s="1"/>
      <c r="B966" s="36"/>
      <c r="C966" s="36"/>
      <c r="D966" s="36"/>
      <c r="E966" s="36"/>
      <c r="F966" s="36"/>
      <c r="G966" s="36"/>
      <c r="H966" s="37"/>
      <c r="I966" s="36"/>
      <c r="J966" s="38"/>
      <c r="K966" s="38"/>
      <c r="L966" s="39"/>
      <c r="M966" s="39"/>
      <c r="N966" s="39"/>
      <c r="O966" s="39"/>
      <c r="P966" s="39"/>
      <c r="Q966" s="39"/>
      <c r="R966" s="39"/>
      <c r="S966" s="39"/>
      <c r="T966" s="39"/>
      <c r="U966" s="39"/>
      <c r="V966" s="39"/>
      <c r="W966" s="39"/>
      <c r="X966" s="39"/>
      <c r="Y966" s="39"/>
      <c r="Z966" s="39"/>
      <c r="AA966" s="39"/>
      <c r="AB966" s="39"/>
    </row>
    <row r="967">
      <c r="A967" s="1"/>
      <c r="B967" s="36"/>
      <c r="C967" s="36"/>
      <c r="D967" s="36"/>
      <c r="E967" s="36"/>
      <c r="F967" s="36"/>
      <c r="G967" s="36"/>
      <c r="H967" s="37"/>
      <c r="I967" s="36"/>
      <c r="J967" s="38"/>
      <c r="K967" s="38"/>
      <c r="L967" s="39"/>
      <c r="M967" s="39"/>
      <c r="N967" s="39"/>
      <c r="O967" s="39"/>
      <c r="P967" s="39"/>
      <c r="Q967" s="39"/>
      <c r="R967" s="39"/>
      <c r="S967" s="39"/>
      <c r="T967" s="39"/>
      <c r="U967" s="39"/>
      <c r="V967" s="39"/>
      <c r="W967" s="39"/>
      <c r="X967" s="39"/>
      <c r="Y967" s="39"/>
      <c r="Z967" s="39"/>
      <c r="AA967" s="39"/>
      <c r="AB967" s="39"/>
    </row>
    <row r="968">
      <c r="A968" s="1"/>
      <c r="B968" s="36"/>
      <c r="C968" s="36"/>
      <c r="D968" s="36"/>
      <c r="E968" s="36"/>
      <c r="F968" s="36"/>
      <c r="G968" s="36"/>
      <c r="H968" s="37"/>
      <c r="I968" s="36"/>
      <c r="J968" s="38"/>
      <c r="K968" s="38"/>
      <c r="L968" s="39"/>
      <c r="M968" s="39"/>
      <c r="N968" s="39"/>
      <c r="O968" s="39"/>
      <c r="P968" s="39"/>
      <c r="Q968" s="39"/>
      <c r="R968" s="39"/>
      <c r="S968" s="39"/>
      <c r="T968" s="39"/>
      <c r="U968" s="39"/>
      <c r="V968" s="39"/>
      <c r="W968" s="39"/>
      <c r="X968" s="39"/>
      <c r="Y968" s="39"/>
      <c r="Z968" s="39"/>
      <c r="AA968" s="39"/>
      <c r="AB968" s="39"/>
    </row>
    <row r="969">
      <c r="A969" s="1"/>
      <c r="B969" s="36"/>
      <c r="C969" s="36"/>
      <c r="D969" s="36"/>
      <c r="E969" s="36"/>
      <c r="F969" s="36"/>
      <c r="G969" s="36"/>
      <c r="H969" s="37"/>
      <c r="I969" s="36"/>
      <c r="J969" s="38"/>
      <c r="K969" s="38"/>
      <c r="L969" s="39"/>
      <c r="M969" s="39"/>
      <c r="N969" s="39"/>
      <c r="O969" s="39"/>
      <c r="P969" s="39"/>
      <c r="Q969" s="39"/>
      <c r="R969" s="39"/>
      <c r="S969" s="39"/>
      <c r="T969" s="39"/>
      <c r="U969" s="39"/>
      <c r="V969" s="39"/>
      <c r="W969" s="39"/>
      <c r="X969" s="39"/>
      <c r="Y969" s="39"/>
      <c r="Z969" s="39"/>
      <c r="AA969" s="39"/>
      <c r="AB969" s="39"/>
    </row>
    <row r="970">
      <c r="A970" s="1"/>
      <c r="B970" s="36"/>
      <c r="C970" s="36"/>
      <c r="D970" s="36"/>
      <c r="E970" s="36"/>
      <c r="F970" s="36"/>
      <c r="G970" s="36"/>
      <c r="H970" s="37"/>
      <c r="I970" s="36"/>
      <c r="J970" s="38"/>
      <c r="K970" s="38"/>
      <c r="L970" s="39"/>
      <c r="M970" s="39"/>
      <c r="N970" s="39"/>
      <c r="O970" s="39"/>
      <c r="P970" s="39"/>
      <c r="Q970" s="39"/>
      <c r="R970" s="39"/>
      <c r="S970" s="39"/>
      <c r="T970" s="39"/>
      <c r="U970" s="39"/>
      <c r="V970" s="39"/>
      <c r="W970" s="39"/>
      <c r="X970" s="39"/>
      <c r="Y970" s="39"/>
      <c r="Z970" s="39"/>
      <c r="AA970" s="39"/>
      <c r="AB970" s="39"/>
    </row>
    <row r="971">
      <c r="A971" s="1"/>
      <c r="B971" s="36"/>
      <c r="C971" s="36"/>
      <c r="D971" s="36"/>
      <c r="E971" s="36"/>
      <c r="F971" s="36"/>
      <c r="G971" s="36"/>
      <c r="H971" s="37"/>
      <c r="I971" s="36"/>
      <c r="J971" s="38"/>
      <c r="K971" s="38"/>
      <c r="L971" s="39"/>
      <c r="M971" s="39"/>
      <c r="N971" s="39"/>
      <c r="O971" s="39"/>
      <c r="P971" s="39"/>
      <c r="Q971" s="39"/>
      <c r="R971" s="39"/>
      <c r="S971" s="39"/>
      <c r="T971" s="39"/>
      <c r="U971" s="39"/>
      <c r="V971" s="39"/>
      <c r="W971" s="39"/>
      <c r="X971" s="39"/>
      <c r="Y971" s="39"/>
      <c r="Z971" s="39"/>
      <c r="AA971" s="39"/>
      <c r="AB971" s="39"/>
    </row>
    <row r="972">
      <c r="A972" s="1"/>
      <c r="B972" s="36"/>
      <c r="C972" s="36"/>
      <c r="D972" s="36"/>
      <c r="E972" s="36"/>
      <c r="F972" s="36"/>
      <c r="G972" s="36"/>
      <c r="H972" s="37"/>
      <c r="I972" s="36"/>
      <c r="J972" s="38"/>
      <c r="K972" s="38"/>
      <c r="L972" s="39"/>
      <c r="M972" s="39"/>
      <c r="N972" s="39"/>
      <c r="O972" s="39"/>
      <c r="P972" s="39"/>
      <c r="Q972" s="39"/>
      <c r="R972" s="39"/>
      <c r="S972" s="39"/>
      <c r="T972" s="39"/>
      <c r="U972" s="39"/>
      <c r="V972" s="39"/>
      <c r="W972" s="39"/>
      <c r="X972" s="39"/>
      <c r="Y972" s="39"/>
      <c r="Z972" s="39"/>
      <c r="AA972" s="39"/>
      <c r="AB972" s="39"/>
    </row>
    <row r="973">
      <c r="A973" s="1"/>
      <c r="B973" s="36"/>
      <c r="C973" s="36"/>
      <c r="D973" s="36"/>
      <c r="E973" s="36"/>
      <c r="F973" s="36"/>
      <c r="G973" s="36"/>
      <c r="H973" s="37"/>
      <c r="I973" s="36"/>
      <c r="J973" s="38"/>
      <c r="K973" s="38"/>
      <c r="L973" s="39"/>
      <c r="M973" s="39"/>
      <c r="N973" s="39"/>
      <c r="O973" s="39"/>
      <c r="P973" s="39"/>
      <c r="Q973" s="39"/>
      <c r="R973" s="39"/>
      <c r="S973" s="39"/>
      <c r="T973" s="39"/>
      <c r="U973" s="39"/>
      <c r="V973" s="39"/>
      <c r="W973" s="39"/>
      <c r="X973" s="39"/>
      <c r="Y973" s="39"/>
      <c r="Z973" s="39"/>
      <c r="AA973" s="39"/>
      <c r="AB973" s="39"/>
    </row>
    <row r="974">
      <c r="A974" s="1"/>
      <c r="B974" s="36"/>
      <c r="C974" s="36"/>
      <c r="D974" s="36"/>
      <c r="E974" s="36"/>
      <c r="F974" s="36"/>
      <c r="G974" s="36"/>
      <c r="H974" s="37"/>
      <c r="I974" s="36"/>
      <c r="J974" s="38"/>
      <c r="K974" s="38"/>
      <c r="L974" s="39"/>
      <c r="M974" s="39"/>
      <c r="N974" s="39"/>
      <c r="O974" s="39"/>
      <c r="P974" s="39"/>
      <c r="Q974" s="39"/>
      <c r="R974" s="39"/>
      <c r="S974" s="39"/>
      <c r="T974" s="39"/>
      <c r="U974" s="39"/>
      <c r="V974" s="39"/>
      <c r="W974" s="39"/>
      <c r="X974" s="39"/>
      <c r="Y974" s="39"/>
      <c r="Z974" s="39"/>
      <c r="AA974" s="39"/>
      <c r="AB974" s="39"/>
    </row>
    <row r="975">
      <c r="A975" s="1"/>
      <c r="B975" s="36"/>
      <c r="C975" s="36"/>
      <c r="D975" s="36"/>
      <c r="E975" s="36"/>
      <c r="F975" s="36"/>
      <c r="G975" s="36"/>
      <c r="H975" s="37"/>
      <c r="I975" s="36"/>
      <c r="J975" s="38"/>
      <c r="K975" s="38"/>
      <c r="L975" s="39"/>
      <c r="M975" s="39"/>
      <c r="N975" s="39"/>
      <c r="O975" s="39"/>
      <c r="P975" s="39"/>
      <c r="Q975" s="39"/>
      <c r="R975" s="39"/>
      <c r="S975" s="39"/>
      <c r="T975" s="39"/>
      <c r="U975" s="39"/>
      <c r="V975" s="39"/>
      <c r="W975" s="39"/>
      <c r="X975" s="39"/>
      <c r="Y975" s="39"/>
      <c r="Z975" s="39"/>
      <c r="AA975" s="39"/>
      <c r="AB975" s="39"/>
    </row>
    <row r="976">
      <c r="A976" s="1"/>
      <c r="B976" s="36"/>
      <c r="C976" s="36"/>
      <c r="D976" s="36"/>
      <c r="E976" s="36"/>
      <c r="F976" s="36"/>
      <c r="G976" s="36"/>
      <c r="H976" s="37"/>
      <c r="I976" s="36"/>
      <c r="J976" s="38"/>
      <c r="K976" s="38"/>
      <c r="L976" s="39"/>
      <c r="M976" s="39"/>
      <c r="N976" s="39"/>
      <c r="O976" s="39"/>
      <c r="P976" s="39"/>
      <c r="Q976" s="39"/>
      <c r="R976" s="39"/>
      <c r="S976" s="39"/>
      <c r="T976" s="39"/>
      <c r="U976" s="39"/>
      <c r="V976" s="39"/>
      <c r="W976" s="39"/>
      <c r="X976" s="39"/>
      <c r="Y976" s="39"/>
      <c r="Z976" s="39"/>
      <c r="AA976" s="39"/>
      <c r="AB976" s="39"/>
    </row>
    <row r="977">
      <c r="A977" s="1"/>
      <c r="B977" s="36"/>
      <c r="C977" s="36"/>
      <c r="D977" s="36"/>
      <c r="E977" s="36"/>
      <c r="F977" s="36"/>
      <c r="G977" s="36"/>
      <c r="H977" s="37"/>
      <c r="I977" s="36"/>
      <c r="J977" s="38"/>
      <c r="K977" s="38"/>
      <c r="L977" s="39"/>
      <c r="M977" s="39"/>
      <c r="N977" s="39"/>
      <c r="O977" s="39"/>
      <c r="P977" s="39"/>
      <c r="Q977" s="39"/>
      <c r="R977" s="39"/>
      <c r="S977" s="39"/>
      <c r="T977" s="39"/>
      <c r="U977" s="39"/>
      <c r="V977" s="39"/>
      <c r="W977" s="39"/>
      <c r="X977" s="39"/>
      <c r="Y977" s="39"/>
      <c r="Z977" s="39"/>
      <c r="AA977" s="39"/>
      <c r="AB977" s="39"/>
    </row>
    <row r="978">
      <c r="A978" s="1"/>
      <c r="B978" s="36"/>
      <c r="C978" s="36"/>
      <c r="D978" s="36"/>
      <c r="E978" s="36"/>
      <c r="F978" s="36"/>
      <c r="G978" s="36"/>
      <c r="H978" s="37"/>
      <c r="I978" s="36"/>
      <c r="J978" s="38"/>
      <c r="K978" s="38"/>
      <c r="L978" s="39"/>
      <c r="M978" s="39"/>
      <c r="N978" s="39"/>
      <c r="O978" s="39"/>
      <c r="P978" s="39"/>
      <c r="Q978" s="39"/>
      <c r="R978" s="39"/>
      <c r="S978" s="39"/>
      <c r="T978" s="39"/>
      <c r="U978" s="39"/>
      <c r="V978" s="39"/>
      <c r="W978" s="39"/>
      <c r="X978" s="39"/>
      <c r="Y978" s="39"/>
      <c r="Z978" s="39"/>
      <c r="AA978" s="39"/>
      <c r="AB978" s="39"/>
    </row>
    <row r="979">
      <c r="A979" s="1"/>
      <c r="B979" s="36"/>
      <c r="C979" s="36"/>
      <c r="D979" s="36"/>
      <c r="E979" s="36"/>
      <c r="F979" s="36"/>
      <c r="G979" s="36"/>
      <c r="H979" s="37"/>
      <c r="I979" s="36"/>
      <c r="J979" s="38"/>
      <c r="K979" s="38"/>
      <c r="L979" s="39"/>
      <c r="M979" s="39"/>
      <c r="N979" s="39"/>
      <c r="O979" s="39"/>
      <c r="P979" s="39"/>
      <c r="Q979" s="39"/>
      <c r="R979" s="39"/>
      <c r="S979" s="39"/>
      <c r="T979" s="39"/>
      <c r="U979" s="39"/>
      <c r="V979" s="39"/>
      <c r="W979" s="39"/>
      <c r="X979" s="39"/>
      <c r="Y979" s="39"/>
      <c r="Z979" s="39"/>
      <c r="AA979" s="39"/>
      <c r="AB979" s="39"/>
    </row>
    <row r="980">
      <c r="A980" s="1"/>
      <c r="B980" s="36"/>
      <c r="C980" s="36"/>
      <c r="D980" s="36"/>
      <c r="E980" s="36"/>
      <c r="F980" s="36"/>
      <c r="G980" s="36"/>
      <c r="H980" s="37"/>
      <c r="I980" s="36"/>
      <c r="J980" s="38"/>
      <c r="K980" s="38"/>
      <c r="L980" s="39"/>
      <c r="M980" s="39"/>
      <c r="N980" s="39"/>
      <c r="O980" s="39"/>
      <c r="P980" s="39"/>
      <c r="Q980" s="39"/>
      <c r="R980" s="39"/>
      <c r="S980" s="39"/>
      <c r="T980" s="39"/>
      <c r="U980" s="39"/>
      <c r="V980" s="39"/>
      <c r="W980" s="39"/>
      <c r="X980" s="39"/>
      <c r="Y980" s="39"/>
      <c r="Z980" s="39"/>
      <c r="AA980" s="39"/>
      <c r="AB980" s="39"/>
    </row>
    <row r="981">
      <c r="A981" s="1"/>
      <c r="B981" s="36"/>
      <c r="C981" s="36"/>
      <c r="D981" s="36"/>
      <c r="E981" s="36"/>
      <c r="F981" s="36"/>
      <c r="G981" s="36"/>
      <c r="H981" s="37"/>
      <c r="I981" s="36"/>
      <c r="J981" s="38"/>
      <c r="K981" s="38"/>
      <c r="L981" s="39"/>
      <c r="M981" s="39"/>
      <c r="N981" s="39"/>
      <c r="O981" s="39"/>
      <c r="P981" s="39"/>
      <c r="Q981" s="39"/>
      <c r="R981" s="39"/>
      <c r="S981" s="39"/>
      <c r="T981" s="39"/>
      <c r="U981" s="39"/>
      <c r="V981" s="39"/>
      <c r="W981" s="39"/>
      <c r="X981" s="39"/>
      <c r="Y981" s="39"/>
      <c r="Z981" s="39"/>
      <c r="AA981" s="39"/>
      <c r="AB981" s="39"/>
    </row>
    <row r="982">
      <c r="A982" s="1"/>
      <c r="B982" s="36"/>
      <c r="C982" s="36"/>
      <c r="D982" s="36"/>
      <c r="E982" s="36"/>
      <c r="F982" s="36"/>
      <c r="G982" s="36"/>
      <c r="H982" s="37"/>
      <c r="I982" s="36"/>
      <c r="J982" s="38"/>
      <c r="K982" s="38"/>
      <c r="L982" s="39"/>
      <c r="M982" s="39"/>
      <c r="N982" s="39"/>
      <c r="O982" s="39"/>
      <c r="P982" s="39"/>
      <c r="Q982" s="39"/>
      <c r="R982" s="39"/>
      <c r="S982" s="39"/>
      <c r="T982" s="39"/>
      <c r="U982" s="39"/>
      <c r="V982" s="39"/>
      <c r="W982" s="39"/>
      <c r="X982" s="39"/>
      <c r="Y982" s="39"/>
      <c r="Z982" s="39"/>
      <c r="AA982" s="39"/>
      <c r="AB982" s="39"/>
    </row>
    <row r="983">
      <c r="A983" s="1"/>
      <c r="B983" s="36"/>
      <c r="C983" s="36"/>
      <c r="D983" s="36"/>
      <c r="E983" s="36"/>
      <c r="F983" s="36"/>
      <c r="G983" s="36"/>
      <c r="H983" s="37"/>
      <c r="I983" s="36"/>
      <c r="J983" s="38"/>
      <c r="K983" s="38"/>
      <c r="L983" s="39"/>
      <c r="M983" s="39"/>
      <c r="N983" s="39"/>
      <c r="O983" s="39"/>
      <c r="P983" s="39"/>
      <c r="Q983" s="39"/>
      <c r="R983" s="39"/>
      <c r="S983" s="39"/>
      <c r="T983" s="39"/>
      <c r="U983" s="39"/>
      <c r="V983" s="39"/>
      <c r="W983" s="39"/>
      <c r="X983" s="39"/>
      <c r="Y983" s="39"/>
      <c r="Z983" s="39"/>
      <c r="AA983" s="39"/>
      <c r="AB983" s="39"/>
    </row>
    <row r="984">
      <c r="A984" s="1"/>
      <c r="B984" s="36"/>
      <c r="C984" s="36"/>
      <c r="D984" s="36"/>
      <c r="E984" s="36"/>
      <c r="F984" s="36"/>
      <c r="G984" s="36"/>
      <c r="H984" s="37"/>
      <c r="I984" s="36"/>
      <c r="J984" s="38"/>
      <c r="K984" s="38"/>
      <c r="L984" s="39"/>
      <c r="M984" s="39"/>
      <c r="N984" s="39"/>
      <c r="O984" s="39"/>
      <c r="P984" s="39"/>
      <c r="Q984" s="39"/>
      <c r="R984" s="39"/>
      <c r="S984" s="39"/>
      <c r="T984" s="39"/>
      <c r="U984" s="39"/>
      <c r="V984" s="39"/>
      <c r="W984" s="39"/>
      <c r="X984" s="39"/>
      <c r="Y984" s="39"/>
      <c r="Z984" s="39"/>
      <c r="AA984" s="39"/>
      <c r="AB984" s="39"/>
    </row>
    <row r="985">
      <c r="A985" s="1"/>
      <c r="B985" s="36"/>
      <c r="C985" s="36"/>
      <c r="D985" s="36"/>
      <c r="E985" s="36"/>
      <c r="F985" s="36"/>
      <c r="G985" s="36"/>
      <c r="H985" s="37"/>
      <c r="I985" s="36"/>
      <c r="J985" s="38"/>
      <c r="K985" s="38"/>
      <c r="L985" s="39"/>
      <c r="M985" s="39"/>
      <c r="N985" s="39"/>
      <c r="O985" s="39"/>
      <c r="P985" s="39"/>
      <c r="Q985" s="39"/>
      <c r="R985" s="39"/>
      <c r="S985" s="39"/>
      <c r="T985" s="39"/>
      <c r="U985" s="39"/>
      <c r="V985" s="39"/>
      <c r="W985" s="39"/>
      <c r="X985" s="39"/>
      <c r="Y985" s="39"/>
      <c r="Z985" s="39"/>
      <c r="AA985" s="39"/>
      <c r="AB985" s="39"/>
    </row>
    <row r="986">
      <c r="A986" s="1"/>
      <c r="B986" s="36"/>
      <c r="C986" s="36"/>
      <c r="D986" s="36"/>
      <c r="E986" s="36"/>
      <c r="F986" s="36"/>
      <c r="G986" s="36"/>
      <c r="H986" s="37"/>
      <c r="I986" s="36"/>
      <c r="J986" s="38"/>
      <c r="K986" s="38"/>
      <c r="L986" s="39"/>
      <c r="M986" s="39"/>
      <c r="N986" s="39"/>
      <c r="O986" s="39"/>
      <c r="P986" s="39"/>
      <c r="Q986" s="39"/>
      <c r="R986" s="39"/>
      <c r="S986" s="39"/>
      <c r="T986" s="39"/>
      <c r="U986" s="39"/>
      <c r="V986" s="39"/>
      <c r="W986" s="39"/>
      <c r="X986" s="39"/>
      <c r="Y986" s="39"/>
      <c r="Z986" s="39"/>
      <c r="AA986" s="39"/>
      <c r="AB986" s="39"/>
    </row>
    <row r="987">
      <c r="A987" s="1"/>
      <c r="B987" s="36"/>
      <c r="C987" s="36"/>
      <c r="D987" s="36"/>
      <c r="E987" s="36"/>
      <c r="F987" s="36"/>
      <c r="G987" s="36"/>
      <c r="H987" s="37"/>
      <c r="I987" s="36"/>
      <c r="J987" s="38"/>
      <c r="K987" s="38"/>
      <c r="L987" s="39"/>
      <c r="M987" s="39"/>
      <c r="N987" s="39"/>
      <c r="O987" s="39"/>
      <c r="P987" s="39"/>
      <c r="Q987" s="39"/>
      <c r="R987" s="39"/>
      <c r="S987" s="39"/>
      <c r="T987" s="39"/>
      <c r="U987" s="39"/>
      <c r="V987" s="39"/>
      <c r="W987" s="39"/>
      <c r="X987" s="39"/>
      <c r="Y987" s="39"/>
      <c r="Z987" s="39"/>
      <c r="AA987" s="39"/>
      <c r="AB987" s="39"/>
    </row>
    <row r="988">
      <c r="A988" s="1"/>
      <c r="B988" s="36"/>
      <c r="C988" s="36"/>
      <c r="D988" s="36"/>
      <c r="E988" s="36"/>
      <c r="F988" s="36"/>
      <c r="G988" s="36"/>
      <c r="H988" s="37"/>
      <c r="I988" s="36"/>
      <c r="J988" s="38"/>
      <c r="K988" s="38"/>
      <c r="L988" s="39"/>
      <c r="M988" s="39"/>
      <c r="N988" s="39"/>
      <c r="O988" s="39"/>
      <c r="P988" s="39"/>
      <c r="Q988" s="39"/>
      <c r="R988" s="39"/>
      <c r="S988" s="39"/>
      <c r="T988" s="39"/>
      <c r="U988" s="39"/>
      <c r="V988" s="39"/>
      <c r="W988" s="39"/>
      <c r="X988" s="39"/>
      <c r="Y988" s="39"/>
      <c r="Z988" s="39"/>
      <c r="AA988" s="39"/>
      <c r="AB988" s="39"/>
    </row>
    <row r="989">
      <c r="A989" s="1"/>
      <c r="B989" s="36"/>
      <c r="C989" s="36"/>
      <c r="D989" s="36"/>
      <c r="E989" s="36"/>
      <c r="F989" s="36"/>
      <c r="G989" s="36"/>
      <c r="H989" s="37"/>
      <c r="I989" s="36"/>
      <c r="J989" s="38"/>
      <c r="K989" s="38"/>
      <c r="L989" s="39"/>
      <c r="M989" s="39"/>
      <c r="N989" s="39"/>
      <c r="O989" s="39"/>
      <c r="P989" s="39"/>
      <c r="Q989" s="39"/>
      <c r="R989" s="39"/>
      <c r="S989" s="39"/>
      <c r="T989" s="39"/>
      <c r="U989" s="39"/>
      <c r="V989" s="39"/>
      <c r="W989" s="39"/>
      <c r="X989" s="39"/>
      <c r="Y989" s="39"/>
      <c r="Z989" s="39"/>
      <c r="AA989" s="39"/>
      <c r="AB989" s="39"/>
    </row>
    <row r="990">
      <c r="A990" s="1"/>
      <c r="B990" s="36"/>
      <c r="C990" s="36"/>
      <c r="D990" s="36"/>
      <c r="E990" s="36"/>
      <c r="F990" s="36"/>
      <c r="G990" s="36"/>
      <c r="H990" s="37"/>
      <c r="I990" s="36"/>
      <c r="J990" s="38"/>
      <c r="K990" s="38"/>
      <c r="L990" s="39"/>
      <c r="M990" s="39"/>
      <c r="N990" s="39"/>
      <c r="O990" s="39"/>
      <c r="P990" s="39"/>
      <c r="Q990" s="39"/>
      <c r="R990" s="39"/>
      <c r="S990" s="39"/>
      <c r="T990" s="39"/>
      <c r="U990" s="39"/>
      <c r="V990" s="39"/>
      <c r="W990" s="39"/>
      <c r="X990" s="39"/>
      <c r="Y990" s="39"/>
      <c r="Z990" s="39"/>
      <c r="AA990" s="39"/>
      <c r="AB990" s="39"/>
    </row>
    <row r="991">
      <c r="A991" s="1"/>
      <c r="B991" s="36"/>
      <c r="C991" s="36"/>
      <c r="D991" s="36"/>
      <c r="E991" s="36"/>
      <c r="F991" s="36"/>
      <c r="G991" s="36"/>
      <c r="H991" s="37"/>
      <c r="I991" s="36"/>
      <c r="J991" s="38"/>
      <c r="K991" s="38"/>
      <c r="L991" s="39"/>
      <c r="M991" s="39"/>
      <c r="N991" s="39"/>
      <c r="O991" s="39"/>
      <c r="P991" s="39"/>
      <c r="Q991" s="39"/>
      <c r="R991" s="39"/>
      <c r="S991" s="39"/>
      <c r="T991" s="39"/>
      <c r="U991" s="39"/>
      <c r="V991" s="39"/>
      <c r="W991" s="39"/>
      <c r="X991" s="39"/>
      <c r="Y991" s="39"/>
      <c r="Z991" s="39"/>
      <c r="AA991" s="39"/>
      <c r="AB991" s="39"/>
    </row>
    <row r="992">
      <c r="A992" s="1"/>
      <c r="B992" s="36"/>
      <c r="C992" s="36"/>
      <c r="D992" s="36"/>
      <c r="E992" s="36"/>
      <c r="F992" s="36"/>
      <c r="G992" s="36"/>
      <c r="H992" s="37"/>
      <c r="I992" s="36"/>
      <c r="J992" s="38"/>
      <c r="K992" s="38"/>
      <c r="L992" s="39"/>
      <c r="M992" s="39"/>
      <c r="N992" s="39"/>
      <c r="O992" s="39"/>
      <c r="P992" s="39"/>
      <c r="Q992" s="39"/>
      <c r="R992" s="39"/>
      <c r="S992" s="39"/>
      <c r="T992" s="39"/>
      <c r="U992" s="39"/>
      <c r="V992" s="39"/>
      <c r="W992" s="39"/>
      <c r="X992" s="39"/>
      <c r="Y992" s="39"/>
      <c r="Z992" s="39"/>
      <c r="AA992" s="39"/>
      <c r="AB992" s="39"/>
    </row>
    <row r="993">
      <c r="A993" s="1"/>
      <c r="B993" s="36"/>
      <c r="C993" s="36"/>
      <c r="D993" s="36"/>
      <c r="E993" s="36"/>
      <c r="F993" s="36"/>
      <c r="G993" s="36"/>
      <c r="H993" s="37"/>
      <c r="I993" s="36"/>
      <c r="J993" s="38"/>
      <c r="K993" s="38"/>
      <c r="L993" s="39"/>
      <c r="M993" s="39"/>
      <c r="N993" s="39"/>
      <c r="O993" s="39"/>
      <c r="P993" s="39"/>
      <c r="Q993" s="39"/>
      <c r="R993" s="39"/>
      <c r="S993" s="39"/>
      <c r="T993" s="39"/>
      <c r="U993" s="39"/>
      <c r="V993" s="39"/>
      <c r="W993" s="39"/>
      <c r="X993" s="39"/>
      <c r="Y993" s="39"/>
      <c r="Z993" s="39"/>
      <c r="AA993" s="39"/>
      <c r="AB993" s="39"/>
    </row>
    <row r="994">
      <c r="A994" s="1"/>
      <c r="B994" s="36"/>
      <c r="C994" s="36"/>
      <c r="D994" s="36"/>
      <c r="E994" s="36"/>
      <c r="F994" s="36"/>
      <c r="G994" s="36"/>
      <c r="H994" s="37"/>
      <c r="I994" s="36"/>
      <c r="J994" s="38"/>
      <c r="K994" s="38"/>
      <c r="L994" s="39"/>
      <c r="M994" s="39"/>
      <c r="N994" s="39"/>
      <c r="O994" s="39"/>
      <c r="P994" s="39"/>
      <c r="Q994" s="39"/>
      <c r="R994" s="39"/>
      <c r="S994" s="39"/>
      <c r="T994" s="39"/>
      <c r="U994" s="39"/>
      <c r="V994" s="39"/>
      <c r="W994" s="39"/>
      <c r="X994" s="39"/>
      <c r="Y994" s="39"/>
      <c r="Z994" s="39"/>
      <c r="AA994" s="39"/>
      <c r="AB994" s="39"/>
    </row>
    <row r="995">
      <c r="A995" s="1"/>
      <c r="B995" s="36"/>
      <c r="C995" s="36"/>
      <c r="D995" s="36"/>
      <c r="E995" s="36"/>
      <c r="F995" s="36"/>
      <c r="G995" s="36"/>
      <c r="H995" s="37"/>
      <c r="I995" s="36"/>
      <c r="J995" s="38"/>
      <c r="K995" s="38"/>
      <c r="L995" s="39"/>
      <c r="M995" s="39"/>
      <c r="N995" s="39"/>
      <c r="O995" s="39"/>
      <c r="P995" s="39"/>
      <c r="Q995" s="39"/>
      <c r="R995" s="39"/>
      <c r="S995" s="39"/>
      <c r="T995" s="39"/>
      <c r="U995" s="39"/>
      <c r="V995" s="39"/>
      <c r="W995" s="39"/>
      <c r="X995" s="39"/>
      <c r="Y995" s="39"/>
      <c r="Z995" s="39"/>
      <c r="AA995" s="39"/>
      <c r="AB995" s="39"/>
    </row>
    <row r="996">
      <c r="A996" s="1"/>
      <c r="B996" s="36"/>
      <c r="C996" s="36"/>
      <c r="D996" s="36"/>
      <c r="E996" s="36"/>
      <c r="F996" s="36"/>
      <c r="G996" s="36"/>
      <c r="H996" s="37"/>
      <c r="I996" s="36"/>
      <c r="J996" s="38"/>
      <c r="K996" s="38"/>
      <c r="L996" s="39"/>
      <c r="M996" s="39"/>
      <c r="N996" s="39"/>
      <c r="O996" s="39"/>
      <c r="P996" s="39"/>
      <c r="Q996" s="39"/>
      <c r="R996" s="39"/>
      <c r="S996" s="39"/>
      <c r="T996" s="39"/>
      <c r="U996" s="39"/>
      <c r="V996" s="39"/>
      <c r="W996" s="39"/>
      <c r="X996" s="39"/>
      <c r="Y996" s="39"/>
      <c r="Z996" s="39"/>
      <c r="AA996" s="39"/>
      <c r="AB996" s="39"/>
    </row>
    <row r="997">
      <c r="A997" s="1"/>
      <c r="B997" s="36"/>
      <c r="C997" s="36"/>
      <c r="D997" s="36"/>
      <c r="E997" s="36"/>
      <c r="F997" s="36"/>
      <c r="G997" s="36"/>
      <c r="H997" s="37"/>
      <c r="I997" s="36"/>
      <c r="J997" s="38"/>
      <c r="K997" s="38"/>
      <c r="L997" s="39"/>
      <c r="M997" s="39"/>
      <c r="N997" s="39"/>
      <c r="O997" s="39"/>
      <c r="P997" s="39"/>
      <c r="Q997" s="39"/>
      <c r="R997" s="39"/>
      <c r="S997" s="39"/>
      <c r="T997" s="39"/>
      <c r="U997" s="39"/>
      <c r="V997" s="39"/>
      <c r="W997" s="39"/>
      <c r="X997" s="39"/>
      <c r="Y997" s="39"/>
      <c r="Z997" s="39"/>
      <c r="AA997" s="39"/>
      <c r="AB997" s="39"/>
    </row>
    <row r="998">
      <c r="A998" s="1"/>
      <c r="B998" s="36"/>
      <c r="C998" s="36"/>
      <c r="D998" s="36"/>
      <c r="E998" s="36"/>
      <c r="F998" s="36"/>
      <c r="G998" s="36"/>
      <c r="H998" s="37"/>
      <c r="I998" s="36"/>
      <c r="J998" s="38"/>
      <c r="K998" s="38"/>
      <c r="L998" s="39"/>
      <c r="M998" s="39"/>
      <c r="N998" s="39"/>
      <c r="O998" s="39"/>
      <c r="P998" s="39"/>
      <c r="Q998" s="39"/>
      <c r="R998" s="39"/>
      <c r="S998" s="39"/>
      <c r="T998" s="39"/>
      <c r="U998" s="39"/>
      <c r="V998" s="39"/>
      <c r="W998" s="39"/>
      <c r="X998" s="39"/>
      <c r="Y998" s="39"/>
      <c r="Z998" s="39"/>
      <c r="AA998" s="39"/>
      <c r="AB998" s="39"/>
    </row>
    <row r="999">
      <c r="A999" s="1"/>
      <c r="B999" s="36"/>
      <c r="C999" s="36"/>
      <c r="D999" s="36"/>
      <c r="E999" s="36"/>
      <c r="F999" s="36"/>
      <c r="G999" s="36"/>
      <c r="H999" s="37"/>
      <c r="I999" s="36"/>
      <c r="J999" s="38"/>
      <c r="K999" s="38"/>
      <c r="L999" s="39"/>
      <c r="M999" s="39"/>
      <c r="N999" s="39"/>
      <c r="O999" s="39"/>
      <c r="P999" s="39"/>
      <c r="Q999" s="39"/>
      <c r="R999" s="39"/>
      <c r="S999" s="39"/>
      <c r="T999" s="39"/>
      <c r="U999" s="39"/>
      <c r="V999" s="39"/>
      <c r="W999" s="39"/>
      <c r="X999" s="39"/>
      <c r="Y999" s="39"/>
      <c r="Z999" s="39"/>
      <c r="AA999" s="39"/>
      <c r="AB999" s="39"/>
    </row>
    <row r="1000">
      <c r="A1000" s="1"/>
      <c r="B1000" s="36"/>
      <c r="C1000" s="36"/>
      <c r="D1000" s="36"/>
      <c r="E1000" s="36"/>
      <c r="F1000" s="36"/>
      <c r="G1000" s="36"/>
      <c r="H1000" s="37"/>
      <c r="I1000" s="36"/>
      <c r="J1000" s="38"/>
      <c r="K1000" s="38"/>
      <c r="L1000" s="39"/>
      <c r="M1000" s="39"/>
      <c r="N1000" s="39"/>
      <c r="O1000" s="39"/>
      <c r="P1000" s="39"/>
      <c r="Q1000" s="39"/>
      <c r="R1000" s="39"/>
      <c r="S1000" s="39"/>
      <c r="T1000" s="39"/>
      <c r="U1000" s="39"/>
      <c r="V1000" s="39"/>
      <c r="W1000" s="39"/>
      <c r="X1000" s="39"/>
      <c r="Y1000" s="39"/>
      <c r="Z1000" s="39"/>
      <c r="AA1000" s="39"/>
      <c r="AB1000" s="39"/>
    </row>
    <row r="1001">
      <c r="A1001" s="1"/>
      <c r="B1001" s="36"/>
      <c r="C1001" s="36"/>
      <c r="D1001" s="36"/>
      <c r="E1001" s="36"/>
      <c r="F1001" s="36"/>
      <c r="G1001" s="36"/>
      <c r="H1001" s="37"/>
      <c r="I1001" s="36"/>
      <c r="J1001" s="38"/>
      <c r="K1001" s="38"/>
      <c r="L1001" s="39"/>
      <c r="M1001" s="39"/>
      <c r="N1001" s="39"/>
      <c r="O1001" s="39"/>
      <c r="P1001" s="39"/>
      <c r="Q1001" s="39"/>
      <c r="R1001" s="39"/>
      <c r="S1001" s="39"/>
      <c r="T1001" s="39"/>
      <c r="U1001" s="39"/>
      <c r="V1001" s="39"/>
      <c r="W1001" s="39"/>
      <c r="X1001" s="39"/>
      <c r="Y1001" s="39"/>
      <c r="Z1001" s="39"/>
      <c r="AA1001" s="39"/>
      <c r="AB1001" s="39"/>
    </row>
    <row r="1002">
      <c r="A1002" s="1"/>
      <c r="B1002" s="36"/>
      <c r="C1002" s="36"/>
      <c r="D1002" s="36"/>
      <c r="E1002" s="36"/>
      <c r="F1002" s="36"/>
      <c r="G1002" s="36"/>
      <c r="H1002" s="37"/>
      <c r="I1002" s="36"/>
      <c r="J1002" s="38"/>
      <c r="K1002" s="38"/>
      <c r="L1002" s="39"/>
      <c r="M1002" s="39"/>
      <c r="N1002" s="39"/>
      <c r="O1002" s="39"/>
      <c r="P1002" s="39"/>
      <c r="Q1002" s="39"/>
      <c r="R1002" s="39"/>
      <c r="S1002" s="39"/>
      <c r="T1002" s="39"/>
      <c r="U1002" s="39"/>
      <c r="V1002" s="39"/>
      <c r="W1002" s="39"/>
      <c r="X1002" s="39"/>
      <c r="Y1002" s="39"/>
      <c r="Z1002" s="39"/>
      <c r="AA1002" s="39"/>
      <c r="AB1002" s="39"/>
    </row>
    <row r="1003">
      <c r="A1003" s="1"/>
      <c r="B1003" s="36"/>
      <c r="C1003" s="36"/>
      <c r="D1003" s="36"/>
      <c r="E1003" s="36"/>
      <c r="F1003" s="36"/>
      <c r="G1003" s="36"/>
      <c r="H1003" s="37"/>
      <c r="I1003" s="36"/>
      <c r="J1003" s="38"/>
      <c r="K1003" s="38"/>
      <c r="L1003" s="39"/>
      <c r="M1003" s="39"/>
      <c r="N1003" s="39"/>
      <c r="O1003" s="39"/>
      <c r="P1003" s="39"/>
      <c r="Q1003" s="39"/>
      <c r="R1003" s="39"/>
      <c r="S1003" s="39"/>
      <c r="T1003" s="39"/>
      <c r="U1003" s="39"/>
      <c r="V1003" s="39"/>
      <c r="W1003" s="39"/>
      <c r="X1003" s="39"/>
      <c r="Y1003" s="39"/>
      <c r="Z1003" s="39"/>
      <c r="AA1003" s="39"/>
      <c r="AB1003" s="39"/>
    </row>
    <row r="1004">
      <c r="A1004" s="1"/>
      <c r="B1004" s="36"/>
      <c r="C1004" s="36"/>
      <c r="D1004" s="36"/>
      <c r="E1004" s="36"/>
      <c r="F1004" s="36"/>
      <c r="G1004" s="36"/>
      <c r="H1004" s="37"/>
      <c r="I1004" s="36"/>
      <c r="J1004" s="38"/>
      <c r="K1004" s="38"/>
      <c r="L1004" s="39"/>
      <c r="M1004" s="39"/>
      <c r="N1004" s="39"/>
      <c r="O1004" s="39"/>
      <c r="P1004" s="39"/>
      <c r="Q1004" s="39"/>
      <c r="R1004" s="39"/>
      <c r="S1004" s="39"/>
      <c r="T1004" s="39"/>
      <c r="U1004" s="39"/>
      <c r="V1004" s="39"/>
      <c r="W1004" s="39"/>
      <c r="X1004" s="39"/>
      <c r="Y1004" s="39"/>
      <c r="Z1004" s="39"/>
      <c r="AA1004" s="39"/>
      <c r="AB1004" s="39"/>
    </row>
    <row r="1005">
      <c r="A1005" s="1"/>
      <c r="B1005" s="36"/>
      <c r="C1005" s="36"/>
      <c r="D1005" s="36"/>
      <c r="E1005" s="36"/>
      <c r="F1005" s="36"/>
      <c r="G1005" s="36"/>
      <c r="H1005" s="37"/>
      <c r="I1005" s="36"/>
      <c r="J1005" s="38"/>
      <c r="K1005" s="38"/>
      <c r="L1005" s="39"/>
      <c r="M1005" s="39"/>
      <c r="N1005" s="39"/>
      <c r="O1005" s="39"/>
      <c r="P1005" s="39"/>
      <c r="Q1005" s="39"/>
      <c r="R1005" s="39"/>
      <c r="S1005" s="39"/>
      <c r="T1005" s="39"/>
      <c r="U1005" s="39"/>
      <c r="V1005" s="39"/>
      <c r="W1005" s="39"/>
      <c r="X1005" s="39"/>
      <c r="Y1005" s="39"/>
      <c r="Z1005" s="39"/>
      <c r="AA1005" s="39"/>
      <c r="AB1005" s="39"/>
    </row>
    <row r="1006">
      <c r="A1006" s="1"/>
      <c r="B1006" s="36"/>
      <c r="C1006" s="36"/>
      <c r="D1006" s="36"/>
      <c r="E1006" s="36"/>
      <c r="F1006" s="36"/>
      <c r="G1006" s="36"/>
      <c r="H1006" s="37"/>
      <c r="I1006" s="36"/>
      <c r="J1006" s="38"/>
      <c r="K1006" s="38"/>
      <c r="L1006" s="39"/>
      <c r="M1006" s="39"/>
      <c r="N1006" s="39"/>
      <c r="O1006" s="39"/>
      <c r="P1006" s="39"/>
      <c r="Q1006" s="39"/>
      <c r="R1006" s="39"/>
      <c r="S1006" s="39"/>
      <c r="T1006" s="39"/>
      <c r="U1006" s="39"/>
      <c r="V1006" s="39"/>
      <c r="W1006" s="39"/>
      <c r="X1006" s="39"/>
      <c r="Y1006" s="39"/>
      <c r="Z1006" s="39"/>
      <c r="AA1006" s="39"/>
      <c r="AB1006" s="39"/>
    </row>
    <row r="1007">
      <c r="A1007" s="1"/>
      <c r="B1007" s="36"/>
      <c r="C1007" s="36"/>
      <c r="D1007" s="36"/>
      <c r="E1007" s="36"/>
      <c r="F1007" s="36"/>
      <c r="G1007" s="36"/>
      <c r="H1007" s="37"/>
      <c r="I1007" s="36"/>
      <c r="J1007" s="38"/>
      <c r="K1007" s="38"/>
      <c r="L1007" s="39"/>
      <c r="M1007" s="39"/>
      <c r="N1007" s="39"/>
      <c r="O1007" s="39"/>
      <c r="P1007" s="39"/>
      <c r="Q1007" s="39"/>
      <c r="R1007" s="39"/>
      <c r="S1007" s="39"/>
      <c r="T1007" s="39"/>
      <c r="U1007" s="39"/>
      <c r="V1007" s="39"/>
      <c r="W1007" s="39"/>
      <c r="X1007" s="39"/>
      <c r="Y1007" s="39"/>
      <c r="Z1007" s="39"/>
      <c r="AA1007" s="39"/>
      <c r="AB1007" s="39"/>
    </row>
    <row r="1008">
      <c r="A1008" s="1"/>
      <c r="B1008" s="36"/>
      <c r="C1008" s="36"/>
      <c r="D1008" s="36"/>
      <c r="E1008" s="36"/>
      <c r="F1008" s="36"/>
      <c r="G1008" s="36"/>
      <c r="H1008" s="37"/>
      <c r="I1008" s="36"/>
      <c r="J1008" s="38"/>
      <c r="K1008" s="38"/>
      <c r="L1008" s="39"/>
      <c r="M1008" s="39"/>
      <c r="N1008" s="39"/>
      <c r="O1008" s="39"/>
      <c r="P1008" s="39"/>
      <c r="Q1008" s="39"/>
      <c r="R1008" s="39"/>
      <c r="S1008" s="39"/>
      <c r="T1008" s="39"/>
      <c r="U1008" s="39"/>
      <c r="V1008" s="39"/>
      <c r="W1008" s="39"/>
      <c r="X1008" s="39"/>
      <c r="Y1008" s="39"/>
      <c r="Z1008" s="39"/>
      <c r="AA1008" s="39"/>
      <c r="AB1008" s="39"/>
    </row>
    <row r="1009">
      <c r="A1009" s="1"/>
      <c r="B1009" s="36"/>
      <c r="C1009" s="36"/>
      <c r="D1009" s="36"/>
      <c r="E1009" s="36"/>
      <c r="F1009" s="36"/>
      <c r="G1009" s="36"/>
      <c r="H1009" s="37"/>
      <c r="I1009" s="36"/>
      <c r="J1009" s="38"/>
      <c r="K1009" s="38"/>
      <c r="L1009" s="39"/>
      <c r="M1009" s="39"/>
      <c r="N1009" s="39"/>
      <c r="O1009" s="39"/>
      <c r="P1009" s="39"/>
      <c r="Q1009" s="39"/>
      <c r="R1009" s="39"/>
      <c r="S1009" s="39"/>
      <c r="T1009" s="39"/>
      <c r="U1009" s="39"/>
      <c r="V1009" s="39"/>
      <c r="W1009" s="39"/>
      <c r="X1009" s="39"/>
      <c r="Y1009" s="39"/>
      <c r="Z1009" s="39"/>
      <c r="AA1009" s="39"/>
      <c r="AB1009" s="39"/>
    </row>
    <row r="1010">
      <c r="A1010" s="1"/>
      <c r="B1010" s="36"/>
      <c r="C1010" s="36"/>
      <c r="D1010" s="36"/>
      <c r="E1010" s="36"/>
      <c r="F1010" s="36"/>
      <c r="G1010" s="36"/>
      <c r="H1010" s="37"/>
      <c r="I1010" s="36"/>
      <c r="J1010" s="38"/>
      <c r="K1010" s="38"/>
      <c r="L1010" s="39"/>
      <c r="M1010" s="39"/>
      <c r="N1010" s="39"/>
      <c r="O1010" s="39"/>
      <c r="P1010" s="39"/>
      <c r="Q1010" s="39"/>
      <c r="R1010" s="39"/>
      <c r="S1010" s="39"/>
      <c r="T1010" s="39"/>
      <c r="U1010" s="39"/>
      <c r="V1010" s="39"/>
      <c r="W1010" s="39"/>
      <c r="X1010" s="39"/>
      <c r="Y1010" s="39"/>
      <c r="Z1010" s="39"/>
      <c r="AA1010" s="39"/>
      <c r="AB1010" s="39"/>
    </row>
    <row r="1011">
      <c r="A1011" s="1"/>
      <c r="B1011" s="36"/>
      <c r="C1011" s="36"/>
      <c r="D1011" s="36"/>
      <c r="E1011" s="36"/>
      <c r="F1011" s="36"/>
      <c r="G1011" s="36"/>
      <c r="H1011" s="37"/>
      <c r="I1011" s="36"/>
      <c r="J1011" s="38"/>
      <c r="K1011" s="38"/>
      <c r="L1011" s="39"/>
      <c r="M1011" s="39"/>
      <c r="N1011" s="39"/>
      <c r="O1011" s="39"/>
      <c r="P1011" s="39"/>
      <c r="Q1011" s="39"/>
      <c r="R1011" s="39"/>
      <c r="S1011" s="39"/>
      <c r="T1011" s="39"/>
      <c r="U1011" s="39"/>
      <c r="V1011" s="39"/>
      <c r="W1011" s="39"/>
      <c r="X1011" s="39"/>
      <c r="Y1011" s="39"/>
      <c r="Z1011" s="39"/>
      <c r="AA1011" s="39"/>
      <c r="AB1011" s="39"/>
    </row>
    <row r="1012">
      <c r="A1012" s="1"/>
      <c r="B1012" s="36"/>
      <c r="C1012" s="36"/>
      <c r="D1012" s="36"/>
      <c r="E1012" s="36"/>
      <c r="F1012" s="36"/>
      <c r="G1012" s="36"/>
      <c r="H1012" s="37"/>
      <c r="I1012" s="36"/>
      <c r="J1012" s="38"/>
      <c r="K1012" s="38"/>
      <c r="L1012" s="39"/>
      <c r="M1012" s="39"/>
      <c r="N1012" s="39"/>
      <c r="O1012" s="39"/>
      <c r="P1012" s="39"/>
      <c r="Q1012" s="39"/>
      <c r="R1012" s="39"/>
      <c r="S1012" s="39"/>
      <c r="T1012" s="39"/>
      <c r="U1012" s="39"/>
      <c r="V1012" s="39"/>
      <c r="W1012" s="39"/>
      <c r="X1012" s="39"/>
      <c r="Y1012" s="39"/>
      <c r="Z1012" s="39"/>
      <c r="AA1012" s="39"/>
      <c r="AB1012" s="39"/>
    </row>
    <row r="1013">
      <c r="A1013" s="1"/>
      <c r="B1013" s="36"/>
      <c r="C1013" s="36"/>
      <c r="D1013" s="36"/>
      <c r="E1013" s="36"/>
      <c r="F1013" s="36"/>
      <c r="G1013" s="36"/>
      <c r="H1013" s="37"/>
      <c r="I1013" s="36"/>
      <c r="J1013" s="38"/>
      <c r="K1013" s="38"/>
      <c r="L1013" s="39"/>
      <c r="M1013" s="39"/>
      <c r="N1013" s="39"/>
      <c r="O1013" s="39"/>
      <c r="P1013" s="39"/>
      <c r="Q1013" s="39"/>
      <c r="R1013" s="39"/>
      <c r="S1013" s="39"/>
      <c r="T1013" s="39"/>
      <c r="U1013" s="39"/>
      <c r="V1013" s="39"/>
      <c r="W1013" s="39"/>
      <c r="X1013" s="39"/>
      <c r="Y1013" s="39"/>
      <c r="Z1013" s="39"/>
      <c r="AA1013" s="39"/>
      <c r="AB1013" s="39"/>
    </row>
    <row r="1014">
      <c r="A1014" s="1"/>
      <c r="B1014" s="36"/>
      <c r="C1014" s="36"/>
      <c r="D1014" s="36"/>
      <c r="E1014" s="36"/>
      <c r="F1014" s="36"/>
      <c r="G1014" s="36"/>
      <c r="H1014" s="37"/>
      <c r="I1014" s="36"/>
      <c r="J1014" s="38"/>
      <c r="K1014" s="38"/>
      <c r="L1014" s="39"/>
      <c r="M1014" s="39"/>
      <c r="N1014" s="39"/>
      <c r="O1014" s="39"/>
      <c r="P1014" s="39"/>
      <c r="Q1014" s="39"/>
      <c r="R1014" s="39"/>
      <c r="S1014" s="39"/>
      <c r="T1014" s="39"/>
      <c r="U1014" s="39"/>
      <c r="V1014" s="39"/>
      <c r="W1014" s="39"/>
      <c r="X1014" s="39"/>
      <c r="Y1014" s="39"/>
      <c r="Z1014" s="39"/>
      <c r="AA1014" s="39"/>
      <c r="AB1014" s="39"/>
    </row>
    <row r="1015">
      <c r="A1015" s="1"/>
      <c r="B1015" s="36"/>
      <c r="C1015" s="36"/>
      <c r="D1015" s="36"/>
      <c r="E1015" s="36"/>
      <c r="F1015" s="36"/>
      <c r="G1015" s="36"/>
      <c r="H1015" s="37"/>
      <c r="I1015" s="36"/>
      <c r="J1015" s="38"/>
      <c r="K1015" s="38"/>
      <c r="L1015" s="39"/>
      <c r="M1015" s="39"/>
      <c r="N1015" s="39"/>
      <c r="O1015" s="39"/>
      <c r="P1015" s="39"/>
      <c r="Q1015" s="39"/>
      <c r="R1015" s="39"/>
      <c r="S1015" s="39"/>
      <c r="T1015" s="39"/>
      <c r="U1015" s="39"/>
      <c r="V1015" s="39"/>
      <c r="W1015" s="39"/>
      <c r="X1015" s="39"/>
      <c r="Y1015" s="39"/>
      <c r="Z1015" s="39"/>
      <c r="AA1015" s="39"/>
      <c r="AB1015" s="39"/>
    </row>
    <row r="1016">
      <c r="A1016" s="1"/>
      <c r="B1016" s="36"/>
      <c r="C1016" s="36"/>
      <c r="D1016" s="36"/>
      <c r="E1016" s="36"/>
      <c r="F1016" s="36"/>
      <c r="G1016" s="36"/>
      <c r="H1016" s="37"/>
      <c r="I1016" s="36"/>
      <c r="J1016" s="38"/>
      <c r="K1016" s="38"/>
      <c r="L1016" s="39"/>
      <c r="M1016" s="39"/>
      <c r="N1016" s="39"/>
      <c r="O1016" s="39"/>
      <c r="P1016" s="39"/>
      <c r="Q1016" s="39"/>
      <c r="R1016" s="39"/>
      <c r="S1016" s="39"/>
      <c r="T1016" s="39"/>
      <c r="U1016" s="39"/>
      <c r="V1016" s="39"/>
      <c r="W1016" s="39"/>
      <c r="X1016" s="39"/>
      <c r="Y1016" s="39"/>
      <c r="Z1016" s="39"/>
      <c r="AA1016" s="39"/>
      <c r="AB1016" s="39"/>
    </row>
    <row r="1017">
      <c r="A1017" s="1"/>
      <c r="B1017" s="36"/>
      <c r="C1017" s="36"/>
      <c r="D1017" s="36"/>
      <c r="E1017" s="36"/>
      <c r="F1017" s="36"/>
      <c r="G1017" s="36"/>
      <c r="H1017" s="37"/>
      <c r="I1017" s="36"/>
      <c r="J1017" s="38"/>
      <c r="K1017" s="38"/>
      <c r="L1017" s="39"/>
      <c r="M1017" s="39"/>
      <c r="N1017" s="39"/>
      <c r="O1017" s="39"/>
      <c r="P1017" s="39"/>
      <c r="Q1017" s="39"/>
      <c r="R1017" s="39"/>
      <c r="S1017" s="39"/>
      <c r="T1017" s="39"/>
      <c r="U1017" s="39"/>
      <c r="V1017" s="39"/>
      <c r="W1017" s="39"/>
      <c r="X1017" s="39"/>
      <c r="Y1017" s="39"/>
      <c r="Z1017" s="39"/>
      <c r="AA1017" s="39"/>
      <c r="AB1017" s="39"/>
    </row>
    <row r="1018">
      <c r="A1018" s="1"/>
      <c r="B1018" s="36"/>
      <c r="C1018" s="36"/>
      <c r="D1018" s="36"/>
      <c r="E1018" s="36"/>
      <c r="F1018" s="36"/>
      <c r="G1018" s="36"/>
      <c r="H1018" s="37"/>
      <c r="I1018" s="36"/>
      <c r="J1018" s="38"/>
      <c r="K1018" s="38"/>
      <c r="L1018" s="39"/>
      <c r="M1018" s="39"/>
      <c r="N1018" s="39"/>
      <c r="O1018" s="39"/>
      <c r="P1018" s="39"/>
      <c r="Q1018" s="39"/>
      <c r="R1018" s="39"/>
      <c r="S1018" s="39"/>
      <c r="T1018" s="39"/>
      <c r="U1018" s="39"/>
      <c r="V1018" s="39"/>
      <c r="W1018" s="39"/>
      <c r="X1018" s="39"/>
      <c r="Y1018" s="39"/>
      <c r="Z1018" s="39"/>
      <c r="AA1018" s="39"/>
      <c r="AB1018" s="39"/>
    </row>
    <row r="1019">
      <c r="A1019" s="1"/>
      <c r="B1019" s="36"/>
      <c r="C1019" s="36"/>
      <c r="D1019" s="36"/>
      <c r="E1019" s="36"/>
      <c r="F1019" s="36"/>
      <c r="G1019" s="36"/>
      <c r="H1019" s="37"/>
      <c r="I1019" s="36"/>
      <c r="J1019" s="38"/>
      <c r="K1019" s="38"/>
      <c r="L1019" s="39"/>
      <c r="M1019" s="39"/>
      <c r="N1019" s="39"/>
      <c r="O1019" s="39"/>
      <c r="P1019" s="39"/>
      <c r="Q1019" s="39"/>
      <c r="R1019" s="39"/>
      <c r="S1019" s="39"/>
      <c r="T1019" s="39"/>
      <c r="U1019" s="39"/>
      <c r="V1019" s="39"/>
      <c r="W1019" s="39"/>
      <c r="X1019" s="39"/>
      <c r="Y1019" s="39"/>
      <c r="Z1019" s="39"/>
      <c r="AA1019" s="39"/>
      <c r="AB1019" s="39"/>
    </row>
    <row r="1020">
      <c r="A1020" s="1"/>
      <c r="B1020" s="36"/>
      <c r="C1020" s="36"/>
      <c r="D1020" s="36"/>
      <c r="E1020" s="36"/>
      <c r="F1020" s="36"/>
      <c r="G1020" s="36"/>
      <c r="H1020" s="37"/>
      <c r="I1020" s="36"/>
      <c r="J1020" s="38"/>
      <c r="K1020" s="38"/>
      <c r="L1020" s="39"/>
      <c r="M1020" s="39"/>
      <c r="N1020" s="39"/>
      <c r="O1020" s="39"/>
      <c r="P1020" s="39"/>
      <c r="Q1020" s="39"/>
      <c r="R1020" s="39"/>
      <c r="S1020" s="39"/>
      <c r="T1020" s="39"/>
      <c r="U1020" s="39"/>
      <c r="V1020" s="39"/>
      <c r="W1020" s="39"/>
      <c r="X1020" s="39"/>
      <c r="Y1020" s="39"/>
      <c r="Z1020" s="39"/>
      <c r="AA1020" s="39"/>
      <c r="AB1020" s="39"/>
    </row>
    <row r="1021">
      <c r="A1021" s="1"/>
      <c r="B1021" s="36"/>
      <c r="C1021" s="36"/>
      <c r="D1021" s="36"/>
      <c r="E1021" s="36"/>
      <c r="F1021" s="36"/>
      <c r="G1021" s="36"/>
      <c r="H1021" s="37"/>
      <c r="I1021" s="36"/>
      <c r="J1021" s="38"/>
      <c r="K1021" s="38"/>
      <c r="L1021" s="39"/>
      <c r="M1021" s="39"/>
      <c r="N1021" s="39"/>
      <c r="O1021" s="39"/>
      <c r="P1021" s="39"/>
      <c r="Q1021" s="39"/>
      <c r="R1021" s="39"/>
      <c r="S1021" s="39"/>
      <c r="T1021" s="39"/>
      <c r="U1021" s="39"/>
      <c r="V1021" s="39"/>
      <c r="W1021" s="39"/>
      <c r="X1021" s="39"/>
      <c r="Y1021" s="39"/>
      <c r="Z1021" s="39"/>
      <c r="AA1021" s="39"/>
      <c r="AB1021" s="39"/>
    </row>
    <row r="1022">
      <c r="A1022" s="1"/>
      <c r="B1022" s="36"/>
      <c r="C1022" s="36"/>
      <c r="D1022" s="36"/>
      <c r="E1022" s="36"/>
      <c r="F1022" s="36"/>
      <c r="G1022" s="36"/>
      <c r="H1022" s="37"/>
      <c r="I1022" s="36"/>
      <c r="J1022" s="38"/>
      <c r="K1022" s="38"/>
      <c r="L1022" s="39"/>
      <c r="M1022" s="39"/>
      <c r="N1022" s="39"/>
      <c r="O1022" s="39"/>
      <c r="P1022" s="39"/>
      <c r="Q1022" s="39"/>
      <c r="R1022" s="39"/>
      <c r="S1022" s="39"/>
      <c r="T1022" s="39"/>
      <c r="U1022" s="39"/>
      <c r="V1022" s="39"/>
      <c r="W1022" s="39"/>
      <c r="X1022" s="39"/>
      <c r="Y1022" s="39"/>
      <c r="Z1022" s="39"/>
      <c r="AA1022" s="39"/>
      <c r="AB1022" s="39"/>
    </row>
    <row r="1023">
      <c r="A1023" s="1"/>
      <c r="B1023" s="36"/>
      <c r="C1023" s="36"/>
      <c r="D1023" s="36"/>
      <c r="E1023" s="36"/>
      <c r="F1023" s="36"/>
      <c r="G1023" s="36"/>
      <c r="H1023" s="37"/>
      <c r="I1023" s="36"/>
      <c r="J1023" s="38"/>
      <c r="K1023" s="38"/>
      <c r="L1023" s="39"/>
      <c r="M1023" s="39"/>
      <c r="N1023" s="39"/>
      <c r="O1023" s="39"/>
      <c r="P1023" s="39"/>
      <c r="Q1023" s="39"/>
      <c r="R1023" s="39"/>
      <c r="S1023" s="39"/>
      <c r="T1023" s="39"/>
      <c r="U1023" s="39"/>
      <c r="V1023" s="39"/>
      <c r="W1023" s="39"/>
      <c r="X1023" s="39"/>
      <c r="Y1023" s="39"/>
      <c r="Z1023" s="39"/>
      <c r="AA1023" s="39"/>
      <c r="AB1023" s="39"/>
    </row>
    <row r="1024">
      <c r="A1024" s="1"/>
      <c r="B1024" s="36"/>
      <c r="C1024" s="36"/>
      <c r="D1024" s="36"/>
      <c r="E1024" s="36"/>
      <c r="F1024" s="36"/>
      <c r="G1024" s="36"/>
      <c r="H1024" s="37"/>
      <c r="I1024" s="36"/>
      <c r="J1024" s="38"/>
      <c r="K1024" s="38"/>
      <c r="L1024" s="39"/>
      <c r="M1024" s="39"/>
      <c r="N1024" s="39"/>
      <c r="O1024" s="39"/>
      <c r="P1024" s="39"/>
      <c r="Q1024" s="39"/>
      <c r="R1024" s="39"/>
      <c r="S1024" s="39"/>
      <c r="T1024" s="39"/>
      <c r="U1024" s="39"/>
      <c r="V1024" s="39"/>
      <c r="W1024" s="39"/>
      <c r="X1024" s="39"/>
      <c r="Y1024" s="39"/>
      <c r="Z1024" s="39"/>
      <c r="AA1024" s="39"/>
      <c r="AB1024" s="39"/>
    </row>
    <row r="1025">
      <c r="A1025" s="1"/>
      <c r="B1025" s="36"/>
      <c r="C1025" s="36"/>
      <c r="D1025" s="36"/>
      <c r="E1025" s="36"/>
      <c r="F1025" s="36"/>
      <c r="G1025" s="36"/>
      <c r="H1025" s="37"/>
      <c r="I1025" s="36"/>
      <c r="J1025" s="38"/>
      <c r="K1025" s="38"/>
      <c r="L1025" s="39"/>
      <c r="M1025" s="39"/>
      <c r="N1025" s="39"/>
      <c r="O1025" s="39"/>
      <c r="P1025" s="39"/>
      <c r="Q1025" s="39"/>
      <c r="R1025" s="39"/>
      <c r="S1025" s="39"/>
      <c r="T1025" s="39"/>
      <c r="U1025" s="39"/>
      <c r="V1025" s="39"/>
      <c r="W1025" s="39"/>
      <c r="X1025" s="39"/>
      <c r="Y1025" s="39"/>
      <c r="Z1025" s="39"/>
      <c r="AA1025" s="39"/>
      <c r="AB1025" s="39"/>
    </row>
    <row r="1026">
      <c r="A1026" s="1"/>
      <c r="B1026" s="36"/>
      <c r="C1026" s="36"/>
      <c r="D1026" s="36"/>
      <c r="E1026" s="36"/>
      <c r="F1026" s="36"/>
      <c r="G1026" s="36"/>
      <c r="H1026" s="37"/>
      <c r="I1026" s="36"/>
      <c r="J1026" s="38"/>
      <c r="K1026" s="38"/>
      <c r="L1026" s="39"/>
      <c r="M1026" s="39"/>
      <c r="N1026" s="39"/>
      <c r="O1026" s="39"/>
      <c r="P1026" s="39"/>
      <c r="Q1026" s="39"/>
      <c r="R1026" s="39"/>
      <c r="S1026" s="39"/>
      <c r="T1026" s="39"/>
      <c r="U1026" s="39"/>
      <c r="V1026" s="39"/>
      <c r="W1026" s="39"/>
      <c r="X1026" s="39"/>
      <c r="Y1026" s="39"/>
      <c r="Z1026" s="39"/>
      <c r="AA1026" s="39"/>
      <c r="AB1026" s="39"/>
    </row>
    <row r="1027">
      <c r="A1027" s="1"/>
      <c r="B1027" s="36"/>
      <c r="C1027" s="36"/>
      <c r="D1027" s="36"/>
      <c r="E1027" s="36"/>
      <c r="F1027" s="36"/>
      <c r="G1027" s="36"/>
      <c r="H1027" s="37"/>
      <c r="I1027" s="36"/>
      <c r="J1027" s="38"/>
      <c r="K1027" s="38"/>
      <c r="L1027" s="39"/>
      <c r="M1027" s="39"/>
      <c r="N1027" s="39"/>
      <c r="O1027" s="39"/>
      <c r="P1027" s="39"/>
      <c r="Q1027" s="39"/>
      <c r="R1027" s="39"/>
      <c r="S1027" s="39"/>
      <c r="T1027" s="39"/>
      <c r="U1027" s="39"/>
      <c r="V1027" s="39"/>
      <c r="W1027" s="39"/>
      <c r="X1027" s="39"/>
      <c r="Y1027" s="39"/>
      <c r="Z1027" s="39"/>
      <c r="AA1027" s="39"/>
      <c r="AB1027" s="39"/>
    </row>
    <row r="1028">
      <c r="A1028" s="1"/>
      <c r="B1028" s="36"/>
      <c r="C1028" s="36"/>
      <c r="D1028" s="36"/>
      <c r="E1028" s="36"/>
      <c r="F1028" s="36"/>
      <c r="G1028" s="36"/>
      <c r="H1028" s="37"/>
      <c r="I1028" s="36"/>
      <c r="J1028" s="38"/>
      <c r="K1028" s="38"/>
      <c r="L1028" s="39"/>
      <c r="M1028" s="39"/>
      <c r="N1028" s="39"/>
      <c r="O1028" s="39"/>
      <c r="P1028" s="39"/>
      <c r="Q1028" s="39"/>
      <c r="R1028" s="39"/>
      <c r="S1028" s="39"/>
      <c r="T1028" s="39"/>
      <c r="U1028" s="39"/>
      <c r="V1028" s="39"/>
      <c r="W1028" s="39"/>
      <c r="X1028" s="39"/>
      <c r="Y1028" s="39"/>
      <c r="Z1028" s="39"/>
      <c r="AA1028" s="39"/>
      <c r="AB1028" s="39"/>
    </row>
    <row r="1029">
      <c r="A1029" s="1"/>
      <c r="B1029" s="36"/>
      <c r="C1029" s="36"/>
      <c r="D1029" s="36"/>
      <c r="E1029" s="36"/>
      <c r="F1029" s="36"/>
      <c r="G1029" s="36"/>
      <c r="H1029" s="37"/>
      <c r="I1029" s="36"/>
      <c r="J1029" s="38"/>
      <c r="K1029" s="38"/>
      <c r="L1029" s="39"/>
      <c r="M1029" s="39"/>
      <c r="N1029" s="39"/>
      <c r="O1029" s="39"/>
      <c r="P1029" s="39"/>
      <c r="Q1029" s="39"/>
      <c r="R1029" s="39"/>
      <c r="S1029" s="39"/>
      <c r="T1029" s="39"/>
      <c r="U1029" s="39"/>
      <c r="V1029" s="39"/>
      <c r="W1029" s="39"/>
      <c r="X1029" s="39"/>
      <c r="Y1029" s="39"/>
      <c r="Z1029" s="39"/>
      <c r="AA1029" s="39"/>
      <c r="AB1029" s="39"/>
    </row>
    <row r="1030">
      <c r="A1030" s="1"/>
      <c r="B1030" s="36"/>
      <c r="C1030" s="36"/>
      <c r="D1030" s="36"/>
      <c r="E1030" s="36"/>
      <c r="F1030" s="36"/>
      <c r="G1030" s="36"/>
      <c r="H1030" s="37"/>
      <c r="I1030" s="36"/>
      <c r="J1030" s="38"/>
      <c r="K1030" s="38"/>
      <c r="L1030" s="39"/>
      <c r="M1030" s="39"/>
      <c r="N1030" s="39"/>
      <c r="O1030" s="39"/>
      <c r="P1030" s="39"/>
      <c r="Q1030" s="39"/>
      <c r="R1030" s="39"/>
      <c r="S1030" s="39"/>
      <c r="T1030" s="39"/>
      <c r="U1030" s="39"/>
      <c r="V1030" s="39"/>
      <c r="W1030" s="39"/>
      <c r="X1030" s="39"/>
      <c r="Y1030" s="39"/>
      <c r="Z1030" s="39"/>
      <c r="AA1030" s="39"/>
      <c r="AB1030" s="39"/>
    </row>
    <row r="1031">
      <c r="A1031" s="1"/>
      <c r="B1031" s="36"/>
      <c r="C1031" s="36"/>
      <c r="D1031" s="36"/>
      <c r="E1031" s="36"/>
      <c r="F1031" s="36"/>
      <c r="G1031" s="36"/>
      <c r="H1031" s="37"/>
      <c r="I1031" s="36"/>
      <c r="J1031" s="38"/>
      <c r="K1031" s="38"/>
      <c r="L1031" s="39"/>
      <c r="M1031" s="39"/>
      <c r="N1031" s="39"/>
      <c r="O1031" s="39"/>
      <c r="P1031" s="39"/>
      <c r="Q1031" s="39"/>
      <c r="R1031" s="39"/>
      <c r="S1031" s="39"/>
      <c r="T1031" s="39"/>
      <c r="U1031" s="39"/>
      <c r="V1031" s="39"/>
      <c r="W1031" s="39"/>
      <c r="X1031" s="39"/>
      <c r="Y1031" s="39"/>
      <c r="Z1031" s="39"/>
      <c r="AA1031" s="39"/>
      <c r="AB1031" s="39"/>
    </row>
    <row r="1032">
      <c r="A1032" s="1"/>
      <c r="B1032" s="36"/>
      <c r="C1032" s="36"/>
      <c r="D1032" s="36"/>
      <c r="E1032" s="36"/>
      <c r="F1032" s="36"/>
      <c r="G1032" s="36"/>
      <c r="H1032" s="37"/>
      <c r="I1032" s="36"/>
      <c r="J1032" s="38"/>
      <c r="K1032" s="38"/>
      <c r="L1032" s="39"/>
      <c r="M1032" s="39"/>
      <c r="N1032" s="39"/>
      <c r="O1032" s="39"/>
      <c r="P1032" s="39"/>
      <c r="Q1032" s="39"/>
      <c r="R1032" s="39"/>
      <c r="S1032" s="39"/>
      <c r="T1032" s="39"/>
      <c r="U1032" s="39"/>
      <c r="V1032" s="39"/>
      <c r="W1032" s="39"/>
      <c r="X1032" s="39"/>
      <c r="Y1032" s="39"/>
      <c r="Z1032" s="39"/>
      <c r="AA1032" s="39"/>
      <c r="AB1032" s="39"/>
    </row>
    <row r="1033">
      <c r="A1033" s="1"/>
      <c r="B1033" s="36"/>
      <c r="C1033" s="36"/>
      <c r="D1033" s="36"/>
      <c r="E1033" s="36"/>
      <c r="F1033" s="36"/>
      <c r="G1033" s="36"/>
      <c r="H1033" s="37"/>
      <c r="I1033" s="36"/>
      <c r="J1033" s="38"/>
      <c r="K1033" s="38"/>
      <c r="L1033" s="39"/>
      <c r="M1033" s="39"/>
      <c r="N1033" s="39"/>
      <c r="O1033" s="39"/>
      <c r="P1033" s="39"/>
      <c r="Q1033" s="39"/>
      <c r="R1033" s="39"/>
      <c r="S1033" s="39"/>
      <c r="T1033" s="39"/>
      <c r="U1033" s="39"/>
      <c r="V1033" s="39"/>
      <c r="W1033" s="39"/>
      <c r="X1033" s="39"/>
      <c r="Y1033" s="39"/>
      <c r="Z1033" s="39"/>
      <c r="AA1033" s="39"/>
      <c r="AB1033" s="39"/>
    </row>
    <row r="1034">
      <c r="A1034" s="1"/>
      <c r="B1034" s="36"/>
      <c r="C1034" s="36"/>
      <c r="D1034" s="36"/>
      <c r="E1034" s="36"/>
      <c r="F1034" s="36"/>
      <c r="G1034" s="36"/>
      <c r="H1034" s="37"/>
      <c r="I1034" s="36"/>
      <c r="J1034" s="38"/>
      <c r="K1034" s="38"/>
      <c r="L1034" s="39"/>
      <c r="M1034" s="39"/>
      <c r="N1034" s="39"/>
      <c r="O1034" s="39"/>
      <c r="P1034" s="39"/>
      <c r="Q1034" s="39"/>
      <c r="R1034" s="39"/>
      <c r="S1034" s="39"/>
      <c r="T1034" s="39"/>
      <c r="U1034" s="39"/>
      <c r="V1034" s="39"/>
      <c r="W1034" s="39"/>
      <c r="X1034" s="39"/>
      <c r="Y1034" s="39"/>
      <c r="Z1034" s="39"/>
      <c r="AA1034" s="39"/>
      <c r="AB1034" s="39"/>
    </row>
    <row r="1035">
      <c r="A1035" s="1"/>
      <c r="B1035" s="36"/>
      <c r="C1035" s="36"/>
      <c r="D1035" s="36"/>
      <c r="E1035" s="36"/>
      <c r="F1035" s="36"/>
      <c r="G1035" s="36"/>
      <c r="H1035" s="37"/>
      <c r="I1035" s="36"/>
      <c r="J1035" s="38"/>
      <c r="K1035" s="38"/>
      <c r="L1035" s="39"/>
      <c r="M1035" s="39"/>
      <c r="N1035" s="39"/>
      <c r="O1035" s="39"/>
      <c r="P1035" s="39"/>
      <c r="Q1035" s="39"/>
      <c r="R1035" s="39"/>
      <c r="S1035" s="39"/>
      <c r="T1035" s="39"/>
      <c r="U1035" s="39"/>
      <c r="V1035" s="39"/>
      <c r="W1035" s="39"/>
      <c r="X1035" s="39"/>
      <c r="Y1035" s="39"/>
      <c r="Z1035" s="39"/>
      <c r="AA1035" s="39"/>
      <c r="AB1035" s="39"/>
    </row>
    <row r="1036">
      <c r="A1036" s="1"/>
      <c r="B1036" s="36"/>
      <c r="C1036" s="36"/>
      <c r="D1036" s="36"/>
      <c r="E1036" s="36"/>
      <c r="F1036" s="36"/>
      <c r="G1036" s="36"/>
      <c r="H1036" s="37"/>
      <c r="I1036" s="36"/>
      <c r="J1036" s="38"/>
      <c r="K1036" s="38"/>
      <c r="L1036" s="39"/>
      <c r="M1036" s="39"/>
      <c r="N1036" s="39"/>
      <c r="O1036" s="39"/>
      <c r="P1036" s="39"/>
      <c r="Q1036" s="39"/>
      <c r="R1036" s="39"/>
      <c r="S1036" s="39"/>
      <c r="T1036" s="39"/>
      <c r="U1036" s="39"/>
      <c r="V1036" s="39"/>
      <c r="W1036" s="39"/>
      <c r="X1036" s="39"/>
      <c r="Y1036" s="39"/>
      <c r="Z1036" s="39"/>
      <c r="AA1036" s="39"/>
      <c r="AB1036" s="39"/>
    </row>
    <row r="1037">
      <c r="A1037" s="1"/>
      <c r="B1037" s="36"/>
      <c r="C1037" s="36"/>
      <c r="D1037" s="36"/>
      <c r="E1037" s="36"/>
      <c r="F1037" s="36"/>
      <c r="G1037" s="36"/>
      <c r="H1037" s="37"/>
      <c r="I1037" s="36"/>
      <c r="J1037" s="38"/>
      <c r="K1037" s="38"/>
      <c r="L1037" s="39"/>
      <c r="M1037" s="39"/>
      <c r="N1037" s="39"/>
      <c r="O1037" s="39"/>
      <c r="P1037" s="39"/>
      <c r="Q1037" s="39"/>
      <c r="R1037" s="39"/>
      <c r="S1037" s="39"/>
      <c r="T1037" s="39"/>
      <c r="U1037" s="39"/>
      <c r="V1037" s="39"/>
      <c r="W1037" s="39"/>
      <c r="X1037" s="39"/>
      <c r="Y1037" s="39"/>
      <c r="Z1037" s="39"/>
      <c r="AA1037" s="39"/>
      <c r="AB1037" s="39"/>
    </row>
    <row r="1038">
      <c r="A1038" s="1"/>
      <c r="B1038" s="36"/>
      <c r="C1038" s="36"/>
      <c r="D1038" s="36"/>
      <c r="E1038" s="36"/>
      <c r="F1038" s="36"/>
      <c r="G1038" s="36"/>
      <c r="H1038" s="37"/>
      <c r="I1038" s="36"/>
      <c r="J1038" s="38"/>
      <c r="K1038" s="38"/>
      <c r="L1038" s="39"/>
      <c r="M1038" s="39"/>
      <c r="N1038" s="39"/>
      <c r="O1038" s="39"/>
      <c r="P1038" s="39"/>
      <c r="Q1038" s="39"/>
      <c r="R1038" s="39"/>
      <c r="S1038" s="39"/>
      <c r="T1038" s="39"/>
      <c r="U1038" s="39"/>
      <c r="V1038" s="39"/>
      <c r="W1038" s="39"/>
      <c r="X1038" s="39"/>
      <c r="Y1038" s="39"/>
      <c r="Z1038" s="39"/>
      <c r="AA1038" s="39"/>
      <c r="AB1038" s="39"/>
    </row>
    <row r="1039">
      <c r="A1039" s="1"/>
      <c r="B1039" s="36"/>
      <c r="C1039" s="36"/>
      <c r="D1039" s="36"/>
      <c r="E1039" s="36"/>
      <c r="F1039" s="36"/>
      <c r="G1039" s="36"/>
      <c r="H1039" s="37"/>
      <c r="I1039" s="36"/>
      <c r="J1039" s="38"/>
      <c r="K1039" s="38"/>
      <c r="L1039" s="39"/>
      <c r="M1039" s="39"/>
      <c r="N1039" s="39"/>
      <c r="O1039" s="39"/>
      <c r="P1039" s="39"/>
      <c r="Q1039" s="39"/>
      <c r="R1039" s="39"/>
      <c r="S1039" s="39"/>
      <c r="T1039" s="39"/>
      <c r="U1039" s="39"/>
      <c r="V1039" s="39"/>
      <c r="W1039" s="39"/>
      <c r="X1039" s="39"/>
      <c r="Y1039" s="39"/>
      <c r="Z1039" s="39"/>
      <c r="AA1039" s="39"/>
      <c r="AB1039" s="39"/>
    </row>
    <row r="1040">
      <c r="A1040" s="1"/>
      <c r="B1040" s="36"/>
      <c r="C1040" s="36"/>
      <c r="D1040" s="36"/>
      <c r="E1040" s="36"/>
      <c r="F1040" s="36"/>
      <c r="G1040" s="36"/>
      <c r="H1040" s="37"/>
      <c r="I1040" s="36"/>
      <c r="J1040" s="38"/>
      <c r="K1040" s="38"/>
      <c r="L1040" s="39"/>
      <c r="M1040" s="39"/>
      <c r="N1040" s="39"/>
      <c r="O1040" s="39"/>
      <c r="P1040" s="39"/>
      <c r="Q1040" s="39"/>
      <c r="R1040" s="39"/>
      <c r="S1040" s="39"/>
      <c r="T1040" s="39"/>
      <c r="U1040" s="39"/>
      <c r="V1040" s="39"/>
      <c r="W1040" s="39"/>
      <c r="X1040" s="39"/>
      <c r="Y1040" s="39"/>
      <c r="Z1040" s="39"/>
      <c r="AA1040" s="39"/>
      <c r="AB1040" s="39"/>
    </row>
    <row r="1041">
      <c r="A1041" s="1"/>
      <c r="B1041" s="36"/>
      <c r="C1041" s="36"/>
      <c r="D1041" s="36"/>
      <c r="E1041" s="36"/>
      <c r="F1041" s="36"/>
      <c r="G1041" s="36"/>
      <c r="H1041" s="37"/>
      <c r="I1041" s="36"/>
      <c r="J1041" s="38"/>
      <c r="K1041" s="38"/>
      <c r="L1041" s="39"/>
      <c r="M1041" s="39"/>
      <c r="N1041" s="39"/>
      <c r="O1041" s="39"/>
      <c r="P1041" s="39"/>
      <c r="Q1041" s="39"/>
      <c r="R1041" s="39"/>
      <c r="S1041" s="39"/>
      <c r="T1041" s="39"/>
      <c r="U1041" s="39"/>
      <c r="V1041" s="39"/>
      <c r="W1041" s="39"/>
      <c r="X1041" s="39"/>
      <c r="Y1041" s="39"/>
      <c r="Z1041" s="39"/>
      <c r="AA1041" s="39"/>
      <c r="AB1041" s="39"/>
    </row>
    <row r="1042">
      <c r="A1042" s="1"/>
      <c r="B1042" s="36"/>
      <c r="C1042" s="36"/>
      <c r="D1042" s="36"/>
      <c r="E1042" s="36"/>
      <c r="F1042" s="36"/>
      <c r="G1042" s="36"/>
      <c r="H1042" s="37"/>
      <c r="I1042" s="36"/>
      <c r="J1042" s="38"/>
      <c r="K1042" s="38"/>
      <c r="L1042" s="39"/>
      <c r="M1042" s="39"/>
      <c r="N1042" s="39"/>
      <c r="O1042" s="39"/>
      <c r="P1042" s="39"/>
      <c r="Q1042" s="39"/>
      <c r="R1042" s="39"/>
      <c r="S1042" s="39"/>
      <c r="T1042" s="39"/>
      <c r="U1042" s="39"/>
      <c r="V1042" s="39"/>
      <c r="W1042" s="39"/>
      <c r="X1042" s="39"/>
      <c r="Y1042" s="39"/>
      <c r="Z1042" s="39"/>
      <c r="AA1042" s="39"/>
      <c r="AB1042" s="39"/>
    </row>
    <row r="1043">
      <c r="A1043" s="1"/>
      <c r="B1043" s="36"/>
      <c r="C1043" s="36"/>
      <c r="D1043" s="36"/>
      <c r="E1043" s="36"/>
      <c r="F1043" s="36"/>
      <c r="G1043" s="36"/>
      <c r="H1043" s="37"/>
      <c r="I1043" s="36"/>
      <c r="J1043" s="38"/>
      <c r="K1043" s="38"/>
      <c r="L1043" s="39"/>
      <c r="M1043" s="39"/>
      <c r="N1043" s="39"/>
      <c r="O1043" s="39"/>
      <c r="P1043" s="39"/>
      <c r="Q1043" s="39"/>
      <c r="R1043" s="39"/>
      <c r="S1043" s="39"/>
      <c r="T1043" s="39"/>
      <c r="U1043" s="39"/>
      <c r="V1043" s="39"/>
      <c r="W1043" s="39"/>
      <c r="X1043" s="39"/>
      <c r="Y1043" s="39"/>
      <c r="Z1043" s="39"/>
      <c r="AA1043" s="39"/>
      <c r="AB1043" s="39"/>
    </row>
    <row r="1044">
      <c r="A1044" s="1"/>
      <c r="B1044" s="36"/>
      <c r="C1044" s="36"/>
      <c r="D1044" s="36"/>
      <c r="E1044" s="36"/>
      <c r="F1044" s="36"/>
      <c r="G1044" s="36"/>
      <c r="H1044" s="37"/>
      <c r="I1044" s="36"/>
      <c r="J1044" s="38"/>
      <c r="K1044" s="38"/>
      <c r="L1044" s="39"/>
      <c r="M1044" s="39"/>
      <c r="N1044" s="39"/>
      <c r="O1044" s="39"/>
      <c r="P1044" s="39"/>
      <c r="Q1044" s="39"/>
      <c r="R1044" s="39"/>
      <c r="S1044" s="39"/>
      <c r="T1044" s="39"/>
      <c r="U1044" s="39"/>
      <c r="V1044" s="39"/>
      <c r="W1044" s="39"/>
      <c r="X1044" s="39"/>
      <c r="Y1044" s="39"/>
      <c r="Z1044" s="39"/>
      <c r="AA1044" s="39"/>
      <c r="AB1044" s="39"/>
    </row>
    <row r="1045">
      <c r="A1045" s="1"/>
      <c r="B1045" s="36"/>
      <c r="C1045" s="36"/>
      <c r="D1045" s="36"/>
      <c r="E1045" s="36"/>
      <c r="F1045" s="36"/>
      <c r="G1045" s="36"/>
      <c r="H1045" s="37"/>
      <c r="I1045" s="36"/>
      <c r="J1045" s="38"/>
      <c r="K1045" s="38"/>
      <c r="L1045" s="39"/>
      <c r="M1045" s="39"/>
      <c r="N1045" s="39"/>
      <c r="O1045" s="39"/>
      <c r="P1045" s="39"/>
      <c r="Q1045" s="39"/>
      <c r="R1045" s="39"/>
      <c r="S1045" s="39"/>
      <c r="T1045" s="39"/>
      <c r="U1045" s="39"/>
      <c r="V1045" s="39"/>
      <c r="W1045" s="39"/>
      <c r="X1045" s="39"/>
      <c r="Y1045" s="39"/>
      <c r="Z1045" s="39"/>
      <c r="AA1045" s="39"/>
      <c r="AB1045" s="39"/>
    </row>
    <row r="1046">
      <c r="A1046" s="1"/>
      <c r="B1046" s="36"/>
      <c r="C1046" s="36"/>
      <c r="D1046" s="36"/>
      <c r="E1046" s="36"/>
      <c r="F1046" s="36"/>
      <c r="G1046" s="36"/>
      <c r="H1046" s="37"/>
      <c r="I1046" s="36"/>
      <c r="J1046" s="38"/>
      <c r="K1046" s="38"/>
      <c r="L1046" s="39"/>
      <c r="M1046" s="39"/>
      <c r="N1046" s="39"/>
      <c r="O1046" s="39"/>
      <c r="P1046" s="39"/>
      <c r="Q1046" s="39"/>
      <c r="R1046" s="39"/>
      <c r="S1046" s="39"/>
      <c r="T1046" s="39"/>
      <c r="U1046" s="39"/>
      <c r="V1046" s="39"/>
      <c r="W1046" s="39"/>
      <c r="X1046" s="39"/>
      <c r="Y1046" s="39"/>
      <c r="Z1046" s="39"/>
      <c r="AA1046" s="39"/>
      <c r="AB1046" s="39"/>
    </row>
    <row r="1047">
      <c r="A1047" s="1"/>
      <c r="B1047" s="36"/>
      <c r="C1047" s="36"/>
      <c r="D1047" s="36"/>
      <c r="E1047" s="36"/>
      <c r="F1047" s="36"/>
      <c r="G1047" s="36"/>
      <c r="H1047" s="37"/>
      <c r="I1047" s="36"/>
      <c r="J1047" s="38"/>
      <c r="K1047" s="38"/>
      <c r="L1047" s="39"/>
      <c r="M1047" s="39"/>
      <c r="N1047" s="39"/>
      <c r="O1047" s="39"/>
      <c r="P1047" s="39"/>
      <c r="Q1047" s="39"/>
      <c r="R1047" s="39"/>
      <c r="S1047" s="39"/>
      <c r="T1047" s="39"/>
      <c r="U1047" s="39"/>
      <c r="V1047" s="39"/>
      <c r="W1047" s="39"/>
      <c r="X1047" s="39"/>
      <c r="Y1047" s="39"/>
      <c r="Z1047" s="39"/>
      <c r="AA1047" s="39"/>
      <c r="AB1047" s="39"/>
    </row>
    <row r="1048">
      <c r="A1048" s="1"/>
      <c r="B1048" s="36"/>
      <c r="C1048" s="36"/>
      <c r="D1048" s="36"/>
      <c r="E1048" s="36"/>
      <c r="F1048" s="36"/>
      <c r="G1048" s="36"/>
      <c r="H1048" s="37"/>
      <c r="I1048" s="36"/>
      <c r="J1048" s="38"/>
      <c r="K1048" s="38"/>
      <c r="L1048" s="39"/>
      <c r="M1048" s="39"/>
      <c r="N1048" s="39"/>
      <c r="O1048" s="39"/>
      <c r="P1048" s="39"/>
      <c r="Q1048" s="39"/>
      <c r="R1048" s="39"/>
      <c r="S1048" s="39"/>
      <c r="T1048" s="39"/>
      <c r="U1048" s="39"/>
      <c r="V1048" s="39"/>
      <c r="W1048" s="39"/>
      <c r="X1048" s="39"/>
      <c r="Y1048" s="39"/>
      <c r="Z1048" s="39"/>
      <c r="AA1048" s="39"/>
      <c r="AB1048" s="39"/>
    </row>
    <row r="1049">
      <c r="A1049" s="1"/>
      <c r="B1049" s="36"/>
      <c r="C1049" s="36"/>
      <c r="D1049" s="36"/>
      <c r="E1049" s="36"/>
      <c r="F1049" s="36"/>
      <c r="G1049" s="36"/>
      <c r="H1049" s="37"/>
      <c r="I1049" s="36"/>
      <c r="J1049" s="38"/>
      <c r="K1049" s="38"/>
      <c r="L1049" s="39"/>
      <c r="M1049" s="39"/>
      <c r="N1049" s="39"/>
      <c r="O1049" s="39"/>
      <c r="P1049" s="39"/>
      <c r="Q1049" s="39"/>
      <c r="R1049" s="39"/>
      <c r="S1049" s="39"/>
      <c r="T1049" s="39"/>
      <c r="U1049" s="39"/>
      <c r="V1049" s="39"/>
      <c r="W1049" s="39"/>
      <c r="X1049" s="39"/>
      <c r="Y1049" s="39"/>
      <c r="Z1049" s="39"/>
      <c r="AA1049" s="39"/>
      <c r="AB1049" s="39"/>
    </row>
    <row r="1050">
      <c r="A1050" s="1"/>
      <c r="B1050" s="36"/>
      <c r="C1050" s="36"/>
      <c r="D1050" s="36"/>
      <c r="E1050" s="36"/>
      <c r="F1050" s="36"/>
      <c r="G1050" s="36"/>
      <c r="H1050" s="37"/>
      <c r="I1050" s="36"/>
      <c r="J1050" s="38"/>
      <c r="K1050" s="38"/>
      <c r="L1050" s="39"/>
      <c r="M1050" s="39"/>
      <c r="N1050" s="39"/>
      <c r="O1050" s="39"/>
      <c r="P1050" s="39"/>
      <c r="Q1050" s="39"/>
      <c r="R1050" s="39"/>
      <c r="S1050" s="39"/>
      <c r="T1050" s="39"/>
      <c r="U1050" s="39"/>
      <c r="V1050" s="39"/>
      <c r="W1050" s="39"/>
      <c r="X1050" s="39"/>
      <c r="Y1050" s="39"/>
      <c r="Z1050" s="39"/>
      <c r="AA1050" s="39"/>
      <c r="AB1050" s="39"/>
    </row>
    <row r="1051">
      <c r="A1051" s="1"/>
      <c r="B1051" s="36"/>
      <c r="C1051" s="36"/>
      <c r="D1051" s="36"/>
      <c r="E1051" s="36"/>
      <c r="F1051" s="36"/>
      <c r="G1051" s="36"/>
      <c r="H1051" s="37"/>
      <c r="I1051" s="36"/>
      <c r="J1051" s="38"/>
      <c r="K1051" s="38"/>
      <c r="L1051" s="39"/>
      <c r="M1051" s="39"/>
      <c r="N1051" s="39"/>
      <c r="O1051" s="39"/>
      <c r="P1051" s="39"/>
      <c r="Q1051" s="39"/>
      <c r="R1051" s="39"/>
      <c r="S1051" s="39"/>
      <c r="T1051" s="39"/>
      <c r="U1051" s="39"/>
      <c r="V1051" s="39"/>
      <c r="W1051" s="39"/>
      <c r="X1051" s="39"/>
      <c r="Y1051" s="39"/>
      <c r="Z1051" s="39"/>
      <c r="AA1051" s="39"/>
      <c r="AB1051" s="39"/>
    </row>
    <row r="1052">
      <c r="A1052" s="1"/>
      <c r="B1052" s="36"/>
      <c r="C1052" s="36"/>
      <c r="D1052" s="36"/>
      <c r="E1052" s="36"/>
      <c r="F1052" s="36"/>
      <c r="G1052" s="36"/>
      <c r="H1052" s="37"/>
      <c r="I1052" s="36"/>
      <c r="J1052" s="38"/>
      <c r="K1052" s="38"/>
      <c r="L1052" s="39"/>
      <c r="M1052" s="39"/>
      <c r="N1052" s="39"/>
      <c r="O1052" s="39"/>
      <c r="P1052" s="39"/>
      <c r="Q1052" s="39"/>
      <c r="R1052" s="39"/>
      <c r="S1052" s="39"/>
      <c r="T1052" s="39"/>
      <c r="U1052" s="39"/>
      <c r="V1052" s="39"/>
      <c r="W1052" s="39"/>
      <c r="X1052" s="39"/>
      <c r="Y1052" s="39"/>
      <c r="Z1052" s="39"/>
      <c r="AA1052" s="39"/>
      <c r="AB1052" s="39"/>
    </row>
    <row r="1053">
      <c r="A1053" s="1"/>
      <c r="B1053" s="36"/>
      <c r="C1053" s="36"/>
      <c r="D1053" s="36"/>
      <c r="E1053" s="36"/>
      <c r="F1053" s="36"/>
      <c r="G1053" s="36"/>
      <c r="H1053" s="37"/>
      <c r="I1053" s="36"/>
      <c r="J1053" s="38"/>
      <c r="K1053" s="38"/>
      <c r="L1053" s="39"/>
      <c r="M1053" s="39"/>
      <c r="N1053" s="39"/>
      <c r="O1053" s="39"/>
      <c r="P1053" s="39"/>
      <c r="Q1053" s="39"/>
      <c r="R1053" s="39"/>
      <c r="S1053" s="39"/>
      <c r="T1053" s="39"/>
      <c r="U1053" s="39"/>
      <c r="V1053" s="39"/>
      <c r="W1053" s="39"/>
      <c r="X1053" s="39"/>
      <c r="Y1053" s="39"/>
      <c r="Z1053" s="39"/>
      <c r="AA1053" s="39"/>
      <c r="AB1053" s="39"/>
    </row>
    <row r="1054">
      <c r="A1054" s="1"/>
      <c r="B1054" s="36"/>
      <c r="C1054" s="36"/>
      <c r="D1054" s="36"/>
      <c r="E1054" s="36"/>
      <c r="F1054" s="36"/>
      <c r="G1054" s="36"/>
      <c r="H1054" s="37"/>
      <c r="I1054" s="36"/>
      <c r="J1054" s="38"/>
      <c r="K1054" s="38"/>
      <c r="L1054" s="39"/>
      <c r="M1054" s="39"/>
      <c r="N1054" s="39"/>
      <c r="O1054" s="39"/>
      <c r="P1054" s="39"/>
      <c r="Q1054" s="39"/>
      <c r="R1054" s="39"/>
      <c r="S1054" s="39"/>
      <c r="T1054" s="39"/>
      <c r="U1054" s="39"/>
      <c r="V1054" s="39"/>
      <c r="W1054" s="39"/>
      <c r="X1054" s="39"/>
      <c r="Y1054" s="39"/>
      <c r="Z1054" s="39"/>
      <c r="AA1054" s="39"/>
      <c r="AB1054" s="39"/>
    </row>
    <row r="1055">
      <c r="A1055" s="1"/>
      <c r="B1055" s="36"/>
      <c r="C1055" s="36"/>
      <c r="D1055" s="36"/>
      <c r="E1055" s="36"/>
      <c r="F1055" s="36"/>
      <c r="G1055" s="36"/>
      <c r="H1055" s="37"/>
      <c r="I1055" s="36"/>
      <c r="J1055" s="38"/>
      <c r="K1055" s="38"/>
      <c r="L1055" s="39"/>
      <c r="M1055" s="39"/>
      <c r="N1055" s="39"/>
      <c r="O1055" s="39"/>
      <c r="P1055" s="39"/>
      <c r="Q1055" s="39"/>
      <c r="R1055" s="39"/>
      <c r="S1055" s="39"/>
      <c r="T1055" s="39"/>
      <c r="U1055" s="39"/>
      <c r="V1055" s="39"/>
      <c r="W1055" s="39"/>
      <c r="X1055" s="39"/>
      <c r="Y1055" s="39"/>
      <c r="Z1055" s="39"/>
      <c r="AA1055" s="39"/>
      <c r="AB1055" s="39"/>
    </row>
    <row r="1056">
      <c r="A1056" s="1"/>
      <c r="B1056" s="36"/>
      <c r="C1056" s="36"/>
      <c r="D1056" s="36"/>
      <c r="E1056" s="36"/>
      <c r="F1056" s="36"/>
      <c r="G1056" s="36"/>
      <c r="H1056" s="37"/>
      <c r="I1056" s="36"/>
      <c r="J1056" s="38"/>
      <c r="K1056" s="38"/>
      <c r="L1056" s="39"/>
      <c r="M1056" s="39"/>
      <c r="N1056" s="39"/>
      <c r="O1056" s="39"/>
      <c r="P1056" s="39"/>
      <c r="Q1056" s="39"/>
      <c r="R1056" s="39"/>
      <c r="S1056" s="39"/>
      <c r="T1056" s="39"/>
      <c r="U1056" s="39"/>
      <c r="V1056" s="39"/>
      <c r="W1056" s="39"/>
      <c r="X1056" s="39"/>
      <c r="Y1056" s="39"/>
      <c r="Z1056" s="39"/>
      <c r="AA1056" s="39"/>
      <c r="AB1056" s="39"/>
    </row>
    <row r="1057">
      <c r="A1057" s="1"/>
      <c r="B1057" s="36"/>
      <c r="C1057" s="36"/>
      <c r="D1057" s="36"/>
      <c r="E1057" s="36"/>
      <c r="F1057" s="36"/>
      <c r="G1057" s="36"/>
      <c r="H1057" s="37"/>
      <c r="I1057" s="36"/>
      <c r="J1057" s="38"/>
      <c r="K1057" s="38"/>
      <c r="L1057" s="39"/>
      <c r="M1057" s="39"/>
      <c r="N1057" s="39"/>
      <c r="O1057" s="39"/>
      <c r="P1057" s="39"/>
      <c r="Q1057" s="39"/>
      <c r="R1057" s="39"/>
      <c r="S1057" s="39"/>
      <c r="T1057" s="39"/>
      <c r="U1057" s="39"/>
      <c r="V1057" s="39"/>
      <c r="W1057" s="39"/>
      <c r="X1057" s="39"/>
      <c r="Y1057" s="39"/>
      <c r="Z1057" s="39"/>
      <c r="AA1057" s="39"/>
      <c r="AB1057" s="39"/>
    </row>
    <row r="1058">
      <c r="A1058" s="1"/>
      <c r="B1058" s="36"/>
      <c r="C1058" s="36"/>
      <c r="D1058" s="36"/>
      <c r="E1058" s="36"/>
      <c r="F1058" s="36"/>
      <c r="G1058" s="36"/>
      <c r="H1058" s="37"/>
      <c r="I1058" s="36"/>
      <c r="J1058" s="38"/>
      <c r="K1058" s="38"/>
      <c r="L1058" s="39"/>
      <c r="M1058" s="39"/>
      <c r="N1058" s="39"/>
      <c r="O1058" s="39"/>
      <c r="P1058" s="39"/>
      <c r="Q1058" s="39"/>
      <c r="R1058" s="39"/>
      <c r="S1058" s="39"/>
      <c r="T1058" s="39"/>
      <c r="U1058" s="39"/>
      <c r="V1058" s="39"/>
      <c r="W1058" s="39"/>
      <c r="X1058" s="39"/>
      <c r="Y1058" s="39"/>
      <c r="Z1058" s="39"/>
      <c r="AA1058" s="39"/>
      <c r="AB1058" s="39"/>
    </row>
    <row r="1059">
      <c r="A1059" s="1"/>
      <c r="B1059" s="36"/>
      <c r="C1059" s="36"/>
      <c r="D1059" s="36"/>
      <c r="E1059" s="36"/>
      <c r="F1059" s="36"/>
      <c r="G1059" s="36"/>
      <c r="H1059" s="37"/>
      <c r="I1059" s="36"/>
      <c r="J1059" s="38"/>
      <c r="K1059" s="38"/>
      <c r="L1059" s="39"/>
      <c r="M1059" s="39"/>
      <c r="N1059" s="39"/>
      <c r="O1059" s="39"/>
      <c r="P1059" s="39"/>
      <c r="Q1059" s="39"/>
      <c r="R1059" s="39"/>
      <c r="S1059" s="39"/>
      <c r="T1059" s="39"/>
      <c r="U1059" s="39"/>
      <c r="V1059" s="39"/>
      <c r="W1059" s="39"/>
      <c r="X1059" s="39"/>
      <c r="Y1059" s="39"/>
      <c r="Z1059" s="39"/>
      <c r="AA1059" s="39"/>
      <c r="AB1059" s="39"/>
    </row>
    <row r="1060">
      <c r="A1060" s="1"/>
      <c r="B1060" s="36"/>
      <c r="C1060" s="36"/>
      <c r="D1060" s="36"/>
      <c r="E1060" s="36"/>
      <c r="F1060" s="36"/>
      <c r="G1060" s="36"/>
      <c r="H1060" s="37"/>
      <c r="I1060" s="36"/>
      <c r="J1060" s="38"/>
      <c r="K1060" s="38"/>
      <c r="L1060" s="39"/>
      <c r="M1060" s="39"/>
      <c r="N1060" s="39"/>
      <c r="O1060" s="39"/>
      <c r="P1060" s="39"/>
      <c r="Q1060" s="39"/>
      <c r="R1060" s="39"/>
      <c r="S1060" s="39"/>
      <c r="T1060" s="39"/>
      <c r="U1060" s="39"/>
      <c r="V1060" s="39"/>
      <c r="W1060" s="39"/>
      <c r="X1060" s="39"/>
      <c r="Y1060" s="39"/>
      <c r="Z1060" s="39"/>
      <c r="AA1060" s="39"/>
      <c r="AB1060" s="39"/>
    </row>
    <row r="1061">
      <c r="A1061" s="1"/>
      <c r="B1061" s="36"/>
      <c r="C1061" s="36"/>
      <c r="D1061" s="36"/>
      <c r="E1061" s="36"/>
      <c r="F1061" s="36"/>
      <c r="G1061" s="36"/>
      <c r="H1061" s="37"/>
      <c r="I1061" s="36"/>
      <c r="J1061" s="38"/>
      <c r="K1061" s="38"/>
      <c r="L1061" s="39"/>
      <c r="M1061" s="39"/>
      <c r="N1061" s="39"/>
      <c r="O1061" s="39"/>
      <c r="P1061" s="39"/>
      <c r="Q1061" s="39"/>
      <c r="R1061" s="39"/>
      <c r="S1061" s="39"/>
      <c r="T1061" s="39"/>
      <c r="U1061" s="39"/>
      <c r="V1061" s="39"/>
      <c r="W1061" s="39"/>
      <c r="X1061" s="39"/>
      <c r="Y1061" s="39"/>
      <c r="Z1061" s="39"/>
      <c r="AA1061" s="39"/>
      <c r="AB1061" s="39"/>
    </row>
    <row r="1062">
      <c r="A1062" s="1"/>
      <c r="B1062" s="36"/>
      <c r="C1062" s="36"/>
      <c r="D1062" s="36"/>
      <c r="E1062" s="36"/>
      <c r="F1062" s="36"/>
      <c r="G1062" s="36"/>
      <c r="H1062" s="37"/>
      <c r="I1062" s="36"/>
      <c r="J1062" s="38"/>
      <c r="K1062" s="38"/>
      <c r="L1062" s="39"/>
      <c r="M1062" s="39"/>
      <c r="N1062" s="39"/>
      <c r="O1062" s="39"/>
      <c r="P1062" s="39"/>
      <c r="Q1062" s="39"/>
      <c r="R1062" s="39"/>
      <c r="S1062" s="39"/>
      <c r="T1062" s="39"/>
      <c r="U1062" s="39"/>
      <c r="V1062" s="39"/>
      <c r="W1062" s="39"/>
      <c r="X1062" s="39"/>
      <c r="Y1062" s="39"/>
      <c r="Z1062" s="39"/>
      <c r="AA1062" s="39"/>
      <c r="AB1062" s="39"/>
    </row>
    <row r="1063">
      <c r="A1063" s="1"/>
      <c r="B1063" s="36"/>
      <c r="C1063" s="36"/>
      <c r="D1063" s="36"/>
      <c r="E1063" s="36"/>
      <c r="F1063" s="36"/>
      <c r="G1063" s="36"/>
      <c r="H1063" s="37"/>
      <c r="I1063" s="36"/>
      <c r="J1063" s="38"/>
      <c r="K1063" s="38"/>
      <c r="L1063" s="39"/>
      <c r="M1063" s="39"/>
      <c r="N1063" s="39"/>
      <c r="O1063" s="39"/>
      <c r="P1063" s="39"/>
      <c r="Q1063" s="39"/>
      <c r="R1063" s="39"/>
      <c r="S1063" s="39"/>
      <c r="T1063" s="39"/>
      <c r="U1063" s="39"/>
      <c r="V1063" s="39"/>
      <c r="W1063" s="39"/>
      <c r="X1063" s="39"/>
      <c r="Y1063" s="39"/>
      <c r="Z1063" s="39"/>
      <c r="AA1063" s="39"/>
      <c r="AB1063" s="39"/>
    </row>
    <row r="1064">
      <c r="A1064" s="1"/>
      <c r="B1064" s="36"/>
      <c r="C1064" s="36"/>
      <c r="D1064" s="36"/>
      <c r="E1064" s="36"/>
      <c r="F1064" s="36"/>
      <c r="G1064" s="36"/>
      <c r="H1064" s="37"/>
      <c r="I1064" s="36"/>
      <c r="J1064" s="38"/>
      <c r="K1064" s="38"/>
      <c r="L1064" s="39"/>
      <c r="M1064" s="39"/>
      <c r="N1064" s="39"/>
      <c r="O1064" s="39"/>
      <c r="P1064" s="39"/>
      <c r="Q1064" s="39"/>
      <c r="R1064" s="39"/>
      <c r="S1064" s="39"/>
      <c r="T1064" s="39"/>
      <c r="U1064" s="39"/>
      <c r="V1064" s="39"/>
      <c r="W1064" s="39"/>
      <c r="X1064" s="39"/>
      <c r="Y1064" s="39"/>
      <c r="Z1064" s="39"/>
      <c r="AA1064" s="39"/>
      <c r="AB1064" s="39"/>
    </row>
    <row r="1065">
      <c r="A1065" s="1"/>
      <c r="B1065" s="36"/>
      <c r="C1065" s="36"/>
      <c r="D1065" s="36"/>
      <c r="E1065" s="36"/>
      <c r="F1065" s="36"/>
      <c r="G1065" s="36"/>
      <c r="H1065" s="37"/>
      <c r="I1065" s="36"/>
      <c r="J1065" s="38"/>
      <c r="K1065" s="38"/>
      <c r="L1065" s="39"/>
      <c r="M1065" s="39"/>
      <c r="N1065" s="39"/>
      <c r="O1065" s="39"/>
      <c r="P1065" s="39"/>
      <c r="Q1065" s="39"/>
      <c r="R1065" s="39"/>
      <c r="S1065" s="39"/>
      <c r="T1065" s="39"/>
      <c r="U1065" s="39"/>
      <c r="V1065" s="39"/>
      <c r="W1065" s="39"/>
      <c r="X1065" s="39"/>
      <c r="Y1065" s="39"/>
      <c r="Z1065" s="39"/>
      <c r="AA1065" s="39"/>
      <c r="AB1065" s="39"/>
    </row>
    <row r="1066">
      <c r="A1066" s="1"/>
      <c r="B1066" s="36"/>
      <c r="C1066" s="36"/>
      <c r="D1066" s="36"/>
      <c r="E1066" s="36"/>
      <c r="F1066" s="36"/>
      <c r="G1066" s="36"/>
      <c r="H1066" s="37"/>
      <c r="I1066" s="36"/>
      <c r="J1066" s="38"/>
      <c r="K1066" s="38"/>
      <c r="L1066" s="39"/>
      <c r="M1066" s="39"/>
      <c r="N1066" s="39"/>
      <c r="O1066" s="39"/>
      <c r="P1066" s="39"/>
      <c r="Q1066" s="39"/>
      <c r="R1066" s="39"/>
      <c r="S1066" s="39"/>
      <c r="T1066" s="39"/>
      <c r="U1066" s="39"/>
      <c r="V1066" s="39"/>
      <c r="W1066" s="39"/>
      <c r="X1066" s="39"/>
      <c r="Y1066" s="39"/>
      <c r="Z1066" s="39"/>
      <c r="AA1066" s="39"/>
      <c r="AB1066" s="39"/>
    </row>
    <row r="1067">
      <c r="A1067" s="1"/>
      <c r="B1067" s="36"/>
      <c r="C1067" s="36"/>
      <c r="D1067" s="36"/>
      <c r="E1067" s="36"/>
      <c r="F1067" s="36"/>
      <c r="G1067" s="36"/>
      <c r="H1067" s="37"/>
      <c r="I1067" s="36"/>
      <c r="J1067" s="38"/>
      <c r="K1067" s="38"/>
      <c r="L1067" s="39"/>
      <c r="M1067" s="39"/>
      <c r="N1067" s="39"/>
      <c r="O1067" s="39"/>
      <c r="P1067" s="39"/>
      <c r="Q1067" s="39"/>
      <c r="R1067" s="39"/>
      <c r="S1067" s="39"/>
      <c r="T1067" s="39"/>
      <c r="U1067" s="39"/>
      <c r="V1067" s="39"/>
      <c r="W1067" s="39"/>
      <c r="X1067" s="39"/>
      <c r="Y1067" s="39"/>
      <c r="Z1067" s="39"/>
      <c r="AA1067" s="39"/>
      <c r="AB1067" s="39"/>
    </row>
    <row r="1068">
      <c r="A1068" s="1"/>
      <c r="B1068" s="36"/>
      <c r="C1068" s="36"/>
      <c r="D1068" s="36"/>
      <c r="E1068" s="36"/>
      <c r="F1068" s="36"/>
      <c r="G1068" s="36"/>
      <c r="H1068" s="37"/>
      <c r="I1068" s="36"/>
      <c r="J1068" s="38"/>
      <c r="K1068" s="38"/>
      <c r="L1068" s="39"/>
      <c r="M1068" s="39"/>
      <c r="N1068" s="39"/>
      <c r="O1068" s="39"/>
      <c r="P1068" s="39"/>
      <c r="Q1068" s="39"/>
      <c r="R1068" s="39"/>
      <c r="S1068" s="39"/>
      <c r="T1068" s="39"/>
      <c r="U1068" s="39"/>
      <c r="V1068" s="39"/>
      <c r="W1068" s="39"/>
      <c r="X1068" s="39"/>
      <c r="Y1068" s="39"/>
      <c r="Z1068" s="39"/>
      <c r="AA1068" s="39"/>
      <c r="AB1068" s="39"/>
    </row>
    <row r="1069">
      <c r="A1069" s="1"/>
      <c r="B1069" s="36"/>
      <c r="C1069" s="36"/>
      <c r="D1069" s="36"/>
      <c r="E1069" s="36"/>
      <c r="F1069" s="36"/>
      <c r="G1069" s="36"/>
      <c r="H1069" s="37"/>
      <c r="I1069" s="36"/>
      <c r="J1069" s="38"/>
      <c r="K1069" s="38"/>
      <c r="L1069" s="39"/>
      <c r="M1069" s="39"/>
      <c r="N1069" s="39"/>
      <c r="O1069" s="39"/>
      <c r="P1069" s="39"/>
      <c r="Q1069" s="39"/>
      <c r="R1069" s="39"/>
      <c r="S1069" s="39"/>
      <c r="T1069" s="39"/>
      <c r="U1069" s="39"/>
      <c r="V1069" s="39"/>
      <c r="W1069" s="39"/>
      <c r="X1069" s="39"/>
      <c r="Y1069" s="39"/>
      <c r="Z1069" s="39"/>
      <c r="AA1069" s="39"/>
      <c r="AB1069" s="39"/>
    </row>
    <row r="1070">
      <c r="A1070" s="1"/>
      <c r="B1070" s="36"/>
      <c r="C1070" s="36"/>
      <c r="D1070" s="36"/>
      <c r="E1070" s="36"/>
      <c r="F1070" s="36"/>
      <c r="G1070" s="36"/>
      <c r="H1070" s="37"/>
      <c r="I1070" s="36"/>
      <c r="J1070" s="38"/>
      <c r="K1070" s="38"/>
      <c r="L1070" s="39"/>
      <c r="M1070" s="39"/>
      <c r="N1070" s="39"/>
      <c r="O1070" s="39"/>
      <c r="P1070" s="39"/>
      <c r="Q1070" s="39"/>
      <c r="R1070" s="39"/>
      <c r="S1070" s="39"/>
      <c r="T1070" s="39"/>
      <c r="U1070" s="39"/>
      <c r="V1070" s="39"/>
      <c r="W1070" s="39"/>
      <c r="X1070" s="39"/>
      <c r="Y1070" s="39"/>
      <c r="Z1070" s="39"/>
      <c r="AA1070" s="39"/>
      <c r="AB1070" s="39"/>
    </row>
    <row r="1071">
      <c r="A1071" s="1"/>
      <c r="B1071" s="36"/>
      <c r="C1071" s="36"/>
      <c r="D1071" s="36"/>
      <c r="E1071" s="36"/>
      <c r="F1071" s="36"/>
      <c r="G1071" s="36"/>
      <c r="H1071" s="37"/>
      <c r="I1071" s="36"/>
      <c r="J1071" s="38"/>
      <c r="K1071" s="38"/>
      <c r="L1071" s="39"/>
      <c r="M1071" s="39"/>
      <c r="N1071" s="39"/>
      <c r="O1071" s="39"/>
      <c r="P1071" s="39"/>
      <c r="Q1071" s="39"/>
      <c r="R1071" s="39"/>
      <c r="S1071" s="39"/>
      <c r="T1071" s="39"/>
      <c r="U1071" s="39"/>
      <c r="V1071" s="39"/>
      <c r="W1071" s="39"/>
      <c r="X1071" s="39"/>
      <c r="Y1071" s="39"/>
      <c r="Z1071" s="39"/>
      <c r="AA1071" s="39"/>
      <c r="AB1071" s="39"/>
    </row>
    <row r="1072">
      <c r="A1072" s="1"/>
      <c r="B1072" s="36"/>
      <c r="C1072" s="36"/>
      <c r="D1072" s="36"/>
      <c r="E1072" s="36"/>
      <c r="F1072" s="36"/>
      <c r="G1072" s="36"/>
      <c r="H1072" s="37"/>
      <c r="I1072" s="36"/>
      <c r="J1072" s="38"/>
      <c r="K1072" s="38"/>
      <c r="L1072" s="39"/>
      <c r="M1072" s="39"/>
      <c r="N1072" s="39"/>
      <c r="O1072" s="39"/>
      <c r="P1072" s="39"/>
      <c r="Q1072" s="39"/>
      <c r="R1072" s="39"/>
      <c r="S1072" s="39"/>
      <c r="T1072" s="39"/>
      <c r="U1072" s="39"/>
      <c r="V1072" s="39"/>
      <c r="W1072" s="39"/>
      <c r="X1072" s="39"/>
      <c r="Y1072" s="39"/>
      <c r="Z1072" s="39"/>
      <c r="AA1072" s="39"/>
      <c r="AB1072" s="39"/>
    </row>
    <row r="1073">
      <c r="A1073" s="1"/>
      <c r="B1073" s="36"/>
      <c r="C1073" s="36"/>
      <c r="D1073" s="36"/>
      <c r="E1073" s="36"/>
      <c r="F1073" s="36"/>
      <c r="G1073" s="36"/>
      <c r="H1073" s="37"/>
      <c r="I1073" s="36"/>
      <c r="J1073" s="38"/>
      <c r="K1073" s="38"/>
      <c r="L1073" s="39"/>
      <c r="M1073" s="39"/>
      <c r="N1073" s="39"/>
      <c r="O1073" s="39"/>
      <c r="P1073" s="39"/>
      <c r="Q1073" s="39"/>
      <c r="R1073" s="39"/>
      <c r="S1073" s="39"/>
      <c r="T1073" s="39"/>
      <c r="U1073" s="39"/>
      <c r="V1073" s="39"/>
      <c r="W1073" s="39"/>
      <c r="X1073" s="39"/>
      <c r="Y1073" s="39"/>
      <c r="Z1073" s="39"/>
      <c r="AA1073" s="39"/>
      <c r="AB1073" s="39"/>
    </row>
    <row r="1074">
      <c r="A1074" s="1"/>
      <c r="B1074" s="36"/>
      <c r="C1074" s="36"/>
      <c r="D1074" s="36"/>
      <c r="E1074" s="36"/>
      <c r="F1074" s="36"/>
      <c r="G1074" s="36"/>
      <c r="H1074" s="37"/>
      <c r="I1074" s="36"/>
      <c r="J1074" s="38"/>
      <c r="K1074" s="38"/>
      <c r="L1074" s="39"/>
      <c r="M1074" s="39"/>
      <c r="N1074" s="39"/>
      <c r="O1074" s="39"/>
      <c r="P1074" s="39"/>
      <c r="Q1074" s="39"/>
      <c r="R1074" s="39"/>
      <c r="S1074" s="39"/>
      <c r="T1074" s="39"/>
      <c r="U1074" s="39"/>
      <c r="V1074" s="39"/>
      <c r="W1074" s="39"/>
      <c r="X1074" s="39"/>
      <c r="Y1074" s="39"/>
      <c r="Z1074" s="39"/>
      <c r="AA1074" s="39"/>
      <c r="AB1074" s="39"/>
    </row>
    <row r="1075">
      <c r="A1075" s="1"/>
      <c r="B1075" s="36"/>
      <c r="C1075" s="36"/>
      <c r="D1075" s="36"/>
      <c r="E1075" s="36"/>
      <c r="F1075" s="36"/>
      <c r="G1075" s="36"/>
      <c r="H1075" s="37"/>
      <c r="I1075" s="36"/>
      <c r="J1075" s="38"/>
      <c r="K1075" s="38"/>
      <c r="L1075" s="39"/>
      <c r="M1075" s="39"/>
      <c r="N1075" s="39"/>
      <c r="O1075" s="39"/>
      <c r="P1075" s="39"/>
      <c r="Q1075" s="39"/>
      <c r="R1075" s="39"/>
      <c r="S1075" s="39"/>
      <c r="T1075" s="39"/>
      <c r="U1075" s="39"/>
      <c r="V1075" s="39"/>
      <c r="W1075" s="39"/>
      <c r="X1075" s="39"/>
      <c r="Y1075" s="39"/>
      <c r="Z1075" s="39"/>
      <c r="AA1075" s="39"/>
      <c r="AB1075" s="39"/>
    </row>
    <row r="1076">
      <c r="A1076" s="1"/>
      <c r="B1076" s="36"/>
      <c r="C1076" s="36"/>
      <c r="D1076" s="36"/>
      <c r="E1076" s="36"/>
      <c r="F1076" s="36"/>
      <c r="G1076" s="36"/>
      <c r="H1076" s="37"/>
      <c r="I1076" s="36"/>
      <c r="J1076" s="38"/>
      <c r="K1076" s="38"/>
      <c r="L1076" s="39"/>
      <c r="M1076" s="39"/>
      <c r="N1076" s="39"/>
      <c r="O1076" s="39"/>
      <c r="P1076" s="39"/>
      <c r="Q1076" s="39"/>
      <c r="R1076" s="39"/>
      <c r="S1076" s="39"/>
      <c r="T1076" s="39"/>
      <c r="U1076" s="39"/>
      <c r="V1076" s="39"/>
      <c r="W1076" s="39"/>
      <c r="X1076" s="39"/>
      <c r="Y1076" s="39"/>
      <c r="Z1076" s="39"/>
      <c r="AA1076" s="39"/>
      <c r="AB1076" s="39"/>
    </row>
    <row r="1077">
      <c r="A1077" s="1"/>
      <c r="B1077" s="36"/>
      <c r="C1077" s="36"/>
      <c r="D1077" s="36"/>
      <c r="E1077" s="36"/>
      <c r="F1077" s="36"/>
      <c r="G1077" s="36"/>
      <c r="H1077" s="37"/>
      <c r="I1077" s="36"/>
      <c r="J1077" s="38"/>
      <c r="K1077" s="38"/>
      <c r="L1077" s="39"/>
      <c r="M1077" s="39"/>
      <c r="N1077" s="39"/>
      <c r="O1077" s="39"/>
      <c r="P1077" s="39"/>
      <c r="Q1077" s="39"/>
      <c r="R1077" s="39"/>
      <c r="S1077" s="39"/>
      <c r="T1077" s="39"/>
      <c r="U1077" s="39"/>
      <c r="V1077" s="39"/>
      <c r="W1077" s="39"/>
      <c r="X1077" s="39"/>
      <c r="Y1077" s="39"/>
      <c r="Z1077" s="39"/>
      <c r="AA1077" s="39"/>
      <c r="AB1077" s="39"/>
    </row>
    <row r="1078">
      <c r="A1078" s="1"/>
      <c r="B1078" s="36"/>
      <c r="C1078" s="36"/>
      <c r="D1078" s="36"/>
      <c r="E1078" s="36"/>
      <c r="F1078" s="36"/>
      <c r="G1078" s="36"/>
      <c r="H1078" s="37"/>
      <c r="I1078" s="36"/>
      <c r="J1078" s="38"/>
      <c r="K1078" s="38"/>
      <c r="L1078" s="39"/>
      <c r="M1078" s="39"/>
      <c r="N1078" s="39"/>
      <c r="O1078" s="39"/>
      <c r="P1078" s="39"/>
      <c r="Q1078" s="39"/>
      <c r="R1078" s="39"/>
      <c r="S1078" s="39"/>
      <c r="T1078" s="39"/>
      <c r="U1078" s="39"/>
      <c r="V1078" s="39"/>
      <c r="W1078" s="39"/>
      <c r="X1078" s="39"/>
      <c r="Y1078" s="39"/>
      <c r="Z1078" s="39"/>
      <c r="AA1078" s="39"/>
      <c r="AB1078" s="39"/>
    </row>
    <row r="1079">
      <c r="A1079" s="1"/>
      <c r="B1079" s="36"/>
      <c r="C1079" s="36"/>
      <c r="D1079" s="36"/>
      <c r="E1079" s="36"/>
      <c r="F1079" s="36"/>
      <c r="G1079" s="36"/>
      <c r="H1079" s="37"/>
      <c r="I1079" s="36"/>
      <c r="J1079" s="38"/>
      <c r="K1079" s="38"/>
      <c r="L1079" s="39"/>
      <c r="M1079" s="39"/>
      <c r="N1079" s="39"/>
      <c r="O1079" s="39"/>
      <c r="P1079" s="39"/>
      <c r="Q1079" s="39"/>
      <c r="R1079" s="39"/>
      <c r="S1079" s="39"/>
      <c r="T1079" s="39"/>
      <c r="U1079" s="39"/>
      <c r="V1079" s="39"/>
      <c r="W1079" s="39"/>
      <c r="X1079" s="39"/>
      <c r="Y1079" s="39"/>
      <c r="Z1079" s="39"/>
      <c r="AA1079" s="39"/>
      <c r="AB1079" s="39"/>
    </row>
    <row r="1080">
      <c r="A1080" s="1"/>
      <c r="B1080" s="36"/>
      <c r="C1080" s="36"/>
      <c r="D1080" s="36"/>
      <c r="E1080" s="36"/>
      <c r="F1080" s="36"/>
      <c r="G1080" s="36"/>
      <c r="H1080" s="37"/>
      <c r="I1080" s="36"/>
      <c r="J1080" s="38"/>
      <c r="K1080" s="38"/>
      <c r="L1080" s="39"/>
      <c r="M1080" s="39"/>
      <c r="N1080" s="39"/>
      <c r="O1080" s="39"/>
      <c r="P1080" s="39"/>
      <c r="Q1080" s="39"/>
      <c r="R1080" s="39"/>
      <c r="S1080" s="39"/>
      <c r="T1080" s="39"/>
      <c r="U1080" s="39"/>
      <c r="V1080" s="39"/>
      <c r="W1080" s="39"/>
      <c r="X1080" s="39"/>
      <c r="Y1080" s="39"/>
      <c r="Z1080" s="39"/>
      <c r="AA1080" s="39"/>
      <c r="AB1080" s="39"/>
    </row>
    <row r="1081">
      <c r="A1081" s="1"/>
      <c r="B1081" s="36"/>
      <c r="C1081" s="36"/>
      <c r="D1081" s="36"/>
      <c r="E1081" s="36"/>
      <c r="F1081" s="36"/>
      <c r="G1081" s="36"/>
      <c r="H1081" s="37"/>
      <c r="I1081" s="36"/>
      <c r="J1081" s="38"/>
      <c r="K1081" s="38"/>
      <c r="L1081" s="39"/>
      <c r="M1081" s="39"/>
      <c r="N1081" s="39"/>
      <c r="O1081" s="39"/>
      <c r="P1081" s="39"/>
      <c r="Q1081" s="39"/>
      <c r="R1081" s="39"/>
      <c r="S1081" s="39"/>
      <c r="T1081" s="39"/>
      <c r="U1081" s="39"/>
      <c r="V1081" s="39"/>
      <c r="W1081" s="39"/>
      <c r="X1081" s="39"/>
      <c r="Y1081" s="39"/>
      <c r="Z1081" s="39"/>
      <c r="AA1081" s="39"/>
      <c r="AB1081" s="39"/>
    </row>
    <row r="1082">
      <c r="A1082" s="1"/>
      <c r="B1082" s="36"/>
      <c r="C1082" s="36"/>
      <c r="D1082" s="36"/>
      <c r="E1082" s="36"/>
      <c r="F1082" s="36"/>
      <c r="G1082" s="36"/>
      <c r="H1082" s="37"/>
      <c r="I1082" s="36"/>
      <c r="J1082" s="38"/>
      <c r="K1082" s="38"/>
      <c r="L1082" s="39"/>
      <c r="M1082" s="39"/>
      <c r="N1082" s="39"/>
      <c r="O1082" s="39"/>
      <c r="P1082" s="39"/>
      <c r="Q1082" s="39"/>
      <c r="R1082" s="39"/>
      <c r="S1082" s="39"/>
      <c r="T1082" s="39"/>
      <c r="U1082" s="39"/>
      <c r="V1082" s="39"/>
      <c r="W1082" s="39"/>
      <c r="X1082" s="39"/>
      <c r="Y1082" s="39"/>
      <c r="Z1082" s="39"/>
      <c r="AA1082" s="39"/>
      <c r="AB1082" s="39"/>
    </row>
    <row r="1083">
      <c r="A1083" s="1"/>
      <c r="B1083" s="36"/>
      <c r="C1083" s="36"/>
      <c r="D1083" s="36"/>
      <c r="E1083" s="36"/>
      <c r="F1083" s="36"/>
      <c r="G1083" s="36"/>
      <c r="H1083" s="37"/>
      <c r="I1083" s="36"/>
      <c r="J1083" s="38"/>
      <c r="K1083" s="38"/>
      <c r="L1083" s="39"/>
      <c r="M1083" s="39"/>
      <c r="N1083" s="39"/>
      <c r="O1083" s="39"/>
      <c r="P1083" s="39"/>
      <c r="Q1083" s="39"/>
      <c r="R1083" s="39"/>
      <c r="S1083" s="39"/>
      <c r="T1083" s="39"/>
      <c r="U1083" s="39"/>
      <c r="V1083" s="39"/>
      <c r="W1083" s="39"/>
      <c r="X1083" s="39"/>
      <c r="Y1083" s="39"/>
      <c r="Z1083" s="39"/>
      <c r="AA1083" s="39"/>
      <c r="AB1083" s="39"/>
    </row>
    <row r="1084">
      <c r="A1084" s="1"/>
      <c r="B1084" s="36"/>
      <c r="C1084" s="36"/>
      <c r="D1084" s="36"/>
      <c r="E1084" s="36"/>
      <c r="F1084" s="36"/>
      <c r="G1084" s="36"/>
      <c r="H1084" s="37"/>
      <c r="I1084" s="36"/>
      <c r="J1084" s="38"/>
      <c r="K1084" s="38"/>
      <c r="L1084" s="39"/>
      <c r="M1084" s="39"/>
      <c r="N1084" s="39"/>
      <c r="O1084" s="39"/>
      <c r="P1084" s="39"/>
      <c r="Q1084" s="39"/>
      <c r="R1084" s="39"/>
      <c r="S1084" s="39"/>
      <c r="T1084" s="39"/>
      <c r="U1084" s="39"/>
      <c r="V1084" s="39"/>
      <c r="W1084" s="39"/>
      <c r="X1084" s="39"/>
      <c r="Y1084" s="39"/>
      <c r="Z1084" s="39"/>
      <c r="AA1084" s="39"/>
      <c r="AB1084" s="39"/>
    </row>
    <row r="1085">
      <c r="A1085" s="1"/>
      <c r="B1085" s="36"/>
      <c r="C1085" s="36"/>
      <c r="D1085" s="36"/>
      <c r="E1085" s="36"/>
      <c r="F1085" s="36"/>
      <c r="G1085" s="36"/>
      <c r="H1085" s="37"/>
      <c r="I1085" s="36"/>
      <c r="J1085" s="38"/>
      <c r="K1085" s="38"/>
      <c r="L1085" s="39"/>
      <c r="M1085" s="39"/>
      <c r="N1085" s="39"/>
      <c r="O1085" s="39"/>
      <c r="P1085" s="39"/>
      <c r="Q1085" s="39"/>
      <c r="R1085" s="39"/>
      <c r="S1085" s="39"/>
      <c r="T1085" s="39"/>
      <c r="U1085" s="39"/>
      <c r="V1085" s="39"/>
      <c r="W1085" s="39"/>
      <c r="X1085" s="39"/>
      <c r="Y1085" s="39"/>
      <c r="Z1085" s="39"/>
      <c r="AA1085" s="39"/>
      <c r="AB1085" s="39"/>
    </row>
    <row r="1086">
      <c r="A1086" s="1"/>
      <c r="B1086" s="36"/>
      <c r="C1086" s="36"/>
      <c r="D1086" s="36"/>
      <c r="E1086" s="36"/>
      <c r="F1086" s="36"/>
      <c r="G1086" s="36"/>
      <c r="H1086" s="37"/>
      <c r="I1086" s="36"/>
      <c r="J1086" s="38"/>
      <c r="K1086" s="38"/>
      <c r="L1086" s="39"/>
      <c r="M1086" s="39"/>
      <c r="N1086" s="39"/>
      <c r="O1086" s="39"/>
      <c r="P1086" s="39"/>
      <c r="Q1086" s="39"/>
      <c r="R1086" s="39"/>
      <c r="S1086" s="39"/>
      <c r="T1086" s="39"/>
      <c r="U1086" s="39"/>
      <c r="V1086" s="39"/>
      <c r="W1086" s="39"/>
      <c r="X1086" s="39"/>
      <c r="Y1086" s="39"/>
      <c r="Z1086" s="39"/>
      <c r="AA1086" s="39"/>
      <c r="AB1086" s="39"/>
    </row>
    <row r="1087">
      <c r="A1087" s="1"/>
      <c r="B1087" s="36"/>
      <c r="C1087" s="36"/>
      <c r="D1087" s="36"/>
      <c r="E1087" s="36"/>
      <c r="F1087" s="36"/>
      <c r="G1087" s="36"/>
      <c r="H1087" s="37"/>
      <c r="I1087" s="36"/>
      <c r="J1087" s="38"/>
      <c r="K1087" s="38"/>
      <c r="L1087" s="39"/>
      <c r="M1087" s="39"/>
      <c r="N1087" s="39"/>
      <c r="O1087" s="39"/>
      <c r="P1087" s="39"/>
      <c r="Q1087" s="39"/>
      <c r="R1087" s="39"/>
      <c r="S1087" s="39"/>
      <c r="T1087" s="39"/>
      <c r="U1087" s="39"/>
      <c r="V1087" s="39"/>
      <c r="W1087" s="39"/>
      <c r="X1087" s="39"/>
      <c r="Y1087" s="39"/>
      <c r="Z1087" s="39"/>
      <c r="AA1087" s="39"/>
      <c r="AB1087" s="39"/>
    </row>
    <row r="1088">
      <c r="A1088" s="1"/>
      <c r="B1088" s="36"/>
      <c r="C1088" s="36"/>
      <c r="D1088" s="36"/>
      <c r="E1088" s="36"/>
      <c r="F1088" s="36"/>
      <c r="G1088" s="36"/>
      <c r="H1088" s="37"/>
      <c r="I1088" s="36"/>
      <c r="J1088" s="38"/>
      <c r="K1088" s="38"/>
      <c r="L1088" s="39"/>
      <c r="M1088" s="39"/>
      <c r="N1088" s="39"/>
      <c r="O1088" s="39"/>
      <c r="P1088" s="39"/>
      <c r="Q1088" s="39"/>
      <c r="R1088" s="39"/>
      <c r="S1088" s="39"/>
      <c r="T1088" s="39"/>
      <c r="U1088" s="39"/>
      <c r="V1088" s="39"/>
      <c r="W1088" s="39"/>
      <c r="X1088" s="39"/>
      <c r="Y1088" s="39"/>
      <c r="Z1088" s="39"/>
      <c r="AA1088" s="39"/>
      <c r="AB1088" s="39"/>
    </row>
    <row r="1089">
      <c r="A1089" s="1"/>
      <c r="B1089" s="36"/>
      <c r="C1089" s="36"/>
      <c r="D1089" s="36"/>
      <c r="E1089" s="36"/>
      <c r="F1089" s="36"/>
      <c r="G1089" s="36"/>
      <c r="H1089" s="37"/>
      <c r="I1089" s="36"/>
      <c r="J1089" s="38"/>
      <c r="K1089" s="38"/>
      <c r="L1089" s="39"/>
      <c r="M1089" s="39"/>
      <c r="N1089" s="39"/>
      <c r="O1089" s="39"/>
      <c r="P1089" s="39"/>
      <c r="Q1089" s="39"/>
      <c r="R1089" s="39"/>
      <c r="S1089" s="39"/>
      <c r="T1089" s="39"/>
      <c r="U1089" s="39"/>
      <c r="V1089" s="39"/>
      <c r="W1089" s="39"/>
      <c r="X1089" s="39"/>
      <c r="Y1089" s="39"/>
      <c r="Z1089" s="39"/>
      <c r="AA1089" s="39"/>
      <c r="AB1089" s="39"/>
    </row>
    <row r="1090">
      <c r="A1090" s="1"/>
      <c r="B1090" s="36"/>
      <c r="C1090" s="36"/>
      <c r="D1090" s="36"/>
      <c r="E1090" s="36"/>
      <c r="F1090" s="36"/>
      <c r="G1090" s="36"/>
      <c r="H1090" s="37"/>
      <c r="I1090" s="36"/>
      <c r="J1090" s="38"/>
      <c r="K1090" s="38"/>
      <c r="L1090" s="39"/>
      <c r="M1090" s="39"/>
      <c r="N1090" s="39"/>
      <c r="O1090" s="39"/>
      <c r="P1090" s="39"/>
      <c r="Q1090" s="39"/>
      <c r="R1090" s="39"/>
      <c r="S1090" s="39"/>
      <c r="T1090" s="39"/>
      <c r="U1090" s="39"/>
      <c r="V1090" s="39"/>
      <c r="W1090" s="39"/>
      <c r="X1090" s="39"/>
      <c r="Y1090" s="39"/>
      <c r="Z1090" s="39"/>
      <c r="AA1090" s="39"/>
      <c r="AB1090" s="39"/>
    </row>
    <row r="1091">
      <c r="A1091" s="1"/>
      <c r="B1091" s="36"/>
      <c r="C1091" s="36"/>
      <c r="D1091" s="36"/>
      <c r="E1091" s="36"/>
      <c r="F1091" s="36"/>
      <c r="G1091" s="36"/>
      <c r="H1091" s="37"/>
      <c r="I1091" s="36"/>
      <c r="J1091" s="38"/>
      <c r="K1091" s="38"/>
      <c r="L1091" s="39"/>
      <c r="M1091" s="39"/>
      <c r="N1091" s="39"/>
      <c r="O1091" s="39"/>
      <c r="P1091" s="39"/>
      <c r="Q1091" s="39"/>
      <c r="R1091" s="39"/>
      <c r="S1091" s="39"/>
      <c r="T1091" s="39"/>
      <c r="U1091" s="39"/>
      <c r="V1091" s="39"/>
      <c r="W1091" s="39"/>
      <c r="X1091" s="39"/>
      <c r="Y1091" s="39"/>
      <c r="Z1091" s="39"/>
      <c r="AA1091" s="39"/>
      <c r="AB1091" s="39"/>
    </row>
    <row r="1092">
      <c r="A1092" s="1"/>
      <c r="B1092" s="36"/>
      <c r="C1092" s="36"/>
      <c r="D1092" s="36"/>
      <c r="E1092" s="36"/>
      <c r="F1092" s="36"/>
      <c r="G1092" s="36"/>
      <c r="H1092" s="37"/>
      <c r="I1092" s="36"/>
      <c r="J1092" s="38"/>
      <c r="K1092" s="38"/>
      <c r="L1092" s="39"/>
      <c r="M1092" s="39"/>
      <c r="N1092" s="39"/>
      <c r="O1092" s="39"/>
      <c r="P1092" s="39"/>
      <c r="Q1092" s="39"/>
      <c r="R1092" s="39"/>
      <c r="S1092" s="39"/>
      <c r="T1092" s="39"/>
      <c r="U1092" s="39"/>
      <c r="V1092" s="39"/>
      <c r="W1092" s="39"/>
      <c r="X1092" s="39"/>
      <c r="Y1092" s="39"/>
      <c r="Z1092" s="39"/>
      <c r="AA1092" s="39"/>
      <c r="AB1092" s="39"/>
    </row>
    <row r="1093">
      <c r="A1093" s="1"/>
      <c r="B1093" s="36"/>
      <c r="C1093" s="36"/>
      <c r="D1093" s="36"/>
      <c r="E1093" s="36"/>
      <c r="F1093" s="36"/>
      <c r="G1093" s="36"/>
      <c r="H1093" s="37"/>
      <c r="I1093" s="36"/>
      <c r="J1093" s="38"/>
      <c r="K1093" s="38"/>
      <c r="L1093" s="39"/>
      <c r="M1093" s="39"/>
      <c r="N1093" s="39"/>
      <c r="O1093" s="39"/>
      <c r="P1093" s="39"/>
      <c r="Q1093" s="39"/>
      <c r="R1093" s="39"/>
      <c r="S1093" s="39"/>
      <c r="T1093" s="39"/>
      <c r="U1093" s="39"/>
      <c r="V1093" s="39"/>
      <c r="W1093" s="39"/>
      <c r="X1093" s="39"/>
      <c r="Y1093" s="39"/>
      <c r="Z1093" s="39"/>
      <c r="AA1093" s="39"/>
      <c r="AB1093" s="39"/>
    </row>
    <row r="1094">
      <c r="A1094" s="1"/>
      <c r="B1094" s="36"/>
      <c r="C1094" s="36"/>
      <c r="D1094" s="36"/>
      <c r="E1094" s="36"/>
      <c r="F1094" s="36"/>
      <c r="G1094" s="36"/>
      <c r="H1094" s="37"/>
      <c r="I1094" s="36"/>
      <c r="J1094" s="38"/>
      <c r="K1094" s="38"/>
      <c r="L1094" s="39"/>
      <c r="M1094" s="39"/>
      <c r="N1094" s="39"/>
      <c r="O1094" s="39"/>
      <c r="P1094" s="39"/>
      <c r="Q1094" s="39"/>
      <c r="R1094" s="39"/>
      <c r="S1094" s="39"/>
      <c r="T1094" s="39"/>
      <c r="U1094" s="39"/>
      <c r="V1094" s="39"/>
      <c r="W1094" s="39"/>
      <c r="X1094" s="39"/>
      <c r="Y1094" s="39"/>
      <c r="Z1094" s="39"/>
      <c r="AA1094" s="39"/>
      <c r="AB1094" s="39"/>
    </row>
    <row r="1095">
      <c r="A1095" s="1"/>
      <c r="B1095" s="36"/>
      <c r="C1095" s="36"/>
      <c r="D1095" s="36"/>
      <c r="E1095" s="36"/>
      <c r="F1095" s="36"/>
      <c r="G1095" s="36"/>
      <c r="H1095" s="37"/>
      <c r="I1095" s="36"/>
      <c r="J1095" s="38"/>
      <c r="K1095" s="38"/>
      <c r="L1095" s="39"/>
      <c r="M1095" s="39"/>
      <c r="N1095" s="39"/>
      <c r="O1095" s="39"/>
      <c r="P1095" s="39"/>
      <c r="Q1095" s="39"/>
      <c r="R1095" s="39"/>
      <c r="S1095" s="39"/>
      <c r="T1095" s="39"/>
      <c r="U1095" s="39"/>
      <c r="V1095" s="39"/>
      <c r="W1095" s="39"/>
      <c r="X1095" s="39"/>
      <c r="Y1095" s="39"/>
      <c r="Z1095" s="39"/>
      <c r="AA1095" s="39"/>
      <c r="AB1095" s="39"/>
    </row>
    <row r="1096">
      <c r="A1096" s="1"/>
      <c r="B1096" s="36"/>
      <c r="C1096" s="36"/>
      <c r="D1096" s="36"/>
      <c r="E1096" s="36"/>
      <c r="F1096" s="36"/>
      <c r="G1096" s="36"/>
      <c r="H1096" s="37"/>
      <c r="I1096" s="36"/>
      <c r="J1096" s="38"/>
      <c r="K1096" s="38"/>
      <c r="L1096" s="39"/>
      <c r="M1096" s="39"/>
      <c r="N1096" s="39"/>
      <c r="O1096" s="39"/>
      <c r="P1096" s="39"/>
      <c r="Q1096" s="39"/>
      <c r="R1096" s="39"/>
      <c r="S1096" s="39"/>
      <c r="T1096" s="39"/>
      <c r="U1096" s="39"/>
      <c r="V1096" s="39"/>
      <c r="W1096" s="39"/>
      <c r="X1096" s="39"/>
      <c r="Y1096" s="39"/>
      <c r="Z1096" s="39"/>
      <c r="AA1096" s="39"/>
      <c r="AB1096" s="39"/>
    </row>
    <row r="1097">
      <c r="A1097" s="1"/>
      <c r="B1097" s="36"/>
      <c r="C1097" s="36"/>
      <c r="D1097" s="36"/>
      <c r="E1097" s="36"/>
      <c r="F1097" s="36"/>
      <c r="G1097" s="36"/>
      <c r="H1097" s="37"/>
      <c r="I1097" s="36"/>
      <c r="J1097" s="38"/>
      <c r="K1097" s="38"/>
      <c r="L1097" s="39"/>
      <c r="M1097" s="39"/>
      <c r="N1097" s="39"/>
      <c r="O1097" s="39"/>
      <c r="P1097" s="39"/>
      <c r="Q1097" s="39"/>
      <c r="R1097" s="39"/>
      <c r="S1097" s="39"/>
      <c r="T1097" s="39"/>
      <c r="U1097" s="39"/>
      <c r="V1097" s="39"/>
      <c r="W1097" s="39"/>
      <c r="X1097" s="39"/>
      <c r="Y1097" s="39"/>
      <c r="Z1097" s="39"/>
      <c r="AA1097" s="39"/>
      <c r="AB1097" s="39"/>
    </row>
    <row r="1098">
      <c r="A1098" s="1"/>
      <c r="B1098" s="36"/>
      <c r="C1098" s="36"/>
      <c r="D1098" s="36"/>
      <c r="E1098" s="36"/>
      <c r="F1098" s="36"/>
      <c r="G1098" s="36"/>
      <c r="H1098" s="37"/>
      <c r="I1098" s="36"/>
      <c r="J1098" s="38"/>
      <c r="K1098" s="38"/>
      <c r="L1098" s="39"/>
      <c r="M1098" s="39"/>
      <c r="N1098" s="39"/>
      <c r="O1098" s="39"/>
      <c r="P1098" s="39"/>
      <c r="Q1098" s="39"/>
      <c r="R1098" s="39"/>
      <c r="S1098" s="39"/>
      <c r="T1098" s="39"/>
      <c r="U1098" s="39"/>
      <c r="V1098" s="39"/>
      <c r="W1098" s="39"/>
      <c r="X1098" s="39"/>
      <c r="Y1098" s="39"/>
      <c r="Z1098" s="39"/>
      <c r="AA1098" s="39"/>
      <c r="AB1098" s="39"/>
    </row>
    <row r="1099">
      <c r="A1099" s="1"/>
      <c r="B1099" s="36"/>
      <c r="C1099" s="36"/>
      <c r="D1099" s="36"/>
      <c r="E1099" s="36"/>
      <c r="F1099" s="36"/>
      <c r="G1099" s="36"/>
      <c r="H1099" s="37"/>
      <c r="I1099" s="36"/>
      <c r="J1099" s="38"/>
      <c r="K1099" s="38"/>
      <c r="L1099" s="39"/>
      <c r="M1099" s="39"/>
      <c r="N1099" s="39"/>
      <c r="O1099" s="39"/>
      <c r="P1099" s="39"/>
      <c r="Q1099" s="39"/>
      <c r="R1099" s="39"/>
      <c r="S1099" s="39"/>
      <c r="T1099" s="39"/>
      <c r="U1099" s="39"/>
      <c r="V1099" s="39"/>
      <c r="W1099" s="39"/>
      <c r="X1099" s="39"/>
      <c r="Y1099" s="39"/>
      <c r="Z1099" s="39"/>
      <c r="AA1099" s="39"/>
      <c r="AB1099" s="39"/>
    </row>
    <row r="1100">
      <c r="A1100" s="1"/>
      <c r="B1100" s="36"/>
      <c r="C1100" s="36"/>
      <c r="D1100" s="36"/>
      <c r="E1100" s="36"/>
      <c r="F1100" s="36"/>
      <c r="G1100" s="36"/>
      <c r="H1100" s="37"/>
      <c r="I1100" s="36"/>
      <c r="J1100" s="38"/>
      <c r="K1100" s="38"/>
      <c r="L1100" s="39"/>
      <c r="M1100" s="39"/>
      <c r="N1100" s="39"/>
      <c r="O1100" s="39"/>
      <c r="P1100" s="39"/>
      <c r="Q1100" s="39"/>
      <c r="R1100" s="39"/>
      <c r="S1100" s="39"/>
      <c r="T1100" s="39"/>
      <c r="U1100" s="39"/>
      <c r="V1100" s="39"/>
      <c r="W1100" s="39"/>
      <c r="X1100" s="39"/>
      <c r="Y1100" s="39"/>
      <c r="Z1100" s="39"/>
      <c r="AA1100" s="39"/>
      <c r="AB1100" s="39"/>
    </row>
    <row r="1101">
      <c r="A1101" s="1"/>
      <c r="B1101" s="36"/>
      <c r="C1101" s="36"/>
      <c r="D1101" s="36"/>
      <c r="E1101" s="36"/>
      <c r="F1101" s="36"/>
      <c r="G1101" s="36"/>
      <c r="H1101" s="37"/>
      <c r="I1101" s="36"/>
      <c r="J1101" s="38"/>
      <c r="K1101" s="38"/>
      <c r="L1101" s="39"/>
      <c r="M1101" s="39"/>
      <c r="N1101" s="39"/>
      <c r="O1101" s="39"/>
      <c r="P1101" s="39"/>
      <c r="Q1101" s="39"/>
      <c r="R1101" s="39"/>
      <c r="S1101" s="39"/>
      <c r="T1101" s="39"/>
      <c r="U1101" s="39"/>
      <c r="V1101" s="39"/>
      <c r="W1101" s="39"/>
      <c r="X1101" s="39"/>
      <c r="Y1101" s="39"/>
      <c r="Z1101" s="39"/>
      <c r="AA1101" s="39"/>
      <c r="AB1101" s="39"/>
    </row>
    <row r="1102">
      <c r="A1102" s="1"/>
      <c r="B1102" s="36"/>
      <c r="C1102" s="36"/>
      <c r="D1102" s="36"/>
      <c r="E1102" s="36"/>
      <c r="F1102" s="36"/>
      <c r="G1102" s="36"/>
      <c r="H1102" s="37"/>
      <c r="I1102" s="36"/>
      <c r="J1102" s="38"/>
      <c r="K1102" s="38"/>
      <c r="L1102" s="39"/>
      <c r="M1102" s="39"/>
      <c r="N1102" s="39"/>
      <c r="O1102" s="39"/>
      <c r="P1102" s="39"/>
      <c r="Q1102" s="39"/>
      <c r="R1102" s="39"/>
      <c r="S1102" s="39"/>
      <c r="T1102" s="39"/>
      <c r="U1102" s="39"/>
      <c r="V1102" s="39"/>
      <c r="W1102" s="39"/>
      <c r="X1102" s="39"/>
      <c r="Y1102" s="39"/>
      <c r="Z1102" s="39"/>
      <c r="AA1102" s="39"/>
      <c r="AB1102" s="39"/>
    </row>
    <row r="1103">
      <c r="A1103" s="1"/>
      <c r="B1103" s="36"/>
      <c r="C1103" s="36"/>
      <c r="D1103" s="36"/>
      <c r="E1103" s="36"/>
      <c r="F1103" s="36"/>
      <c r="G1103" s="36"/>
      <c r="H1103" s="37"/>
      <c r="I1103" s="36"/>
      <c r="J1103" s="38"/>
      <c r="K1103" s="38"/>
      <c r="L1103" s="39"/>
      <c r="M1103" s="39"/>
      <c r="N1103" s="39"/>
      <c r="O1103" s="39"/>
      <c r="P1103" s="39"/>
      <c r="Q1103" s="39"/>
      <c r="R1103" s="39"/>
      <c r="S1103" s="39"/>
      <c r="T1103" s="39"/>
      <c r="U1103" s="39"/>
      <c r="V1103" s="39"/>
      <c r="W1103" s="39"/>
      <c r="X1103" s="39"/>
      <c r="Y1103" s="39"/>
      <c r="Z1103" s="39"/>
      <c r="AA1103" s="39"/>
      <c r="AB1103" s="39"/>
    </row>
    <row r="1104">
      <c r="A1104" s="1"/>
      <c r="B1104" s="36"/>
      <c r="C1104" s="36"/>
      <c r="D1104" s="36"/>
      <c r="E1104" s="36"/>
      <c r="F1104" s="36"/>
      <c r="G1104" s="36"/>
      <c r="H1104" s="37"/>
      <c r="I1104" s="36"/>
      <c r="J1104" s="38"/>
      <c r="K1104" s="38"/>
      <c r="L1104" s="39"/>
      <c r="M1104" s="39"/>
      <c r="N1104" s="39"/>
      <c r="O1104" s="39"/>
      <c r="P1104" s="39"/>
      <c r="Q1104" s="39"/>
      <c r="R1104" s="39"/>
      <c r="S1104" s="39"/>
      <c r="T1104" s="39"/>
      <c r="U1104" s="39"/>
      <c r="V1104" s="39"/>
      <c r="W1104" s="39"/>
      <c r="X1104" s="39"/>
      <c r="Y1104" s="39"/>
      <c r="Z1104" s="39"/>
      <c r="AA1104" s="39"/>
      <c r="AB1104" s="39"/>
    </row>
    <row r="1105">
      <c r="A1105" s="1"/>
      <c r="B1105" s="36"/>
      <c r="C1105" s="36"/>
      <c r="D1105" s="36"/>
      <c r="E1105" s="36"/>
      <c r="F1105" s="36"/>
      <c r="G1105" s="36"/>
      <c r="H1105" s="37"/>
      <c r="I1105" s="36"/>
      <c r="J1105" s="38"/>
      <c r="K1105" s="38"/>
      <c r="L1105" s="39"/>
      <c r="M1105" s="39"/>
      <c r="N1105" s="39"/>
      <c r="O1105" s="39"/>
      <c r="P1105" s="39"/>
      <c r="Q1105" s="39"/>
      <c r="R1105" s="39"/>
      <c r="S1105" s="39"/>
      <c r="T1105" s="39"/>
      <c r="U1105" s="39"/>
      <c r="V1105" s="39"/>
      <c r="W1105" s="39"/>
      <c r="X1105" s="39"/>
      <c r="Y1105" s="39"/>
      <c r="Z1105" s="39"/>
      <c r="AA1105" s="39"/>
      <c r="AB1105" s="39"/>
    </row>
    <row r="1106">
      <c r="A1106" s="1"/>
      <c r="B1106" s="36"/>
      <c r="C1106" s="36"/>
      <c r="D1106" s="36"/>
      <c r="E1106" s="36"/>
      <c r="F1106" s="36"/>
      <c r="G1106" s="36"/>
      <c r="H1106" s="37"/>
      <c r="I1106" s="36"/>
      <c r="J1106" s="38"/>
      <c r="K1106" s="38"/>
      <c r="L1106" s="39"/>
      <c r="M1106" s="39"/>
      <c r="N1106" s="39"/>
      <c r="O1106" s="39"/>
      <c r="P1106" s="39"/>
      <c r="Q1106" s="39"/>
      <c r="R1106" s="39"/>
      <c r="S1106" s="39"/>
      <c r="T1106" s="39"/>
      <c r="U1106" s="39"/>
      <c r="V1106" s="39"/>
      <c r="W1106" s="39"/>
      <c r="X1106" s="39"/>
      <c r="Y1106" s="39"/>
      <c r="Z1106" s="39"/>
      <c r="AA1106" s="39"/>
      <c r="AB1106" s="39"/>
    </row>
    <row r="1107">
      <c r="A1107" s="1"/>
      <c r="B1107" s="36"/>
      <c r="C1107" s="36"/>
      <c r="D1107" s="36"/>
      <c r="E1107" s="36"/>
      <c r="F1107" s="36"/>
      <c r="G1107" s="36"/>
      <c r="H1107" s="37"/>
      <c r="I1107" s="36"/>
      <c r="J1107" s="38"/>
      <c r="K1107" s="38"/>
      <c r="L1107" s="39"/>
      <c r="M1107" s="39"/>
      <c r="N1107" s="39"/>
      <c r="O1107" s="39"/>
      <c r="P1107" s="39"/>
      <c r="Q1107" s="39"/>
      <c r="R1107" s="39"/>
      <c r="S1107" s="39"/>
      <c r="T1107" s="39"/>
      <c r="U1107" s="39"/>
      <c r="V1107" s="39"/>
      <c r="W1107" s="39"/>
      <c r="X1107" s="39"/>
      <c r="Y1107" s="39"/>
      <c r="Z1107" s="39"/>
      <c r="AA1107" s="39"/>
      <c r="AB1107" s="39"/>
    </row>
    <row r="1108">
      <c r="A1108" s="1"/>
      <c r="B1108" s="36"/>
      <c r="C1108" s="36"/>
      <c r="D1108" s="36"/>
      <c r="E1108" s="36"/>
      <c r="F1108" s="36"/>
      <c r="G1108" s="36"/>
      <c r="H1108" s="37"/>
      <c r="I1108" s="36"/>
      <c r="J1108" s="38"/>
      <c r="K1108" s="38"/>
      <c r="L1108" s="39"/>
      <c r="M1108" s="39"/>
      <c r="N1108" s="39"/>
      <c r="O1108" s="39"/>
      <c r="P1108" s="39"/>
      <c r="Q1108" s="39"/>
      <c r="R1108" s="39"/>
      <c r="S1108" s="39"/>
      <c r="T1108" s="39"/>
      <c r="U1108" s="39"/>
      <c r="V1108" s="39"/>
      <c r="W1108" s="39"/>
      <c r="X1108" s="39"/>
      <c r="Y1108" s="39"/>
      <c r="Z1108" s="39"/>
      <c r="AA1108" s="39"/>
      <c r="AB1108" s="39"/>
    </row>
    <row r="1109">
      <c r="A1109" s="1"/>
      <c r="B1109" s="36"/>
      <c r="C1109" s="36"/>
      <c r="D1109" s="36"/>
      <c r="E1109" s="36"/>
      <c r="F1109" s="36"/>
      <c r="G1109" s="36"/>
      <c r="H1109" s="37"/>
      <c r="I1109" s="36"/>
      <c r="J1109" s="38"/>
      <c r="K1109" s="38"/>
      <c r="L1109" s="39"/>
      <c r="M1109" s="39"/>
      <c r="N1109" s="39"/>
      <c r="O1109" s="39"/>
      <c r="P1109" s="39"/>
      <c r="Q1109" s="39"/>
      <c r="R1109" s="39"/>
      <c r="S1109" s="39"/>
      <c r="T1109" s="39"/>
      <c r="U1109" s="39"/>
      <c r="V1109" s="39"/>
      <c r="W1109" s="39"/>
      <c r="X1109" s="39"/>
      <c r="Y1109" s="39"/>
      <c r="Z1109" s="39"/>
      <c r="AA1109" s="39"/>
      <c r="AB1109" s="39"/>
    </row>
    <row r="1110">
      <c r="A1110" s="1"/>
      <c r="B1110" s="36"/>
      <c r="C1110" s="36"/>
      <c r="D1110" s="36"/>
      <c r="E1110" s="36"/>
      <c r="F1110" s="36"/>
      <c r="G1110" s="36"/>
      <c r="H1110" s="37"/>
      <c r="I1110" s="36"/>
      <c r="J1110" s="38"/>
      <c r="K1110" s="38"/>
      <c r="L1110" s="39"/>
      <c r="M1110" s="39"/>
      <c r="N1110" s="39"/>
      <c r="O1110" s="39"/>
      <c r="P1110" s="39"/>
      <c r="Q1110" s="39"/>
      <c r="R1110" s="39"/>
      <c r="S1110" s="39"/>
      <c r="T1110" s="39"/>
      <c r="U1110" s="39"/>
      <c r="V1110" s="39"/>
      <c r="W1110" s="39"/>
      <c r="X1110" s="39"/>
      <c r="Y1110" s="39"/>
      <c r="Z1110" s="39"/>
      <c r="AA1110" s="39"/>
      <c r="AB1110" s="39"/>
    </row>
    <row r="1111">
      <c r="A1111" s="1"/>
      <c r="B1111" s="36"/>
      <c r="C1111" s="36"/>
      <c r="D1111" s="36"/>
      <c r="E1111" s="36"/>
      <c r="F1111" s="36"/>
      <c r="G1111" s="36"/>
      <c r="H1111" s="37"/>
      <c r="I1111" s="36"/>
      <c r="J1111" s="38"/>
      <c r="K1111" s="38"/>
      <c r="L1111" s="39"/>
      <c r="M1111" s="39"/>
      <c r="N1111" s="39"/>
      <c r="O1111" s="39"/>
      <c r="P1111" s="39"/>
      <c r="Q1111" s="39"/>
      <c r="R1111" s="39"/>
      <c r="S1111" s="39"/>
      <c r="T1111" s="39"/>
      <c r="U1111" s="39"/>
      <c r="V1111" s="39"/>
      <c r="W1111" s="39"/>
      <c r="X1111" s="39"/>
      <c r="Y1111" s="39"/>
      <c r="Z1111" s="39"/>
      <c r="AA1111" s="39"/>
      <c r="AB1111" s="39"/>
    </row>
    <row r="1112">
      <c r="A1112" s="1"/>
      <c r="B1112" s="36"/>
      <c r="C1112" s="36"/>
      <c r="D1112" s="36"/>
      <c r="E1112" s="36"/>
      <c r="F1112" s="36"/>
      <c r="G1112" s="36"/>
      <c r="H1112" s="37"/>
      <c r="I1112" s="36"/>
      <c r="J1112" s="38"/>
      <c r="K1112" s="38"/>
      <c r="L1112" s="39"/>
      <c r="M1112" s="39"/>
      <c r="N1112" s="39"/>
      <c r="O1112" s="39"/>
      <c r="P1112" s="39"/>
      <c r="Q1112" s="39"/>
      <c r="R1112" s="39"/>
      <c r="S1112" s="39"/>
      <c r="T1112" s="39"/>
      <c r="U1112" s="39"/>
      <c r="V1112" s="39"/>
      <c r="W1112" s="39"/>
      <c r="X1112" s="39"/>
      <c r="Y1112" s="39"/>
      <c r="Z1112" s="39"/>
      <c r="AA1112" s="39"/>
      <c r="AB1112" s="39"/>
    </row>
    <row r="1113">
      <c r="A1113" s="1"/>
      <c r="B1113" s="36"/>
      <c r="C1113" s="36"/>
      <c r="D1113" s="36"/>
      <c r="E1113" s="36"/>
      <c r="F1113" s="36"/>
      <c r="G1113" s="36"/>
      <c r="H1113" s="37"/>
      <c r="I1113" s="36"/>
      <c r="J1113" s="38"/>
      <c r="K1113" s="38"/>
      <c r="L1113" s="39"/>
      <c r="M1113" s="39"/>
      <c r="N1113" s="39"/>
      <c r="O1113" s="39"/>
      <c r="P1113" s="39"/>
      <c r="Q1113" s="39"/>
      <c r="R1113" s="39"/>
      <c r="S1113" s="39"/>
      <c r="T1113" s="39"/>
      <c r="U1113" s="39"/>
      <c r="V1113" s="39"/>
      <c r="W1113" s="39"/>
      <c r="X1113" s="39"/>
      <c r="Y1113" s="39"/>
      <c r="Z1113" s="39"/>
      <c r="AA1113" s="39"/>
      <c r="AB1113" s="39"/>
    </row>
    <row r="1114">
      <c r="A1114" s="1"/>
      <c r="B1114" s="36"/>
      <c r="C1114" s="36"/>
      <c r="D1114" s="36"/>
      <c r="E1114" s="36"/>
      <c r="F1114" s="36"/>
      <c r="G1114" s="36"/>
      <c r="H1114" s="37"/>
      <c r="I1114" s="36"/>
      <c r="J1114" s="38"/>
      <c r="K1114" s="38"/>
      <c r="L1114" s="39"/>
      <c r="M1114" s="39"/>
      <c r="N1114" s="39"/>
      <c r="O1114" s="39"/>
      <c r="P1114" s="39"/>
      <c r="Q1114" s="39"/>
      <c r="R1114" s="39"/>
      <c r="S1114" s="39"/>
      <c r="T1114" s="39"/>
      <c r="U1114" s="39"/>
      <c r="V1114" s="39"/>
      <c r="W1114" s="39"/>
      <c r="X1114" s="39"/>
      <c r="Y1114" s="39"/>
      <c r="Z1114" s="39"/>
      <c r="AA1114" s="39"/>
      <c r="AB1114" s="39"/>
    </row>
    <row r="1115">
      <c r="A1115" s="1"/>
      <c r="B1115" s="36"/>
      <c r="C1115" s="36"/>
      <c r="D1115" s="36"/>
      <c r="E1115" s="36"/>
      <c r="F1115" s="36"/>
      <c r="G1115" s="36"/>
      <c r="H1115" s="37"/>
      <c r="I1115" s="36"/>
      <c r="J1115" s="38"/>
      <c r="K1115" s="38"/>
      <c r="L1115" s="39"/>
      <c r="M1115" s="39"/>
      <c r="N1115" s="39"/>
      <c r="O1115" s="39"/>
      <c r="P1115" s="39"/>
      <c r="Q1115" s="39"/>
      <c r="R1115" s="39"/>
      <c r="S1115" s="39"/>
      <c r="T1115" s="39"/>
      <c r="U1115" s="39"/>
      <c r="V1115" s="39"/>
      <c r="W1115" s="39"/>
      <c r="X1115" s="39"/>
      <c r="Y1115" s="39"/>
      <c r="Z1115" s="39"/>
      <c r="AA1115" s="39"/>
      <c r="AB1115" s="39"/>
    </row>
    <row r="1116">
      <c r="A1116" s="1"/>
      <c r="B1116" s="36"/>
      <c r="C1116" s="36"/>
      <c r="D1116" s="36"/>
      <c r="E1116" s="36"/>
      <c r="F1116" s="36"/>
      <c r="G1116" s="36"/>
      <c r="H1116" s="37"/>
      <c r="I1116" s="36"/>
      <c r="J1116" s="38"/>
      <c r="K1116" s="38"/>
      <c r="L1116" s="39"/>
      <c r="M1116" s="39"/>
      <c r="N1116" s="39"/>
      <c r="O1116" s="39"/>
      <c r="P1116" s="39"/>
      <c r="Q1116" s="39"/>
      <c r="R1116" s="39"/>
      <c r="S1116" s="39"/>
      <c r="T1116" s="39"/>
      <c r="U1116" s="39"/>
      <c r="V1116" s="39"/>
      <c r="W1116" s="39"/>
      <c r="X1116" s="39"/>
      <c r="Y1116" s="39"/>
      <c r="Z1116" s="39"/>
      <c r="AA1116" s="39"/>
      <c r="AB1116" s="39"/>
    </row>
    <row r="1117">
      <c r="A1117" s="1"/>
      <c r="B1117" s="36"/>
      <c r="C1117" s="36"/>
      <c r="D1117" s="36"/>
      <c r="E1117" s="36"/>
      <c r="F1117" s="36"/>
      <c r="G1117" s="36"/>
      <c r="H1117" s="37"/>
      <c r="I1117" s="36"/>
      <c r="J1117" s="38"/>
      <c r="K1117" s="38"/>
      <c r="L1117" s="39"/>
      <c r="M1117" s="39"/>
      <c r="N1117" s="39"/>
      <c r="O1117" s="39"/>
      <c r="P1117" s="39"/>
      <c r="Q1117" s="39"/>
      <c r="R1117" s="39"/>
      <c r="S1117" s="39"/>
      <c r="T1117" s="39"/>
      <c r="U1117" s="39"/>
      <c r="V1117" s="39"/>
      <c r="W1117" s="39"/>
      <c r="X1117" s="39"/>
      <c r="Y1117" s="39"/>
      <c r="Z1117" s="39"/>
      <c r="AA1117" s="39"/>
      <c r="AB1117" s="39"/>
    </row>
    <row r="1118">
      <c r="A1118" s="1"/>
      <c r="B1118" s="36"/>
      <c r="C1118" s="36"/>
      <c r="D1118" s="36"/>
      <c r="E1118" s="36"/>
      <c r="F1118" s="36"/>
      <c r="G1118" s="36"/>
      <c r="H1118" s="37"/>
      <c r="I1118" s="36"/>
      <c r="J1118" s="38"/>
      <c r="K1118" s="38"/>
      <c r="L1118" s="39"/>
      <c r="M1118" s="39"/>
      <c r="N1118" s="39"/>
      <c r="O1118" s="39"/>
      <c r="P1118" s="39"/>
      <c r="Q1118" s="39"/>
      <c r="R1118" s="39"/>
      <c r="S1118" s="39"/>
      <c r="T1118" s="39"/>
      <c r="U1118" s="39"/>
      <c r="V1118" s="39"/>
      <c r="W1118" s="39"/>
      <c r="X1118" s="39"/>
      <c r="Y1118" s="39"/>
      <c r="Z1118" s="39"/>
      <c r="AA1118" s="39"/>
      <c r="AB1118" s="39"/>
    </row>
    <row r="1119">
      <c r="A1119" s="1"/>
      <c r="B1119" s="36"/>
      <c r="C1119" s="36"/>
      <c r="D1119" s="36"/>
      <c r="E1119" s="36"/>
      <c r="F1119" s="36"/>
      <c r="G1119" s="36"/>
      <c r="H1119" s="37"/>
      <c r="I1119" s="36"/>
      <c r="J1119" s="38"/>
      <c r="K1119" s="38"/>
      <c r="L1119" s="39"/>
      <c r="M1119" s="39"/>
      <c r="N1119" s="39"/>
      <c r="O1119" s="39"/>
      <c r="P1119" s="39"/>
      <c r="Q1119" s="39"/>
      <c r="R1119" s="39"/>
      <c r="S1119" s="39"/>
      <c r="T1119" s="39"/>
      <c r="U1119" s="39"/>
      <c r="V1119" s="39"/>
      <c r="W1119" s="39"/>
      <c r="X1119" s="39"/>
      <c r="Y1119" s="39"/>
      <c r="Z1119" s="39"/>
      <c r="AA1119" s="39"/>
      <c r="AB1119" s="39"/>
    </row>
    <row r="1120">
      <c r="A1120" s="1"/>
      <c r="B1120" s="36"/>
      <c r="C1120" s="36"/>
      <c r="D1120" s="36"/>
      <c r="E1120" s="36"/>
      <c r="F1120" s="36"/>
      <c r="G1120" s="36"/>
      <c r="H1120" s="37"/>
      <c r="I1120" s="36"/>
      <c r="J1120" s="38"/>
      <c r="K1120" s="38"/>
      <c r="L1120" s="39"/>
      <c r="M1120" s="39"/>
      <c r="N1120" s="39"/>
      <c r="O1120" s="39"/>
      <c r="P1120" s="39"/>
      <c r="Q1120" s="39"/>
      <c r="R1120" s="39"/>
      <c r="S1120" s="39"/>
      <c r="T1120" s="39"/>
      <c r="U1120" s="39"/>
      <c r="V1120" s="39"/>
      <c r="W1120" s="39"/>
      <c r="X1120" s="39"/>
      <c r="Y1120" s="39"/>
      <c r="Z1120" s="39"/>
      <c r="AA1120" s="39"/>
      <c r="AB1120" s="39"/>
    </row>
    <row r="1121">
      <c r="A1121" s="1"/>
      <c r="B1121" s="36"/>
      <c r="C1121" s="36"/>
      <c r="D1121" s="36"/>
      <c r="E1121" s="36"/>
      <c r="F1121" s="36"/>
      <c r="G1121" s="36"/>
      <c r="H1121" s="37"/>
      <c r="I1121" s="36"/>
      <c r="J1121" s="38"/>
      <c r="K1121" s="38"/>
      <c r="L1121" s="39"/>
      <c r="M1121" s="39"/>
      <c r="N1121" s="39"/>
      <c r="O1121" s="39"/>
      <c r="P1121" s="39"/>
      <c r="Q1121" s="39"/>
      <c r="R1121" s="39"/>
      <c r="S1121" s="39"/>
      <c r="T1121" s="39"/>
      <c r="U1121" s="39"/>
      <c r="V1121" s="39"/>
      <c r="W1121" s="39"/>
      <c r="X1121" s="39"/>
      <c r="Y1121" s="39"/>
      <c r="Z1121" s="39"/>
      <c r="AA1121" s="39"/>
      <c r="AB1121" s="39"/>
    </row>
    <row r="1122">
      <c r="A1122" s="1"/>
      <c r="B1122" s="36"/>
      <c r="C1122" s="36"/>
      <c r="D1122" s="36"/>
      <c r="E1122" s="36"/>
      <c r="F1122" s="36"/>
      <c r="G1122" s="36"/>
      <c r="H1122" s="37"/>
      <c r="I1122" s="36"/>
      <c r="J1122" s="38"/>
      <c r="K1122" s="38"/>
      <c r="L1122" s="39"/>
      <c r="M1122" s="39"/>
      <c r="N1122" s="39"/>
      <c r="O1122" s="39"/>
      <c r="P1122" s="39"/>
      <c r="Q1122" s="39"/>
      <c r="R1122" s="39"/>
      <c r="S1122" s="39"/>
      <c r="T1122" s="39"/>
      <c r="U1122" s="39"/>
      <c r="V1122" s="39"/>
      <c r="W1122" s="39"/>
      <c r="X1122" s="39"/>
      <c r="Y1122" s="39"/>
      <c r="Z1122" s="39"/>
      <c r="AA1122" s="39"/>
      <c r="AB1122" s="39"/>
    </row>
    <row r="1123">
      <c r="A1123" s="1"/>
      <c r="B1123" s="36"/>
      <c r="C1123" s="36"/>
      <c r="D1123" s="36"/>
      <c r="E1123" s="36"/>
      <c r="F1123" s="36"/>
      <c r="G1123" s="36"/>
      <c r="H1123" s="37"/>
      <c r="I1123" s="36"/>
      <c r="J1123" s="38"/>
      <c r="K1123" s="38"/>
      <c r="L1123" s="39"/>
      <c r="M1123" s="39"/>
      <c r="N1123" s="39"/>
      <c r="O1123" s="39"/>
      <c r="P1123" s="39"/>
      <c r="Q1123" s="39"/>
      <c r="R1123" s="39"/>
      <c r="S1123" s="39"/>
      <c r="T1123" s="39"/>
      <c r="U1123" s="39"/>
      <c r="V1123" s="39"/>
      <c r="W1123" s="39"/>
      <c r="X1123" s="39"/>
      <c r="Y1123" s="39"/>
      <c r="Z1123" s="39"/>
      <c r="AA1123" s="39"/>
      <c r="AB1123" s="39"/>
    </row>
    <row r="1124">
      <c r="A1124" s="1"/>
      <c r="B1124" s="36"/>
      <c r="C1124" s="36"/>
      <c r="D1124" s="36"/>
      <c r="E1124" s="36"/>
      <c r="F1124" s="36"/>
      <c r="G1124" s="36"/>
      <c r="H1124" s="37"/>
      <c r="I1124" s="36"/>
      <c r="J1124" s="38"/>
      <c r="K1124" s="38"/>
      <c r="L1124" s="39"/>
      <c r="M1124" s="39"/>
      <c r="N1124" s="39"/>
      <c r="O1124" s="39"/>
      <c r="P1124" s="39"/>
      <c r="Q1124" s="39"/>
      <c r="R1124" s="39"/>
      <c r="S1124" s="39"/>
      <c r="T1124" s="39"/>
      <c r="U1124" s="39"/>
      <c r="V1124" s="39"/>
      <c r="W1124" s="39"/>
      <c r="X1124" s="39"/>
      <c r="Y1124" s="39"/>
      <c r="Z1124" s="39"/>
      <c r="AA1124" s="39"/>
      <c r="AB1124" s="39"/>
    </row>
    <row r="1125">
      <c r="A1125" s="1"/>
      <c r="B1125" s="36"/>
      <c r="C1125" s="36"/>
      <c r="D1125" s="36"/>
      <c r="E1125" s="36"/>
      <c r="F1125" s="36"/>
      <c r="G1125" s="36"/>
      <c r="H1125" s="37"/>
      <c r="I1125" s="36"/>
      <c r="J1125" s="38"/>
      <c r="K1125" s="38"/>
      <c r="L1125" s="39"/>
      <c r="M1125" s="39"/>
      <c r="N1125" s="39"/>
      <c r="O1125" s="39"/>
      <c r="P1125" s="39"/>
      <c r="Q1125" s="39"/>
      <c r="R1125" s="39"/>
      <c r="S1125" s="39"/>
      <c r="T1125" s="39"/>
      <c r="U1125" s="39"/>
      <c r="V1125" s="39"/>
      <c r="W1125" s="39"/>
      <c r="X1125" s="39"/>
      <c r="Y1125" s="39"/>
      <c r="Z1125" s="39"/>
      <c r="AA1125" s="39"/>
      <c r="AB1125" s="39"/>
    </row>
    <row r="1126">
      <c r="A1126" s="1"/>
      <c r="B1126" s="36"/>
      <c r="C1126" s="36"/>
      <c r="D1126" s="36"/>
      <c r="E1126" s="36"/>
      <c r="F1126" s="36"/>
      <c r="G1126" s="36"/>
      <c r="H1126" s="37"/>
      <c r="I1126" s="36"/>
      <c r="J1126" s="38"/>
      <c r="K1126" s="38"/>
      <c r="L1126" s="39"/>
      <c r="M1126" s="39"/>
      <c r="N1126" s="39"/>
      <c r="O1126" s="39"/>
      <c r="P1126" s="39"/>
      <c r="Q1126" s="39"/>
      <c r="R1126" s="39"/>
      <c r="S1126" s="39"/>
      <c r="T1126" s="39"/>
      <c r="U1126" s="39"/>
      <c r="V1126" s="39"/>
      <c r="W1126" s="39"/>
      <c r="X1126" s="39"/>
      <c r="Y1126" s="39"/>
      <c r="Z1126" s="39"/>
      <c r="AA1126" s="39"/>
      <c r="AB1126" s="39"/>
    </row>
    <row r="1127">
      <c r="A1127" s="1"/>
      <c r="B1127" s="36"/>
      <c r="C1127" s="36"/>
      <c r="D1127" s="36"/>
      <c r="E1127" s="36"/>
      <c r="F1127" s="36"/>
      <c r="G1127" s="36"/>
      <c r="H1127" s="37"/>
      <c r="I1127" s="36"/>
      <c r="J1127" s="38"/>
      <c r="K1127" s="38"/>
      <c r="L1127" s="39"/>
      <c r="M1127" s="39"/>
      <c r="N1127" s="39"/>
      <c r="O1127" s="39"/>
      <c r="P1127" s="39"/>
      <c r="Q1127" s="39"/>
      <c r="R1127" s="39"/>
      <c r="S1127" s="39"/>
      <c r="T1127" s="39"/>
      <c r="U1127" s="39"/>
      <c r="V1127" s="39"/>
      <c r="W1127" s="39"/>
      <c r="X1127" s="39"/>
      <c r="Y1127" s="39"/>
      <c r="Z1127" s="39"/>
      <c r="AA1127" s="39"/>
      <c r="AB1127" s="39"/>
    </row>
    <row r="1128">
      <c r="A1128" s="1"/>
      <c r="B1128" s="36"/>
      <c r="C1128" s="36"/>
      <c r="D1128" s="36"/>
      <c r="E1128" s="36"/>
      <c r="F1128" s="36"/>
      <c r="G1128" s="36"/>
      <c r="H1128" s="37"/>
      <c r="I1128" s="36"/>
      <c r="J1128" s="38"/>
      <c r="K1128" s="38"/>
      <c r="L1128" s="39"/>
      <c r="M1128" s="39"/>
      <c r="N1128" s="39"/>
      <c r="O1128" s="39"/>
      <c r="P1128" s="39"/>
      <c r="Q1128" s="39"/>
      <c r="R1128" s="39"/>
      <c r="S1128" s="39"/>
      <c r="T1128" s="39"/>
      <c r="U1128" s="39"/>
      <c r="V1128" s="39"/>
      <c r="W1128" s="39"/>
      <c r="X1128" s="39"/>
      <c r="Y1128" s="39"/>
      <c r="Z1128" s="39"/>
      <c r="AA1128" s="39"/>
      <c r="AB1128" s="39"/>
    </row>
    <row r="1129">
      <c r="A1129" s="1"/>
      <c r="B1129" s="36"/>
      <c r="C1129" s="36"/>
      <c r="D1129" s="36"/>
      <c r="E1129" s="36"/>
      <c r="F1129" s="36"/>
      <c r="G1129" s="36"/>
      <c r="H1129" s="37"/>
      <c r="I1129" s="36"/>
      <c r="J1129" s="38"/>
      <c r="K1129" s="38"/>
      <c r="L1129" s="39"/>
      <c r="M1129" s="39"/>
      <c r="N1129" s="39"/>
      <c r="O1129" s="39"/>
      <c r="P1129" s="39"/>
      <c r="Q1129" s="39"/>
      <c r="R1129" s="39"/>
      <c r="S1129" s="39"/>
      <c r="T1129" s="39"/>
      <c r="U1129" s="39"/>
      <c r="V1129" s="39"/>
      <c r="W1129" s="39"/>
      <c r="X1129" s="39"/>
      <c r="Y1129" s="39"/>
      <c r="Z1129" s="39"/>
      <c r="AA1129" s="39"/>
      <c r="AB1129" s="39"/>
    </row>
    <row r="1130">
      <c r="A1130" s="1"/>
      <c r="B1130" s="36"/>
      <c r="C1130" s="36"/>
      <c r="D1130" s="36"/>
      <c r="E1130" s="36"/>
      <c r="F1130" s="36"/>
      <c r="G1130" s="36"/>
      <c r="H1130" s="37"/>
      <c r="I1130" s="36"/>
      <c r="J1130" s="38"/>
      <c r="K1130" s="38"/>
      <c r="L1130" s="39"/>
      <c r="M1130" s="39"/>
      <c r="N1130" s="39"/>
      <c r="O1130" s="39"/>
      <c r="P1130" s="39"/>
      <c r="Q1130" s="39"/>
      <c r="R1130" s="39"/>
      <c r="S1130" s="39"/>
      <c r="T1130" s="39"/>
      <c r="U1130" s="39"/>
      <c r="V1130" s="39"/>
      <c r="W1130" s="39"/>
      <c r="X1130" s="39"/>
      <c r="Y1130" s="39"/>
      <c r="Z1130" s="39"/>
      <c r="AA1130" s="39"/>
      <c r="AB1130" s="39"/>
    </row>
    <row r="1131">
      <c r="A1131" s="1"/>
      <c r="B1131" s="36"/>
      <c r="C1131" s="36"/>
      <c r="D1131" s="36"/>
      <c r="E1131" s="36"/>
      <c r="F1131" s="36"/>
      <c r="G1131" s="36"/>
      <c r="H1131" s="37"/>
      <c r="I1131" s="36"/>
      <c r="J1131" s="38"/>
      <c r="K1131" s="38"/>
      <c r="L1131" s="39"/>
      <c r="M1131" s="39"/>
      <c r="N1131" s="39"/>
      <c r="O1131" s="39"/>
      <c r="P1131" s="39"/>
      <c r="Q1131" s="39"/>
      <c r="R1131" s="39"/>
      <c r="S1131" s="39"/>
      <c r="T1131" s="39"/>
      <c r="U1131" s="39"/>
      <c r="V1131" s="39"/>
      <c r="W1131" s="39"/>
      <c r="X1131" s="39"/>
      <c r="Y1131" s="39"/>
      <c r="Z1131" s="39"/>
      <c r="AA1131" s="39"/>
      <c r="AB1131" s="39"/>
    </row>
    <row r="1132">
      <c r="A1132" s="1"/>
      <c r="B1132" s="36"/>
      <c r="C1132" s="36"/>
      <c r="D1132" s="36"/>
      <c r="E1132" s="36"/>
      <c r="F1132" s="36"/>
      <c r="G1132" s="36"/>
      <c r="H1132" s="37"/>
      <c r="I1132" s="36"/>
      <c r="J1132" s="38"/>
      <c r="K1132" s="38"/>
      <c r="L1132" s="39"/>
      <c r="M1132" s="39"/>
      <c r="N1132" s="39"/>
      <c r="O1132" s="39"/>
      <c r="P1132" s="39"/>
      <c r="Q1132" s="39"/>
      <c r="R1132" s="39"/>
      <c r="S1132" s="39"/>
      <c r="T1132" s="39"/>
      <c r="U1132" s="39"/>
      <c r="V1132" s="39"/>
      <c r="W1132" s="39"/>
      <c r="X1132" s="39"/>
      <c r="Y1132" s="39"/>
      <c r="Z1132" s="39"/>
      <c r="AA1132" s="39"/>
      <c r="AB1132" s="39"/>
    </row>
    <row r="1133">
      <c r="A1133" s="1"/>
      <c r="B1133" s="36"/>
      <c r="C1133" s="36"/>
      <c r="D1133" s="36"/>
      <c r="E1133" s="36"/>
      <c r="F1133" s="36"/>
      <c r="G1133" s="36"/>
      <c r="H1133" s="37"/>
      <c r="I1133" s="36"/>
      <c r="J1133" s="38"/>
      <c r="K1133" s="38"/>
      <c r="L1133" s="39"/>
      <c r="M1133" s="39"/>
      <c r="N1133" s="39"/>
      <c r="O1133" s="39"/>
      <c r="P1133" s="39"/>
      <c r="Q1133" s="39"/>
      <c r="R1133" s="39"/>
      <c r="S1133" s="39"/>
      <c r="T1133" s="39"/>
      <c r="U1133" s="39"/>
      <c r="V1133" s="39"/>
      <c r="W1133" s="39"/>
      <c r="X1133" s="39"/>
      <c r="Y1133" s="39"/>
      <c r="Z1133" s="39"/>
      <c r="AA1133" s="39"/>
      <c r="AB1133" s="39"/>
    </row>
    <row r="1134">
      <c r="A1134" s="1"/>
      <c r="B1134" s="36"/>
      <c r="C1134" s="36"/>
      <c r="D1134" s="36"/>
      <c r="E1134" s="36"/>
      <c r="F1134" s="36"/>
      <c r="G1134" s="36"/>
      <c r="H1134" s="37"/>
      <c r="I1134" s="36"/>
      <c r="J1134" s="38"/>
      <c r="K1134" s="38"/>
      <c r="L1134" s="39"/>
      <c r="M1134" s="39"/>
      <c r="N1134" s="39"/>
      <c r="O1134" s="39"/>
      <c r="P1134" s="39"/>
      <c r="Q1134" s="39"/>
      <c r="R1134" s="39"/>
      <c r="S1134" s="39"/>
      <c r="T1134" s="39"/>
      <c r="U1134" s="39"/>
      <c r="V1134" s="39"/>
      <c r="W1134" s="39"/>
      <c r="X1134" s="39"/>
      <c r="Y1134" s="39"/>
      <c r="Z1134" s="39"/>
      <c r="AA1134" s="39"/>
      <c r="AB1134" s="39"/>
    </row>
    <row r="1135">
      <c r="A1135" s="1"/>
      <c r="B1135" s="36"/>
      <c r="C1135" s="36"/>
      <c r="D1135" s="36"/>
      <c r="E1135" s="36"/>
      <c r="F1135" s="36"/>
      <c r="G1135" s="36"/>
      <c r="H1135" s="37"/>
      <c r="I1135" s="36"/>
      <c r="J1135" s="38"/>
      <c r="K1135" s="38"/>
      <c r="L1135" s="39"/>
      <c r="M1135" s="39"/>
      <c r="N1135" s="39"/>
      <c r="O1135" s="39"/>
      <c r="P1135" s="39"/>
      <c r="Q1135" s="39"/>
      <c r="R1135" s="39"/>
      <c r="S1135" s="39"/>
      <c r="T1135" s="39"/>
      <c r="U1135" s="39"/>
      <c r="V1135" s="39"/>
      <c r="W1135" s="39"/>
      <c r="X1135" s="39"/>
      <c r="Y1135" s="39"/>
      <c r="Z1135" s="39"/>
      <c r="AA1135" s="39"/>
      <c r="AB1135" s="39"/>
    </row>
    <row r="1136">
      <c r="A1136" s="1"/>
      <c r="B1136" s="36"/>
      <c r="C1136" s="36"/>
      <c r="D1136" s="36"/>
      <c r="E1136" s="36"/>
      <c r="F1136" s="36"/>
      <c r="G1136" s="36"/>
      <c r="H1136" s="37"/>
      <c r="I1136" s="36"/>
      <c r="J1136" s="38"/>
      <c r="K1136" s="38"/>
      <c r="L1136" s="39"/>
      <c r="M1136" s="39"/>
      <c r="N1136" s="39"/>
      <c r="O1136" s="39"/>
      <c r="P1136" s="39"/>
      <c r="Q1136" s="39"/>
      <c r="R1136" s="39"/>
      <c r="S1136" s="39"/>
      <c r="T1136" s="39"/>
      <c r="U1136" s="39"/>
      <c r="V1136" s="39"/>
      <c r="W1136" s="39"/>
      <c r="X1136" s="39"/>
      <c r="Y1136" s="39"/>
      <c r="Z1136" s="39"/>
      <c r="AA1136" s="39"/>
      <c r="AB1136" s="39"/>
    </row>
    <row r="1137">
      <c r="A1137" s="1"/>
      <c r="B1137" s="36"/>
      <c r="C1137" s="36"/>
      <c r="D1137" s="36"/>
      <c r="E1137" s="36"/>
      <c r="F1137" s="36"/>
      <c r="G1137" s="36"/>
      <c r="H1137" s="37"/>
      <c r="I1137" s="36"/>
      <c r="J1137" s="38"/>
      <c r="K1137" s="38"/>
      <c r="L1137" s="39"/>
      <c r="M1137" s="39"/>
      <c r="N1137" s="39"/>
      <c r="O1137" s="39"/>
      <c r="P1137" s="39"/>
      <c r="Q1137" s="39"/>
      <c r="R1137" s="39"/>
      <c r="S1137" s="39"/>
      <c r="T1137" s="39"/>
      <c r="U1137" s="39"/>
      <c r="V1137" s="39"/>
      <c r="W1137" s="39"/>
      <c r="X1137" s="39"/>
      <c r="Y1137" s="39"/>
      <c r="Z1137" s="39"/>
      <c r="AA1137" s="39"/>
      <c r="AB1137" s="39"/>
    </row>
    <row r="1138">
      <c r="A1138" s="1"/>
      <c r="B1138" s="36"/>
      <c r="C1138" s="36"/>
      <c r="D1138" s="36"/>
      <c r="E1138" s="36"/>
      <c r="F1138" s="36"/>
      <c r="G1138" s="36"/>
      <c r="H1138" s="37"/>
      <c r="I1138" s="36"/>
      <c r="J1138" s="38"/>
      <c r="K1138" s="38"/>
      <c r="L1138" s="39"/>
      <c r="M1138" s="39"/>
      <c r="N1138" s="39"/>
      <c r="O1138" s="39"/>
      <c r="P1138" s="39"/>
      <c r="Q1138" s="39"/>
      <c r="R1138" s="39"/>
      <c r="S1138" s="39"/>
      <c r="T1138" s="39"/>
      <c r="U1138" s="39"/>
      <c r="V1138" s="39"/>
      <c r="W1138" s="39"/>
      <c r="X1138" s="39"/>
      <c r="Y1138" s="39"/>
      <c r="Z1138" s="39"/>
      <c r="AA1138" s="39"/>
      <c r="AB1138" s="39"/>
    </row>
    <row r="1139">
      <c r="A1139" s="1"/>
      <c r="B1139" s="36"/>
      <c r="C1139" s="36"/>
      <c r="D1139" s="36"/>
      <c r="E1139" s="36"/>
      <c r="F1139" s="36"/>
      <c r="G1139" s="36"/>
      <c r="H1139" s="37"/>
      <c r="I1139" s="36"/>
      <c r="J1139" s="38"/>
      <c r="K1139" s="38"/>
      <c r="L1139" s="39"/>
      <c r="M1139" s="39"/>
      <c r="N1139" s="39"/>
      <c r="O1139" s="39"/>
      <c r="P1139" s="39"/>
      <c r="Q1139" s="39"/>
      <c r="R1139" s="39"/>
      <c r="S1139" s="39"/>
      <c r="T1139" s="39"/>
      <c r="U1139" s="39"/>
      <c r="V1139" s="39"/>
      <c r="W1139" s="39"/>
      <c r="X1139" s="39"/>
      <c r="Y1139" s="39"/>
      <c r="Z1139" s="39"/>
      <c r="AA1139" s="39"/>
      <c r="AB1139" s="39"/>
    </row>
    <row r="1140">
      <c r="A1140" s="1"/>
      <c r="B1140" s="36"/>
      <c r="C1140" s="36"/>
      <c r="D1140" s="36"/>
      <c r="E1140" s="36"/>
      <c r="F1140" s="36"/>
      <c r="G1140" s="36"/>
      <c r="H1140" s="37"/>
      <c r="I1140" s="36"/>
      <c r="J1140" s="38"/>
      <c r="K1140" s="38"/>
      <c r="L1140" s="39"/>
      <c r="M1140" s="39"/>
      <c r="N1140" s="39"/>
      <c r="O1140" s="39"/>
      <c r="P1140" s="39"/>
      <c r="Q1140" s="39"/>
      <c r="R1140" s="39"/>
      <c r="S1140" s="39"/>
      <c r="T1140" s="39"/>
      <c r="U1140" s="39"/>
      <c r="V1140" s="39"/>
      <c r="W1140" s="39"/>
      <c r="X1140" s="39"/>
      <c r="Y1140" s="39"/>
      <c r="Z1140" s="39"/>
      <c r="AA1140" s="39"/>
      <c r="AB1140" s="39"/>
    </row>
    <row r="1141">
      <c r="A1141" s="1"/>
      <c r="B1141" s="36"/>
      <c r="C1141" s="36"/>
      <c r="D1141" s="36"/>
      <c r="E1141" s="36"/>
      <c r="F1141" s="36"/>
      <c r="G1141" s="36"/>
      <c r="H1141" s="37"/>
      <c r="I1141" s="36"/>
      <c r="J1141" s="38"/>
      <c r="K1141" s="38"/>
      <c r="L1141" s="39"/>
      <c r="M1141" s="39"/>
      <c r="N1141" s="39"/>
      <c r="O1141" s="39"/>
      <c r="P1141" s="39"/>
      <c r="Q1141" s="39"/>
      <c r="R1141" s="39"/>
      <c r="S1141" s="39"/>
      <c r="T1141" s="39"/>
      <c r="U1141" s="39"/>
      <c r="V1141" s="39"/>
      <c r="W1141" s="39"/>
      <c r="X1141" s="39"/>
      <c r="Y1141" s="39"/>
      <c r="Z1141" s="39"/>
      <c r="AA1141" s="39"/>
      <c r="AB1141" s="39"/>
    </row>
    <row r="1142">
      <c r="A1142" s="1"/>
      <c r="B1142" s="36"/>
      <c r="C1142" s="36"/>
      <c r="D1142" s="36"/>
      <c r="E1142" s="36"/>
      <c r="F1142" s="36"/>
      <c r="G1142" s="36"/>
      <c r="H1142" s="37"/>
      <c r="I1142" s="36"/>
      <c r="J1142" s="38"/>
      <c r="K1142" s="38"/>
      <c r="L1142" s="39"/>
      <c r="M1142" s="39"/>
      <c r="N1142" s="39"/>
      <c r="O1142" s="39"/>
      <c r="P1142" s="39"/>
      <c r="Q1142" s="39"/>
      <c r="R1142" s="39"/>
      <c r="S1142" s="39"/>
      <c r="T1142" s="39"/>
      <c r="U1142" s="39"/>
      <c r="V1142" s="39"/>
      <c r="W1142" s="39"/>
      <c r="X1142" s="39"/>
      <c r="Y1142" s="39"/>
      <c r="Z1142" s="39"/>
      <c r="AA1142" s="39"/>
      <c r="AB1142" s="39"/>
    </row>
    <row r="1143">
      <c r="A1143" s="1"/>
      <c r="B1143" s="36"/>
      <c r="C1143" s="36"/>
      <c r="D1143" s="36"/>
      <c r="E1143" s="36"/>
      <c r="F1143" s="36"/>
      <c r="G1143" s="36"/>
      <c r="H1143" s="37"/>
      <c r="I1143" s="36"/>
      <c r="J1143" s="38"/>
      <c r="K1143" s="38"/>
      <c r="L1143" s="39"/>
      <c r="M1143" s="39"/>
      <c r="N1143" s="39"/>
      <c r="O1143" s="39"/>
      <c r="P1143" s="39"/>
      <c r="Q1143" s="39"/>
      <c r="R1143" s="39"/>
      <c r="S1143" s="39"/>
      <c r="T1143" s="39"/>
      <c r="U1143" s="39"/>
      <c r="V1143" s="39"/>
      <c r="W1143" s="39"/>
      <c r="X1143" s="39"/>
      <c r="Y1143" s="39"/>
      <c r="Z1143" s="39"/>
      <c r="AA1143" s="39"/>
      <c r="AB1143" s="39"/>
    </row>
    <row r="1144">
      <c r="A1144" s="1"/>
      <c r="B1144" s="36"/>
      <c r="C1144" s="36"/>
      <c r="D1144" s="36"/>
      <c r="E1144" s="36"/>
      <c r="F1144" s="36"/>
      <c r="G1144" s="36"/>
      <c r="H1144" s="37"/>
      <c r="I1144" s="36"/>
      <c r="J1144" s="38"/>
      <c r="K1144" s="38"/>
      <c r="L1144" s="39"/>
      <c r="M1144" s="39"/>
      <c r="N1144" s="39"/>
      <c r="O1144" s="39"/>
      <c r="P1144" s="39"/>
      <c r="Q1144" s="39"/>
      <c r="R1144" s="39"/>
      <c r="S1144" s="39"/>
      <c r="T1144" s="39"/>
      <c r="U1144" s="39"/>
      <c r="V1144" s="39"/>
      <c r="W1144" s="39"/>
      <c r="X1144" s="39"/>
      <c r="Y1144" s="39"/>
      <c r="Z1144" s="39"/>
      <c r="AA1144" s="39"/>
      <c r="AB1144" s="39"/>
    </row>
    <row r="1145">
      <c r="A1145" s="1"/>
      <c r="B1145" s="36"/>
      <c r="C1145" s="36"/>
      <c r="D1145" s="36"/>
      <c r="E1145" s="36"/>
      <c r="F1145" s="36"/>
      <c r="G1145" s="36"/>
      <c r="H1145" s="37"/>
      <c r="I1145" s="36"/>
      <c r="J1145" s="38"/>
      <c r="K1145" s="38"/>
      <c r="L1145" s="39"/>
      <c r="M1145" s="39"/>
      <c r="N1145" s="39"/>
      <c r="O1145" s="39"/>
      <c r="P1145" s="39"/>
      <c r="Q1145" s="39"/>
      <c r="R1145" s="39"/>
      <c r="S1145" s="39"/>
      <c r="T1145" s="39"/>
      <c r="U1145" s="39"/>
      <c r="V1145" s="39"/>
      <c r="W1145" s="39"/>
      <c r="X1145" s="39"/>
      <c r="Y1145" s="39"/>
      <c r="Z1145" s="39"/>
      <c r="AA1145" s="39"/>
      <c r="AB1145" s="39"/>
    </row>
    <row r="1146">
      <c r="A1146" s="1"/>
      <c r="B1146" s="36"/>
      <c r="C1146" s="36"/>
      <c r="D1146" s="36"/>
      <c r="E1146" s="36"/>
      <c r="F1146" s="36"/>
      <c r="G1146" s="36"/>
      <c r="H1146" s="37"/>
      <c r="I1146" s="36"/>
      <c r="J1146" s="38"/>
      <c r="K1146" s="38"/>
      <c r="L1146" s="39"/>
      <c r="M1146" s="39"/>
      <c r="N1146" s="39"/>
      <c r="O1146" s="39"/>
      <c r="P1146" s="39"/>
      <c r="Q1146" s="39"/>
      <c r="R1146" s="39"/>
      <c r="S1146" s="39"/>
      <c r="T1146" s="39"/>
      <c r="U1146" s="39"/>
      <c r="V1146" s="39"/>
      <c r="W1146" s="39"/>
      <c r="X1146" s="39"/>
      <c r="Y1146" s="39"/>
      <c r="Z1146" s="39"/>
      <c r="AA1146" s="39"/>
      <c r="AB1146" s="39"/>
    </row>
    <row r="1147">
      <c r="A1147" s="1"/>
      <c r="B1147" s="36"/>
      <c r="C1147" s="36"/>
      <c r="D1147" s="36"/>
      <c r="E1147" s="36"/>
      <c r="F1147" s="36"/>
      <c r="G1147" s="36"/>
      <c r="H1147" s="37"/>
      <c r="I1147" s="36"/>
      <c r="J1147" s="38"/>
      <c r="K1147" s="38"/>
      <c r="L1147" s="39"/>
      <c r="M1147" s="39"/>
      <c r="N1147" s="39"/>
      <c r="O1147" s="39"/>
      <c r="P1147" s="39"/>
      <c r="Q1147" s="39"/>
      <c r="R1147" s="39"/>
      <c r="S1147" s="39"/>
      <c r="T1147" s="39"/>
      <c r="U1147" s="39"/>
      <c r="V1147" s="39"/>
      <c r="W1147" s="39"/>
      <c r="X1147" s="39"/>
      <c r="Y1147" s="39"/>
      <c r="Z1147" s="39"/>
      <c r="AA1147" s="39"/>
      <c r="AB1147" s="39"/>
    </row>
    <row r="1148">
      <c r="A1148" s="1"/>
      <c r="B1148" s="36"/>
      <c r="C1148" s="36"/>
      <c r="D1148" s="36"/>
      <c r="E1148" s="36"/>
      <c r="F1148" s="36"/>
      <c r="G1148" s="36"/>
      <c r="H1148" s="37"/>
      <c r="I1148" s="36"/>
      <c r="J1148" s="38"/>
      <c r="K1148" s="38"/>
      <c r="L1148" s="39"/>
      <c r="M1148" s="39"/>
      <c r="N1148" s="39"/>
      <c r="O1148" s="39"/>
      <c r="P1148" s="39"/>
      <c r="Q1148" s="39"/>
      <c r="R1148" s="39"/>
      <c r="S1148" s="39"/>
      <c r="T1148" s="39"/>
      <c r="U1148" s="39"/>
      <c r="V1148" s="39"/>
      <c r="W1148" s="39"/>
      <c r="X1148" s="39"/>
      <c r="Y1148" s="39"/>
      <c r="Z1148" s="39"/>
      <c r="AA1148" s="39"/>
      <c r="AB1148" s="39"/>
    </row>
    <row r="1149">
      <c r="A1149" s="1"/>
      <c r="B1149" s="36"/>
      <c r="C1149" s="36"/>
      <c r="D1149" s="36"/>
      <c r="E1149" s="36"/>
      <c r="F1149" s="36"/>
      <c r="G1149" s="36"/>
      <c r="H1149" s="37"/>
      <c r="I1149" s="36"/>
      <c r="J1149" s="38"/>
      <c r="K1149" s="38"/>
      <c r="L1149" s="39"/>
      <c r="M1149" s="39"/>
      <c r="N1149" s="39"/>
      <c r="O1149" s="39"/>
      <c r="P1149" s="39"/>
      <c r="Q1149" s="39"/>
      <c r="R1149" s="39"/>
      <c r="S1149" s="39"/>
      <c r="T1149" s="39"/>
      <c r="U1149" s="39"/>
      <c r="V1149" s="39"/>
      <c r="W1149" s="39"/>
      <c r="X1149" s="39"/>
      <c r="Y1149" s="39"/>
      <c r="Z1149" s="39"/>
      <c r="AA1149" s="39"/>
      <c r="AB1149" s="39"/>
    </row>
    <row r="1150">
      <c r="A1150" s="1"/>
      <c r="B1150" s="36"/>
      <c r="C1150" s="36"/>
      <c r="D1150" s="36"/>
      <c r="E1150" s="36"/>
      <c r="F1150" s="36"/>
      <c r="G1150" s="36"/>
      <c r="H1150" s="37"/>
      <c r="I1150" s="36"/>
      <c r="J1150" s="38"/>
      <c r="K1150" s="38"/>
      <c r="L1150" s="39"/>
      <c r="M1150" s="39"/>
      <c r="N1150" s="39"/>
      <c r="O1150" s="39"/>
      <c r="P1150" s="39"/>
      <c r="Q1150" s="39"/>
      <c r="R1150" s="39"/>
      <c r="S1150" s="39"/>
      <c r="T1150" s="39"/>
      <c r="U1150" s="39"/>
      <c r="V1150" s="39"/>
      <c r="W1150" s="39"/>
      <c r="X1150" s="39"/>
      <c r="Y1150" s="39"/>
      <c r="Z1150" s="39"/>
      <c r="AA1150" s="39"/>
      <c r="AB1150" s="39"/>
    </row>
    <row r="1151">
      <c r="A1151" s="1"/>
      <c r="B1151" s="36"/>
      <c r="C1151" s="36"/>
      <c r="D1151" s="36"/>
      <c r="E1151" s="36"/>
      <c r="F1151" s="36"/>
      <c r="G1151" s="36"/>
      <c r="H1151" s="37"/>
      <c r="I1151" s="36"/>
      <c r="J1151" s="38"/>
      <c r="K1151" s="38"/>
      <c r="L1151" s="39"/>
      <c r="M1151" s="39"/>
      <c r="N1151" s="39"/>
      <c r="O1151" s="39"/>
      <c r="P1151" s="39"/>
      <c r="Q1151" s="39"/>
      <c r="R1151" s="39"/>
      <c r="S1151" s="39"/>
      <c r="T1151" s="39"/>
      <c r="U1151" s="39"/>
      <c r="V1151" s="39"/>
      <c r="W1151" s="39"/>
      <c r="X1151" s="39"/>
      <c r="Y1151" s="39"/>
      <c r="Z1151" s="39"/>
      <c r="AA1151" s="39"/>
      <c r="AB1151" s="39"/>
    </row>
    <row r="1152">
      <c r="A1152" s="1"/>
      <c r="B1152" s="36"/>
      <c r="C1152" s="36"/>
      <c r="D1152" s="36"/>
      <c r="E1152" s="36"/>
      <c r="F1152" s="36"/>
      <c r="G1152" s="36"/>
      <c r="H1152" s="37"/>
      <c r="I1152" s="36"/>
      <c r="J1152" s="38"/>
      <c r="K1152" s="38"/>
      <c r="L1152" s="39"/>
      <c r="M1152" s="39"/>
      <c r="N1152" s="39"/>
      <c r="O1152" s="39"/>
      <c r="P1152" s="39"/>
      <c r="Q1152" s="39"/>
      <c r="R1152" s="39"/>
      <c r="S1152" s="39"/>
      <c r="T1152" s="39"/>
      <c r="U1152" s="39"/>
      <c r="V1152" s="39"/>
      <c r="W1152" s="39"/>
      <c r="X1152" s="39"/>
      <c r="Y1152" s="39"/>
      <c r="Z1152" s="39"/>
      <c r="AA1152" s="39"/>
      <c r="AB1152" s="39"/>
    </row>
    <row r="1153">
      <c r="A1153" s="1"/>
      <c r="B1153" s="36"/>
      <c r="C1153" s="36"/>
      <c r="D1153" s="36"/>
      <c r="E1153" s="36"/>
      <c r="F1153" s="36"/>
      <c r="G1153" s="36"/>
      <c r="H1153" s="37"/>
      <c r="I1153" s="36"/>
      <c r="J1153" s="38"/>
      <c r="K1153" s="38"/>
      <c r="L1153" s="39"/>
      <c r="M1153" s="39"/>
      <c r="N1153" s="39"/>
      <c r="O1153" s="39"/>
      <c r="P1153" s="39"/>
      <c r="Q1153" s="39"/>
      <c r="R1153" s="39"/>
      <c r="S1153" s="39"/>
      <c r="T1153" s="39"/>
      <c r="U1153" s="39"/>
      <c r="V1153" s="39"/>
      <c r="W1153" s="39"/>
      <c r="X1153" s="39"/>
      <c r="Y1153" s="39"/>
      <c r="Z1153" s="39"/>
      <c r="AA1153" s="39"/>
      <c r="AB1153" s="39"/>
    </row>
    <row r="1154">
      <c r="A1154" s="1"/>
      <c r="B1154" s="36"/>
      <c r="C1154" s="36"/>
      <c r="D1154" s="36"/>
      <c r="E1154" s="36"/>
      <c r="F1154" s="36"/>
      <c r="G1154" s="36"/>
      <c r="H1154" s="37"/>
      <c r="I1154" s="36"/>
      <c r="J1154" s="38"/>
      <c r="K1154" s="38"/>
      <c r="L1154" s="39"/>
      <c r="M1154" s="39"/>
      <c r="N1154" s="39"/>
      <c r="O1154" s="39"/>
      <c r="P1154" s="39"/>
      <c r="Q1154" s="39"/>
      <c r="R1154" s="39"/>
      <c r="S1154" s="39"/>
      <c r="T1154" s="39"/>
      <c r="U1154" s="39"/>
      <c r="V1154" s="39"/>
      <c r="W1154" s="39"/>
      <c r="X1154" s="39"/>
      <c r="Y1154" s="39"/>
      <c r="Z1154" s="39"/>
      <c r="AA1154" s="39"/>
      <c r="AB1154" s="39"/>
    </row>
    <row r="1155">
      <c r="A1155" s="1"/>
      <c r="B1155" s="36"/>
      <c r="C1155" s="36"/>
      <c r="D1155" s="36"/>
      <c r="E1155" s="36"/>
      <c r="F1155" s="36"/>
      <c r="G1155" s="36"/>
      <c r="H1155" s="37"/>
      <c r="I1155" s="36"/>
      <c r="J1155" s="38"/>
      <c r="K1155" s="38"/>
      <c r="L1155" s="39"/>
      <c r="M1155" s="39"/>
      <c r="N1155" s="39"/>
      <c r="O1155" s="39"/>
      <c r="P1155" s="39"/>
      <c r="Q1155" s="39"/>
      <c r="R1155" s="39"/>
      <c r="S1155" s="39"/>
      <c r="T1155" s="39"/>
      <c r="U1155" s="39"/>
      <c r="V1155" s="39"/>
      <c r="W1155" s="39"/>
      <c r="X1155" s="39"/>
      <c r="Y1155" s="39"/>
      <c r="Z1155" s="39"/>
      <c r="AA1155" s="39"/>
      <c r="AB1155" s="39"/>
    </row>
    <row r="1156">
      <c r="A1156" s="1"/>
      <c r="B1156" s="36"/>
      <c r="C1156" s="36"/>
      <c r="D1156" s="36"/>
      <c r="E1156" s="36"/>
      <c r="F1156" s="36"/>
      <c r="G1156" s="36"/>
      <c r="H1156" s="37"/>
      <c r="I1156" s="36"/>
      <c r="J1156" s="38"/>
      <c r="K1156" s="38"/>
      <c r="L1156" s="39"/>
      <c r="M1156" s="39"/>
      <c r="N1156" s="39"/>
      <c r="O1156" s="39"/>
      <c r="P1156" s="39"/>
      <c r="Q1156" s="39"/>
      <c r="R1156" s="39"/>
      <c r="S1156" s="39"/>
      <c r="T1156" s="39"/>
      <c r="U1156" s="39"/>
      <c r="V1156" s="39"/>
      <c r="W1156" s="39"/>
      <c r="X1156" s="39"/>
      <c r="Y1156" s="39"/>
      <c r="Z1156" s="39"/>
      <c r="AA1156" s="39"/>
      <c r="AB1156" s="39"/>
    </row>
    <row r="1157">
      <c r="A1157" s="1"/>
      <c r="B1157" s="36"/>
      <c r="C1157" s="36"/>
      <c r="D1157" s="36"/>
      <c r="E1157" s="36"/>
      <c r="F1157" s="36"/>
      <c r="G1157" s="36"/>
      <c r="H1157" s="37"/>
      <c r="I1157" s="36"/>
      <c r="J1157" s="38"/>
      <c r="K1157" s="38"/>
      <c r="L1157" s="39"/>
      <c r="M1157" s="39"/>
      <c r="N1157" s="39"/>
      <c r="O1157" s="39"/>
      <c r="P1157" s="39"/>
      <c r="Q1157" s="39"/>
      <c r="R1157" s="39"/>
      <c r="S1157" s="39"/>
      <c r="T1157" s="39"/>
      <c r="U1157" s="39"/>
      <c r="V1157" s="39"/>
      <c r="W1157" s="39"/>
      <c r="X1157" s="39"/>
      <c r="Y1157" s="39"/>
      <c r="Z1157" s="39"/>
      <c r="AA1157" s="39"/>
      <c r="AB1157" s="39"/>
    </row>
    <row r="1158">
      <c r="A1158" s="1"/>
      <c r="B1158" s="36"/>
      <c r="C1158" s="36"/>
      <c r="D1158" s="36"/>
      <c r="E1158" s="36"/>
      <c r="F1158" s="36"/>
      <c r="G1158" s="36"/>
      <c r="H1158" s="37"/>
      <c r="I1158" s="36"/>
      <c r="J1158" s="38"/>
      <c r="K1158" s="38"/>
      <c r="L1158" s="39"/>
      <c r="M1158" s="39"/>
      <c r="N1158" s="39"/>
      <c r="O1158" s="39"/>
      <c r="P1158" s="39"/>
      <c r="Q1158" s="39"/>
      <c r="R1158" s="39"/>
      <c r="S1158" s="39"/>
      <c r="T1158" s="39"/>
      <c r="U1158" s="39"/>
      <c r="V1158" s="39"/>
      <c r="W1158" s="39"/>
      <c r="X1158" s="39"/>
      <c r="Y1158" s="39"/>
      <c r="Z1158" s="39"/>
      <c r="AA1158" s="39"/>
      <c r="AB1158" s="39"/>
    </row>
    <row r="1159">
      <c r="A1159" s="1"/>
      <c r="B1159" s="36"/>
      <c r="C1159" s="36"/>
      <c r="D1159" s="36"/>
      <c r="E1159" s="36"/>
      <c r="F1159" s="36"/>
      <c r="G1159" s="36"/>
      <c r="H1159" s="37"/>
      <c r="I1159" s="36"/>
      <c r="J1159" s="38"/>
      <c r="K1159" s="38"/>
      <c r="L1159" s="39"/>
      <c r="M1159" s="39"/>
      <c r="N1159" s="39"/>
      <c r="O1159" s="39"/>
      <c r="P1159" s="39"/>
      <c r="Q1159" s="39"/>
      <c r="R1159" s="39"/>
      <c r="S1159" s="39"/>
      <c r="T1159" s="39"/>
      <c r="U1159" s="39"/>
      <c r="V1159" s="39"/>
      <c r="W1159" s="39"/>
      <c r="X1159" s="39"/>
      <c r="Y1159" s="39"/>
      <c r="Z1159" s="39"/>
      <c r="AA1159" s="39"/>
      <c r="AB1159" s="39"/>
    </row>
    <row r="1160">
      <c r="A1160" s="1"/>
      <c r="B1160" s="36"/>
      <c r="C1160" s="36"/>
      <c r="D1160" s="36"/>
      <c r="E1160" s="36"/>
      <c r="F1160" s="36"/>
      <c r="G1160" s="36"/>
      <c r="H1160" s="37"/>
      <c r="I1160" s="36"/>
      <c r="J1160" s="38"/>
      <c r="K1160" s="38"/>
      <c r="L1160" s="39"/>
      <c r="M1160" s="39"/>
      <c r="N1160" s="39"/>
      <c r="O1160" s="39"/>
      <c r="P1160" s="39"/>
      <c r="Q1160" s="39"/>
      <c r="R1160" s="39"/>
      <c r="S1160" s="39"/>
      <c r="T1160" s="39"/>
      <c r="U1160" s="39"/>
      <c r="V1160" s="39"/>
      <c r="W1160" s="39"/>
      <c r="X1160" s="39"/>
      <c r="Y1160" s="39"/>
      <c r="Z1160" s="39"/>
      <c r="AA1160" s="39"/>
      <c r="AB1160" s="39"/>
    </row>
    <row r="1161">
      <c r="A1161" s="1"/>
      <c r="B1161" s="36"/>
      <c r="C1161" s="36"/>
      <c r="D1161" s="36"/>
      <c r="E1161" s="36"/>
      <c r="F1161" s="36"/>
      <c r="G1161" s="36"/>
      <c r="H1161" s="37"/>
      <c r="I1161" s="36"/>
      <c r="J1161" s="38"/>
      <c r="K1161" s="38"/>
      <c r="L1161" s="39"/>
      <c r="M1161" s="39"/>
      <c r="N1161" s="39"/>
      <c r="O1161" s="39"/>
      <c r="P1161" s="39"/>
      <c r="Q1161" s="39"/>
      <c r="R1161" s="39"/>
      <c r="S1161" s="39"/>
      <c r="T1161" s="39"/>
      <c r="U1161" s="39"/>
      <c r="V1161" s="39"/>
      <c r="W1161" s="39"/>
      <c r="X1161" s="39"/>
      <c r="Y1161" s="39"/>
      <c r="Z1161" s="39"/>
      <c r="AA1161" s="39"/>
      <c r="AB1161" s="39"/>
    </row>
    <row r="1162">
      <c r="A1162" s="1"/>
      <c r="B1162" s="36"/>
      <c r="C1162" s="36"/>
      <c r="D1162" s="36"/>
      <c r="E1162" s="36"/>
      <c r="F1162" s="36"/>
      <c r="G1162" s="36"/>
      <c r="H1162" s="37"/>
      <c r="I1162" s="36"/>
      <c r="J1162" s="38"/>
      <c r="K1162" s="38"/>
      <c r="L1162" s="39"/>
      <c r="M1162" s="39"/>
      <c r="N1162" s="39"/>
      <c r="O1162" s="39"/>
      <c r="P1162" s="39"/>
      <c r="Q1162" s="39"/>
      <c r="R1162" s="39"/>
      <c r="S1162" s="39"/>
      <c r="T1162" s="39"/>
      <c r="U1162" s="39"/>
      <c r="V1162" s="39"/>
      <c r="W1162" s="39"/>
      <c r="X1162" s="39"/>
      <c r="Y1162" s="39"/>
      <c r="Z1162" s="39"/>
      <c r="AA1162" s="39"/>
      <c r="AB1162" s="39"/>
    </row>
    <row r="1163">
      <c r="A1163" s="1"/>
      <c r="B1163" s="36"/>
      <c r="C1163" s="36"/>
      <c r="D1163" s="36"/>
      <c r="E1163" s="36"/>
      <c r="F1163" s="36"/>
      <c r="G1163" s="36"/>
      <c r="H1163" s="37"/>
      <c r="I1163" s="36"/>
      <c r="J1163" s="38"/>
      <c r="K1163" s="38"/>
      <c r="L1163" s="39"/>
      <c r="M1163" s="39"/>
      <c r="N1163" s="39"/>
      <c r="O1163" s="39"/>
      <c r="P1163" s="39"/>
      <c r="Q1163" s="39"/>
      <c r="R1163" s="39"/>
      <c r="S1163" s="39"/>
      <c r="T1163" s="39"/>
      <c r="U1163" s="39"/>
      <c r="V1163" s="39"/>
      <c r="W1163" s="39"/>
      <c r="X1163" s="39"/>
      <c r="Y1163" s="39"/>
      <c r="Z1163" s="39"/>
      <c r="AA1163" s="39"/>
      <c r="AB1163" s="39"/>
    </row>
    <row r="1164">
      <c r="A1164" s="1"/>
      <c r="B1164" s="36"/>
      <c r="C1164" s="36"/>
      <c r="D1164" s="36"/>
      <c r="E1164" s="36"/>
      <c r="F1164" s="36"/>
      <c r="G1164" s="36"/>
      <c r="H1164" s="37"/>
      <c r="I1164" s="36"/>
      <c r="J1164" s="38"/>
      <c r="K1164" s="38"/>
      <c r="L1164" s="39"/>
      <c r="M1164" s="39"/>
      <c r="N1164" s="39"/>
      <c r="O1164" s="39"/>
      <c r="P1164" s="39"/>
      <c r="Q1164" s="39"/>
      <c r="R1164" s="39"/>
      <c r="S1164" s="39"/>
      <c r="T1164" s="39"/>
      <c r="U1164" s="39"/>
      <c r="V1164" s="39"/>
      <c r="W1164" s="39"/>
      <c r="X1164" s="39"/>
      <c r="Y1164" s="39"/>
      <c r="Z1164" s="39"/>
      <c r="AA1164" s="39"/>
      <c r="AB1164" s="39"/>
    </row>
    <row r="1165">
      <c r="A1165" s="1"/>
      <c r="B1165" s="36"/>
      <c r="C1165" s="36"/>
      <c r="D1165" s="36"/>
      <c r="E1165" s="36"/>
      <c r="F1165" s="36"/>
      <c r="G1165" s="36"/>
      <c r="H1165" s="37"/>
      <c r="I1165" s="36"/>
      <c r="J1165" s="38"/>
      <c r="K1165" s="38"/>
      <c r="L1165" s="39"/>
      <c r="M1165" s="39"/>
      <c r="N1165" s="39"/>
      <c r="O1165" s="39"/>
      <c r="P1165" s="39"/>
      <c r="Q1165" s="39"/>
      <c r="R1165" s="39"/>
      <c r="S1165" s="39"/>
      <c r="T1165" s="39"/>
      <c r="U1165" s="39"/>
      <c r="V1165" s="39"/>
      <c r="W1165" s="39"/>
      <c r="X1165" s="39"/>
      <c r="Y1165" s="39"/>
      <c r="Z1165" s="39"/>
      <c r="AA1165" s="39"/>
      <c r="AB1165" s="39"/>
    </row>
    <row r="1166">
      <c r="A1166" s="1"/>
      <c r="B1166" s="36"/>
      <c r="C1166" s="36"/>
      <c r="D1166" s="36"/>
      <c r="E1166" s="36"/>
      <c r="F1166" s="36"/>
      <c r="G1166" s="36"/>
      <c r="H1166" s="37"/>
      <c r="I1166" s="36"/>
      <c r="J1166" s="38"/>
      <c r="K1166" s="38"/>
      <c r="L1166" s="39"/>
      <c r="M1166" s="39"/>
      <c r="N1166" s="39"/>
      <c r="O1166" s="39"/>
      <c r="P1166" s="39"/>
      <c r="Q1166" s="39"/>
      <c r="R1166" s="39"/>
      <c r="S1166" s="39"/>
      <c r="T1166" s="39"/>
      <c r="U1166" s="39"/>
      <c r="V1166" s="39"/>
      <c r="W1166" s="39"/>
      <c r="X1166" s="39"/>
      <c r="Y1166" s="39"/>
      <c r="Z1166" s="39"/>
      <c r="AA1166" s="39"/>
      <c r="AB1166" s="39"/>
    </row>
    <row r="1167">
      <c r="A1167" s="1"/>
      <c r="B1167" s="36"/>
      <c r="C1167" s="36"/>
      <c r="D1167" s="36"/>
      <c r="E1167" s="36"/>
      <c r="F1167" s="36"/>
      <c r="G1167" s="36"/>
      <c r="H1167" s="37"/>
      <c r="I1167" s="36"/>
      <c r="J1167" s="38"/>
      <c r="K1167" s="38"/>
      <c r="L1167" s="39"/>
      <c r="M1167" s="39"/>
      <c r="N1167" s="39"/>
      <c r="O1167" s="39"/>
      <c r="P1167" s="39"/>
      <c r="Q1167" s="39"/>
      <c r="R1167" s="39"/>
      <c r="S1167" s="39"/>
      <c r="T1167" s="39"/>
      <c r="U1167" s="39"/>
      <c r="V1167" s="39"/>
      <c r="W1167" s="39"/>
      <c r="X1167" s="39"/>
      <c r="Y1167" s="39"/>
      <c r="Z1167" s="39"/>
      <c r="AA1167" s="39"/>
      <c r="AB1167" s="39"/>
    </row>
    <row r="1168">
      <c r="A1168" s="1"/>
      <c r="B1168" s="36"/>
      <c r="C1168" s="36"/>
      <c r="D1168" s="36"/>
      <c r="E1168" s="36"/>
      <c r="F1168" s="36"/>
      <c r="G1168" s="36"/>
      <c r="H1168" s="37"/>
      <c r="I1168" s="36"/>
      <c r="J1168" s="38"/>
      <c r="K1168" s="38"/>
      <c r="L1168" s="39"/>
      <c r="M1168" s="39"/>
      <c r="N1168" s="39"/>
      <c r="O1168" s="39"/>
      <c r="P1168" s="39"/>
      <c r="Q1168" s="39"/>
      <c r="R1168" s="39"/>
      <c r="S1168" s="39"/>
      <c r="T1168" s="39"/>
      <c r="U1168" s="39"/>
      <c r="V1168" s="39"/>
      <c r="W1168" s="39"/>
      <c r="X1168" s="39"/>
      <c r="Y1168" s="39"/>
      <c r="Z1168" s="39"/>
      <c r="AA1168" s="39"/>
      <c r="AB1168" s="39"/>
    </row>
    <row r="1169">
      <c r="A1169" s="1"/>
      <c r="B1169" s="36"/>
      <c r="C1169" s="36"/>
      <c r="D1169" s="36"/>
      <c r="E1169" s="36"/>
      <c r="F1169" s="36"/>
      <c r="G1169" s="36"/>
      <c r="H1169" s="37"/>
      <c r="I1169" s="36"/>
      <c r="J1169" s="38"/>
      <c r="K1169" s="38"/>
      <c r="L1169" s="39"/>
      <c r="M1169" s="39"/>
      <c r="N1169" s="39"/>
      <c r="O1169" s="39"/>
      <c r="P1169" s="39"/>
      <c r="Q1169" s="39"/>
      <c r="R1169" s="39"/>
      <c r="S1169" s="39"/>
      <c r="T1169" s="39"/>
      <c r="U1169" s="39"/>
      <c r="V1169" s="39"/>
      <c r="W1169" s="39"/>
      <c r="X1169" s="39"/>
      <c r="Y1169" s="39"/>
      <c r="Z1169" s="39"/>
      <c r="AA1169" s="39"/>
      <c r="AB1169" s="39"/>
    </row>
    <row r="1170">
      <c r="A1170" s="1"/>
      <c r="B1170" s="36"/>
      <c r="C1170" s="36"/>
      <c r="D1170" s="36"/>
      <c r="E1170" s="36"/>
      <c r="F1170" s="36"/>
      <c r="G1170" s="36"/>
      <c r="H1170" s="37"/>
      <c r="I1170" s="36"/>
      <c r="J1170" s="38"/>
      <c r="K1170" s="38"/>
      <c r="L1170" s="39"/>
      <c r="M1170" s="39"/>
      <c r="N1170" s="39"/>
      <c r="O1170" s="39"/>
      <c r="P1170" s="39"/>
      <c r="Q1170" s="39"/>
      <c r="R1170" s="39"/>
      <c r="S1170" s="39"/>
      <c r="T1170" s="39"/>
      <c r="U1170" s="39"/>
      <c r="V1170" s="39"/>
      <c r="W1170" s="39"/>
      <c r="X1170" s="39"/>
      <c r="Y1170" s="39"/>
      <c r="Z1170" s="39"/>
      <c r="AA1170" s="39"/>
      <c r="AB1170" s="39"/>
    </row>
    <row r="1171">
      <c r="A1171" s="1"/>
      <c r="B1171" s="36"/>
      <c r="C1171" s="36"/>
      <c r="D1171" s="36"/>
      <c r="E1171" s="36"/>
      <c r="F1171" s="36"/>
      <c r="G1171" s="36"/>
      <c r="H1171" s="37"/>
      <c r="I1171" s="36"/>
      <c r="J1171" s="38"/>
      <c r="K1171" s="38"/>
      <c r="L1171" s="39"/>
      <c r="M1171" s="39"/>
      <c r="N1171" s="39"/>
      <c r="O1171" s="39"/>
      <c r="P1171" s="39"/>
      <c r="Q1171" s="39"/>
      <c r="R1171" s="39"/>
      <c r="S1171" s="39"/>
      <c r="T1171" s="39"/>
      <c r="U1171" s="39"/>
      <c r="V1171" s="39"/>
      <c r="W1171" s="39"/>
      <c r="X1171" s="39"/>
      <c r="Y1171" s="39"/>
      <c r="Z1171" s="39"/>
      <c r="AA1171" s="39"/>
      <c r="AB1171" s="39"/>
    </row>
    <row r="1172">
      <c r="A1172" s="1"/>
      <c r="B1172" s="36"/>
      <c r="C1172" s="36"/>
      <c r="D1172" s="36"/>
      <c r="E1172" s="36"/>
      <c r="F1172" s="36"/>
      <c r="G1172" s="36"/>
      <c r="H1172" s="37"/>
      <c r="I1172" s="36"/>
      <c r="J1172" s="38"/>
      <c r="K1172" s="38"/>
      <c r="L1172" s="39"/>
      <c r="M1172" s="39"/>
      <c r="N1172" s="39"/>
      <c r="O1172" s="39"/>
      <c r="P1172" s="39"/>
      <c r="Q1172" s="39"/>
      <c r="R1172" s="39"/>
      <c r="S1172" s="39"/>
      <c r="T1172" s="39"/>
      <c r="U1172" s="39"/>
      <c r="V1172" s="39"/>
      <c r="W1172" s="39"/>
      <c r="X1172" s="39"/>
      <c r="Y1172" s="39"/>
      <c r="Z1172" s="39"/>
      <c r="AA1172" s="39"/>
      <c r="AB1172" s="39"/>
    </row>
    <row r="1173">
      <c r="A1173" s="1"/>
      <c r="B1173" s="36"/>
      <c r="C1173" s="36"/>
      <c r="D1173" s="36"/>
      <c r="E1173" s="36"/>
      <c r="F1173" s="36"/>
      <c r="G1173" s="36"/>
      <c r="H1173" s="37"/>
      <c r="I1173" s="36"/>
      <c r="J1173" s="38"/>
      <c r="K1173" s="38"/>
      <c r="L1173" s="39"/>
      <c r="M1173" s="39"/>
      <c r="N1173" s="39"/>
      <c r="O1173" s="39"/>
      <c r="P1173" s="39"/>
      <c r="Q1173" s="39"/>
      <c r="R1173" s="39"/>
      <c r="S1173" s="39"/>
      <c r="T1173" s="39"/>
      <c r="U1173" s="39"/>
      <c r="V1173" s="39"/>
      <c r="W1173" s="39"/>
      <c r="X1173" s="39"/>
      <c r="Y1173" s="39"/>
      <c r="Z1173" s="39"/>
      <c r="AA1173" s="39"/>
      <c r="AB1173" s="39"/>
    </row>
    <row r="1174">
      <c r="A1174" s="1"/>
      <c r="B1174" s="36"/>
      <c r="C1174" s="36"/>
      <c r="D1174" s="36"/>
      <c r="E1174" s="36"/>
      <c r="F1174" s="36"/>
      <c r="G1174" s="36"/>
      <c r="H1174" s="37"/>
      <c r="I1174" s="36"/>
      <c r="J1174" s="38"/>
      <c r="K1174" s="38"/>
      <c r="L1174" s="39"/>
      <c r="M1174" s="39"/>
      <c r="N1174" s="39"/>
      <c r="O1174" s="39"/>
      <c r="P1174" s="39"/>
      <c r="Q1174" s="39"/>
      <c r="R1174" s="39"/>
      <c r="S1174" s="39"/>
      <c r="T1174" s="39"/>
      <c r="U1174" s="39"/>
      <c r="V1174" s="39"/>
      <c r="W1174" s="39"/>
      <c r="X1174" s="39"/>
      <c r="Y1174" s="39"/>
      <c r="Z1174" s="39"/>
      <c r="AA1174" s="39"/>
      <c r="AB1174" s="39"/>
    </row>
    <row r="1175">
      <c r="A1175" s="1"/>
      <c r="B1175" s="36"/>
      <c r="C1175" s="36"/>
      <c r="D1175" s="36"/>
      <c r="E1175" s="36"/>
      <c r="F1175" s="36"/>
      <c r="G1175" s="36"/>
      <c r="H1175" s="37"/>
      <c r="I1175" s="36"/>
      <c r="J1175" s="38"/>
      <c r="K1175" s="38"/>
      <c r="L1175" s="39"/>
      <c r="M1175" s="39"/>
      <c r="N1175" s="39"/>
      <c r="O1175" s="39"/>
      <c r="P1175" s="39"/>
      <c r="Q1175" s="39"/>
      <c r="R1175" s="39"/>
      <c r="S1175" s="39"/>
      <c r="T1175" s="39"/>
      <c r="U1175" s="39"/>
      <c r="V1175" s="39"/>
      <c r="W1175" s="39"/>
      <c r="X1175" s="39"/>
      <c r="Y1175" s="39"/>
      <c r="Z1175" s="39"/>
      <c r="AA1175" s="39"/>
      <c r="AB1175" s="39"/>
    </row>
    <row r="1176">
      <c r="A1176" s="1"/>
      <c r="B1176" s="36"/>
      <c r="C1176" s="36"/>
      <c r="D1176" s="36"/>
      <c r="E1176" s="36"/>
      <c r="F1176" s="36"/>
      <c r="G1176" s="36"/>
      <c r="H1176" s="37"/>
      <c r="I1176" s="36"/>
      <c r="J1176" s="38"/>
      <c r="K1176" s="38"/>
      <c r="L1176" s="39"/>
      <c r="M1176" s="39"/>
      <c r="N1176" s="39"/>
      <c r="O1176" s="39"/>
      <c r="P1176" s="39"/>
      <c r="Q1176" s="39"/>
      <c r="R1176" s="39"/>
      <c r="S1176" s="39"/>
      <c r="T1176" s="39"/>
      <c r="U1176" s="39"/>
      <c r="V1176" s="39"/>
      <c r="W1176" s="39"/>
      <c r="X1176" s="39"/>
      <c r="Y1176" s="39"/>
      <c r="Z1176" s="39"/>
      <c r="AA1176" s="39"/>
      <c r="AB1176" s="39"/>
    </row>
    <row r="1177">
      <c r="A1177" s="1"/>
      <c r="B1177" s="36"/>
      <c r="C1177" s="36"/>
      <c r="D1177" s="36"/>
      <c r="E1177" s="36"/>
      <c r="F1177" s="36"/>
      <c r="G1177" s="36"/>
      <c r="H1177" s="37"/>
      <c r="I1177" s="36"/>
      <c r="J1177" s="38"/>
      <c r="K1177" s="38"/>
      <c r="L1177" s="39"/>
      <c r="M1177" s="39"/>
      <c r="N1177" s="39"/>
      <c r="O1177" s="39"/>
      <c r="P1177" s="39"/>
      <c r="Q1177" s="39"/>
      <c r="R1177" s="39"/>
      <c r="S1177" s="39"/>
      <c r="T1177" s="39"/>
      <c r="U1177" s="39"/>
      <c r="V1177" s="39"/>
      <c r="W1177" s="39"/>
      <c r="X1177" s="39"/>
      <c r="Y1177" s="39"/>
      <c r="Z1177" s="39"/>
      <c r="AA1177" s="39"/>
      <c r="AB1177" s="39"/>
    </row>
    <row r="1178">
      <c r="A1178" s="1"/>
      <c r="B1178" s="36"/>
      <c r="C1178" s="36"/>
      <c r="D1178" s="36"/>
      <c r="E1178" s="36"/>
      <c r="F1178" s="36"/>
      <c r="G1178" s="36"/>
      <c r="H1178" s="37"/>
      <c r="I1178" s="36"/>
      <c r="J1178" s="38"/>
      <c r="K1178" s="38"/>
      <c r="L1178" s="39"/>
      <c r="M1178" s="39"/>
      <c r="N1178" s="39"/>
      <c r="O1178" s="39"/>
      <c r="P1178" s="39"/>
      <c r="Q1178" s="39"/>
      <c r="R1178" s="39"/>
      <c r="S1178" s="39"/>
      <c r="T1178" s="39"/>
      <c r="U1178" s="39"/>
      <c r="V1178" s="39"/>
      <c r="W1178" s="39"/>
      <c r="X1178" s="39"/>
      <c r="Y1178" s="39"/>
      <c r="Z1178" s="39"/>
      <c r="AA1178" s="39"/>
      <c r="AB1178" s="39"/>
    </row>
    <row r="1179">
      <c r="A1179" s="1"/>
      <c r="B1179" s="36"/>
      <c r="C1179" s="36"/>
      <c r="D1179" s="36"/>
      <c r="E1179" s="36"/>
      <c r="F1179" s="36"/>
      <c r="G1179" s="36"/>
      <c r="H1179" s="37"/>
      <c r="I1179" s="36"/>
      <c r="J1179" s="38"/>
      <c r="K1179" s="38"/>
      <c r="L1179" s="39"/>
      <c r="M1179" s="39"/>
      <c r="N1179" s="39"/>
      <c r="O1179" s="39"/>
      <c r="P1179" s="39"/>
      <c r="Q1179" s="39"/>
      <c r="R1179" s="39"/>
      <c r="S1179" s="39"/>
      <c r="T1179" s="39"/>
      <c r="U1179" s="39"/>
      <c r="V1179" s="39"/>
      <c r="W1179" s="39"/>
      <c r="X1179" s="39"/>
      <c r="Y1179" s="39"/>
      <c r="Z1179" s="39"/>
      <c r="AA1179" s="39"/>
      <c r="AB1179" s="39"/>
    </row>
    <row r="1180">
      <c r="A1180" s="1"/>
      <c r="B1180" s="36"/>
      <c r="C1180" s="36"/>
      <c r="D1180" s="36"/>
      <c r="E1180" s="36"/>
      <c r="F1180" s="36"/>
      <c r="G1180" s="36"/>
      <c r="H1180" s="37"/>
      <c r="I1180" s="36"/>
      <c r="J1180" s="38"/>
      <c r="K1180" s="38"/>
      <c r="L1180" s="39"/>
      <c r="M1180" s="39"/>
      <c r="N1180" s="39"/>
      <c r="O1180" s="39"/>
      <c r="P1180" s="39"/>
      <c r="Q1180" s="39"/>
      <c r="R1180" s="39"/>
      <c r="S1180" s="39"/>
      <c r="T1180" s="39"/>
      <c r="U1180" s="39"/>
      <c r="V1180" s="39"/>
      <c r="W1180" s="39"/>
      <c r="X1180" s="39"/>
      <c r="Y1180" s="39"/>
      <c r="Z1180" s="39"/>
      <c r="AA1180" s="39"/>
      <c r="AB1180" s="39"/>
    </row>
    <row r="1181">
      <c r="A1181" s="1"/>
      <c r="B1181" s="36"/>
      <c r="C1181" s="36"/>
      <c r="D1181" s="36"/>
      <c r="E1181" s="36"/>
      <c r="F1181" s="36"/>
      <c r="G1181" s="36"/>
      <c r="H1181" s="37"/>
      <c r="I1181" s="36"/>
      <c r="J1181" s="38"/>
      <c r="K1181" s="38"/>
      <c r="L1181" s="39"/>
      <c r="M1181" s="39"/>
      <c r="N1181" s="39"/>
      <c r="O1181" s="39"/>
      <c r="P1181" s="39"/>
      <c r="Q1181" s="39"/>
      <c r="R1181" s="39"/>
      <c r="S1181" s="39"/>
      <c r="T1181" s="39"/>
      <c r="U1181" s="39"/>
      <c r="V1181" s="39"/>
      <c r="W1181" s="39"/>
      <c r="X1181" s="39"/>
      <c r="Y1181" s="39"/>
      <c r="Z1181" s="39"/>
      <c r="AA1181" s="39"/>
      <c r="AB1181" s="39"/>
    </row>
    <row r="1182">
      <c r="A1182" s="1"/>
      <c r="B1182" s="36"/>
      <c r="C1182" s="36"/>
      <c r="D1182" s="36"/>
      <c r="E1182" s="36"/>
      <c r="F1182" s="36"/>
      <c r="G1182" s="36"/>
      <c r="H1182" s="37"/>
      <c r="I1182" s="36"/>
      <c r="J1182" s="38"/>
      <c r="K1182" s="38"/>
      <c r="L1182" s="39"/>
      <c r="M1182" s="39"/>
      <c r="N1182" s="39"/>
      <c r="O1182" s="39"/>
      <c r="P1182" s="39"/>
      <c r="Q1182" s="39"/>
      <c r="R1182" s="39"/>
      <c r="S1182" s="39"/>
      <c r="T1182" s="39"/>
      <c r="U1182" s="39"/>
      <c r="V1182" s="39"/>
      <c r="W1182" s="39"/>
      <c r="X1182" s="39"/>
      <c r="Y1182" s="39"/>
      <c r="Z1182" s="39"/>
      <c r="AA1182" s="39"/>
      <c r="AB1182" s="39"/>
    </row>
    <row r="1183">
      <c r="A1183" s="1"/>
      <c r="B1183" s="36"/>
      <c r="C1183" s="36"/>
      <c r="D1183" s="36"/>
      <c r="E1183" s="36"/>
      <c r="F1183" s="36"/>
      <c r="G1183" s="36"/>
      <c r="H1183" s="37"/>
      <c r="I1183" s="36"/>
      <c r="J1183" s="38"/>
      <c r="K1183" s="38"/>
      <c r="L1183" s="39"/>
      <c r="M1183" s="39"/>
      <c r="N1183" s="39"/>
      <c r="O1183" s="39"/>
      <c r="P1183" s="39"/>
      <c r="Q1183" s="39"/>
      <c r="R1183" s="39"/>
      <c r="S1183" s="39"/>
      <c r="T1183" s="39"/>
      <c r="U1183" s="39"/>
      <c r="V1183" s="39"/>
      <c r="W1183" s="39"/>
      <c r="X1183" s="39"/>
      <c r="Y1183" s="39"/>
      <c r="Z1183" s="39"/>
      <c r="AA1183" s="39"/>
      <c r="AB1183" s="39"/>
    </row>
    <row r="1184">
      <c r="A1184" s="1"/>
      <c r="B1184" s="36"/>
      <c r="C1184" s="36"/>
      <c r="D1184" s="36"/>
      <c r="E1184" s="36"/>
      <c r="F1184" s="36"/>
      <c r="G1184" s="36"/>
      <c r="H1184" s="37"/>
      <c r="I1184" s="36"/>
      <c r="J1184" s="38"/>
      <c r="K1184" s="38"/>
      <c r="L1184" s="39"/>
      <c r="M1184" s="39"/>
      <c r="N1184" s="39"/>
      <c r="O1184" s="39"/>
      <c r="P1184" s="39"/>
      <c r="Q1184" s="39"/>
      <c r="R1184" s="39"/>
      <c r="S1184" s="39"/>
      <c r="T1184" s="39"/>
      <c r="U1184" s="39"/>
      <c r="V1184" s="39"/>
      <c r="W1184" s="39"/>
      <c r="X1184" s="39"/>
      <c r="Y1184" s="39"/>
      <c r="Z1184" s="39"/>
      <c r="AA1184" s="39"/>
      <c r="AB1184" s="39"/>
    </row>
    <row r="1185">
      <c r="A1185" s="1"/>
      <c r="B1185" s="36"/>
      <c r="C1185" s="36"/>
      <c r="D1185" s="36"/>
      <c r="E1185" s="36"/>
      <c r="F1185" s="36"/>
      <c r="G1185" s="36"/>
      <c r="H1185" s="37"/>
      <c r="I1185" s="36"/>
      <c r="J1185" s="38"/>
      <c r="K1185" s="38"/>
      <c r="L1185" s="39"/>
      <c r="M1185" s="39"/>
      <c r="N1185" s="39"/>
      <c r="O1185" s="39"/>
      <c r="P1185" s="39"/>
      <c r="Q1185" s="39"/>
      <c r="R1185" s="39"/>
      <c r="S1185" s="39"/>
      <c r="T1185" s="39"/>
      <c r="U1185" s="39"/>
      <c r="V1185" s="39"/>
      <c r="W1185" s="39"/>
      <c r="X1185" s="39"/>
      <c r="Y1185" s="39"/>
      <c r="Z1185" s="39"/>
      <c r="AA1185" s="39"/>
      <c r="AB1185" s="39"/>
    </row>
    <row r="1186">
      <c r="A1186" s="1"/>
      <c r="B1186" s="36"/>
      <c r="C1186" s="36"/>
      <c r="D1186" s="36"/>
      <c r="E1186" s="36"/>
      <c r="F1186" s="36"/>
      <c r="G1186" s="36"/>
      <c r="H1186" s="37"/>
      <c r="I1186" s="36"/>
      <c r="J1186" s="38"/>
      <c r="K1186" s="38"/>
      <c r="L1186" s="39"/>
      <c r="M1186" s="39"/>
      <c r="N1186" s="39"/>
      <c r="O1186" s="39"/>
      <c r="P1186" s="39"/>
      <c r="Q1186" s="39"/>
      <c r="R1186" s="39"/>
      <c r="S1186" s="39"/>
      <c r="T1186" s="39"/>
      <c r="U1186" s="39"/>
      <c r="V1186" s="39"/>
      <c r="W1186" s="39"/>
      <c r="X1186" s="39"/>
      <c r="Y1186" s="39"/>
      <c r="Z1186" s="39"/>
      <c r="AA1186" s="39"/>
      <c r="AB1186" s="39"/>
    </row>
    <row r="1187">
      <c r="A1187" s="1"/>
      <c r="B1187" s="36"/>
      <c r="C1187" s="36"/>
      <c r="D1187" s="36"/>
      <c r="E1187" s="36"/>
      <c r="F1187" s="36"/>
      <c r="G1187" s="36"/>
      <c r="H1187" s="37"/>
      <c r="I1187" s="36"/>
      <c r="J1187" s="38"/>
      <c r="K1187" s="38"/>
      <c r="L1187" s="39"/>
      <c r="M1187" s="39"/>
      <c r="N1187" s="39"/>
      <c r="O1187" s="39"/>
      <c r="P1187" s="39"/>
      <c r="Q1187" s="39"/>
      <c r="R1187" s="39"/>
      <c r="S1187" s="39"/>
      <c r="T1187" s="39"/>
      <c r="U1187" s="39"/>
      <c r="V1187" s="39"/>
      <c r="W1187" s="39"/>
      <c r="X1187" s="39"/>
      <c r="Y1187" s="39"/>
      <c r="Z1187" s="39"/>
      <c r="AA1187" s="39"/>
      <c r="AB1187" s="39"/>
    </row>
    <row r="1188">
      <c r="A1188" s="1"/>
      <c r="B1188" s="36"/>
      <c r="C1188" s="36"/>
      <c r="D1188" s="36"/>
      <c r="E1188" s="36"/>
      <c r="F1188" s="36"/>
      <c r="G1188" s="36"/>
      <c r="H1188" s="37"/>
      <c r="I1188" s="36"/>
      <c r="J1188" s="38"/>
      <c r="K1188" s="38"/>
      <c r="L1188" s="39"/>
      <c r="M1188" s="39"/>
      <c r="N1188" s="39"/>
      <c r="O1188" s="39"/>
      <c r="P1188" s="39"/>
      <c r="Q1188" s="39"/>
      <c r="R1188" s="39"/>
      <c r="S1188" s="39"/>
      <c r="T1188" s="39"/>
      <c r="U1188" s="39"/>
      <c r="V1188" s="39"/>
      <c r="W1188" s="39"/>
      <c r="X1188" s="39"/>
      <c r="Y1188" s="39"/>
      <c r="Z1188" s="39"/>
      <c r="AA1188" s="39"/>
      <c r="AB1188" s="39"/>
    </row>
    <row r="1189">
      <c r="A1189" s="1"/>
      <c r="B1189" s="36"/>
      <c r="C1189" s="36"/>
      <c r="D1189" s="36"/>
      <c r="E1189" s="36"/>
      <c r="F1189" s="36"/>
      <c r="G1189" s="36"/>
      <c r="H1189" s="37"/>
      <c r="I1189" s="36"/>
      <c r="J1189" s="38"/>
      <c r="K1189" s="38"/>
      <c r="L1189" s="39"/>
      <c r="M1189" s="39"/>
      <c r="N1189" s="39"/>
      <c r="O1189" s="39"/>
      <c r="P1189" s="39"/>
      <c r="Q1189" s="39"/>
      <c r="R1189" s="39"/>
      <c r="S1189" s="39"/>
      <c r="T1189" s="39"/>
      <c r="U1189" s="39"/>
      <c r="V1189" s="39"/>
      <c r="W1189" s="39"/>
      <c r="X1189" s="39"/>
      <c r="Y1189" s="39"/>
      <c r="Z1189" s="39"/>
      <c r="AA1189" s="39"/>
      <c r="AB1189" s="39"/>
    </row>
    <row r="1190">
      <c r="A1190" s="1"/>
      <c r="B1190" s="36"/>
      <c r="C1190" s="36"/>
      <c r="D1190" s="36"/>
      <c r="E1190" s="36"/>
      <c r="F1190" s="36"/>
      <c r="G1190" s="36"/>
      <c r="H1190" s="37"/>
      <c r="I1190" s="36"/>
      <c r="J1190" s="38"/>
      <c r="K1190" s="38"/>
      <c r="L1190" s="39"/>
      <c r="M1190" s="39"/>
      <c r="N1190" s="39"/>
      <c r="O1190" s="39"/>
      <c r="P1190" s="39"/>
      <c r="Q1190" s="39"/>
      <c r="R1190" s="39"/>
      <c r="S1190" s="39"/>
      <c r="T1190" s="39"/>
      <c r="U1190" s="39"/>
      <c r="V1190" s="39"/>
      <c r="W1190" s="39"/>
      <c r="X1190" s="39"/>
      <c r="Y1190" s="39"/>
      <c r="Z1190" s="39"/>
      <c r="AA1190" s="39"/>
      <c r="AB1190" s="39"/>
    </row>
    <row r="1191">
      <c r="A1191" s="1"/>
      <c r="B1191" s="36"/>
      <c r="C1191" s="36"/>
      <c r="D1191" s="36"/>
      <c r="E1191" s="36"/>
      <c r="F1191" s="36"/>
      <c r="G1191" s="36"/>
      <c r="H1191" s="37"/>
      <c r="I1191" s="36"/>
      <c r="J1191" s="38"/>
      <c r="K1191" s="38"/>
      <c r="L1191" s="39"/>
      <c r="M1191" s="39"/>
      <c r="N1191" s="39"/>
      <c r="O1191" s="39"/>
      <c r="P1191" s="39"/>
      <c r="Q1191" s="39"/>
      <c r="R1191" s="39"/>
      <c r="S1191" s="39"/>
      <c r="T1191" s="39"/>
      <c r="U1191" s="39"/>
      <c r="V1191" s="39"/>
      <c r="W1191" s="39"/>
      <c r="X1191" s="39"/>
      <c r="Y1191" s="39"/>
      <c r="Z1191" s="39"/>
      <c r="AA1191" s="39"/>
      <c r="AB1191" s="39"/>
    </row>
    <row r="1192">
      <c r="A1192" s="1"/>
      <c r="B1192" s="36"/>
      <c r="C1192" s="36"/>
      <c r="D1192" s="36"/>
      <c r="E1192" s="36"/>
      <c r="F1192" s="36"/>
      <c r="G1192" s="36"/>
      <c r="H1192" s="37"/>
      <c r="I1192" s="36"/>
      <c r="J1192" s="38"/>
      <c r="K1192" s="38"/>
      <c r="L1192" s="39"/>
      <c r="M1192" s="39"/>
      <c r="N1192" s="39"/>
      <c r="O1192" s="39"/>
      <c r="P1192" s="39"/>
      <c r="Q1192" s="39"/>
      <c r="R1192" s="39"/>
      <c r="S1192" s="39"/>
      <c r="T1192" s="39"/>
      <c r="U1192" s="39"/>
      <c r="V1192" s="39"/>
      <c r="W1192" s="39"/>
      <c r="X1192" s="39"/>
      <c r="Y1192" s="39"/>
      <c r="Z1192" s="39"/>
      <c r="AA1192" s="39"/>
      <c r="AB1192" s="39"/>
    </row>
    <row r="1193">
      <c r="A1193" s="1"/>
      <c r="B1193" s="36"/>
      <c r="C1193" s="36"/>
      <c r="D1193" s="36"/>
      <c r="E1193" s="36"/>
      <c r="F1193" s="36"/>
      <c r="G1193" s="36"/>
      <c r="H1193" s="37"/>
      <c r="I1193" s="36"/>
      <c r="J1193" s="38"/>
      <c r="K1193" s="38"/>
      <c r="L1193" s="39"/>
      <c r="M1193" s="39"/>
      <c r="N1193" s="39"/>
      <c r="O1193" s="39"/>
      <c r="P1193" s="39"/>
      <c r="Q1193" s="39"/>
      <c r="R1193" s="39"/>
      <c r="S1193" s="39"/>
      <c r="T1193" s="39"/>
      <c r="U1193" s="39"/>
      <c r="V1193" s="39"/>
      <c r="W1193" s="39"/>
      <c r="X1193" s="39"/>
      <c r="Y1193" s="39"/>
      <c r="Z1193" s="39"/>
      <c r="AA1193" s="39"/>
      <c r="AB1193" s="39"/>
    </row>
    <row r="1194">
      <c r="A1194" s="1"/>
      <c r="B1194" s="36"/>
      <c r="C1194" s="36"/>
      <c r="D1194" s="36"/>
      <c r="E1194" s="36"/>
      <c r="F1194" s="36"/>
      <c r="G1194" s="36"/>
      <c r="H1194" s="37"/>
      <c r="I1194" s="36"/>
      <c r="J1194" s="38"/>
      <c r="K1194" s="38"/>
      <c r="L1194" s="39"/>
      <c r="M1194" s="39"/>
      <c r="N1194" s="39"/>
      <c r="O1194" s="39"/>
      <c r="P1194" s="39"/>
      <c r="Q1194" s="39"/>
      <c r="R1194" s="39"/>
      <c r="S1194" s="39"/>
      <c r="T1194" s="39"/>
      <c r="U1194" s="39"/>
      <c r="V1194" s="39"/>
      <c r="W1194" s="39"/>
      <c r="X1194" s="39"/>
      <c r="Y1194" s="39"/>
      <c r="Z1194" s="39"/>
      <c r="AA1194" s="39"/>
      <c r="AB1194" s="39"/>
    </row>
    <row r="1195">
      <c r="A1195" s="1"/>
      <c r="B1195" s="36"/>
      <c r="C1195" s="36"/>
      <c r="D1195" s="36"/>
      <c r="E1195" s="36"/>
      <c r="F1195" s="36"/>
      <c r="G1195" s="36"/>
      <c r="H1195" s="37"/>
      <c r="I1195" s="36"/>
      <c r="J1195" s="38"/>
      <c r="K1195" s="38"/>
      <c r="L1195" s="39"/>
      <c r="M1195" s="39"/>
      <c r="N1195" s="39"/>
      <c r="O1195" s="39"/>
      <c r="P1195" s="39"/>
      <c r="Q1195" s="39"/>
      <c r="R1195" s="39"/>
      <c r="S1195" s="39"/>
      <c r="T1195" s="39"/>
      <c r="U1195" s="39"/>
      <c r="V1195" s="39"/>
      <c r="W1195" s="39"/>
      <c r="X1195" s="39"/>
      <c r="Y1195" s="39"/>
      <c r="Z1195" s="39"/>
      <c r="AA1195" s="39"/>
      <c r="AB1195" s="39"/>
    </row>
    <row r="1196">
      <c r="A1196" s="1"/>
      <c r="B1196" s="36"/>
      <c r="C1196" s="36"/>
      <c r="D1196" s="36"/>
      <c r="E1196" s="36"/>
      <c r="F1196" s="36"/>
      <c r="G1196" s="36"/>
      <c r="H1196" s="37"/>
      <c r="I1196" s="36"/>
      <c r="J1196" s="38"/>
      <c r="K1196" s="38"/>
      <c r="L1196" s="39"/>
      <c r="M1196" s="39"/>
      <c r="N1196" s="39"/>
      <c r="O1196" s="39"/>
      <c r="P1196" s="39"/>
      <c r="Q1196" s="39"/>
      <c r="R1196" s="39"/>
      <c r="S1196" s="39"/>
      <c r="T1196" s="39"/>
      <c r="U1196" s="39"/>
      <c r="V1196" s="39"/>
      <c r="W1196" s="39"/>
      <c r="X1196" s="39"/>
      <c r="Y1196" s="39"/>
      <c r="Z1196" s="39"/>
      <c r="AA1196" s="39"/>
      <c r="AB1196" s="39"/>
    </row>
    <row r="1197">
      <c r="A1197" s="1"/>
      <c r="B1197" s="36"/>
      <c r="C1197" s="36"/>
      <c r="D1197" s="36"/>
      <c r="E1197" s="36"/>
      <c r="F1197" s="36"/>
      <c r="G1197" s="36"/>
      <c r="H1197" s="37"/>
      <c r="I1197" s="36"/>
      <c r="J1197" s="38"/>
      <c r="K1197" s="38"/>
      <c r="L1197" s="39"/>
      <c r="M1197" s="39"/>
      <c r="N1197" s="39"/>
      <c r="O1197" s="39"/>
      <c r="P1197" s="39"/>
      <c r="Q1197" s="39"/>
      <c r="R1197" s="39"/>
      <c r="S1197" s="39"/>
      <c r="T1197" s="39"/>
      <c r="U1197" s="39"/>
      <c r="V1197" s="39"/>
      <c r="W1197" s="39"/>
      <c r="X1197" s="39"/>
      <c r="Y1197" s="39"/>
      <c r="Z1197" s="39"/>
      <c r="AA1197" s="39"/>
      <c r="AB1197" s="39"/>
    </row>
    <row r="1198">
      <c r="A1198" s="1"/>
      <c r="B1198" s="36"/>
      <c r="C1198" s="36"/>
      <c r="D1198" s="36"/>
      <c r="E1198" s="36"/>
      <c r="F1198" s="36"/>
      <c r="G1198" s="36"/>
      <c r="H1198" s="37"/>
      <c r="I1198" s="36"/>
      <c r="J1198" s="38"/>
      <c r="K1198" s="38"/>
      <c r="L1198" s="39"/>
      <c r="M1198" s="39"/>
      <c r="N1198" s="39"/>
      <c r="O1198" s="39"/>
      <c r="P1198" s="39"/>
      <c r="Q1198" s="39"/>
      <c r="R1198" s="39"/>
      <c r="S1198" s="39"/>
      <c r="T1198" s="39"/>
      <c r="U1198" s="39"/>
      <c r="V1198" s="39"/>
      <c r="W1198" s="39"/>
      <c r="X1198" s="39"/>
      <c r="Y1198" s="39"/>
      <c r="Z1198" s="39"/>
      <c r="AA1198" s="39"/>
      <c r="AB1198" s="39"/>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5.43"/>
    <col customWidth="1" min="2" max="12" width="19.43"/>
  </cols>
  <sheetData>
    <row r="1">
      <c r="A1" s="1"/>
      <c r="B1" s="2"/>
      <c r="C1" s="1"/>
      <c r="D1" s="3" t="s">
        <v>0</v>
      </c>
      <c r="E1" s="1"/>
      <c r="F1" s="1"/>
      <c r="G1" s="1"/>
      <c r="H1" s="4"/>
      <c r="I1" s="1"/>
      <c r="J1" s="5"/>
      <c r="K1" s="5"/>
      <c r="L1" s="6"/>
      <c r="M1" s="6"/>
      <c r="N1" s="6"/>
      <c r="O1" s="6"/>
      <c r="P1" s="6"/>
      <c r="Q1" s="6"/>
      <c r="R1" s="6"/>
      <c r="S1" s="6"/>
      <c r="T1" s="6"/>
      <c r="U1" s="6"/>
      <c r="V1" s="6"/>
      <c r="W1" s="6"/>
      <c r="X1" s="6"/>
      <c r="Y1" s="6"/>
      <c r="Z1" s="6"/>
      <c r="AA1" s="6"/>
      <c r="AB1" s="6"/>
    </row>
    <row r="2">
      <c r="A2" s="1"/>
      <c r="B2" s="7"/>
      <c r="C2" s="1"/>
      <c r="D2" s="8" t="s">
        <v>1</v>
      </c>
      <c r="E2" s="1"/>
      <c r="F2" s="1"/>
      <c r="G2" s="1"/>
      <c r="H2" s="4"/>
      <c r="I2" s="1"/>
      <c r="J2" s="9" t="s">
        <v>2</v>
      </c>
      <c r="K2" s="5"/>
      <c r="L2" s="6"/>
      <c r="M2" s="6"/>
      <c r="N2" s="6"/>
      <c r="O2" s="6"/>
      <c r="P2" s="6"/>
      <c r="Q2" s="6"/>
      <c r="R2" s="6"/>
      <c r="S2" s="6"/>
      <c r="T2" s="6"/>
      <c r="U2" s="6"/>
      <c r="V2" s="6"/>
      <c r="W2" s="6"/>
      <c r="X2" s="6"/>
      <c r="Y2" s="6"/>
      <c r="Z2" s="6"/>
      <c r="AA2" s="6"/>
      <c r="AB2" s="6"/>
    </row>
    <row r="3">
      <c r="A3" s="1"/>
      <c r="B3" s="1"/>
      <c r="C3" s="1"/>
      <c r="D3" s="8" t="s">
        <v>3</v>
      </c>
      <c r="E3" s="1"/>
      <c r="F3" s="1"/>
      <c r="G3" s="1"/>
      <c r="H3" s="4"/>
      <c r="I3" s="1"/>
      <c r="J3" s="9" t="s">
        <v>4</v>
      </c>
      <c r="K3" s="5"/>
      <c r="L3" s="6"/>
      <c r="M3" s="6"/>
      <c r="N3" s="6"/>
      <c r="O3" s="6"/>
      <c r="P3" s="6"/>
      <c r="Q3" s="6"/>
      <c r="R3" s="6"/>
      <c r="S3" s="6"/>
      <c r="T3" s="6"/>
      <c r="U3" s="6"/>
      <c r="V3" s="6"/>
      <c r="W3" s="6"/>
      <c r="X3" s="6"/>
      <c r="Y3" s="6"/>
      <c r="Z3" s="6"/>
      <c r="AA3" s="6"/>
      <c r="AB3" s="6"/>
    </row>
    <row r="4">
      <c r="A4" s="1"/>
      <c r="B4" s="10"/>
      <c r="C4" s="10"/>
      <c r="D4" s="8" t="s">
        <v>5</v>
      </c>
      <c r="E4" s="11"/>
      <c r="F4" s="10"/>
      <c r="G4" s="11"/>
      <c r="H4" s="12"/>
      <c r="I4" s="1"/>
      <c r="J4" s="9"/>
      <c r="K4" s="5"/>
      <c r="L4" s="6"/>
      <c r="M4" s="6"/>
      <c r="N4" s="6"/>
      <c r="O4" s="6"/>
      <c r="P4" s="6"/>
      <c r="Q4" s="6"/>
      <c r="R4" s="6"/>
      <c r="S4" s="6"/>
      <c r="T4" s="6"/>
      <c r="U4" s="6"/>
      <c r="V4" s="6"/>
      <c r="W4" s="6"/>
      <c r="X4" s="6"/>
      <c r="Y4" s="6"/>
      <c r="Z4" s="6"/>
      <c r="AA4" s="6"/>
      <c r="AB4" s="6"/>
    </row>
    <row r="5">
      <c r="A5" s="1"/>
      <c r="B5" s="10"/>
      <c r="C5" s="13"/>
      <c r="D5" s="14" t="s">
        <v>6</v>
      </c>
      <c r="E5" s="15"/>
      <c r="F5" s="10"/>
      <c r="G5" s="11"/>
      <c r="H5" s="12"/>
      <c r="I5" s="1"/>
      <c r="J5" s="9" t="s">
        <v>7</v>
      </c>
      <c r="K5" s="5"/>
      <c r="L5" s="6"/>
      <c r="M5" s="6"/>
      <c r="N5" s="6"/>
      <c r="O5" s="6"/>
      <c r="P5" s="6"/>
      <c r="Q5" s="6"/>
      <c r="R5" s="6"/>
      <c r="S5" s="6"/>
      <c r="T5" s="6"/>
      <c r="U5" s="6"/>
      <c r="V5" s="6"/>
      <c r="W5" s="6"/>
      <c r="X5" s="6"/>
      <c r="Y5" s="6"/>
      <c r="Z5" s="6"/>
      <c r="AA5" s="6"/>
      <c r="AB5" s="6"/>
    </row>
    <row r="6">
      <c r="A6" s="1"/>
      <c r="B6" s="10"/>
      <c r="C6" s="10"/>
      <c r="D6" s="10"/>
      <c r="E6" s="11"/>
      <c r="F6" s="10"/>
      <c r="G6" s="11"/>
      <c r="H6" s="12"/>
      <c r="I6" s="1"/>
      <c r="J6" s="9"/>
      <c r="K6" s="5"/>
      <c r="L6" s="6"/>
      <c r="M6" s="6"/>
      <c r="N6" s="6"/>
      <c r="O6" s="6"/>
      <c r="P6" s="6"/>
      <c r="Q6" s="6"/>
      <c r="R6" s="6"/>
      <c r="S6" s="6"/>
      <c r="T6" s="6"/>
      <c r="U6" s="6"/>
      <c r="V6" s="6"/>
      <c r="W6" s="6"/>
      <c r="X6" s="6"/>
      <c r="Y6" s="6"/>
      <c r="Z6" s="6"/>
      <c r="AA6" s="6"/>
      <c r="AB6" s="6"/>
    </row>
    <row r="7">
      <c r="A7" s="16"/>
      <c r="B7" s="17"/>
      <c r="C7" s="17"/>
      <c r="D7" s="17"/>
      <c r="E7" s="17"/>
      <c r="F7" s="17"/>
      <c r="G7" s="17"/>
      <c r="H7" s="17"/>
      <c r="I7" s="1"/>
      <c r="J7" s="5"/>
      <c r="K7" s="5"/>
      <c r="L7" s="6"/>
      <c r="M7" s="6"/>
      <c r="N7" s="6"/>
      <c r="O7" s="6"/>
      <c r="P7" s="6"/>
      <c r="Q7" s="6"/>
      <c r="R7" s="6"/>
      <c r="S7" s="6"/>
      <c r="T7" s="6"/>
      <c r="U7" s="6"/>
      <c r="V7" s="6"/>
      <c r="W7" s="6"/>
      <c r="X7" s="6"/>
      <c r="Y7" s="6"/>
      <c r="Z7" s="6"/>
      <c r="AA7" s="6"/>
      <c r="AB7" s="6"/>
    </row>
    <row r="8">
      <c r="A8" s="7" t="s">
        <v>8</v>
      </c>
      <c r="B8" s="7" t="s">
        <v>9</v>
      </c>
      <c r="C8" s="7" t="s">
        <v>10</v>
      </c>
      <c r="D8" s="7" t="s">
        <v>11</v>
      </c>
      <c r="E8" s="7" t="s">
        <v>12</v>
      </c>
      <c r="F8" s="7" t="s">
        <v>13</v>
      </c>
      <c r="G8" s="7" t="s">
        <v>14</v>
      </c>
      <c r="H8" s="7" t="s">
        <v>15</v>
      </c>
      <c r="I8" s="7" t="s">
        <v>16</v>
      </c>
      <c r="J8" s="18" t="s">
        <v>17</v>
      </c>
      <c r="K8" s="18" t="s">
        <v>18</v>
      </c>
      <c r="L8" s="19" t="s">
        <v>19</v>
      </c>
      <c r="M8" s="20"/>
      <c r="N8" s="20"/>
      <c r="O8" s="20"/>
      <c r="P8" s="20"/>
      <c r="Q8" s="20"/>
      <c r="R8" s="20"/>
      <c r="S8" s="20"/>
      <c r="T8" s="20"/>
      <c r="U8" s="20"/>
      <c r="V8" s="20"/>
      <c r="W8" s="20"/>
      <c r="X8" s="20"/>
      <c r="Y8" s="20"/>
      <c r="Z8" s="20"/>
      <c r="AA8" s="20"/>
      <c r="AB8" s="20"/>
    </row>
    <row r="9">
      <c r="A9" s="21" t="s">
        <v>835</v>
      </c>
      <c r="B9" s="22" t="s">
        <v>836</v>
      </c>
      <c r="C9" s="23" t="str">
        <f>IFERROR(__xludf.DUMMYFUNCTION("GOOGLETRANSLATE(B9, ""en"", ""fr"")"),"Formation mannequin")</f>
        <v>Formation mannequin</v>
      </c>
      <c r="D9" s="23" t="str">
        <f>IFERROR(__xludf.DUMMYFUNCTION("GOOGLETRANSLATE(B9, ""en"", ""es"")"),"Maniquí de entrenamiento")</f>
        <v>Maniquí de entrenamiento</v>
      </c>
      <c r="E9" s="23" t="s">
        <v>837</v>
      </c>
      <c r="F9" s="23" t="str">
        <f>IFERROR(__xludf.DUMMYFUNCTION("GOOGLETRANSLATE(B9, ""en"", ""tr"")"),"Eğitim kukla")</f>
        <v>Eğitim kukla</v>
      </c>
      <c r="G9" s="23" t="str">
        <f>IFERROR(__xludf.DUMMYFUNCTION("GOOGLETRANSLATE(B9, ""en"", ""pt"")"),"Formação Dummy")</f>
        <v>Formação Dummy</v>
      </c>
      <c r="H9" s="24" t="str">
        <f>IFERROR(__xludf.DUMMYFUNCTION("GOOGLETRANSLATE(B9, ""en"", ""de"")"),"Trainingsübung")</f>
        <v>Trainingsübung</v>
      </c>
      <c r="I9" s="23" t="str">
        <f>IFERROR(__xludf.DUMMYFUNCTION("GOOGLETRANSLATE(B9, ""en"", ""pl"")"),"Treningowy manekin.")</f>
        <v>Treningowy manekin.</v>
      </c>
      <c r="J9" s="25" t="str">
        <f>IFERROR(__xludf.DUMMYFUNCTION("GOOGLETRANSLATE(B9, ""en"", ""zh"")"),"训练假人")</f>
        <v>训练假人</v>
      </c>
      <c r="K9" s="25" t="str">
        <f>IFERROR(__xludf.DUMMYFUNCTION("GOOGLETRANSLATE(B9, ""en"", ""vi"")"),"Đào tạo giả.")</f>
        <v>Đào tạo giả.</v>
      </c>
      <c r="L9" s="26" t="str">
        <f>IFERROR(__xludf.DUMMYFUNCTION("GOOGLETRANSLATE(B9, ""en"", ""hr"")"),"Trening dummy")</f>
        <v>Trening dummy</v>
      </c>
      <c r="M9" s="28"/>
      <c r="N9" s="28"/>
      <c r="O9" s="28"/>
      <c r="P9" s="28"/>
      <c r="Q9" s="28"/>
      <c r="R9" s="28"/>
      <c r="S9" s="28"/>
      <c r="T9" s="28"/>
      <c r="U9" s="28"/>
      <c r="V9" s="28"/>
      <c r="W9" s="28"/>
      <c r="X9" s="28"/>
      <c r="Y9" s="28"/>
      <c r="Z9" s="28"/>
      <c r="AA9" s="28"/>
      <c r="AB9" s="28"/>
    </row>
    <row r="10">
      <c r="A10" s="21" t="s">
        <v>838</v>
      </c>
      <c r="B10" s="22" t="s">
        <v>839</v>
      </c>
      <c r="C10" s="23" t="str">
        <f>IFERROR(__xludf.DUMMYFUNCTION("GOOGLETRANSLATE(B10, ""en"", ""fr"")"),"Bandit")</f>
        <v>Bandit</v>
      </c>
      <c r="D10" s="23" t="str">
        <f>IFERROR(__xludf.DUMMYFUNCTION("GOOGLETRANSLATE(B10, ""en"", ""es"")"),"Bandido")</f>
        <v>Bandido</v>
      </c>
      <c r="E10" s="23" t="s">
        <v>840</v>
      </c>
      <c r="F10" s="23" t="str">
        <f>IFERROR(__xludf.DUMMYFUNCTION("GOOGLETRANSLATE(B10, ""en"", ""tr"")"),"Haydut")</f>
        <v>Haydut</v>
      </c>
      <c r="G10" s="23" t="str">
        <f>IFERROR(__xludf.DUMMYFUNCTION("GOOGLETRANSLATE(B10, ""en"", ""pt"")"),"Bandido")</f>
        <v>Bandido</v>
      </c>
      <c r="H10" s="24" t="str">
        <f>IFERROR(__xludf.DUMMYFUNCTION("GOOGLETRANSLATE(B10, ""en"", ""de"")"),"Bandit")</f>
        <v>Bandit</v>
      </c>
      <c r="I10" s="23" t="str">
        <f>IFERROR(__xludf.DUMMYFUNCTION("GOOGLETRANSLATE(B10, ""en"", ""pl"")"),"Bandyta")</f>
        <v>Bandyta</v>
      </c>
      <c r="J10" s="25" t="str">
        <f>IFERROR(__xludf.DUMMYFUNCTION("GOOGLETRANSLATE(B10, ""en"", ""zh"")"),"土匪")</f>
        <v>土匪</v>
      </c>
      <c r="K10" s="25" t="str">
        <f>IFERROR(__xludf.DUMMYFUNCTION("GOOGLETRANSLATE(B10, ""en"", ""vi"")"),"Tên cướp.")</f>
        <v>Tên cướp.</v>
      </c>
      <c r="L10" s="26" t="str">
        <f>IFERROR(__xludf.DUMMYFUNCTION("GOOGLETRANSLATE(B10, ""en"", ""hr"")"),"Bandit")</f>
        <v>Bandit</v>
      </c>
      <c r="M10" s="28"/>
      <c r="N10" s="28"/>
      <c r="O10" s="28"/>
      <c r="P10" s="28"/>
      <c r="Q10" s="28"/>
      <c r="R10" s="28"/>
      <c r="S10" s="28"/>
      <c r="T10" s="28"/>
      <c r="U10" s="28"/>
      <c r="V10" s="28"/>
      <c r="W10" s="28"/>
      <c r="X10" s="28"/>
      <c r="Y10" s="28"/>
      <c r="Z10" s="28"/>
      <c r="AA10" s="28"/>
      <c r="AB10" s="28"/>
    </row>
    <row r="11">
      <c r="A11" s="21" t="s">
        <v>841</v>
      </c>
      <c r="B11" s="22" t="s">
        <v>842</v>
      </c>
      <c r="C11" s="23" t="str">
        <f>IFERROR(__xludf.DUMMYFUNCTION("GOOGLETRANSLATE(B11, ""en"", ""fr"")"),"Chef de bandit")</f>
        <v>Chef de bandit</v>
      </c>
      <c r="D11" s="23" t="str">
        <f>IFERROR(__xludf.DUMMYFUNCTION("GOOGLETRANSLATE(B11, ""en"", ""es"")"),"Líder de bandidos")</f>
        <v>Líder de bandidos</v>
      </c>
      <c r="E11" s="23" t="s">
        <v>843</v>
      </c>
      <c r="F11" s="23" t="str">
        <f>IFERROR(__xludf.DUMMYFUNCTION("GOOGLETRANSLATE(B11, ""en"", ""tr"")"),"Haydut lideri")</f>
        <v>Haydut lideri</v>
      </c>
      <c r="G11" s="23" t="str">
        <f>IFERROR(__xludf.DUMMYFUNCTION("GOOGLETRANSLATE(B11, ""en"", ""pt"")"),"Líder bandido")</f>
        <v>Líder bandido</v>
      </c>
      <c r="H11" s="24" t="str">
        <f>IFERROR(__xludf.DUMMYFUNCTION("GOOGLETRANSLATE(B11, ""en"", ""de"")"),"Bandit-Führer.")</f>
        <v>Bandit-Führer.</v>
      </c>
      <c r="I11" s="23" t="str">
        <f>IFERROR(__xludf.DUMMYFUNCTION("GOOGLETRANSLATE(B11, ""en"", ""pl"")"),"Lider Bandit.")</f>
        <v>Lider Bandit.</v>
      </c>
      <c r="J11" s="25" t="str">
        <f>IFERROR(__xludf.DUMMYFUNCTION("GOOGLETRANSLATE(B11, ""en"", ""zh"")"),"强盗领导者")</f>
        <v>强盗领导者</v>
      </c>
      <c r="K11" s="25" t="str">
        <f>IFERROR(__xludf.DUMMYFUNCTION("GOOGLETRANSLATE(B11, ""en"", ""vi"")"),"Nhà lãnh đạo tên cướp")</f>
        <v>Nhà lãnh đạo tên cướp</v>
      </c>
      <c r="L11" s="26" t="str">
        <f>IFERROR(__xludf.DUMMYFUNCTION("GOOGLETRANSLATE(B11, ""en"", ""hr"")"),"Vođa bandita")</f>
        <v>Vođa bandita</v>
      </c>
      <c r="M11" s="28"/>
      <c r="N11" s="28"/>
      <c r="O11" s="28"/>
      <c r="P11" s="28"/>
      <c r="Q11" s="28"/>
      <c r="R11" s="28"/>
      <c r="S11" s="28"/>
      <c r="T11" s="28"/>
      <c r="U11" s="28"/>
      <c r="V11" s="28"/>
      <c r="W11" s="28"/>
      <c r="X11" s="28"/>
      <c r="Y11" s="28"/>
      <c r="Z11" s="28"/>
      <c r="AA11" s="28"/>
      <c r="AB11" s="28"/>
    </row>
    <row r="12">
      <c r="A12" s="21" t="s">
        <v>844</v>
      </c>
      <c r="B12" s="22" t="s">
        <v>845</v>
      </c>
      <c r="C12" s="23" t="str">
        <f>IFERROR(__xludf.DUMMYFUNCTION("GOOGLETRANSLATE(B12, ""en"", ""fr"")"),"Assassin")</f>
        <v>Assassin</v>
      </c>
      <c r="D12" s="23" t="str">
        <f>IFERROR(__xludf.DUMMYFUNCTION("GOOGLETRANSLATE(B12, ""en"", ""es"")"),"Asesino")</f>
        <v>Asesino</v>
      </c>
      <c r="E12" s="23" t="s">
        <v>846</v>
      </c>
      <c r="F12" s="23" t="str">
        <f>IFERROR(__xludf.DUMMYFUNCTION("GOOGLETRANSLATE(B12, ""en"", ""tr"")"),"Assassin")</f>
        <v>Assassin</v>
      </c>
      <c r="G12" s="23" t="str">
        <f>IFERROR(__xludf.DUMMYFUNCTION("GOOGLETRANSLATE(B12, ""en"", ""pt"")"),"Assassino")</f>
        <v>Assassino</v>
      </c>
      <c r="H12" s="24" t="str">
        <f>IFERROR(__xludf.DUMMYFUNCTION("GOOGLETRANSLATE(B12, ""en"", ""de"")"),"Attentäter")</f>
        <v>Attentäter</v>
      </c>
      <c r="I12" s="23" t="str">
        <f>IFERROR(__xludf.DUMMYFUNCTION("GOOGLETRANSLATE(B12, ""en"", ""pl"")"),"Morderca")</f>
        <v>Morderca</v>
      </c>
      <c r="J12" s="25" t="str">
        <f>IFERROR(__xludf.DUMMYFUNCTION("GOOGLETRANSLATE(B12, ""en"", ""zh"")"),"刺客")</f>
        <v>刺客</v>
      </c>
      <c r="K12" s="25" t="str">
        <f>IFERROR(__xludf.DUMMYFUNCTION("GOOGLETRANSLATE(B12, ""en"", ""vi"")"),"Kẻ ám sát")</f>
        <v>Kẻ ám sát</v>
      </c>
      <c r="L12" s="26" t="str">
        <f>IFERROR(__xludf.DUMMYFUNCTION("GOOGLETRANSLATE(B12, ""en"", ""hr"")"),"Ubojica")</f>
        <v>Ubojica</v>
      </c>
      <c r="M12" s="28"/>
      <c r="N12" s="28"/>
      <c r="O12" s="28"/>
      <c r="P12" s="28"/>
      <c r="Q12" s="28"/>
      <c r="R12" s="28"/>
      <c r="S12" s="28"/>
      <c r="T12" s="28"/>
      <c r="U12" s="28"/>
      <c r="V12" s="28"/>
      <c r="W12" s="28"/>
      <c r="X12" s="28"/>
      <c r="Y12" s="28"/>
      <c r="Z12" s="28"/>
      <c r="AA12" s="28"/>
      <c r="AB12" s="28"/>
    </row>
    <row r="13">
      <c r="A13" s="21" t="s">
        <v>847</v>
      </c>
      <c r="B13" s="22" t="s">
        <v>848</v>
      </c>
      <c r="C13" s="23" t="str">
        <f>IFERROR(__xludf.DUMMYFUNCTION("GOOGLETRANSLATE(B13, ""en"", ""fr"")"),"Assassin principal")</f>
        <v>Assassin principal</v>
      </c>
      <c r="D13" s="23" t="str">
        <f>IFERROR(__xludf.DUMMYFUNCTION("GOOGLETRANSLATE(B13, ""en"", ""es"")"),"Asesino maestro")</f>
        <v>Asesino maestro</v>
      </c>
      <c r="E13" s="23" t="s">
        <v>849</v>
      </c>
      <c r="F13" s="23" t="str">
        <f>IFERROR(__xludf.DUMMYFUNCTION("GOOGLETRANSLATE(B13, ""en"", ""tr"")"),"Usta suikastçısı")</f>
        <v>Usta suikastçısı</v>
      </c>
      <c r="G13" s="23" t="str">
        <f>IFERROR(__xludf.DUMMYFUNCTION("GOOGLETRANSLATE(B13, ""en"", ""pt"")"),"Assassino mestre.")</f>
        <v>Assassino mestre.</v>
      </c>
      <c r="H13" s="24" t="str">
        <f>IFERROR(__xludf.DUMMYFUNCTION("GOOGLETRANSLATE(B13, ""en"", ""de"")"),"Master Assassin")</f>
        <v>Master Assassin</v>
      </c>
      <c r="I13" s="23" t="str">
        <f>IFERROR(__xludf.DUMMYFUNCTION("GOOGLETRANSLATE(B13, ""en"", ""pl"")"),"Master Assassin.")</f>
        <v>Master Assassin.</v>
      </c>
      <c r="J13" s="25" t="str">
        <f>IFERROR(__xludf.DUMMYFUNCTION("GOOGLETRANSLATE(B13, ""en"", ""zh"")"),"大师刺客")</f>
        <v>大师刺客</v>
      </c>
      <c r="K13" s="25" t="str">
        <f>IFERROR(__xludf.DUMMYFUNCTION("GOOGLETRANSLATE(B13, ""en"", ""vi"")"),"Sát thủ chủ")</f>
        <v>Sát thủ chủ</v>
      </c>
      <c r="L13" s="26" t="str">
        <f>IFERROR(__xludf.DUMMYFUNCTION("GOOGLETRANSLATE(B13, ""en"", ""hr"")"),"Majstor ubojica")</f>
        <v>Majstor ubojica</v>
      </c>
      <c r="M13" s="28"/>
      <c r="N13" s="28"/>
      <c r="O13" s="28"/>
      <c r="P13" s="28"/>
      <c r="Q13" s="28"/>
      <c r="R13" s="28"/>
      <c r="S13" s="28"/>
      <c r="T13" s="28"/>
      <c r="U13" s="28"/>
      <c r="V13" s="28"/>
      <c r="W13" s="28"/>
      <c r="X13" s="28"/>
      <c r="Y13" s="28"/>
      <c r="Z13" s="28"/>
      <c r="AA13" s="28"/>
      <c r="AB13" s="28"/>
    </row>
    <row r="14">
      <c r="A14" s="21" t="s">
        <v>850</v>
      </c>
      <c r="B14" s="22" t="s">
        <v>851</v>
      </c>
      <c r="C14" s="23" t="str">
        <f>IFERROR(__xludf.DUMMYFUNCTION("GOOGLETRANSLATE(B14, ""en"", ""fr"")"),"Chauve souris")</f>
        <v>Chauve souris</v>
      </c>
      <c r="D14" s="23" t="str">
        <f>IFERROR(__xludf.DUMMYFUNCTION("GOOGLETRANSLATE(B14, ""en"", ""es"")"),"Murciélago")</f>
        <v>Murciélago</v>
      </c>
      <c r="E14" s="23" t="str">
        <f>IFERROR(__xludf.DUMMYFUNCTION("GOOGLETRANSLATE(B14, ""en"", ""ru"")"),"Летучая мышь")</f>
        <v>Летучая мышь</v>
      </c>
      <c r="F14" s="23" t="str">
        <f>IFERROR(__xludf.DUMMYFUNCTION("GOOGLETRANSLATE(B14, ""en"", ""tr"")"),"Yarasa")</f>
        <v>Yarasa</v>
      </c>
      <c r="G14" s="23" t="str">
        <f>IFERROR(__xludf.DUMMYFUNCTION("GOOGLETRANSLATE(B14, ""en"", ""pt"")"),"Bastão")</f>
        <v>Bastão</v>
      </c>
      <c r="H14" s="24" t="str">
        <f>IFERROR(__xludf.DUMMYFUNCTION("GOOGLETRANSLATE(B14, ""en"", ""de"")"),"Schläger")</f>
        <v>Schläger</v>
      </c>
      <c r="I14" s="23" t="str">
        <f>IFERROR(__xludf.DUMMYFUNCTION("GOOGLETRANSLATE(B14, ""en"", ""pl"")"),"Nietoperz")</f>
        <v>Nietoperz</v>
      </c>
      <c r="J14" s="25" t="str">
        <f>IFERROR(__xludf.DUMMYFUNCTION("GOOGLETRANSLATE(B14, ""en"", ""zh"")"),"蝙蝠")</f>
        <v>蝙蝠</v>
      </c>
      <c r="K14" s="25" t="str">
        <f>IFERROR(__xludf.DUMMYFUNCTION("GOOGLETRANSLATE(B14, ""en"", ""vi"")"),"Con dơi")</f>
        <v>Con dơi</v>
      </c>
      <c r="L14" s="26" t="str">
        <f>IFERROR(__xludf.DUMMYFUNCTION("GOOGLETRANSLATE(B14, ""en"", ""hr"")"),"Šišmiš")</f>
        <v>Šišmiš</v>
      </c>
      <c r="M14" s="28"/>
      <c r="N14" s="28"/>
      <c r="O14" s="28"/>
      <c r="P14" s="28"/>
      <c r="Q14" s="28"/>
      <c r="R14" s="28"/>
      <c r="S14" s="28"/>
      <c r="T14" s="28"/>
      <c r="U14" s="28"/>
      <c r="V14" s="28"/>
      <c r="W14" s="28"/>
      <c r="X14" s="28"/>
      <c r="Y14" s="28"/>
      <c r="Z14" s="28"/>
      <c r="AA14" s="28"/>
      <c r="AB14" s="28"/>
    </row>
    <row r="15">
      <c r="A15" s="21" t="s">
        <v>852</v>
      </c>
      <c r="B15" s="22" t="s">
        <v>853</v>
      </c>
      <c r="C15" s="23" t="str">
        <f>IFERROR(__xludf.DUMMYFUNCTION("GOOGLETRANSLATE(B15, ""en"", ""fr"")"),"Règle")</f>
        <v>Règle</v>
      </c>
      <c r="D15" s="23" t="str">
        <f>IFERROR(__xludf.DUMMYFUNCTION("GOOGLETRANSLATE(B15, ""en"", ""es"")"),"Gobernante")</f>
        <v>Gobernante</v>
      </c>
      <c r="E15" s="23" t="str">
        <f>IFERROR(__xludf.DUMMYFUNCTION("GOOGLETRANSLATE(B15, ""en"", ""ru"")"),"Правитель")</f>
        <v>Правитель</v>
      </c>
      <c r="F15" s="23" t="str">
        <f>IFERROR(__xludf.DUMMYFUNCTION("GOOGLETRANSLATE(B15, ""en"", ""tr"")"),"Hükümdar")</f>
        <v>Hükümdar</v>
      </c>
      <c r="G15" s="23" t="str">
        <f>IFERROR(__xludf.DUMMYFUNCTION("GOOGLETRANSLATE(B15, ""en"", ""pt"")"),"Governante")</f>
        <v>Governante</v>
      </c>
      <c r="H15" s="24" t="str">
        <f>IFERROR(__xludf.DUMMYFUNCTION("GOOGLETRANSLATE(B15, ""en"", ""de"")"),"Herrscher")</f>
        <v>Herrscher</v>
      </c>
      <c r="I15" s="23" t="str">
        <f>IFERROR(__xludf.DUMMYFUNCTION("GOOGLETRANSLATE(B15, ""en"", ""pl"")"),"Linijka")</f>
        <v>Linijka</v>
      </c>
      <c r="J15" s="25" t="str">
        <f>IFERROR(__xludf.DUMMYFUNCTION("GOOGLETRANSLATE(B15, ""en"", ""zh"")"),"统治者")</f>
        <v>统治者</v>
      </c>
      <c r="K15" s="25" t="str">
        <f>IFERROR(__xludf.DUMMYFUNCTION("GOOGLETRANSLATE(B15, ""en"", ""vi"")"),"Cái thước kẻ")</f>
        <v>Cái thước kẻ</v>
      </c>
      <c r="L15" s="26" t="str">
        <f>IFERROR(__xludf.DUMMYFUNCTION("GOOGLETRANSLATE(B15, ""en"", ""hr"")"),"Vladar")</f>
        <v>Vladar</v>
      </c>
      <c r="M15" s="28"/>
      <c r="N15" s="28"/>
      <c r="O15" s="28"/>
      <c r="P15" s="28"/>
      <c r="Q15" s="28"/>
      <c r="R15" s="28"/>
      <c r="S15" s="28"/>
      <c r="T15" s="28"/>
      <c r="U15" s="28"/>
      <c r="V15" s="28"/>
      <c r="W15" s="28"/>
      <c r="X15" s="28"/>
      <c r="Y15" s="28"/>
      <c r="Z15" s="28"/>
      <c r="AA15" s="28"/>
      <c r="AB15" s="28"/>
    </row>
    <row r="16">
      <c r="A16" s="21" t="s">
        <v>854</v>
      </c>
      <c r="B16" s="22" t="s">
        <v>855</v>
      </c>
      <c r="C16" s="23" t="str">
        <f>IFERROR(__xludf.DUMMYFUNCTION("GOOGLETRANSLATE(B16, ""en"", ""fr"")"),"Aubergiste")</f>
        <v>Aubergiste</v>
      </c>
      <c r="D16" s="23" t="str">
        <f>IFERROR(__xludf.DUMMYFUNCTION("GOOGLETRANSLATE(B16, ""en"", ""es"")"),"Posadero")</f>
        <v>Posadero</v>
      </c>
      <c r="E16" s="23" t="s">
        <v>856</v>
      </c>
      <c r="F16" s="23" t="str">
        <f>IFERROR(__xludf.DUMMYFUNCTION("GOOGLETRANSLATE(B16, ""en"", ""tr"")"),"Hancı")</f>
        <v>Hancı</v>
      </c>
      <c r="G16" s="23" t="str">
        <f>IFERROR(__xludf.DUMMYFUNCTION("GOOGLETRANSLATE(B16, ""en"", ""pt"")"),"Innkeeper")</f>
        <v>Innkeeper</v>
      </c>
      <c r="H16" s="24" t="str">
        <f>IFERROR(__xludf.DUMMYFUNCTION("GOOGLETRANSLATE(B16, ""en"", ""de"")"),"Gastwirt")</f>
        <v>Gastwirt</v>
      </c>
      <c r="I16" s="23" t="str">
        <f>IFERROR(__xludf.DUMMYFUNCTION("GOOGLETRANSLATE(B16, ""en"", ""pl"")"),"Oberżysta")</f>
        <v>Oberżysta</v>
      </c>
      <c r="J16" s="25" t="str">
        <f>IFERROR(__xludf.DUMMYFUNCTION("GOOGLETRANSLATE(B16, ""en"", ""zh"")"),"Innkeeper.")</f>
        <v>Innkeeper.</v>
      </c>
      <c r="K16" s="25" t="str">
        <f>IFERROR(__xludf.DUMMYFUNCTION("GOOGLETRANSLATE(B16, ""en"", ""vi"")"),"Chủ nhà trọ")</f>
        <v>Chủ nhà trọ</v>
      </c>
      <c r="L16" s="26" t="str">
        <f>IFERROR(__xludf.DUMMYFUNCTION("GOOGLETRANSLATE(B16, ""en"", ""hr"")"),"Gostioničar")</f>
        <v>Gostioničar</v>
      </c>
      <c r="M16" s="28"/>
      <c r="N16" s="28"/>
      <c r="O16" s="28"/>
      <c r="P16" s="28"/>
      <c r="Q16" s="28"/>
      <c r="R16" s="28"/>
      <c r="S16" s="28"/>
      <c r="T16" s="28"/>
      <c r="U16" s="28"/>
      <c r="V16" s="28"/>
      <c r="W16" s="28"/>
      <c r="X16" s="28"/>
      <c r="Y16" s="28"/>
      <c r="Z16" s="28"/>
      <c r="AA16" s="28"/>
      <c r="AB16" s="28"/>
    </row>
    <row r="17">
      <c r="A17" s="21" t="s">
        <v>857</v>
      </c>
      <c r="B17" s="22" t="s">
        <v>858</v>
      </c>
      <c r="C17" s="23" t="str">
        <f>IFERROR(__xludf.DUMMYFUNCTION("GOOGLETRANSLATE(B17, ""en"", ""fr"")"),"Arène maître")</f>
        <v>Arène maître</v>
      </c>
      <c r="D17" s="23" t="str">
        <f>IFERROR(__xludf.DUMMYFUNCTION("GOOGLETRANSLATE(B17, ""en"", ""es"")"),"Arena Maestro")</f>
        <v>Arena Maestro</v>
      </c>
      <c r="E17" s="23" t="s">
        <v>859</v>
      </c>
      <c r="F17" s="23" t="str">
        <f>IFERROR(__xludf.DUMMYFUNCTION("GOOGLETRANSLATE(B17, ""en"", ""tr"")"),"Arena master")</f>
        <v>Arena master</v>
      </c>
      <c r="G17" s="23" t="str">
        <f>IFERROR(__xludf.DUMMYFUNCTION("GOOGLETRANSLATE(B17, ""en"", ""pt"")"),"Arena Master.")</f>
        <v>Arena Master.</v>
      </c>
      <c r="H17" s="24" t="str">
        <f>IFERROR(__xludf.DUMMYFUNCTION("GOOGLETRANSLATE(B17, ""en"", ""de"")"),"Arena Meister.")</f>
        <v>Arena Meister.</v>
      </c>
      <c r="I17" s="23" t="str">
        <f>IFERROR(__xludf.DUMMYFUNCTION("GOOGLETRANSLATE(B17, ""en"", ""pl"")"),"Arena Master.")</f>
        <v>Arena Master.</v>
      </c>
      <c r="J17" s="25" t="str">
        <f>IFERROR(__xludf.DUMMYFUNCTION("GOOGLETRANSLATE(B17, ""en"", ""zh"")"),"竞技场大师")</f>
        <v>竞技场大师</v>
      </c>
      <c r="K17" s="25" t="str">
        <f>IFERROR(__xludf.DUMMYFUNCTION("GOOGLETRANSLATE(B17, ""en"", ""vi"")"),"Đấu trường Master.")</f>
        <v>Đấu trường Master.</v>
      </c>
      <c r="L17" s="26" t="str">
        <f>IFERROR(__xludf.DUMMYFUNCTION("GOOGLETRANSLATE(B17, ""en"", ""hr"")"),"Arena")</f>
        <v>Arena</v>
      </c>
      <c r="M17" s="28"/>
      <c r="N17" s="28"/>
      <c r="O17" s="28"/>
      <c r="P17" s="28"/>
      <c r="Q17" s="28"/>
      <c r="R17" s="28"/>
      <c r="S17" s="28"/>
      <c r="T17" s="28"/>
      <c r="U17" s="28"/>
      <c r="V17" s="28"/>
      <c r="W17" s="28"/>
      <c r="X17" s="28"/>
      <c r="Y17" s="28"/>
      <c r="Z17" s="28"/>
      <c r="AA17" s="28"/>
      <c r="AB17" s="28"/>
    </row>
    <row r="18">
      <c r="A18" s="21" t="s">
        <v>860</v>
      </c>
      <c r="B18" s="22" t="s">
        <v>861</v>
      </c>
      <c r="C18" s="23" t="str">
        <f>IFERROR(__xludf.DUMMYFUNCTION("GOOGLETRANSLATE(B18, ""en"", ""fr"")"),"marchande")</f>
        <v>marchande</v>
      </c>
      <c r="D18" s="23" t="str">
        <f>IFERROR(__xludf.DUMMYFUNCTION("GOOGLETRANSLATE(B18, ""en"", ""es"")"),"Comerciante")</f>
        <v>Comerciante</v>
      </c>
      <c r="E18" s="23" t="str">
        <f>IFERROR(__xludf.DUMMYFUNCTION("GOOGLETRANSLATE(B18, ""en"", ""ru"")"),"Торговец")</f>
        <v>Торговец</v>
      </c>
      <c r="F18" s="23" t="str">
        <f>IFERROR(__xludf.DUMMYFUNCTION("GOOGLETRANSLATE(B18, ""en"", ""tr"")"),"Tüccar")</f>
        <v>Tüccar</v>
      </c>
      <c r="G18" s="23" t="str">
        <f>IFERROR(__xludf.DUMMYFUNCTION("GOOGLETRANSLATE(B18, ""en"", ""pt"")"),"Comerciante")</f>
        <v>Comerciante</v>
      </c>
      <c r="H18" s="24" t="str">
        <f>IFERROR(__xludf.DUMMYFUNCTION("GOOGLETRANSLATE(B18, ""en"", ""de"")"),"Händler")</f>
        <v>Händler</v>
      </c>
      <c r="I18" s="23" t="str">
        <f>IFERROR(__xludf.DUMMYFUNCTION("GOOGLETRANSLATE(B18, ""en"", ""pl"")"),"Kupiec")</f>
        <v>Kupiec</v>
      </c>
      <c r="J18" s="25" t="str">
        <f>IFERROR(__xludf.DUMMYFUNCTION("GOOGLETRANSLATE(B18, ""en"", ""zh"")"),"商人")</f>
        <v>商人</v>
      </c>
      <c r="K18" s="25" t="str">
        <f>IFERROR(__xludf.DUMMYFUNCTION("GOOGLETRANSLATE(B18, ""en"", ""vi"")"),"Merchant.")</f>
        <v>Merchant.</v>
      </c>
      <c r="L18" s="26" t="str">
        <f>IFERROR(__xludf.DUMMYFUNCTION("GOOGLETRANSLATE(B18, ""en"", ""hr"")"),"Trgovac")</f>
        <v>Trgovac</v>
      </c>
      <c r="M18" s="28"/>
      <c r="N18" s="28"/>
      <c r="O18" s="28"/>
      <c r="P18" s="28"/>
      <c r="Q18" s="28"/>
      <c r="R18" s="28"/>
      <c r="S18" s="28"/>
      <c r="T18" s="28"/>
      <c r="U18" s="28"/>
      <c r="V18" s="28"/>
      <c r="W18" s="28"/>
      <c r="X18" s="28"/>
      <c r="Y18" s="28"/>
      <c r="Z18" s="28"/>
      <c r="AA18" s="28"/>
      <c r="AB18" s="28"/>
    </row>
    <row r="19">
      <c r="A19" s="21" t="s">
        <v>862</v>
      </c>
      <c r="B19" s="22" t="s">
        <v>863</v>
      </c>
      <c r="C19" s="23" t="str">
        <f>IFERROR(__xludf.DUMMYFUNCTION("GOOGLETRANSLATE(B19, ""en"", ""fr"")"),"Melee Merchant")</f>
        <v>Melee Merchant</v>
      </c>
      <c r="D19" s="23" t="str">
        <f>IFERROR(__xludf.DUMMYFUNCTION("GOOGLETRANSLATE(B19, ""en"", ""es"")"),"Comerciante cuerpo a cuerpo")</f>
        <v>Comerciante cuerpo a cuerpo</v>
      </c>
      <c r="E19" s="23" t="str">
        <f>IFERROR(__xludf.DUMMYFUNCTION("GOOGLETRANSLATE(B19, ""en"", ""ru"")"),"Международный коммерсант")</f>
        <v>Международный коммерсант</v>
      </c>
      <c r="F19" s="23" t="str">
        <f>IFERROR(__xludf.DUMMYFUNCTION("GOOGLETRANSLATE(B19, ""en"", ""tr"")"),"Melee tüccarı")</f>
        <v>Melee tüccarı</v>
      </c>
      <c r="G19" s="23" t="str">
        <f>IFERROR(__xludf.DUMMYFUNCTION("GOOGLETRANSLATE(B19, ""en"", ""pt"")"),"Melee Merchant")</f>
        <v>Melee Merchant</v>
      </c>
      <c r="H19" s="24" t="str">
        <f>IFERROR(__xludf.DUMMYFUNCTION("GOOGLETRANSLATE(B19, ""en"", ""de"")"),"Nahkampfhändler")</f>
        <v>Nahkampfhändler</v>
      </c>
      <c r="I19" s="23" t="str">
        <f>IFERROR(__xludf.DUMMYFUNCTION("GOOGLETRANSLATE(B19, ""en"", ""pl"")"),"Mechant")</f>
        <v>Mechant</v>
      </c>
      <c r="J19" s="25" t="str">
        <f>IFERROR(__xludf.DUMMYFUNCTION("GOOGLETRANSLATE(B19, ""en"", ""zh"")"),"MELEE MERCHANT.")</f>
        <v>MELEE MERCHANT.</v>
      </c>
      <c r="K19" s="25" t="str">
        <f>IFERROR(__xludf.DUMMYFUNCTION("GOOGLETRANSLATE(B19, ""en"", ""vi"")"),"Melee Merchant.")</f>
        <v>Melee Merchant.</v>
      </c>
      <c r="L19" s="26" t="str">
        <f>IFERROR(__xludf.DUMMYFUNCTION("GOOGLETRANSLATE(B19, ""en"", ""hr"")"),"Meležni trgovac")</f>
        <v>Meležni trgovac</v>
      </c>
      <c r="M19" s="28"/>
      <c r="N19" s="28"/>
      <c r="O19" s="28"/>
      <c r="P19" s="28"/>
      <c r="Q19" s="28"/>
      <c r="R19" s="28"/>
      <c r="S19" s="28"/>
      <c r="T19" s="28"/>
      <c r="U19" s="28"/>
      <c r="V19" s="28"/>
      <c r="W19" s="28"/>
      <c r="X19" s="28"/>
      <c r="Y19" s="28"/>
      <c r="Z19" s="28"/>
      <c r="AA19" s="28"/>
      <c r="AB19" s="28"/>
    </row>
    <row r="20">
      <c r="A20" s="21" t="s">
        <v>864</v>
      </c>
      <c r="B20" s="22" t="s">
        <v>865</v>
      </c>
      <c r="C20" s="23" t="str">
        <f>IFERROR(__xludf.DUMMYFUNCTION("GOOGLETRANSLATE(B20, ""en"", ""fr"")"),"Marchand à distance")</f>
        <v>Marchand à distance</v>
      </c>
      <c r="D20" s="23" t="str">
        <f>IFERROR(__xludf.DUMMYFUNCTION("GOOGLETRANSLATE(B20, ""en"", ""es"")"),"Comerciante a distancia")</f>
        <v>Comerciante a distancia</v>
      </c>
      <c r="E20" s="23" t="str">
        <f>IFERROR(__xludf.DUMMYFUNCTION("GOOGLETRANSLATE(B20, ""en"", ""ru"")"),"Рандованный торговец")</f>
        <v>Рандованный торговец</v>
      </c>
      <c r="F20" s="23" t="str">
        <f>IFERROR(__xludf.DUMMYFUNCTION("GOOGLETRANSLATE(B20, ""en"", ""tr"")"),"Değişimli tüccar")</f>
        <v>Değişimli tüccar</v>
      </c>
      <c r="G20" s="23" t="str">
        <f>IFERROR(__xludf.DUMMYFUNCTION("GOOGLETRANSLATE(B20, ""en"", ""pt"")"),"Comerciante variou")</f>
        <v>Comerciante variou</v>
      </c>
      <c r="H20" s="24" t="str">
        <f>IFERROR(__xludf.DUMMYFUNCTION("GOOGLETRANSLATE(B20, ""en"", ""de"")"),"Rangierter Kaufmann.")</f>
        <v>Rangierter Kaufmann.</v>
      </c>
      <c r="I20" s="23" t="str">
        <f>IFERROR(__xludf.DUMMYFUNCTION("GOOGLETRANSLATE(B20, ""en"", ""pl"")"),"Sprzedawca dystansowy")</f>
        <v>Sprzedawca dystansowy</v>
      </c>
      <c r="J20" s="25" t="str">
        <f>IFERROR(__xludf.DUMMYFUNCTION("GOOGLETRANSLATE(B20, ""en"", ""zh"")"),"广泛的商人")</f>
        <v>广泛的商人</v>
      </c>
      <c r="K20" s="25" t="str">
        <f>IFERROR(__xludf.DUMMYFUNCTION("GOOGLETRANSLATE(B20, ""en"", ""vi"")"),"Merchant tầm xa")</f>
        <v>Merchant tầm xa</v>
      </c>
      <c r="L20" s="26" t="str">
        <f>IFERROR(__xludf.DUMMYFUNCTION("GOOGLETRANSLATE(B20, ""en"", ""hr"")"),"Kretao trgovca")</f>
        <v>Kretao trgovca</v>
      </c>
      <c r="M20" s="28"/>
      <c r="N20" s="28"/>
      <c r="O20" s="28"/>
      <c r="P20" s="28"/>
      <c r="Q20" s="28"/>
      <c r="R20" s="28"/>
      <c r="S20" s="28"/>
      <c r="T20" s="28"/>
      <c r="U20" s="28"/>
      <c r="V20" s="28"/>
      <c r="W20" s="28"/>
      <c r="X20" s="28"/>
      <c r="Y20" s="28"/>
      <c r="Z20" s="28"/>
      <c r="AA20" s="28"/>
      <c r="AB20" s="28"/>
    </row>
    <row r="21">
      <c r="A21" s="21" t="s">
        <v>866</v>
      </c>
      <c r="B21" s="22" t="s">
        <v>867</v>
      </c>
      <c r="C21" s="23" t="str">
        <f>IFERROR(__xludf.DUMMYFUNCTION("GOOGLETRANSLATE(B21, ""en"", ""fr"")"),"Magic Merchant")</f>
        <v>Magic Merchant</v>
      </c>
      <c r="D21" s="23" t="str">
        <f>IFERROR(__xludf.DUMMYFUNCTION("GOOGLETRANSLATE(B21, ""en"", ""es"")"),"Comerciante mágico")</f>
        <v>Comerciante mágico</v>
      </c>
      <c r="E21" s="23" t="str">
        <f>IFERROR(__xludf.DUMMYFUNCTION("GOOGLETRANSLATE(B21, ""en"", ""ru"")"),"Волшебный торговец")</f>
        <v>Волшебный торговец</v>
      </c>
      <c r="F21" s="23" t="str">
        <f>IFERROR(__xludf.DUMMYFUNCTION("GOOGLETRANSLATE(B21, ""en"", ""tr"")"),"Sihirli tüccar")</f>
        <v>Sihirli tüccar</v>
      </c>
      <c r="G21" s="23" t="str">
        <f>IFERROR(__xludf.DUMMYFUNCTION("GOOGLETRANSLATE(B21, ""en"", ""pt"")"),"Magic Merchant")</f>
        <v>Magic Merchant</v>
      </c>
      <c r="H21" s="24" t="str">
        <f>IFERROR(__xludf.DUMMYFUNCTION("GOOGLETRANSLATE(B21, ""en"", ""de"")"),"Magischer Kaufmann.")</f>
        <v>Magischer Kaufmann.</v>
      </c>
      <c r="I21" s="23" t="str">
        <f>IFERROR(__xludf.DUMMYFUNCTION("GOOGLETRANSLATE(B21, ""en"", ""pl"")"),"Magiczny handel.")</f>
        <v>Magiczny handel.</v>
      </c>
      <c r="J21" s="25" t="str">
        <f>IFERROR(__xludf.DUMMYFUNCTION("GOOGLETRANSLATE(B21, ""en"", ""zh"")"),"魔术家")</f>
        <v>魔术家</v>
      </c>
      <c r="K21" s="25" t="str">
        <f>IFERROR(__xludf.DUMMYFUNCTION("GOOGLETRANSLATE(B21, ""en"", ""vi"")"),"MAGIC MERCHANT.")</f>
        <v>MAGIC MERCHANT.</v>
      </c>
      <c r="L21" s="26" t="str">
        <f>IFERROR(__xludf.DUMMYFUNCTION("GOOGLETRANSLATE(B21, ""en"", ""hr"")"),"Magijski trgovac")</f>
        <v>Magijski trgovac</v>
      </c>
      <c r="M21" s="28"/>
      <c r="N21" s="28"/>
      <c r="O21" s="28"/>
      <c r="P21" s="28"/>
      <c r="Q21" s="28"/>
      <c r="R21" s="28"/>
      <c r="S21" s="28"/>
      <c r="T21" s="28"/>
      <c r="U21" s="28"/>
      <c r="V21" s="28"/>
      <c r="W21" s="28"/>
      <c r="X21" s="28"/>
      <c r="Y21" s="28"/>
      <c r="Z21" s="28"/>
      <c r="AA21" s="28"/>
      <c r="AB21" s="28"/>
    </row>
    <row r="22">
      <c r="A22" s="21" t="s">
        <v>868</v>
      </c>
      <c r="B22" s="22" t="s">
        <v>869</v>
      </c>
      <c r="C22" s="23" t="str">
        <f>IFERROR(__xludf.DUMMYFUNCTION("GOOGLETRANSLATE(B22, ""en"", ""fr"")"),"Marchand d'outils")</f>
        <v>Marchand d'outils</v>
      </c>
      <c r="D22" s="23" t="str">
        <f>IFERROR(__xludf.DUMMYFUNCTION("GOOGLETRANSLATE(B22, ""en"", ""es"")"),"Comerciante de herramientas")</f>
        <v>Comerciante de herramientas</v>
      </c>
      <c r="E22" s="23" t="str">
        <f>IFERROR(__xludf.DUMMYFUNCTION("GOOGLETRANSLATE(B22, ""en"", ""ru"")"),"Инструмент торговца")</f>
        <v>Инструмент торговца</v>
      </c>
      <c r="F22" s="23" t="str">
        <f>IFERROR(__xludf.DUMMYFUNCTION("GOOGLETRANSLATE(B22, ""en"", ""tr"")"),"Alet tüccarı")</f>
        <v>Alet tüccarı</v>
      </c>
      <c r="G22" s="23" t="str">
        <f>IFERROR(__xludf.DUMMYFUNCTION("GOOGLETRANSLATE(B22, ""en"", ""pt"")"),"Comerciante de ferramentas")</f>
        <v>Comerciante de ferramentas</v>
      </c>
      <c r="H22" s="24" t="str">
        <f>IFERROR(__xludf.DUMMYFUNCTION("GOOGLETRANSLATE(B22, ""en"", ""de"")"),"Werkzeughändler.")</f>
        <v>Werkzeughändler.</v>
      </c>
      <c r="I22" s="23" t="str">
        <f>IFERROR(__xludf.DUMMYFUNCTION("GOOGLETRANSLATE(B22, ""en"", ""pl"")"),"Merant narzędziowy")</f>
        <v>Merant narzędziowy</v>
      </c>
      <c r="J22" s="25" t="str">
        <f>IFERROR(__xludf.DUMMYFUNCTION("GOOGLETRANSLATE(B22, ""en"", ""zh"")"),"工具商人")</f>
        <v>工具商人</v>
      </c>
      <c r="K22" s="25" t="str">
        <f>IFERROR(__xludf.DUMMYFUNCTION("GOOGLETRANSLATE(B22, ""en"", ""vi"")"),"Công cụ Merchant.")</f>
        <v>Công cụ Merchant.</v>
      </c>
      <c r="L22" s="26" t="str">
        <f>IFERROR(__xludf.DUMMYFUNCTION("GOOGLETRANSLATE(B22, ""en"", ""hr"")"),"Trgovac alata")</f>
        <v>Trgovac alata</v>
      </c>
      <c r="M22" s="28"/>
      <c r="N22" s="28"/>
      <c r="O22" s="28"/>
      <c r="P22" s="28"/>
      <c r="Q22" s="28"/>
      <c r="R22" s="28"/>
      <c r="S22" s="28"/>
      <c r="T22" s="28"/>
      <c r="U22" s="28"/>
      <c r="V22" s="28"/>
      <c r="W22" s="28"/>
      <c r="X22" s="28"/>
      <c r="Y22" s="28"/>
      <c r="Z22" s="28"/>
      <c r="AA22" s="28"/>
      <c r="AB22" s="28"/>
    </row>
    <row r="23">
      <c r="A23" s="21" t="s">
        <v>870</v>
      </c>
      <c r="B23" s="22" t="s">
        <v>871</v>
      </c>
      <c r="C23" s="23" t="str">
        <f>IFERROR(__xludf.DUMMYFUNCTION("GOOGLETRANSLATE(B23, ""en"", ""fr"")"),"Marchand de nains")</f>
        <v>Marchand de nains</v>
      </c>
      <c r="D23" s="23" t="str">
        <f>IFERROR(__xludf.DUMMYFUNCTION("GOOGLETRANSLATE(B23, ""en"", ""es"")"),"Comerciante enano")</f>
        <v>Comerciante enano</v>
      </c>
      <c r="E23" s="23" t="str">
        <f>IFERROR(__xludf.DUMMYFUNCTION("GOOGLETRANSLATE(B23, ""en"", ""ru"")"),"Гварфовый торговец")</f>
        <v>Гварфовый торговец</v>
      </c>
      <c r="F23" s="23" t="str">
        <f>IFERROR(__xludf.DUMMYFUNCTION("GOOGLETRANSLATE(B23, ""en"", ""tr"")"),"Cüce tüccarı")</f>
        <v>Cüce tüccarı</v>
      </c>
      <c r="G23" s="23" t="str">
        <f>IFERROR(__xludf.DUMMYFUNCTION("GOOGLETRANSLATE(B23, ""en"", ""pt"")"),"Comerciante anão")</f>
        <v>Comerciante anão</v>
      </c>
      <c r="H23" s="24" t="str">
        <f>IFERROR(__xludf.DUMMYFUNCTION("GOOGLETRANSLATE(B23, ""en"", ""de"")"),"Zwerghändler.")</f>
        <v>Zwerghändler.</v>
      </c>
      <c r="I23" s="23" t="str">
        <f>IFERROR(__xludf.DUMMYFUNCTION("GOOGLETRANSLATE(B23, ""en"", ""pl"")"),"Karłowy Merchant.")</f>
        <v>Karłowy Merchant.</v>
      </c>
      <c r="J23" s="25" t="str">
        <f>IFERROR(__xludf.DUMMYFUNCTION("GOOGLETRANSLATE(B23, ""en"", ""zh"")"),"矮人商人")</f>
        <v>矮人商人</v>
      </c>
      <c r="K23" s="25" t="str">
        <f>IFERROR(__xludf.DUMMYFUNCTION("GOOGLETRANSLATE(B23, ""en"", ""vi"")"),"Merchant Dwarf.")</f>
        <v>Merchant Dwarf.</v>
      </c>
      <c r="L23" s="26" t="str">
        <f>IFERROR(__xludf.DUMMYFUNCTION("GOOGLETRANSLATE(B23, ""en"", ""hr"")"),"Trgovac patuljkom")</f>
        <v>Trgovac patuljkom</v>
      </c>
      <c r="M23" s="28"/>
      <c r="N23" s="28"/>
      <c r="O23" s="28"/>
      <c r="P23" s="28"/>
      <c r="Q23" s="28"/>
      <c r="R23" s="28"/>
      <c r="S23" s="28"/>
      <c r="T23" s="28"/>
      <c r="U23" s="28"/>
      <c r="V23" s="28"/>
      <c r="W23" s="28"/>
      <c r="X23" s="28"/>
      <c r="Y23" s="28"/>
      <c r="Z23" s="28"/>
      <c r="AA23" s="28"/>
      <c r="AB23" s="28"/>
    </row>
    <row r="24">
      <c r="A24" s="21" t="s">
        <v>872</v>
      </c>
      <c r="B24" s="22" t="s">
        <v>873</v>
      </c>
      <c r="C24" s="23" t="str">
        <f>IFERROR(__xludf.DUMMYFUNCTION("GOOGLETRANSLATE(B24, ""en"", ""fr"")"),"Bibliothécaire")</f>
        <v>Bibliothécaire</v>
      </c>
      <c r="D24" s="23" t="str">
        <f>IFERROR(__xludf.DUMMYFUNCTION("GOOGLETRANSLATE(B24, ""en"", ""es"")"),"bibliotecario")</f>
        <v>bibliotecario</v>
      </c>
      <c r="E24" s="23" t="str">
        <f>IFERROR(__xludf.DUMMYFUNCTION("GOOGLETRANSLATE(B24, ""en"", ""ru"")"),"Библиотекарь")</f>
        <v>Библиотекарь</v>
      </c>
      <c r="F24" s="23" t="str">
        <f>IFERROR(__xludf.DUMMYFUNCTION("GOOGLETRANSLATE(B24, ""en"", ""tr"")"),"Kütüphaneci")</f>
        <v>Kütüphaneci</v>
      </c>
      <c r="G24" s="23" t="str">
        <f>IFERROR(__xludf.DUMMYFUNCTION("GOOGLETRANSLATE(B24, ""en"", ""pt"")"),"Bibliotecário")</f>
        <v>Bibliotecário</v>
      </c>
      <c r="H24" s="24" t="str">
        <f>IFERROR(__xludf.DUMMYFUNCTION("GOOGLETRANSLATE(B24, ""en"", ""de"")"),"Bibliothekar")</f>
        <v>Bibliothekar</v>
      </c>
      <c r="I24" s="23" t="str">
        <f>IFERROR(__xludf.DUMMYFUNCTION("GOOGLETRANSLATE(B24, ""en"", ""pl"")"),"Bibliotekarz")</f>
        <v>Bibliotekarz</v>
      </c>
      <c r="J24" s="25" t="str">
        <f>IFERROR(__xludf.DUMMYFUNCTION("GOOGLETRANSLATE(B24, ""en"", ""zh"")"),"图书管理员")</f>
        <v>图书管理员</v>
      </c>
      <c r="K24" s="25" t="str">
        <f>IFERROR(__xludf.DUMMYFUNCTION("GOOGLETRANSLATE(B24, ""en"", ""vi"")"),"Thủ thư")</f>
        <v>Thủ thư</v>
      </c>
      <c r="L24" s="26" t="str">
        <f>IFERROR(__xludf.DUMMYFUNCTION("GOOGLETRANSLATE(B24, ""en"", ""hr"")"),"Knjižničar")</f>
        <v>Knjižničar</v>
      </c>
      <c r="M24" s="28"/>
      <c r="N24" s="28"/>
      <c r="O24" s="28"/>
      <c r="P24" s="28"/>
      <c r="Q24" s="28"/>
      <c r="R24" s="28"/>
      <c r="S24" s="28"/>
      <c r="T24" s="28"/>
      <c r="U24" s="28"/>
      <c r="V24" s="28"/>
      <c r="W24" s="28"/>
      <c r="X24" s="28"/>
      <c r="Y24" s="28"/>
      <c r="Z24" s="28"/>
      <c r="AA24" s="28"/>
      <c r="AB24" s="28"/>
    </row>
    <row r="25">
      <c r="A25" s="21" t="s">
        <v>874</v>
      </c>
      <c r="B25" s="22" t="s">
        <v>875</v>
      </c>
      <c r="C25" s="23" t="str">
        <f>IFERROR(__xludf.DUMMYFUNCTION("GOOGLETRANSLATE(B25, ""en"", ""fr"")"),"Merchant Omni")</f>
        <v>Merchant Omni</v>
      </c>
      <c r="D25" s="23" t="str">
        <f>IFERROR(__xludf.DUMMYFUNCTION("GOOGLETRANSLATE(B25, ""en"", ""es"")"),"Omni Merchant")</f>
        <v>Omni Merchant</v>
      </c>
      <c r="E25" s="23" t="str">
        <f>IFERROR(__xludf.DUMMYFUNCTION("GOOGLETRANSLATE(B25, ""en"", ""ru"")"),"Омни торговцы")</f>
        <v>Омни торговцы</v>
      </c>
      <c r="F25" s="23" t="str">
        <f>IFERROR(__xludf.DUMMYFUNCTION("GOOGLETRANSLATE(B25, ""en"", ""tr"")"),"Omni tüccar")</f>
        <v>Omni tüccar</v>
      </c>
      <c r="G25" s="23" t="str">
        <f>IFERROR(__xludf.DUMMYFUNCTION("GOOGLETRANSLATE(B25, ""en"", ""pt"")"),"Omni Merchant")</f>
        <v>Omni Merchant</v>
      </c>
      <c r="H25" s="24" t="str">
        <f>IFERROR(__xludf.DUMMYFUNCTION("GOOGLETRANSLATE(B25, ""en"", ""de"")"),"Omni merchant.")</f>
        <v>Omni merchant.</v>
      </c>
      <c r="I25" s="23" t="str">
        <f>IFERROR(__xludf.DUMMYFUNCTION("GOOGLETRANSLATE(B25, ""en"", ""pl"")"),"Merant Omni.")</f>
        <v>Merant Omni.</v>
      </c>
      <c r="J25" s="25" t="str">
        <f>IFERROR(__xludf.DUMMYFUNCTION("GOOGLETRANSLATE(B25, ""en"", ""zh"")"),"omn​​i商人")</f>
        <v>omn​​i商人</v>
      </c>
      <c r="K25" s="25" t="str">
        <f>IFERROR(__xludf.DUMMYFUNCTION("GOOGLETRANSLATE(B25, ""en"", ""vi"")"),"Omni Merchant.")</f>
        <v>Omni Merchant.</v>
      </c>
      <c r="L25" s="26" t="str">
        <f>IFERROR(__xludf.DUMMYFUNCTION("GOOGLETRANSLATE(B25, ""en"", ""hr"")"),"Omča")</f>
        <v>Omča</v>
      </c>
      <c r="M25" s="28"/>
      <c r="N25" s="28"/>
      <c r="O25" s="28"/>
      <c r="P25" s="28"/>
      <c r="Q25" s="28"/>
      <c r="R25" s="28"/>
      <c r="S25" s="28"/>
      <c r="T25" s="28"/>
      <c r="U25" s="28"/>
      <c r="V25" s="28"/>
      <c r="W25" s="28"/>
      <c r="X25" s="28"/>
      <c r="Y25" s="28"/>
      <c r="Z25" s="28"/>
      <c r="AA25" s="28"/>
      <c r="AB25" s="28"/>
    </row>
    <row r="26">
      <c r="A26" s="21" t="s">
        <v>876</v>
      </c>
      <c r="B26" s="22" t="s">
        <v>877</v>
      </c>
      <c r="C26" s="23" t="str">
        <f>IFERROR(__xludf.DUMMYFUNCTION("GOOGLETRANSLATE(B26, ""en"", ""fr"")"),"Prêtre")</f>
        <v>Prêtre</v>
      </c>
      <c r="D26" s="23" t="str">
        <f>IFERROR(__xludf.DUMMYFUNCTION("GOOGLETRANSLATE(B26, ""en"", ""es"")"),"Sacerdote")</f>
        <v>Sacerdote</v>
      </c>
      <c r="E26" s="23" t="str">
        <f>IFERROR(__xludf.DUMMYFUNCTION("GOOGLETRANSLATE(B26, ""en"", ""ru"")"),"Священник")</f>
        <v>Священник</v>
      </c>
      <c r="F26" s="23" t="str">
        <f>IFERROR(__xludf.DUMMYFUNCTION("GOOGLETRANSLATE(B26, ""en"", ""tr"")"),"Rahip")</f>
        <v>Rahip</v>
      </c>
      <c r="G26" s="23" t="str">
        <f>IFERROR(__xludf.DUMMYFUNCTION("GOOGLETRANSLATE(B26, ""en"", ""pt"")"),"Padre")</f>
        <v>Padre</v>
      </c>
      <c r="H26" s="24" t="str">
        <f>IFERROR(__xludf.DUMMYFUNCTION("GOOGLETRANSLATE(B26, ""en"", ""de"")"),"Priester")</f>
        <v>Priester</v>
      </c>
      <c r="I26" s="23" t="str">
        <f>IFERROR(__xludf.DUMMYFUNCTION("GOOGLETRANSLATE(B26, ""en"", ""pl"")"),"Kapłan")</f>
        <v>Kapłan</v>
      </c>
      <c r="J26" s="25" t="str">
        <f>IFERROR(__xludf.DUMMYFUNCTION("GOOGLETRANSLATE(B26, ""en"", ""zh"")"),"牧师")</f>
        <v>牧师</v>
      </c>
      <c r="K26" s="25" t="str">
        <f>IFERROR(__xludf.DUMMYFUNCTION("GOOGLETRANSLATE(B26, ""en"", ""vi"")"),"Thầy tu")</f>
        <v>Thầy tu</v>
      </c>
      <c r="L26" s="26" t="str">
        <f>IFERROR(__xludf.DUMMYFUNCTION("GOOGLETRANSLATE(B26, ""en"", ""hr"")"),"Svećenik")</f>
        <v>Svećenik</v>
      </c>
      <c r="M26" s="28"/>
      <c r="N26" s="28"/>
      <c r="O26" s="28"/>
      <c r="P26" s="28"/>
      <c r="Q26" s="28"/>
      <c r="R26" s="28"/>
      <c r="S26" s="28"/>
      <c r="T26" s="28"/>
      <c r="U26" s="28"/>
      <c r="V26" s="28"/>
      <c r="W26" s="28"/>
      <c r="X26" s="28"/>
      <c r="Y26" s="28"/>
      <c r="Z26" s="28"/>
      <c r="AA26" s="28"/>
      <c r="AB26" s="28"/>
    </row>
    <row r="27">
      <c r="A27" s="21" t="s">
        <v>878</v>
      </c>
      <c r="B27" s="22" t="s">
        <v>879</v>
      </c>
      <c r="C27" s="23" t="str">
        <f>IFERROR(__xludf.DUMMYFUNCTION("GOOGLETRANSLATE(B27, ""en"", ""fr"")"),"Citoyen")</f>
        <v>Citoyen</v>
      </c>
      <c r="D27" s="23" t="str">
        <f>IFERROR(__xludf.DUMMYFUNCTION("GOOGLETRANSLATE(B27, ""en"", ""es"")"),"Ciudadano")</f>
        <v>Ciudadano</v>
      </c>
      <c r="E27" s="23" t="str">
        <f>IFERROR(__xludf.DUMMYFUNCTION("GOOGLETRANSLATE(B27, ""en"", ""ru"")"),"Гражданин")</f>
        <v>Гражданин</v>
      </c>
      <c r="F27" s="23" t="str">
        <f>IFERROR(__xludf.DUMMYFUNCTION("GOOGLETRANSLATE(B27, ""en"", ""tr"")"),"Vatandaş")</f>
        <v>Vatandaş</v>
      </c>
      <c r="G27" s="23" t="str">
        <f>IFERROR(__xludf.DUMMYFUNCTION("GOOGLETRANSLATE(B27, ""en"", ""pt"")"),"Cidadão")</f>
        <v>Cidadão</v>
      </c>
      <c r="H27" s="24" t="str">
        <f>IFERROR(__xludf.DUMMYFUNCTION("GOOGLETRANSLATE(B27, ""en"", ""de"")"),"Bürger")</f>
        <v>Bürger</v>
      </c>
      <c r="I27" s="23" t="str">
        <f>IFERROR(__xludf.DUMMYFUNCTION("GOOGLETRANSLATE(B27, ""en"", ""pl"")"),"Obywatel")</f>
        <v>Obywatel</v>
      </c>
      <c r="J27" s="25" t="str">
        <f>IFERROR(__xludf.DUMMYFUNCTION("GOOGLETRANSLATE(B27, ""en"", ""zh"")"),"公民")</f>
        <v>公民</v>
      </c>
      <c r="K27" s="25" t="str">
        <f>IFERROR(__xludf.DUMMYFUNCTION("GOOGLETRANSLATE(B27, ""en"", ""vi"")"),"Công dân")</f>
        <v>Công dân</v>
      </c>
      <c r="L27" s="26" t="str">
        <f>IFERROR(__xludf.DUMMYFUNCTION("GOOGLETRANSLATE(B27, ""en"", ""hr"")"),"Građanin")</f>
        <v>Građanin</v>
      </c>
      <c r="M27" s="28"/>
      <c r="N27" s="28"/>
      <c r="O27" s="28"/>
      <c r="P27" s="28"/>
      <c r="Q27" s="28"/>
      <c r="R27" s="28"/>
      <c r="S27" s="28"/>
      <c r="T27" s="28"/>
      <c r="U27" s="28"/>
      <c r="V27" s="28"/>
      <c r="W27" s="28"/>
      <c r="X27" s="28"/>
      <c r="Y27" s="28"/>
      <c r="Z27" s="28"/>
      <c r="AA27" s="28"/>
      <c r="AB27" s="28"/>
    </row>
    <row r="28">
      <c r="A28" s="21" t="s">
        <v>880</v>
      </c>
      <c r="B28" s="22" t="s">
        <v>881</v>
      </c>
      <c r="C28" s="23" t="str">
        <f>IFERROR(__xludf.DUMMYFUNCTION("GOOGLETRANSLATE(B28, ""en"", ""fr"")"),"Nain")</f>
        <v>Nain</v>
      </c>
      <c r="D28" s="23" t="str">
        <f>IFERROR(__xludf.DUMMYFUNCTION("GOOGLETRANSLATE(B28, ""en"", ""es"")"),"Enano")</f>
        <v>Enano</v>
      </c>
      <c r="E28" s="23" t="str">
        <f>IFERROR(__xludf.DUMMYFUNCTION("GOOGLETRANSLATE(B28, ""en"", ""ru"")"),"Гнома")</f>
        <v>Гнома</v>
      </c>
      <c r="F28" s="23" t="str">
        <f>IFERROR(__xludf.DUMMYFUNCTION("GOOGLETRANSLATE(B28, ""en"", ""tr"")"),"Cüce")</f>
        <v>Cüce</v>
      </c>
      <c r="G28" s="23" t="str">
        <f>IFERROR(__xludf.DUMMYFUNCTION("GOOGLETRANSLATE(B28, ""en"", ""pt"")"),"Anão")</f>
        <v>Anão</v>
      </c>
      <c r="H28" s="24" t="str">
        <f>IFERROR(__xludf.DUMMYFUNCTION("GOOGLETRANSLATE(B28, ""en"", ""de"")"),"Zwerg")</f>
        <v>Zwerg</v>
      </c>
      <c r="I28" s="23" t="str">
        <f>IFERROR(__xludf.DUMMYFUNCTION("GOOGLETRANSLATE(B28, ""en"", ""pl"")"),"Krasnolud")</f>
        <v>Krasnolud</v>
      </c>
      <c r="J28" s="25" t="str">
        <f>IFERROR(__xludf.DUMMYFUNCTION("GOOGLETRANSLATE(B28, ""en"", ""zh"")"),"矮人")</f>
        <v>矮人</v>
      </c>
      <c r="K28" s="25" t="str">
        <f>IFERROR(__xludf.DUMMYFUNCTION("GOOGLETRANSLATE(B28, ""en"", ""vi"")"),"Quỷ lùn")</f>
        <v>Quỷ lùn</v>
      </c>
      <c r="L28" s="26" t="str">
        <f>IFERROR(__xludf.DUMMYFUNCTION("GOOGLETRANSLATE(B28, ""en"", ""hr"")"),"Patuljak")</f>
        <v>Patuljak</v>
      </c>
      <c r="M28" s="28"/>
      <c r="N28" s="28"/>
      <c r="O28" s="28"/>
      <c r="P28" s="28"/>
      <c r="Q28" s="28"/>
      <c r="R28" s="28"/>
      <c r="S28" s="28"/>
      <c r="T28" s="28"/>
      <c r="U28" s="28"/>
      <c r="V28" s="28"/>
      <c r="W28" s="28"/>
      <c r="X28" s="28"/>
      <c r="Y28" s="28"/>
      <c r="Z28" s="28"/>
      <c r="AA28" s="28"/>
      <c r="AB28" s="28"/>
    </row>
    <row r="29">
      <c r="A29" s="21" t="s">
        <v>882</v>
      </c>
      <c r="B29" s="22" t="s">
        <v>883</v>
      </c>
      <c r="C29" s="23" t="str">
        <f>IFERROR(__xludf.DUMMYFUNCTION("GOOGLETRANSLATE(B29, ""en"", ""fr"")"),"Guerrier nain")</f>
        <v>Guerrier nain</v>
      </c>
      <c r="D29" s="23" t="str">
        <f>IFERROR(__xludf.DUMMYFUNCTION("GOOGLETRANSLATE(B29, ""en"", ""es"")"),"Guerrero enano")</f>
        <v>Guerrero enano</v>
      </c>
      <c r="E29" s="23" t="str">
        <f>IFERROR(__xludf.DUMMYFUNCTION("GOOGLETRANSLATE(B29, ""en"", ""ru"")"),"Гварфорский воин")</f>
        <v>Гварфорский воин</v>
      </c>
      <c r="F29" s="23" t="str">
        <f>IFERROR(__xludf.DUMMYFUNCTION("GOOGLETRANSLATE(B29, ""en"", ""tr"")"),"Cüce savaşçısı")</f>
        <v>Cüce savaşçısı</v>
      </c>
      <c r="G29" s="23" t="str">
        <f>IFERROR(__xludf.DUMMYFUNCTION("GOOGLETRANSLATE(B29, ""en"", ""pt"")"),"Guerreiro anão")</f>
        <v>Guerreiro anão</v>
      </c>
      <c r="H29" s="24" t="str">
        <f>IFERROR(__xludf.DUMMYFUNCTION("GOOGLETRANSLATE(B29, ""en"", ""de"")"),"Zwergkrieger.")</f>
        <v>Zwergkrieger.</v>
      </c>
      <c r="I29" s="23" t="str">
        <f>IFERROR(__xludf.DUMMYFUNCTION("GOOGLETRANSLATE(B29, ""en"", ""pl"")"),"Dwarfowy wojownik")</f>
        <v>Dwarfowy wojownik</v>
      </c>
      <c r="J29" s="25" t="str">
        <f>IFERROR(__xludf.DUMMYFUNCTION("GOOGLETRANSLATE(B29, ""en"", ""zh"")"),"矮人战士")</f>
        <v>矮人战士</v>
      </c>
      <c r="K29" s="25" t="str">
        <f>IFERROR(__xludf.DUMMYFUNCTION("GOOGLETRANSLATE(B29, ""en"", ""vi"")"),"Chiến binh Dwarf.")</f>
        <v>Chiến binh Dwarf.</v>
      </c>
      <c r="L29" s="26" t="str">
        <f>IFERROR(__xludf.DUMMYFUNCTION("GOOGLETRANSLATE(B29, ""en"", ""hr"")"),"Patuljak ratnik")</f>
        <v>Patuljak ratnik</v>
      </c>
      <c r="M29" s="28"/>
      <c r="N29" s="28"/>
      <c r="O29" s="28"/>
      <c r="P29" s="28"/>
      <c r="Q29" s="28"/>
      <c r="R29" s="28"/>
      <c r="S29" s="28"/>
      <c r="T29" s="28"/>
      <c r="U29" s="28"/>
      <c r="V29" s="28"/>
      <c r="W29" s="28"/>
      <c r="X29" s="28"/>
      <c r="Y29" s="28"/>
      <c r="Z29" s="28"/>
      <c r="AA29" s="28"/>
      <c r="AB29" s="28"/>
    </row>
    <row r="30">
      <c r="A30" s="21" t="s">
        <v>884</v>
      </c>
      <c r="B30" s="22" t="s">
        <v>885</v>
      </c>
      <c r="C30" s="23" t="str">
        <f>IFERROR(__xludf.DUMMYFUNCTION("GOOGLETRANSLATE(B30, ""en"", ""fr"")"),"Chevalier nain")</f>
        <v>Chevalier nain</v>
      </c>
      <c r="D30" s="23" t="str">
        <f>IFERROR(__xludf.DUMMYFUNCTION("GOOGLETRANSLATE(B30, ""en"", ""es"")"),"Caballero enano")</f>
        <v>Caballero enano</v>
      </c>
      <c r="E30" s="23" t="str">
        <f>IFERROR(__xludf.DUMMYFUNCTION("GOOGLETRANSLATE(B30, ""en"", ""ru"")"),"Гварф рыцарь")</f>
        <v>Гварф рыцарь</v>
      </c>
      <c r="F30" s="23" t="str">
        <f>IFERROR(__xludf.DUMMYFUNCTION("GOOGLETRANSLATE(B30, ""en"", ""tr"")"),"Cüce şövalye")</f>
        <v>Cüce şövalye</v>
      </c>
      <c r="G30" s="23" t="str">
        <f>IFERROR(__xludf.DUMMYFUNCTION("GOOGLETRANSLATE(B30, ""en"", ""pt"")"),"Dwarf Knight.")</f>
        <v>Dwarf Knight.</v>
      </c>
      <c r="H30" s="24" t="str">
        <f>IFERROR(__xludf.DUMMYFUNCTION("GOOGLETRANSLATE(B30, ""en"", ""de"")"),"Zwergritter")</f>
        <v>Zwergritter</v>
      </c>
      <c r="I30" s="23" t="str">
        <f>IFERROR(__xludf.DUMMYFUNCTION("GOOGLETRANSLATE(B30, ""en"", ""pl"")"),"Knight")</f>
        <v>Knight</v>
      </c>
      <c r="J30" s="25" t="str">
        <f>IFERROR(__xludf.DUMMYFUNCTION("GOOGLETRANSLATE(B30, ""en"", ""zh"")"),"矮人骑士")</f>
        <v>矮人骑士</v>
      </c>
      <c r="K30" s="25" t="str">
        <f>IFERROR(__xludf.DUMMYFUNCTION("GOOGLETRANSLATE(B30, ""en"", ""vi"")"),"Dwarf Knight.")</f>
        <v>Dwarf Knight.</v>
      </c>
      <c r="L30" s="26" t="str">
        <f>IFERROR(__xludf.DUMMYFUNCTION("GOOGLETRANSLATE(B30, ""en"", ""hr"")"),"Dwarf vitez")</f>
        <v>Dwarf vitez</v>
      </c>
      <c r="M30" s="28"/>
      <c r="N30" s="28"/>
      <c r="O30" s="28"/>
      <c r="P30" s="28"/>
      <c r="Q30" s="28"/>
      <c r="R30" s="28"/>
      <c r="S30" s="28"/>
      <c r="T30" s="28"/>
      <c r="U30" s="28"/>
      <c r="V30" s="28"/>
      <c r="W30" s="28"/>
      <c r="X30" s="28"/>
      <c r="Y30" s="28"/>
      <c r="Z30" s="28"/>
      <c r="AA30" s="28"/>
      <c r="AB30" s="28"/>
    </row>
    <row r="31">
      <c r="A31" s="21" t="s">
        <v>886</v>
      </c>
      <c r="B31" s="22" t="s">
        <v>887</v>
      </c>
      <c r="C31" s="23" t="str">
        <f>IFERROR(__xludf.DUMMYFUNCTION("GOOGLETRANSLATE(B31, ""en"", ""fr"")"),"Chevalier")</f>
        <v>Chevalier</v>
      </c>
      <c r="D31" s="23" t="str">
        <f>IFERROR(__xludf.DUMMYFUNCTION("GOOGLETRANSLATE(B31, ""en"", ""es"")"),"Caballero")</f>
        <v>Caballero</v>
      </c>
      <c r="E31" s="23" t="str">
        <f>IFERROR(__xludf.DUMMYFUNCTION("GOOGLETRANSLATE(B31, ""en"", ""ru"")"),"рыцарь")</f>
        <v>рыцарь</v>
      </c>
      <c r="F31" s="23" t="str">
        <f>IFERROR(__xludf.DUMMYFUNCTION("GOOGLETRANSLATE(B31, ""en"", ""tr"")"),"Şövalye")</f>
        <v>Şövalye</v>
      </c>
      <c r="G31" s="23" t="str">
        <f>IFERROR(__xludf.DUMMYFUNCTION("GOOGLETRANSLATE(B31, ""en"", ""pt"")"),"Cavaleiro")</f>
        <v>Cavaleiro</v>
      </c>
      <c r="H31" s="24" t="str">
        <f>IFERROR(__xludf.DUMMYFUNCTION("GOOGLETRANSLATE(B31, ""en"", ""de"")"),"Ritter")</f>
        <v>Ritter</v>
      </c>
      <c r="I31" s="23" t="str">
        <f>IFERROR(__xludf.DUMMYFUNCTION("GOOGLETRANSLATE(B31, ""en"", ""pl"")"),"Rycerz")</f>
        <v>Rycerz</v>
      </c>
      <c r="J31" s="25" t="str">
        <f>IFERROR(__xludf.DUMMYFUNCTION("GOOGLETRANSLATE(B31, ""en"", ""zh"")"),"骑士")</f>
        <v>骑士</v>
      </c>
      <c r="K31" s="25" t="str">
        <f>IFERROR(__xludf.DUMMYFUNCTION("GOOGLETRANSLATE(B31, ""en"", ""vi"")"),"Hiệp sỹ")</f>
        <v>Hiệp sỹ</v>
      </c>
      <c r="L31" s="26" t="str">
        <f>IFERROR(__xludf.DUMMYFUNCTION("GOOGLETRANSLATE(B31, ""en"", ""hr"")"),"Vitez")</f>
        <v>Vitez</v>
      </c>
      <c r="M31" s="28"/>
      <c r="N31" s="28"/>
      <c r="O31" s="28"/>
      <c r="P31" s="28"/>
      <c r="Q31" s="28"/>
      <c r="R31" s="28"/>
      <c r="S31" s="28"/>
      <c r="T31" s="28"/>
      <c r="U31" s="28"/>
      <c r="V31" s="28"/>
      <c r="W31" s="28"/>
      <c r="X31" s="28"/>
      <c r="Y31" s="28"/>
      <c r="Z31" s="28"/>
      <c r="AA31" s="28"/>
      <c r="AB31" s="28"/>
    </row>
    <row r="32">
      <c r="A32" s="21" t="s">
        <v>888</v>
      </c>
      <c r="B32" s="22" t="s">
        <v>889</v>
      </c>
      <c r="C32" s="23" t="str">
        <f>IFERROR(__xludf.DUMMYFUNCTION("GOOGLETRANSLATE(B32, ""en"", ""fr"")"),"Le commandant")</f>
        <v>Le commandant</v>
      </c>
      <c r="D32" s="23" t="str">
        <f>IFERROR(__xludf.DUMMYFUNCTION("GOOGLETRANSLATE(B32, ""en"", ""es"")"),"Comandante")</f>
        <v>Comandante</v>
      </c>
      <c r="E32" s="23" t="str">
        <f>IFERROR(__xludf.DUMMYFUNCTION("GOOGLETRANSLATE(B32, ""en"", ""ru"")"),"Командир")</f>
        <v>Командир</v>
      </c>
      <c r="F32" s="23" t="str">
        <f>IFERROR(__xludf.DUMMYFUNCTION("GOOGLETRANSLATE(B32, ""en"", ""tr"")"),"Komutan")</f>
        <v>Komutan</v>
      </c>
      <c r="G32" s="23" t="str">
        <f>IFERROR(__xludf.DUMMYFUNCTION("GOOGLETRANSLATE(B32, ""en"", ""pt"")"),"Comandante")</f>
        <v>Comandante</v>
      </c>
      <c r="H32" s="24" t="str">
        <f>IFERROR(__xludf.DUMMYFUNCTION("GOOGLETRANSLATE(B32, ""en"", ""de"")"),"Kommandant")</f>
        <v>Kommandant</v>
      </c>
      <c r="I32" s="23" t="str">
        <f>IFERROR(__xludf.DUMMYFUNCTION("GOOGLETRANSLATE(B32, ""en"", ""pl"")"),"Dowódca")</f>
        <v>Dowódca</v>
      </c>
      <c r="J32" s="25" t="str">
        <f>IFERROR(__xludf.DUMMYFUNCTION("GOOGLETRANSLATE(B32, ""en"", ""zh"")"),"指挥官")</f>
        <v>指挥官</v>
      </c>
      <c r="K32" s="25" t="str">
        <f>IFERROR(__xludf.DUMMYFUNCTION("GOOGLETRANSLATE(B32, ""en"", ""vi"")"),"Chỉ huy")</f>
        <v>Chỉ huy</v>
      </c>
      <c r="L32" s="26" t="str">
        <f>IFERROR(__xludf.DUMMYFUNCTION("GOOGLETRANSLATE(B32, ""en"", ""hr"")"),"Zapovjednik")</f>
        <v>Zapovjednik</v>
      </c>
      <c r="M32" s="28"/>
      <c r="N32" s="28"/>
      <c r="O32" s="28"/>
      <c r="P32" s="28"/>
      <c r="Q32" s="28"/>
      <c r="R32" s="28"/>
      <c r="S32" s="28"/>
      <c r="T32" s="28"/>
      <c r="U32" s="28"/>
      <c r="V32" s="28"/>
      <c r="W32" s="28"/>
      <c r="X32" s="28"/>
      <c r="Y32" s="28"/>
      <c r="Z32" s="28"/>
      <c r="AA32" s="28"/>
      <c r="AB32" s="28"/>
    </row>
    <row r="33">
      <c r="A33" s="21" t="s">
        <v>890</v>
      </c>
      <c r="B33" s="22" t="s">
        <v>891</v>
      </c>
      <c r="C33" s="23" t="str">
        <f>IFERROR(__xludf.DUMMYFUNCTION("GOOGLETRANSLATE(B33, ""en"", ""fr"")"),"guerrier")</f>
        <v>guerrier</v>
      </c>
      <c r="D33" s="23" t="str">
        <f>IFERROR(__xludf.DUMMYFUNCTION("GOOGLETRANSLATE(B33, ""en"", ""es"")"),"Guerrero")</f>
        <v>Guerrero</v>
      </c>
      <c r="E33" s="23" t="str">
        <f>IFERROR(__xludf.DUMMYFUNCTION("GOOGLETRANSLATE(B33, ""en"", ""ru"")"),"Воин")</f>
        <v>Воин</v>
      </c>
      <c r="F33" s="23" t="str">
        <f>IFERROR(__xludf.DUMMYFUNCTION("GOOGLETRANSLATE(B33, ""en"", ""tr"")"),"Savaşçı")</f>
        <v>Savaşçı</v>
      </c>
      <c r="G33" s="23" t="str">
        <f>IFERROR(__xludf.DUMMYFUNCTION("GOOGLETRANSLATE(B33, ""en"", ""pt"")"),"Guerreiro")</f>
        <v>Guerreiro</v>
      </c>
      <c r="H33" s="24" t="str">
        <f>IFERROR(__xludf.DUMMYFUNCTION("GOOGLETRANSLATE(B33, ""en"", ""de"")"),"Krieger")</f>
        <v>Krieger</v>
      </c>
      <c r="I33" s="23" t="str">
        <f>IFERROR(__xludf.DUMMYFUNCTION("GOOGLETRANSLATE(B33, ""en"", ""pl"")"),"Wojownik")</f>
        <v>Wojownik</v>
      </c>
      <c r="J33" s="25" t="str">
        <f>IFERROR(__xludf.DUMMYFUNCTION("GOOGLETRANSLATE(B33, ""en"", ""zh"")"),"战士")</f>
        <v>战士</v>
      </c>
      <c r="K33" s="25" t="str">
        <f>IFERROR(__xludf.DUMMYFUNCTION("GOOGLETRANSLATE(B33, ""en"", ""vi"")"),"chiến binh")</f>
        <v>chiến binh</v>
      </c>
      <c r="L33" s="26" t="str">
        <f>IFERROR(__xludf.DUMMYFUNCTION("GOOGLETRANSLATE(B33, ""en"", ""hr"")"),"Ratnik")</f>
        <v>Ratnik</v>
      </c>
      <c r="M33" s="28"/>
      <c r="N33" s="28"/>
      <c r="O33" s="28"/>
      <c r="P33" s="28"/>
      <c r="Q33" s="28"/>
      <c r="R33" s="28"/>
      <c r="S33" s="28"/>
      <c r="T33" s="28"/>
      <c r="U33" s="28"/>
      <c r="V33" s="28"/>
      <c r="W33" s="28"/>
      <c r="X33" s="28"/>
      <c r="Y33" s="28"/>
      <c r="Z33" s="28"/>
      <c r="AA33" s="28"/>
      <c r="AB33" s="28"/>
    </row>
    <row r="34">
      <c r="A34" s="21" t="s">
        <v>892</v>
      </c>
      <c r="B34" s="22" t="s">
        <v>893</v>
      </c>
      <c r="C34" s="23" t="str">
        <f>IFERROR(__xludf.DUMMYFUNCTION("GOOGLETRANSLATE(B34, ""en"", ""fr"")"),"Berserker")</f>
        <v>Berserker</v>
      </c>
      <c r="D34" s="23" t="str">
        <f>IFERROR(__xludf.DUMMYFUNCTION("GOOGLETRANSLATE(B34, ""en"", ""es"")"),"frenético")</f>
        <v>frenético</v>
      </c>
      <c r="E34" s="23" t="str">
        <f>IFERROR(__xludf.DUMMYFUNCTION("GOOGLETRANSLATE(B34, ""en"", ""ru"")"),"Берсерка")</f>
        <v>Берсерка</v>
      </c>
      <c r="F34" s="23" t="str">
        <f>IFERROR(__xludf.DUMMYFUNCTION("GOOGLETRANSLATE(B34, ""en"", ""tr"")"),"Çılgın kimse")</f>
        <v>Çılgın kimse</v>
      </c>
      <c r="G34" s="23" t="str">
        <f>IFERROR(__xludf.DUMMYFUNCTION("GOOGLETRANSLATE(B34, ""en"", ""pt"")"),"Berserker.")</f>
        <v>Berserker.</v>
      </c>
      <c r="H34" s="24" t="str">
        <f>IFERROR(__xludf.DUMMYFUNCTION("GOOGLETRANSLATE(B34, ""en"", ""de"")"),"Berserker")</f>
        <v>Berserker</v>
      </c>
      <c r="I34" s="23" t="str">
        <f>IFERROR(__xludf.DUMMYFUNCTION("GOOGLETRANSLATE(B34, ""en"", ""pl"")"),"Berserker.")</f>
        <v>Berserker.</v>
      </c>
      <c r="J34" s="25" t="str">
        <f>IFERROR(__xludf.DUMMYFUNCTION("GOOGLETRANSLATE(B34, ""en"", ""zh"")"),"Berserker.")</f>
        <v>Berserker.</v>
      </c>
      <c r="K34" s="25" t="str">
        <f>IFERROR(__xludf.DUMMYFUNCTION("GOOGLETRANSLATE(B34, ""en"", ""vi"")"),"Berserker.")</f>
        <v>Berserker.</v>
      </c>
      <c r="L34" s="26" t="str">
        <f>IFERROR(__xludf.DUMMYFUNCTION("GOOGLETRANSLATE(B34, ""en"", ""hr"")"),"Ludak")</f>
        <v>Ludak</v>
      </c>
      <c r="M34" s="28"/>
      <c r="N34" s="28"/>
      <c r="O34" s="28"/>
      <c r="P34" s="28"/>
      <c r="Q34" s="28"/>
      <c r="R34" s="28"/>
      <c r="S34" s="28"/>
      <c r="T34" s="28"/>
      <c r="U34" s="28"/>
      <c r="V34" s="28"/>
      <c r="W34" s="28"/>
      <c r="X34" s="28"/>
      <c r="Y34" s="28"/>
      <c r="Z34" s="28"/>
      <c r="AA34" s="28"/>
      <c r="AB34" s="28"/>
    </row>
    <row r="35">
      <c r="A35" s="21" t="s">
        <v>894</v>
      </c>
      <c r="B35" s="22" t="s">
        <v>895</v>
      </c>
      <c r="C35" s="23" t="str">
        <f>IFERROR(__xludf.DUMMYFUNCTION("GOOGLETRANSLATE(B35, ""en"", ""fr"")"),"Prisonnier")</f>
        <v>Prisonnier</v>
      </c>
      <c r="D35" s="23" t="str">
        <f>IFERROR(__xludf.DUMMYFUNCTION("GOOGLETRANSLATE(B35, ""en"", ""es"")"),"Prisionero")</f>
        <v>Prisionero</v>
      </c>
      <c r="E35" s="23" t="str">
        <f>IFERROR(__xludf.DUMMYFUNCTION("GOOGLETRANSLATE(B35, ""en"", ""ru"")"),"Заключенный")</f>
        <v>Заключенный</v>
      </c>
      <c r="F35" s="23" t="str">
        <f>IFERROR(__xludf.DUMMYFUNCTION("GOOGLETRANSLATE(B35, ""en"", ""tr"")"),"Mahkum")</f>
        <v>Mahkum</v>
      </c>
      <c r="G35" s="23" t="str">
        <f>IFERROR(__xludf.DUMMYFUNCTION("GOOGLETRANSLATE(B35, ""en"", ""pt"")"),"Prisioneiro")</f>
        <v>Prisioneiro</v>
      </c>
      <c r="H35" s="24" t="str">
        <f>IFERROR(__xludf.DUMMYFUNCTION("GOOGLETRANSLATE(B35, ""en"", ""de"")"),"Häftling")</f>
        <v>Häftling</v>
      </c>
      <c r="I35" s="23" t="str">
        <f>IFERROR(__xludf.DUMMYFUNCTION("GOOGLETRANSLATE(B35, ""en"", ""pl"")"),"Więzień")</f>
        <v>Więzień</v>
      </c>
      <c r="J35" s="25" t="str">
        <f>IFERROR(__xludf.DUMMYFUNCTION("GOOGLETRANSLATE(B35, ""en"", ""zh"")"),"囚犯")</f>
        <v>囚犯</v>
      </c>
      <c r="K35" s="25" t="str">
        <f>IFERROR(__xludf.DUMMYFUNCTION("GOOGLETRANSLATE(B35, ""en"", ""vi"")"),"Tù nhân")</f>
        <v>Tù nhân</v>
      </c>
      <c r="L35" s="26" t="str">
        <f>IFERROR(__xludf.DUMMYFUNCTION("GOOGLETRANSLATE(B35, ""en"", ""hr"")"),"Zatvorenik")</f>
        <v>Zatvorenik</v>
      </c>
      <c r="M35" s="28"/>
      <c r="N35" s="28"/>
      <c r="O35" s="28"/>
      <c r="P35" s="28"/>
      <c r="Q35" s="28"/>
      <c r="R35" s="28"/>
      <c r="S35" s="28"/>
      <c r="T35" s="28"/>
      <c r="U35" s="28"/>
      <c r="V35" s="28"/>
      <c r="W35" s="28"/>
      <c r="X35" s="28"/>
      <c r="Y35" s="28"/>
      <c r="Z35" s="28"/>
      <c r="AA35" s="28"/>
      <c r="AB35" s="28"/>
    </row>
    <row r="36">
      <c r="A36" s="21" t="s">
        <v>896</v>
      </c>
      <c r="B36" s="22" t="s">
        <v>897</v>
      </c>
      <c r="C36" s="23" t="str">
        <f>IFERROR(__xludf.DUMMYFUNCTION("GOOGLETRANSLATE(B36, ""en"", ""fr"")"),"Rat")</f>
        <v>Rat</v>
      </c>
      <c r="D36" s="23" t="str">
        <f>IFERROR(__xludf.DUMMYFUNCTION("GOOGLETRANSLATE(B36, ""en"", ""es"")"),"Rata")</f>
        <v>Rata</v>
      </c>
      <c r="E36" s="23" t="str">
        <f>IFERROR(__xludf.DUMMYFUNCTION("GOOGLETRANSLATE(B36, ""en"", ""ru"")"),"Крыса")</f>
        <v>Крыса</v>
      </c>
      <c r="F36" s="23" t="str">
        <f>IFERROR(__xludf.DUMMYFUNCTION("GOOGLETRANSLATE(B36, ""en"", ""tr"")"),"Fare")</f>
        <v>Fare</v>
      </c>
      <c r="G36" s="23" t="str">
        <f>IFERROR(__xludf.DUMMYFUNCTION("GOOGLETRANSLATE(B36, ""en"", ""pt"")"),"Rato")</f>
        <v>Rato</v>
      </c>
      <c r="H36" s="24" t="str">
        <f>IFERROR(__xludf.DUMMYFUNCTION("GOOGLETRANSLATE(B36, ""en"", ""de"")"),"Ratte")</f>
        <v>Ratte</v>
      </c>
      <c r="I36" s="23" t="str">
        <f>IFERROR(__xludf.DUMMYFUNCTION("GOOGLETRANSLATE(B36, ""en"", ""pl"")"),"Szczur")</f>
        <v>Szczur</v>
      </c>
      <c r="J36" s="25" t="str">
        <f>IFERROR(__xludf.DUMMYFUNCTION("GOOGLETRANSLATE(B36, ""en"", ""zh"")"),"鼠")</f>
        <v>鼠</v>
      </c>
      <c r="K36" s="25" t="str">
        <f>IFERROR(__xludf.DUMMYFUNCTION("GOOGLETRANSLATE(B36, ""en"", ""vi"")"),"Con chuột")</f>
        <v>Con chuột</v>
      </c>
      <c r="L36" s="26" t="str">
        <f>IFERROR(__xludf.DUMMYFUNCTION("GOOGLETRANSLATE(B36, ""en"", ""hr"")"),"Štakor")</f>
        <v>Štakor</v>
      </c>
      <c r="M36" s="28"/>
      <c r="N36" s="28"/>
      <c r="O36" s="28"/>
      <c r="P36" s="28"/>
      <c r="Q36" s="28"/>
      <c r="R36" s="28"/>
      <c r="S36" s="28"/>
      <c r="T36" s="28"/>
      <c r="U36" s="28"/>
      <c r="V36" s="28"/>
      <c r="W36" s="28"/>
      <c r="X36" s="28"/>
      <c r="Y36" s="28"/>
      <c r="Z36" s="28"/>
      <c r="AA36" s="28"/>
      <c r="AB36" s="28"/>
    </row>
    <row r="37">
      <c r="A37" s="21" t="s">
        <v>898</v>
      </c>
      <c r="B37" s="22" t="s">
        <v>899</v>
      </c>
      <c r="C37" s="23" t="str">
        <f>IFERROR(__xludf.DUMMYFUNCTION("GOOGLETRANSLATE(B37, ""en"", ""fr"")"),"faucon")</f>
        <v>faucon</v>
      </c>
      <c r="D37" s="23" t="str">
        <f>IFERROR(__xludf.DUMMYFUNCTION("GOOGLETRANSLATE(B37, ""en"", ""es"")"),"Halcón")</f>
        <v>Halcón</v>
      </c>
      <c r="E37" s="23" t="str">
        <f>IFERROR(__xludf.DUMMYFUNCTION("GOOGLETRANSLATE(B37, ""en"", ""ru"")"),"ястреб")</f>
        <v>ястреб</v>
      </c>
      <c r="F37" s="23" t="str">
        <f>IFERROR(__xludf.DUMMYFUNCTION("GOOGLETRANSLATE(B37, ""en"", ""tr"")"),"Şahin")</f>
        <v>Şahin</v>
      </c>
      <c r="G37" s="23" t="str">
        <f>IFERROR(__xludf.DUMMYFUNCTION("GOOGLETRANSLATE(B37, ""en"", ""pt"")"),"Falcão")</f>
        <v>Falcão</v>
      </c>
      <c r="H37" s="24" t="str">
        <f>IFERROR(__xludf.DUMMYFUNCTION("GOOGLETRANSLATE(B37, ""en"", ""de"")"),"Falke")</f>
        <v>Falke</v>
      </c>
      <c r="I37" s="23" t="str">
        <f>IFERROR(__xludf.DUMMYFUNCTION("GOOGLETRANSLATE(B37, ""en"", ""pl"")"),"Jastrząb")</f>
        <v>Jastrząb</v>
      </c>
      <c r="J37" s="25" t="str">
        <f>IFERROR(__xludf.DUMMYFUNCTION("GOOGLETRANSLATE(B37, ""en"", ""zh"")"),"鹰")</f>
        <v>鹰</v>
      </c>
      <c r="K37" s="25" t="str">
        <f>IFERROR(__xludf.DUMMYFUNCTION("GOOGLETRANSLATE(B37, ""en"", ""vi"")"),"chim ưng")</f>
        <v>chim ưng</v>
      </c>
      <c r="L37" s="26" t="str">
        <f>IFERROR(__xludf.DUMMYFUNCTION("GOOGLETRANSLATE(B37, ""en"", ""hr"")"),"Sokol")</f>
        <v>Sokol</v>
      </c>
      <c r="M37" s="28"/>
      <c r="N37" s="28"/>
      <c r="O37" s="28"/>
      <c r="P37" s="28"/>
      <c r="Q37" s="28"/>
      <c r="R37" s="28"/>
      <c r="S37" s="28"/>
      <c r="T37" s="28"/>
      <c r="U37" s="28"/>
      <c r="V37" s="28"/>
      <c r="W37" s="28"/>
      <c r="X37" s="28"/>
      <c r="Y37" s="28"/>
      <c r="Z37" s="28"/>
      <c r="AA37" s="28"/>
      <c r="AB37" s="28"/>
    </row>
    <row r="38">
      <c r="A38" s="21" t="s">
        <v>900</v>
      </c>
      <c r="B38" s="22" t="s">
        <v>901</v>
      </c>
      <c r="C38" s="23" t="str">
        <f>IFERROR(__xludf.DUMMYFUNCTION("GOOGLETRANSLATE(B38, ""en"", ""fr"")"),"Sable")</f>
        <v>Sable</v>
      </c>
      <c r="D38" s="23" t="str">
        <f>IFERROR(__xludf.DUMMYFUNCTION("GOOGLETRANSLATE(B38, ""en"", ""es"")"),"Escampada de arena")</f>
        <v>Escampada de arena</v>
      </c>
      <c r="E38" s="23" t="str">
        <f>IFERROR(__xludf.DUMMYFUNCTION("GOOGLETRANSLATE(B38, ""en"", ""ru"")"),"Песочная бочка")</f>
        <v>Песочная бочка</v>
      </c>
      <c r="F38" s="23" t="str">
        <f>IFERROR(__xludf.DUMMYFUNCTION("GOOGLETRANSLATE(B38, ""en"", ""tr"")"),"Kum kaşığı")</f>
        <v>Kum kaşığı</v>
      </c>
      <c r="G38" s="23" t="str">
        <f>IFERROR(__xludf.DUMMYFUNCTION("GOOGLETRANSLATE(B38, ""en"", ""pt"")"),"Scamp de areia")</f>
        <v>Scamp de areia</v>
      </c>
      <c r="H38" s="24" t="str">
        <f>IFERROR(__xludf.DUMMYFUNCTION("GOOGLETRANSLATE(B38, ""en"", ""de"")"),"Sand Scamp.")</f>
        <v>Sand Scamp.</v>
      </c>
      <c r="I38" s="23" t="str">
        <f>IFERROR(__xludf.DUMMYFUNCTION("GOOGLETRANSLATE(B38, ""en"", ""pl"")"),"Scamp")</f>
        <v>Scamp</v>
      </c>
      <c r="J38" s="25" t="str">
        <f>IFERROR(__xludf.DUMMYFUNCTION("GOOGLETRANSLATE(B38, ""en"", ""zh"")"),"沙静物")</f>
        <v>沙静物</v>
      </c>
      <c r="K38" s="25" t="str">
        <f>IFERROR(__xludf.DUMMYFUNCTION("GOOGLETRANSLATE(B38, ""en"", ""vi"")"),"Sand Scamp.")</f>
        <v>Sand Scamp.</v>
      </c>
      <c r="L38" s="26" t="str">
        <f>IFERROR(__xludf.DUMMYFUNCTION("GOOGLETRANSLATE(B38, ""en"", ""hr"")"),"Pijesak")</f>
        <v>Pijesak</v>
      </c>
      <c r="M38" s="28"/>
      <c r="N38" s="28"/>
      <c r="O38" s="28"/>
      <c r="P38" s="28"/>
      <c r="Q38" s="28"/>
      <c r="R38" s="28"/>
      <c r="S38" s="28"/>
      <c r="T38" s="28"/>
      <c r="U38" s="28"/>
      <c r="V38" s="28"/>
      <c r="W38" s="28"/>
      <c r="X38" s="28"/>
      <c r="Y38" s="28"/>
      <c r="Z38" s="28"/>
      <c r="AA38" s="28"/>
      <c r="AB38" s="28"/>
    </row>
    <row r="39">
      <c r="A39" s="21" t="s">
        <v>902</v>
      </c>
      <c r="B39" s="22" t="s">
        <v>903</v>
      </c>
      <c r="C39" s="23" t="str">
        <f>IFERROR(__xludf.DUMMYFUNCTION("GOOGLETRANSLATE(B39, ""en"", ""fr"")"),"Grimace")</f>
        <v>Grimace</v>
      </c>
      <c r="D39" s="23" t="str">
        <f>IFERROR(__xludf.DUMMYFUNCTION("GOOGLETRANSLATE(B39, ""en"", ""es"")"),"Pipa de hierba")</f>
        <v>Pipa de hierba</v>
      </c>
      <c r="E39" s="23" t="str">
        <f>IFERROR(__xludf.DUMMYFUNCTION("GOOGLETRANSLATE(B39, ""en"", ""ru"")"),"Груз травы")</f>
        <v>Груз травы</v>
      </c>
      <c r="F39" s="23" t="str">
        <f>IFERROR(__xludf.DUMMYFUNCTION("GOOGLETRANSLATE(B39, ""en"", ""tr"")"),"Çalar scamp")</f>
        <v>Çalar scamp</v>
      </c>
      <c r="G39" s="23" t="str">
        <f>IFERROR(__xludf.DUMMYFUNCTION("GOOGLETRANSLATE(B39, ""en"", ""pt"")"),"Grama scamp.")</f>
        <v>Grama scamp.</v>
      </c>
      <c r="H39" s="24" t="str">
        <f>IFERROR(__xludf.DUMMYFUNCTION("GOOGLETRANSLATE(B39, ""en"", ""de"")"),"Gras Scamp.")</f>
        <v>Gras Scamp.</v>
      </c>
      <c r="I39" s="23" t="str">
        <f>IFERROR(__xludf.DUMMYFUNCTION("GOOGLETRANSLATE(B39, ""en"", ""pl"")"),"Scamp Grass.")</f>
        <v>Scamp Grass.</v>
      </c>
      <c r="J39" s="25" t="str">
        <f>IFERROR(__xludf.DUMMYFUNCTION("GOOGLETRANSLATE(B39, ""en"", ""zh"")"),"草泊水")</f>
        <v>草泊水</v>
      </c>
      <c r="K39" s="25" t="str">
        <f>IFERROR(__xludf.DUMMYFUNCTION("GOOGLETRANSLATE(B39, ""en"", ""vi"")"),"Cỏ scamp.")</f>
        <v>Cỏ scamp.</v>
      </c>
      <c r="L39" s="26" t="str">
        <f>IFERROR(__xludf.DUMMYFUNCTION("GOOGLETRANSLATE(B39, ""en"", ""hr"")"),"Trava")</f>
        <v>Trava</v>
      </c>
      <c r="M39" s="28"/>
      <c r="N39" s="28"/>
      <c r="O39" s="28"/>
      <c r="P39" s="28"/>
      <c r="Q39" s="28"/>
      <c r="R39" s="28"/>
      <c r="S39" s="28"/>
      <c r="T39" s="28"/>
      <c r="U39" s="28"/>
      <c r="V39" s="28"/>
      <c r="W39" s="28"/>
      <c r="X39" s="28"/>
      <c r="Y39" s="28"/>
      <c r="Z39" s="28"/>
      <c r="AA39" s="28"/>
      <c r="AB39" s="28"/>
    </row>
    <row r="40">
      <c r="A40" s="21" t="s">
        <v>904</v>
      </c>
      <c r="B40" s="22" t="s">
        <v>905</v>
      </c>
      <c r="C40" s="23" t="str">
        <f>IFERROR(__xludf.DUMMYFUNCTION("GOOGLETRANSLATE(B40, ""en"", ""fr"")"),"Scamp de neige")</f>
        <v>Scamp de neige</v>
      </c>
      <c r="D40" s="23" t="str">
        <f>IFERROR(__xludf.DUMMYFUNCTION("GOOGLETRANSLATE(B40, ""en"", ""es"")"),"Shap scamp")</f>
        <v>Shap scamp</v>
      </c>
      <c r="E40" s="23" t="str">
        <f>IFERROR(__xludf.DUMMYFUNCTION("GOOGLETRANSLATE(B40, ""en"", ""ru"")"),"Снег Бит")</f>
        <v>Снег Бит</v>
      </c>
      <c r="F40" s="23" t="str">
        <f>IFERROR(__xludf.DUMMYFUNCTION("GOOGLETRANSLATE(B40, ""en"", ""tr"")"),"Karbaşası")</f>
        <v>Karbaşası</v>
      </c>
      <c r="G40" s="23" t="str">
        <f>IFERROR(__xludf.DUMMYFUNCTION("GOOGLETRANSLATE(B40, ""en"", ""pt"")"),"Scamp de neve")</f>
        <v>Scamp de neve</v>
      </c>
      <c r="H40" s="24" t="str">
        <f>IFERROR(__xludf.DUMMYFUNCTION("GOOGLETRANSLATE(B40, ""en"", ""de"")"),"Snow Scamp.")</f>
        <v>Snow Scamp.</v>
      </c>
      <c r="I40" s="23" t="str">
        <f>IFERROR(__xludf.DUMMYFUNCTION("GOOGLETRANSLATE(B40, ""en"", ""pl"")"),"Snow Scamp.")</f>
        <v>Snow Scamp.</v>
      </c>
      <c r="J40" s="25" t="str">
        <f>IFERROR(__xludf.DUMMYFUNCTION("GOOGLETRANSLATE(B40, ""en"", ""zh"")"),"雪静水")</f>
        <v>雪静水</v>
      </c>
      <c r="K40" s="25" t="str">
        <f>IFERROR(__xludf.DUMMYFUNCTION("GOOGLETRANSLATE(B40, ""en"", ""vi"")"),"Snow Scamp.")</f>
        <v>Snow Scamp.</v>
      </c>
      <c r="L40" s="26" t="str">
        <f>IFERROR(__xludf.DUMMYFUNCTION("GOOGLETRANSLATE(B40, ""en"", ""hr"")"),"Snijeg")</f>
        <v>Snijeg</v>
      </c>
      <c r="M40" s="28"/>
      <c r="N40" s="28"/>
      <c r="O40" s="28"/>
      <c r="P40" s="28"/>
      <c r="Q40" s="28"/>
      <c r="R40" s="28"/>
      <c r="S40" s="28"/>
      <c r="T40" s="28"/>
      <c r="U40" s="28"/>
      <c r="V40" s="28"/>
      <c r="W40" s="28"/>
      <c r="X40" s="28"/>
      <c r="Y40" s="28"/>
      <c r="Z40" s="28"/>
      <c r="AA40" s="28"/>
      <c r="AB40" s="28"/>
    </row>
    <row r="41">
      <c r="A41" s="21" t="s">
        <v>906</v>
      </c>
      <c r="B41" s="22" t="s">
        <v>907</v>
      </c>
      <c r="C41" s="23" t="str">
        <f>IFERROR(__xludf.DUMMYFUNCTION("GOOGLETRANSLATE(B41, ""en"", ""fr"")"),"Lutin")</f>
        <v>Lutin</v>
      </c>
      <c r="D41" s="23" t="str">
        <f>IFERROR(__xludf.DUMMYFUNCTION("GOOGLETRANSLATE(B41, ""en"", ""es"")"),"Duende")</f>
        <v>Duende</v>
      </c>
      <c r="E41" s="23" t="str">
        <f>IFERROR(__xludf.DUMMYFUNCTION("GOOGLETRANSLATE(B41, ""en"", ""ru"")"),"Гоблин")</f>
        <v>Гоблин</v>
      </c>
      <c r="F41" s="23" t="str">
        <f>IFERROR(__xludf.DUMMYFUNCTION("GOOGLETRANSLATE(B41, ""en"", ""tr"")"),"Goblin")</f>
        <v>Goblin</v>
      </c>
      <c r="G41" s="23" t="str">
        <f>IFERROR(__xludf.DUMMYFUNCTION("GOOGLETRANSLATE(B41, ""en"", ""pt"")"),"Goblin.")</f>
        <v>Goblin.</v>
      </c>
      <c r="H41" s="24" t="str">
        <f>IFERROR(__xludf.DUMMYFUNCTION("GOOGLETRANSLATE(B41, ""en"", ""de"")"),"Kobold")</f>
        <v>Kobold</v>
      </c>
      <c r="I41" s="23" t="str">
        <f>IFERROR(__xludf.DUMMYFUNCTION("GOOGLETRANSLATE(B41, ""en"", ""pl"")"),"Chochlik")</f>
        <v>Chochlik</v>
      </c>
      <c r="J41" s="25" t="str">
        <f>IFERROR(__xludf.DUMMYFUNCTION("GOOGLETRANSLATE(B41, ""en"", ""zh"")"),"妖精")</f>
        <v>妖精</v>
      </c>
      <c r="K41" s="25" t="str">
        <f>IFERROR(__xludf.DUMMYFUNCTION("GOOGLETRANSLATE(B41, ""en"", ""vi"")"),"Yêu tinh")</f>
        <v>Yêu tinh</v>
      </c>
      <c r="L41" s="26" t="str">
        <f>IFERROR(__xludf.DUMMYFUNCTION("GOOGLETRANSLATE(B41, ""en"", ""hr"")"),"Zao")</f>
        <v>Zao</v>
      </c>
      <c r="M41" s="28"/>
      <c r="N41" s="28"/>
      <c r="O41" s="28"/>
      <c r="P41" s="28"/>
      <c r="Q41" s="28"/>
      <c r="R41" s="28"/>
      <c r="S41" s="28"/>
      <c r="T41" s="28"/>
      <c r="U41" s="28"/>
      <c r="V41" s="28"/>
      <c r="W41" s="28"/>
      <c r="X41" s="28"/>
      <c r="Y41" s="28"/>
      <c r="Z41" s="28"/>
      <c r="AA41" s="28"/>
      <c r="AB41" s="28"/>
    </row>
    <row r="42">
      <c r="A42" s="21" t="s">
        <v>908</v>
      </c>
      <c r="B42" s="22" t="s">
        <v>909</v>
      </c>
      <c r="C42" s="23" t="str">
        <f>IFERROR(__xludf.DUMMYFUNCTION("GOOGLETRANSLATE(B42, ""en"", ""fr"")"),"Druide")</f>
        <v>Druide</v>
      </c>
      <c r="D42" s="23" t="str">
        <f>IFERROR(__xludf.DUMMYFUNCTION("GOOGLETRANSLATE(B42, ""en"", ""es"")"),"druida")</f>
        <v>druida</v>
      </c>
      <c r="E42" s="23" t="str">
        <f>IFERROR(__xludf.DUMMYFUNCTION("GOOGLETRANSLATE(B42, ""en"", ""ru"")"),"Друид")</f>
        <v>Друид</v>
      </c>
      <c r="F42" s="23" t="str">
        <f>IFERROR(__xludf.DUMMYFUNCTION("GOOGLETRANSLATE(B42, ""en"", ""tr"")"),"Druid")</f>
        <v>Druid</v>
      </c>
      <c r="G42" s="23" t="str">
        <f>IFERROR(__xludf.DUMMYFUNCTION("GOOGLETRANSLATE(B42, ""en"", ""pt"")"),"druida")</f>
        <v>druida</v>
      </c>
      <c r="H42" s="24" t="str">
        <f>IFERROR(__xludf.DUMMYFUNCTION("GOOGLETRANSLATE(B42, ""en"", ""de"")"),"Druide")</f>
        <v>Druide</v>
      </c>
      <c r="I42" s="23" t="str">
        <f>IFERROR(__xludf.DUMMYFUNCTION("GOOGLETRANSLATE(B42, ""en"", ""pl"")"),"druid")</f>
        <v>druid</v>
      </c>
      <c r="J42" s="25" t="str">
        <f>IFERROR(__xludf.DUMMYFUNCTION("GOOGLETRANSLATE(B42, ""en"", ""zh"")"),"德鲁伊")</f>
        <v>德鲁伊</v>
      </c>
      <c r="K42" s="25" t="str">
        <f>IFERROR(__xludf.DUMMYFUNCTION("GOOGLETRANSLATE(B42, ""en"", ""vi"")"),"Druid.")</f>
        <v>Druid.</v>
      </c>
      <c r="L42" s="26" t="str">
        <f>IFERROR(__xludf.DUMMYFUNCTION("GOOGLETRANSLATE(B42, ""en"", ""hr"")"),"druid")</f>
        <v>druid</v>
      </c>
      <c r="M42" s="28"/>
      <c r="N42" s="28"/>
      <c r="O42" s="28"/>
      <c r="P42" s="28"/>
      <c r="Q42" s="28"/>
      <c r="R42" s="28"/>
      <c r="S42" s="28"/>
      <c r="T42" s="28"/>
      <c r="U42" s="28"/>
      <c r="V42" s="28"/>
      <c r="W42" s="28"/>
      <c r="X42" s="28"/>
      <c r="Y42" s="28"/>
      <c r="Z42" s="28"/>
      <c r="AA42" s="28"/>
      <c r="AB42" s="28"/>
    </row>
    <row r="43">
      <c r="A43" s="21" t="s">
        <v>910</v>
      </c>
      <c r="B43" s="22" t="s">
        <v>911</v>
      </c>
      <c r="C43" s="23" t="str">
        <f>IFERROR(__xludf.DUMMYFUNCTION("GOOGLETRANSLATE(B43, ""en"", ""fr"")"),"Aîné")</f>
        <v>Aîné</v>
      </c>
      <c r="D43" s="23" t="str">
        <f>IFERROR(__xludf.DUMMYFUNCTION("GOOGLETRANSLATE(B43, ""en"", ""es"")"),"Mayor")</f>
        <v>Mayor</v>
      </c>
      <c r="E43" s="23" t="str">
        <f>IFERROR(__xludf.DUMMYFUNCTION("GOOGLETRANSLATE(B43, ""en"", ""ru"")"),"Старейшина")</f>
        <v>Старейшина</v>
      </c>
      <c r="F43" s="23" t="str">
        <f>IFERROR(__xludf.DUMMYFUNCTION("GOOGLETRANSLATE(B43, ""en"", ""tr"")"),"Yaşlı")</f>
        <v>Yaşlı</v>
      </c>
      <c r="G43" s="23" t="str">
        <f>IFERROR(__xludf.DUMMYFUNCTION("GOOGLETRANSLATE(B43, ""en"", ""pt"")"),"Mais velho")</f>
        <v>Mais velho</v>
      </c>
      <c r="H43" s="24" t="str">
        <f>IFERROR(__xludf.DUMMYFUNCTION("GOOGLETRANSLATE(B43, ""en"", ""de"")"),"Ältere")</f>
        <v>Ältere</v>
      </c>
      <c r="I43" s="23" t="str">
        <f>IFERROR(__xludf.DUMMYFUNCTION("GOOGLETRANSLATE(B43, ""en"", ""pl"")"),"Starszy")</f>
        <v>Starszy</v>
      </c>
      <c r="J43" s="25" t="str">
        <f>IFERROR(__xludf.DUMMYFUNCTION("GOOGLETRANSLATE(B43, ""en"", ""zh"")"),"长老")</f>
        <v>长老</v>
      </c>
      <c r="K43" s="25" t="str">
        <f>IFERROR(__xludf.DUMMYFUNCTION("GOOGLETRANSLATE(B43, ""en"", ""vi"")"),"Đàn anh")</f>
        <v>Đàn anh</v>
      </c>
      <c r="L43" s="26" t="str">
        <f>IFERROR(__xludf.DUMMYFUNCTION("GOOGLETRANSLATE(B43, ""en"", ""hr"")"),"Stariji")</f>
        <v>Stariji</v>
      </c>
      <c r="M43" s="28"/>
      <c r="N43" s="28"/>
      <c r="O43" s="28"/>
      <c r="P43" s="28"/>
      <c r="Q43" s="28"/>
      <c r="R43" s="28"/>
      <c r="S43" s="28"/>
      <c r="T43" s="28"/>
      <c r="U43" s="28"/>
      <c r="V43" s="28"/>
      <c r="W43" s="28"/>
      <c r="X43" s="28"/>
      <c r="Y43" s="28"/>
      <c r="Z43" s="28"/>
      <c r="AA43" s="28"/>
      <c r="AB43" s="28"/>
    </row>
    <row r="44">
      <c r="A44" s="21" t="s">
        <v>912</v>
      </c>
      <c r="B44" s="22" t="s">
        <v>913</v>
      </c>
      <c r="C44" s="23" t="str">
        <f>IFERROR(__xludf.DUMMYFUNCTION("GOOGLETRANSLATE(B44, ""en"", ""fr"")"),"Snoovir")</f>
        <v>Snoovir</v>
      </c>
      <c r="D44" s="23" t="str">
        <f>IFERROR(__xludf.DUMMYFUNCTION("GOOGLETRANSLATE(B44, ""en"", ""es"")"),"Snovir")</f>
        <v>Snovir</v>
      </c>
      <c r="E44" s="23" t="str">
        <f>IFERROR(__xludf.DUMMYFUNCTION("GOOGLETRANSLATE(B44, ""en"", ""ru"")"),"Сновир")</f>
        <v>Сновир</v>
      </c>
      <c r="F44" s="23" t="str">
        <f>IFERROR(__xludf.DUMMYFUNCTION("GOOGLETRANSLATE(B44, ""en"", ""tr"")"),"Snoovir")</f>
        <v>Snoovir</v>
      </c>
      <c r="G44" s="23" t="str">
        <f>IFERROR(__xludf.DUMMYFUNCTION("GOOGLETRANSLATE(B44, ""en"", ""pt"")"),"Snoovir.")</f>
        <v>Snoovir.</v>
      </c>
      <c r="H44" s="24" t="str">
        <f>IFERROR(__xludf.DUMMYFUNCTION("GOOGLETRANSLATE(B44, ""en"", ""de"")"),"Snoovir")</f>
        <v>Snoovir</v>
      </c>
      <c r="I44" s="23" t="str">
        <f>IFERROR(__xludf.DUMMYFUNCTION("GOOGLETRANSLATE(B44, ""en"", ""pl"")"),"Snoowir.")</f>
        <v>Snoowir.</v>
      </c>
      <c r="J44" s="25" t="str">
        <f>IFERROR(__xludf.DUMMYFUNCTION("GOOGLETRANSLATE(B44, ""en"", ""zh"")"),"Snoovir.")</f>
        <v>Snoovir.</v>
      </c>
      <c r="K44" s="25" t="str">
        <f>IFERROR(__xludf.DUMMYFUNCTION("GOOGLETRANSLATE(B44, ""en"", ""vi"")"),"Snoovir.")</f>
        <v>Snoovir.</v>
      </c>
      <c r="L44" s="26" t="str">
        <f>IFERROR(__xludf.DUMMYFUNCTION("GOOGLETRANSLATE(B44, ""en"", ""hr"")"),"Snoovir")</f>
        <v>Snoovir</v>
      </c>
      <c r="M44" s="28"/>
      <c r="N44" s="28"/>
      <c r="O44" s="28"/>
      <c r="P44" s="28"/>
      <c r="Q44" s="28"/>
      <c r="R44" s="28"/>
      <c r="S44" s="28"/>
      <c r="T44" s="28"/>
      <c r="U44" s="28"/>
      <c r="V44" s="28"/>
      <c r="W44" s="28"/>
      <c r="X44" s="28"/>
      <c r="Y44" s="28"/>
      <c r="Z44" s="28"/>
      <c r="AA44" s="28"/>
      <c r="AB44" s="28"/>
    </row>
    <row r="45">
      <c r="A45" s="21" t="s">
        <v>914</v>
      </c>
      <c r="B45" s="22" t="s">
        <v>915</v>
      </c>
      <c r="C45" s="23" t="str">
        <f>IFERROR(__xludf.DUMMYFUNCTION("GOOGLETRANSLATE(B45, ""en"", ""fr"")"),"Zombi")</f>
        <v>Zombi</v>
      </c>
      <c r="D45" s="23" t="str">
        <f>IFERROR(__xludf.DUMMYFUNCTION("GOOGLETRANSLATE(B45, ""en"", ""es"")"),"Zombi")</f>
        <v>Zombi</v>
      </c>
      <c r="E45" s="23" t="str">
        <f>IFERROR(__xludf.DUMMYFUNCTION("GOOGLETRANSLATE(B45, ""en"", ""ru"")"),"Живой мертвец")</f>
        <v>Живой мертвец</v>
      </c>
      <c r="F45" s="23" t="str">
        <f>IFERROR(__xludf.DUMMYFUNCTION("GOOGLETRANSLATE(B45, ""en"", ""tr"")"),"Zombi")</f>
        <v>Zombi</v>
      </c>
      <c r="G45" s="23" t="str">
        <f>IFERROR(__xludf.DUMMYFUNCTION("GOOGLETRANSLATE(B45, ""en"", ""pt"")"),"Zumbi.")</f>
        <v>Zumbi.</v>
      </c>
      <c r="H45" s="24" t="str">
        <f>IFERROR(__xludf.DUMMYFUNCTION("GOOGLETRANSLATE(B45, ""en"", ""de"")"),"Zombie")</f>
        <v>Zombie</v>
      </c>
      <c r="I45" s="23" t="str">
        <f>IFERROR(__xludf.DUMMYFUNCTION("GOOGLETRANSLATE(B45, ""en"", ""pl"")"),"Zambi")</f>
        <v>Zambi</v>
      </c>
      <c r="J45" s="25" t="str">
        <f>IFERROR(__xludf.DUMMYFUNCTION("GOOGLETRANSLATE(B45, ""en"", ""zh"")"),"僵尸")</f>
        <v>僵尸</v>
      </c>
      <c r="K45" s="25" t="str">
        <f>IFERROR(__xludf.DUMMYFUNCTION("GOOGLETRANSLATE(B45, ""en"", ""vi"")"),"Thây ma")</f>
        <v>Thây ma</v>
      </c>
      <c r="L45" s="26" t="str">
        <f>IFERROR(__xludf.DUMMYFUNCTION("GOOGLETRANSLATE(B45, ""en"", ""hr"")"),"Zombi")</f>
        <v>Zombi</v>
      </c>
      <c r="M45" s="28"/>
      <c r="N45" s="28"/>
      <c r="O45" s="28"/>
      <c r="P45" s="28"/>
      <c r="Q45" s="28"/>
      <c r="R45" s="28"/>
      <c r="S45" s="28"/>
      <c r="T45" s="28"/>
      <c r="U45" s="28"/>
      <c r="V45" s="28"/>
      <c r="W45" s="28"/>
      <c r="X45" s="28"/>
      <c r="Y45" s="28"/>
      <c r="Z45" s="28"/>
      <c r="AA45" s="28"/>
      <c r="AB45" s="28"/>
    </row>
    <row r="46">
      <c r="A46" s="21" t="s">
        <v>916</v>
      </c>
      <c r="B46" s="22" t="s">
        <v>917</v>
      </c>
      <c r="C46" s="23" t="str">
        <f>IFERROR(__xludf.DUMMYFUNCTION("GOOGLETRANSLATE(B46, ""en"", ""fr"")"),"Momie")</f>
        <v>Momie</v>
      </c>
      <c r="D46" s="23" t="str">
        <f>IFERROR(__xludf.DUMMYFUNCTION("GOOGLETRANSLATE(B46, ""en"", ""es"")"),"Momia")</f>
        <v>Momia</v>
      </c>
      <c r="E46" s="23" t="s">
        <v>918</v>
      </c>
      <c r="F46" s="23" t="str">
        <f>IFERROR(__xludf.DUMMYFUNCTION("GOOGLETRANSLATE(B46, ""en"", ""tr"")"),"Mumya")</f>
        <v>Mumya</v>
      </c>
      <c r="G46" s="23" t="str">
        <f>IFERROR(__xludf.DUMMYFUNCTION("GOOGLETRANSLATE(B46, ""en"", ""pt"")"),"Mamãe")</f>
        <v>Mamãe</v>
      </c>
      <c r="H46" s="24" t="str">
        <f>IFERROR(__xludf.DUMMYFUNCTION("GOOGLETRANSLATE(B46, ""en"", ""de"")"),"Mumie")</f>
        <v>Mumie</v>
      </c>
      <c r="I46" s="23" t="str">
        <f>IFERROR(__xludf.DUMMYFUNCTION("GOOGLETRANSLATE(B46, ""en"", ""pl"")"),"Mumia")</f>
        <v>Mumia</v>
      </c>
      <c r="J46" s="25" t="str">
        <f>IFERROR(__xludf.DUMMYFUNCTION("GOOGLETRANSLATE(B46, ""en"", ""zh"")"),"木乃伊")</f>
        <v>木乃伊</v>
      </c>
      <c r="K46" s="25" t="str">
        <f>IFERROR(__xludf.DUMMYFUNCTION("GOOGLETRANSLATE(B46, ""en"", ""vi"")"),"Xác ướp")</f>
        <v>Xác ướp</v>
      </c>
      <c r="L46" s="26" t="str">
        <f>IFERROR(__xludf.DUMMYFUNCTION("GOOGLETRANSLATE(B46, ""en"", ""hr"")"),"Mumija")</f>
        <v>Mumija</v>
      </c>
      <c r="M46" s="28"/>
      <c r="N46" s="28"/>
      <c r="O46" s="28"/>
      <c r="P46" s="28"/>
      <c r="Q46" s="28"/>
      <c r="R46" s="28"/>
      <c r="S46" s="28"/>
      <c r="T46" s="28"/>
      <c r="U46" s="28"/>
      <c r="V46" s="28"/>
      <c r="W46" s="28"/>
      <c r="X46" s="28"/>
      <c r="Y46" s="28"/>
      <c r="Z46" s="28"/>
      <c r="AA46" s="28"/>
      <c r="AB46" s="28"/>
    </row>
    <row r="47">
      <c r="A47" s="21" t="s">
        <v>919</v>
      </c>
      <c r="B47" s="22" t="s">
        <v>920</v>
      </c>
      <c r="C47" s="23" t="str">
        <f>IFERROR(__xludf.DUMMYFUNCTION("GOOGLETRANSLATE(B47, ""en"", ""fr"")"),"Gardien de crypte")</f>
        <v>Gardien de crypte</v>
      </c>
      <c r="D47" s="23" t="str">
        <f>IFERROR(__xludf.DUMMYFUNCTION("GOOGLETRANSLATE(B47, ""en"", ""es"")"),"Cripto")</f>
        <v>Cripto</v>
      </c>
      <c r="E47" s="23" t="str">
        <f>IFERROR(__xludf.DUMMYFUNCTION("GOOGLETRANSLATE(B47, ""en"", ""ru"")"),"Крипта")</f>
        <v>Крипта</v>
      </c>
      <c r="F47" s="23" t="str">
        <f>IFERROR(__xludf.DUMMYFUNCTION("GOOGLETRANSLATE(B47, ""en"", ""tr"")"),"Crypt bakan")</f>
        <v>Crypt bakan</v>
      </c>
      <c r="G47" s="23" t="str">
        <f>IFERROR(__xludf.DUMMYFUNCTION("GOOGLETRANSLATE(B47, ""en"", ""pt"")"),"Warden da cripta")</f>
        <v>Warden da cripta</v>
      </c>
      <c r="H47" s="24" t="str">
        <f>IFERROR(__xludf.DUMMYFUNCTION("GOOGLETRANSLATE(B47, ""en"", ""de"")"),"Kryptonder")</f>
        <v>Kryptonder</v>
      </c>
      <c r="I47" s="23" t="str">
        <f>IFERROR(__xludf.DUMMYFUNCTION("GOOGLETRANSLATE(B47, ""en"", ""pl"")"),"Crypt Warden.")</f>
        <v>Crypt Warden.</v>
      </c>
      <c r="J47" s="25" t="str">
        <f>IFERROR(__xludf.DUMMYFUNCTION("GOOGLETRANSLATE(B47, ""en"", ""zh"")"),"Crypt Warden.")</f>
        <v>Crypt Warden.</v>
      </c>
      <c r="K47" s="25" t="str">
        <f>IFERROR(__xludf.DUMMYFUNCTION("GOOGLETRANSLATE(B47, ""en"", ""vi"")"),"Crypt Warden.")</f>
        <v>Crypt Warden.</v>
      </c>
      <c r="L47" s="26" t="str">
        <f>IFERROR(__xludf.DUMMYFUNCTION("GOOGLETRANSLATE(B47, ""en"", ""hr"")"),"Čuvar kripti")</f>
        <v>Čuvar kripti</v>
      </c>
      <c r="M47" s="28"/>
      <c r="N47" s="28"/>
      <c r="O47" s="28"/>
      <c r="P47" s="28"/>
      <c r="Q47" s="28"/>
      <c r="R47" s="28"/>
      <c r="S47" s="28"/>
      <c r="T47" s="28"/>
      <c r="U47" s="28"/>
      <c r="V47" s="28"/>
      <c r="W47" s="28"/>
      <c r="X47" s="28"/>
      <c r="Y47" s="28"/>
      <c r="Z47" s="28"/>
      <c r="AA47" s="28"/>
      <c r="AB47" s="28"/>
    </row>
    <row r="48">
      <c r="A48" s="21" t="s">
        <v>921</v>
      </c>
      <c r="B48" s="22" t="s">
        <v>922</v>
      </c>
      <c r="C48" s="23" t="str">
        <f>IFERROR(__xludf.DUMMYFUNCTION("GOOGLETRANSLATE(B48, ""en"", ""fr"")"),"pharaon")</f>
        <v>pharaon</v>
      </c>
      <c r="D48" s="23" t="str">
        <f>IFERROR(__xludf.DUMMYFUNCTION("GOOGLETRANSLATE(B48, ""en"", ""es"")"),"faraón")</f>
        <v>faraón</v>
      </c>
      <c r="E48" s="23" t="s">
        <v>923</v>
      </c>
      <c r="F48" s="23" t="str">
        <f>IFERROR(__xludf.DUMMYFUNCTION("GOOGLETRANSLATE(B48, ""en"", ""tr"")"),"Firavun")</f>
        <v>Firavun</v>
      </c>
      <c r="G48" s="23" t="str">
        <f>IFERROR(__xludf.DUMMYFUNCTION("GOOGLETRANSLATE(B48, ""en"", ""pt"")"),"faraó")</f>
        <v>faraó</v>
      </c>
      <c r="H48" s="24" t="str">
        <f>IFERROR(__xludf.DUMMYFUNCTION("GOOGLETRANSLATE(B48, ""en"", ""de"")"),"Pharao")</f>
        <v>Pharao</v>
      </c>
      <c r="I48" s="23" t="str">
        <f>IFERROR(__xludf.DUMMYFUNCTION("GOOGLETRANSLATE(B48, ""en"", ""pl"")"),"faraon")</f>
        <v>faraon</v>
      </c>
      <c r="J48" s="25" t="str">
        <f>IFERROR(__xludf.DUMMYFUNCTION("GOOGLETRANSLATE(B48, ""en"", ""zh"")"),"法老")</f>
        <v>法老</v>
      </c>
      <c r="K48" s="25" t="str">
        <f>IFERROR(__xludf.DUMMYFUNCTION("GOOGLETRANSLATE(B48, ""en"", ""vi"")"),"Pharaoh.")</f>
        <v>Pharaoh.</v>
      </c>
      <c r="L48" s="26" t="str">
        <f>IFERROR(__xludf.DUMMYFUNCTION("GOOGLETRANSLATE(B48, ""en"", ""hr"")"),"faraon")</f>
        <v>faraon</v>
      </c>
      <c r="M48" s="28"/>
      <c r="N48" s="28"/>
      <c r="O48" s="28"/>
      <c r="P48" s="28"/>
      <c r="Q48" s="28"/>
      <c r="R48" s="28"/>
      <c r="S48" s="28"/>
      <c r="T48" s="28"/>
      <c r="U48" s="28"/>
      <c r="V48" s="28"/>
      <c r="W48" s="28"/>
      <c r="X48" s="28"/>
      <c r="Y48" s="28"/>
      <c r="Z48" s="28"/>
      <c r="AA48" s="28"/>
      <c r="AB48" s="28"/>
    </row>
    <row r="49">
      <c r="A49" s="21" t="s">
        <v>924</v>
      </c>
      <c r="B49" s="22" t="s">
        <v>925</v>
      </c>
      <c r="C49" s="23" t="str">
        <f>IFERROR(__xludf.DUMMYFUNCTION("GOOGLETRANSLATE(B49, ""en"", ""fr"")"),"Vampire")</f>
        <v>Vampire</v>
      </c>
      <c r="D49" s="23" t="str">
        <f>IFERROR(__xludf.DUMMYFUNCTION("GOOGLETRANSLATE(B49, ""en"", ""es"")"),"Vampiro")</f>
        <v>Vampiro</v>
      </c>
      <c r="E49" s="23" t="s">
        <v>926</v>
      </c>
      <c r="F49" s="23" t="str">
        <f>IFERROR(__xludf.DUMMYFUNCTION("GOOGLETRANSLATE(B49, ""en"", ""tr"")"),"Vampir")</f>
        <v>Vampir</v>
      </c>
      <c r="G49" s="23" t="str">
        <f>IFERROR(__xludf.DUMMYFUNCTION("GOOGLETRANSLATE(B49, ""en"", ""pt"")"),"Vampiro")</f>
        <v>Vampiro</v>
      </c>
      <c r="H49" s="24" t="str">
        <f>IFERROR(__xludf.DUMMYFUNCTION("GOOGLETRANSLATE(B49, ""en"", ""de"")"),"Vampir")</f>
        <v>Vampir</v>
      </c>
      <c r="I49" s="23" t="str">
        <f>IFERROR(__xludf.DUMMYFUNCTION("GOOGLETRANSLATE(B49, ""en"", ""pl"")"),"Wampir")</f>
        <v>Wampir</v>
      </c>
      <c r="J49" s="25" t="str">
        <f>IFERROR(__xludf.DUMMYFUNCTION("GOOGLETRANSLATE(B49, ""en"", ""zh"")"),"吸血鬼")</f>
        <v>吸血鬼</v>
      </c>
      <c r="K49" s="25" t="str">
        <f>IFERROR(__xludf.DUMMYFUNCTION("GOOGLETRANSLATE(B49, ""en"", ""vi"")"),"Ma cà rồng")</f>
        <v>Ma cà rồng</v>
      </c>
      <c r="L49" s="26" t="str">
        <f>IFERROR(__xludf.DUMMYFUNCTION("GOOGLETRANSLATE(B49, ""en"", ""hr"")"),"Vampir")</f>
        <v>Vampir</v>
      </c>
      <c r="M49" s="28"/>
      <c r="N49" s="28"/>
      <c r="O49" s="28"/>
      <c r="P49" s="28"/>
      <c r="Q49" s="28"/>
      <c r="R49" s="28"/>
      <c r="S49" s="28"/>
      <c r="T49" s="28"/>
      <c r="U49" s="28"/>
      <c r="V49" s="28"/>
      <c r="W49" s="28"/>
      <c r="X49" s="28"/>
      <c r="Y49" s="28"/>
      <c r="Z49" s="28"/>
      <c r="AA49" s="28"/>
      <c r="AB49" s="28"/>
    </row>
    <row r="50">
      <c r="A50" s="21" t="s">
        <v>927</v>
      </c>
      <c r="B50" s="22" t="s">
        <v>928</v>
      </c>
      <c r="C50" s="23" t="str">
        <f>IFERROR(__xludf.DUMMYFUNCTION("GOOGLETRANSLATE(B50, ""en"", ""fr"")"),"Prêtre de sang")</f>
        <v>Prêtre de sang</v>
      </c>
      <c r="D50" s="23" t="str">
        <f>IFERROR(__xludf.DUMMYFUNCTION("GOOGLETRANSLATE(B50, ""en"", ""es"")"),"Sacerdote sanguíneo")</f>
        <v>Sacerdote sanguíneo</v>
      </c>
      <c r="E50" s="23" t="str">
        <f>IFERROR(__xludf.DUMMYFUNCTION("GOOGLETRANSLATE(B50, ""en"", ""ru"")"),"Священник крови")</f>
        <v>Священник крови</v>
      </c>
      <c r="F50" s="23" t="str">
        <f>IFERROR(__xludf.DUMMYFUNCTION("GOOGLETRANSLATE(B50, ""en"", ""tr"")"),"Kan rahip")</f>
        <v>Kan rahip</v>
      </c>
      <c r="G50" s="23" t="str">
        <f>IFERROR(__xludf.DUMMYFUNCTION("GOOGLETRANSLATE(B50, ""en"", ""pt"")"),"Sangue Sacerdote.")</f>
        <v>Sangue Sacerdote.</v>
      </c>
      <c r="H50" s="24" t="str">
        <f>IFERROR(__xludf.DUMMYFUNCTION("GOOGLETRANSLATE(B50, ""en"", ""de"")"),"Blutpriester")</f>
        <v>Blutpriester</v>
      </c>
      <c r="I50" s="23" t="str">
        <f>IFERROR(__xludf.DUMMYFUNCTION("GOOGLETRANSLATE(B50, ""en"", ""pl"")"),"Księdza krwi")</f>
        <v>Księdza krwi</v>
      </c>
      <c r="J50" s="25" t="str">
        <f>IFERROR(__xludf.DUMMYFUNCTION("GOOGLETRANSLATE(B50, ""en"", ""zh"")"),"血牧师")</f>
        <v>血牧师</v>
      </c>
      <c r="K50" s="25" t="str">
        <f>IFERROR(__xludf.DUMMYFUNCTION("GOOGLETRANSLATE(B50, ""en"", ""vi"")"),"Linh mục máu")</f>
        <v>Linh mục máu</v>
      </c>
      <c r="L50" s="26" t="str">
        <f>IFERROR(__xludf.DUMMYFUNCTION("GOOGLETRANSLATE(B50, ""en"", ""hr"")"),"Svećenik krvi")</f>
        <v>Svećenik krvi</v>
      </c>
      <c r="M50" s="28"/>
      <c r="N50" s="28"/>
      <c r="O50" s="28"/>
      <c r="P50" s="28"/>
      <c r="Q50" s="28"/>
      <c r="R50" s="28"/>
      <c r="S50" s="28"/>
      <c r="T50" s="28"/>
      <c r="U50" s="28"/>
      <c r="V50" s="28"/>
      <c r="W50" s="28"/>
      <c r="X50" s="28"/>
      <c r="Y50" s="28"/>
      <c r="Z50" s="28"/>
      <c r="AA50" s="28"/>
      <c r="AB50" s="28"/>
    </row>
    <row r="51">
      <c r="A51" s="21" t="s">
        <v>929</v>
      </c>
      <c r="B51" s="22" t="s">
        <v>930</v>
      </c>
      <c r="C51" s="23" t="str">
        <f>IFERROR(__xludf.DUMMYFUNCTION("GOOGLETRANSLATE(B51, ""en"", ""fr"")"),"Seigneur de sang")</f>
        <v>Seigneur de sang</v>
      </c>
      <c r="D51" s="23" t="str">
        <f>IFERROR(__xludf.DUMMYFUNCTION("GOOGLETRANSLATE(B51, ""en"", ""es"")"),"Señor de la sangre")</f>
        <v>Señor de la sangre</v>
      </c>
      <c r="E51" s="23" t="str">
        <f>IFERROR(__xludf.DUMMYFUNCTION("GOOGLETRANSLATE(B51, ""en"", ""ru"")"),"Лорд крови")</f>
        <v>Лорд крови</v>
      </c>
      <c r="F51" s="23" t="str">
        <f>IFERROR(__xludf.DUMMYFUNCTION("GOOGLETRANSLATE(B51, ""en"", ""tr"")"),"Kan")</f>
        <v>Kan</v>
      </c>
      <c r="G51" s="23" t="str">
        <f>IFERROR(__xludf.DUMMYFUNCTION("GOOGLETRANSLATE(B51, ""en"", ""pt"")"),"Senhor Senhor")</f>
        <v>Senhor Senhor</v>
      </c>
      <c r="H51" s="24" t="str">
        <f>IFERROR(__xludf.DUMMYFUNCTION("GOOGLETRANSLATE(B51, ""en"", ""de"")"),"Blutlord")</f>
        <v>Blutlord</v>
      </c>
      <c r="I51" s="23" t="str">
        <f>IFERROR(__xludf.DUMMYFUNCTION("GOOGLETRANSLATE(B51, ""en"", ""pl"")"),"Panie krwi")</f>
        <v>Panie krwi</v>
      </c>
      <c r="J51" s="25" t="str">
        <f>IFERROR(__xludf.DUMMYFUNCTION("GOOGLETRANSLATE(B51, ""en"", ""zh"")"),"血主")</f>
        <v>血主</v>
      </c>
      <c r="K51" s="25" t="str">
        <f>IFERROR(__xludf.DUMMYFUNCTION("GOOGLETRANSLATE(B51, ""en"", ""vi"")"),"Chúa máu")</f>
        <v>Chúa máu</v>
      </c>
      <c r="L51" s="26" t="str">
        <f>IFERROR(__xludf.DUMMYFUNCTION("GOOGLETRANSLATE(B51, ""en"", ""hr"")"),"Krv")</f>
        <v>Krv</v>
      </c>
      <c r="M51" s="28"/>
      <c r="N51" s="28"/>
      <c r="O51" s="28"/>
      <c r="P51" s="28"/>
      <c r="Q51" s="28"/>
      <c r="R51" s="28"/>
      <c r="S51" s="28"/>
      <c r="T51" s="28"/>
      <c r="U51" s="28"/>
      <c r="V51" s="28"/>
      <c r="W51" s="28"/>
      <c r="X51" s="28"/>
      <c r="Y51" s="28"/>
      <c r="Z51" s="28"/>
      <c r="AA51" s="28"/>
      <c r="AB51" s="28"/>
    </row>
    <row r="52">
      <c r="A52" s="21" t="s">
        <v>931</v>
      </c>
      <c r="B52" s="22" t="s">
        <v>932</v>
      </c>
      <c r="C52" s="23" t="str">
        <f>IFERROR(__xludf.DUMMYFUNCTION("GOOGLETRANSLATE(B52, ""en"", ""fr"")"),"Hargne")</f>
        <v>Hargne</v>
      </c>
      <c r="D52" s="23" t="str">
        <f>IFERROR(__xludf.DUMMYFUNCTION("GOOGLETRANSLATE(B52, ""en"", ""es"")"),"Nudo")</f>
        <v>Nudo</v>
      </c>
      <c r="E52" s="23" t="str">
        <f>IFERROR(__xludf.DUMMYFUNCTION("GOOGLETRANSLATE(B52, ""en"", ""ru"")"),"Гнарл")</f>
        <v>Гнарл</v>
      </c>
      <c r="F52" s="23" t="str">
        <f>IFERROR(__xludf.DUMMYFUNCTION("GOOGLETRANSLATE(B52, ""en"", ""tr"")"),"Gnarl")</f>
        <v>Gnarl</v>
      </c>
      <c r="G52" s="23" t="str">
        <f>IFERROR(__xludf.DUMMYFUNCTION("GOOGLETRANSLATE(B52, ""en"", ""pt"")"),"Gnarl.")</f>
        <v>Gnarl.</v>
      </c>
      <c r="H52" s="24" t="str">
        <f>IFERROR(__xludf.DUMMYFUNCTION("GOOGLETRANSLATE(B52, ""en"", ""de"")"),"Gnarl")</f>
        <v>Gnarl</v>
      </c>
      <c r="I52" s="23" t="str">
        <f>IFERROR(__xludf.DUMMYFUNCTION("GOOGLETRANSLATE(B52, ""en"", ""pl"")"),"Narośl")</f>
        <v>Narośl</v>
      </c>
      <c r="J52" s="25" t="str">
        <f>IFERROR(__xludf.DUMMYFUNCTION("GOOGLETRANSLATE(B52, ""en"", ""zh"")"),"Gnarl.")</f>
        <v>Gnarl.</v>
      </c>
      <c r="K52" s="25" t="str">
        <f>IFERROR(__xludf.DUMMYFUNCTION("GOOGLETRANSLATE(B52, ""en"", ""vi"")"),"GNARL.")</f>
        <v>GNARL.</v>
      </c>
      <c r="L52" s="26" t="str">
        <f>IFERROR(__xludf.DUMMYFUNCTION("GOOGLETRANSLATE(B52, ""en"", ""hr"")"),"Gnarl")</f>
        <v>Gnarl</v>
      </c>
      <c r="M52" s="28"/>
      <c r="N52" s="28"/>
      <c r="O52" s="28"/>
      <c r="P52" s="28"/>
      <c r="Q52" s="28"/>
      <c r="R52" s="28"/>
      <c r="S52" s="28"/>
      <c r="T52" s="28"/>
      <c r="U52" s="28"/>
      <c r="V52" s="28"/>
      <c r="W52" s="28"/>
      <c r="X52" s="28"/>
      <c r="Y52" s="28"/>
      <c r="Z52" s="28"/>
      <c r="AA52" s="28"/>
      <c r="AB52" s="28"/>
    </row>
    <row r="53">
      <c r="A53" s="21" t="s">
        <v>933</v>
      </c>
      <c r="B53" s="22" t="s">
        <v>934</v>
      </c>
      <c r="C53" s="23" t="str">
        <f>IFERROR(__xludf.DUMMYFUNCTION("GOOGLETRANSLATE(B53, ""en"", ""fr"")"),"Grand gnarl")</f>
        <v>Grand gnarl</v>
      </c>
      <c r="D53" s="23" t="str">
        <f>IFERROR(__xludf.DUMMYFUNCTION("GOOGLETRANSLATE(B53, ""en"", ""es"")"),"GRAN GNARL")</f>
        <v>GRAN GNARL</v>
      </c>
      <c r="E53" s="23" t="str">
        <f>IFERROR(__xludf.DUMMYFUNCTION("GOOGLETRANSLATE(B53, ""en"", ""ru"")"),"Великий гнарл")</f>
        <v>Великий гнарл</v>
      </c>
      <c r="F53" s="23" t="str">
        <f>IFERROR(__xludf.DUMMYFUNCTION("GOOGLETRANSLATE(B53, ""en"", ""tr"")"),"Büyük gnarl")</f>
        <v>Büyük gnarl</v>
      </c>
      <c r="G53" s="23" t="str">
        <f>IFERROR(__xludf.DUMMYFUNCTION("GOOGLETRANSLATE(B53, ""en"", ""pt"")"),"Grande gnarl.")</f>
        <v>Grande gnarl.</v>
      </c>
      <c r="H53" s="24" t="str">
        <f>IFERROR(__xludf.DUMMYFUNCTION("GOOGLETRANSLATE(B53, ""en"", ""de"")"),"Tolle Gnarl.")</f>
        <v>Tolle Gnarl.</v>
      </c>
      <c r="I53" s="23" t="str">
        <f>IFERROR(__xludf.DUMMYFUNCTION("GOOGLETRANSLATE(B53, ""en"", ""pl"")"),"Wielki Gnarl.")</f>
        <v>Wielki Gnarl.</v>
      </c>
      <c r="J53" s="25" t="str">
        <f>IFERROR(__xludf.DUMMYFUNCTION("GOOGLETRANSLATE(B53, ""en"", ""zh"")"),"伟大的gnarl.")</f>
        <v>伟大的gnarl.</v>
      </c>
      <c r="K53" s="25" t="str">
        <f>IFERROR(__xludf.DUMMYFUNCTION("GOOGLETRANSLATE(B53, ""en"", ""vi"")"),"GNARL tuyệt vời")</f>
        <v>GNARL tuyệt vời</v>
      </c>
      <c r="L53" s="26" t="str">
        <f>IFERROR(__xludf.DUMMYFUNCTION("GOOGLETRANSLATE(B53, ""en"", ""hr"")"),"Veliki gnarl")</f>
        <v>Veliki gnarl</v>
      </c>
      <c r="M53" s="28"/>
      <c r="N53" s="28"/>
      <c r="O53" s="28"/>
      <c r="P53" s="28"/>
      <c r="Q53" s="28"/>
      <c r="R53" s="28"/>
      <c r="S53" s="28"/>
      <c r="T53" s="28"/>
      <c r="U53" s="28"/>
      <c r="V53" s="28"/>
      <c r="W53" s="28"/>
      <c r="X53" s="28"/>
      <c r="Y53" s="28"/>
      <c r="Z53" s="28"/>
      <c r="AA53" s="28"/>
      <c r="AB53" s="28"/>
    </row>
    <row r="54">
      <c r="A54" s="21" t="s">
        <v>935</v>
      </c>
      <c r="B54" s="22" t="s">
        <v>936</v>
      </c>
      <c r="C54" s="23" t="str">
        <f>IFERROR(__xludf.DUMMYFUNCTION("GOOGLETRANSLATE(B54, ""en"", ""fr"")"),"mage")</f>
        <v>mage</v>
      </c>
      <c r="D54" s="23" t="str">
        <f>IFERROR(__xludf.DUMMYFUNCTION("GOOGLETRANSLATE(B54, ""en"", ""es"")"),"Mago")</f>
        <v>Mago</v>
      </c>
      <c r="E54" s="23" t="s">
        <v>937</v>
      </c>
      <c r="F54" s="23" t="str">
        <f>IFERROR(__xludf.DUMMYFUNCTION("GOOGLETRANSLATE(B54, ""en"", ""tr"")"),"Makyaj")</f>
        <v>Makyaj</v>
      </c>
      <c r="G54" s="23" t="str">
        <f>IFERROR(__xludf.DUMMYFUNCTION("GOOGLETRANSLATE(B54, ""en"", ""pt"")"),"Mago")</f>
        <v>Mago</v>
      </c>
      <c r="H54" s="24" t="str">
        <f>IFERROR(__xludf.DUMMYFUNCTION("GOOGLETRANSLATE(B54, ""en"", ""de"")"),"Magier")</f>
        <v>Magier</v>
      </c>
      <c r="I54" s="23" t="str">
        <f>IFERROR(__xludf.DUMMYFUNCTION("GOOGLETRANSLATE(B54, ""en"", ""pl"")"),"Mag")</f>
        <v>Mag</v>
      </c>
      <c r="J54" s="25" t="str">
        <f>IFERROR(__xludf.DUMMYFUNCTION("GOOGLETRANSLATE(B54, ""en"", ""zh"")"),"法师")</f>
        <v>法师</v>
      </c>
      <c r="K54" s="25" t="str">
        <f>IFERROR(__xludf.DUMMYFUNCTION("GOOGLETRANSLATE(B54, ""en"", ""vi"")"),"Mage.")</f>
        <v>Mage.</v>
      </c>
      <c r="L54" s="26" t="str">
        <f>IFERROR(__xludf.DUMMYFUNCTION("GOOGLETRANSLATE(B54, ""en"", ""hr"")"),"Mag")</f>
        <v>Mag</v>
      </c>
      <c r="M54" s="28"/>
      <c r="N54" s="28"/>
      <c r="O54" s="28"/>
      <c r="P54" s="28"/>
      <c r="Q54" s="28"/>
      <c r="R54" s="28"/>
      <c r="S54" s="28"/>
      <c r="T54" s="28"/>
      <c r="U54" s="28"/>
      <c r="V54" s="28"/>
      <c r="W54" s="28"/>
      <c r="X54" s="28"/>
      <c r="Y54" s="28"/>
      <c r="Z54" s="28"/>
      <c r="AA54" s="28"/>
      <c r="AB54" s="28"/>
    </row>
    <row r="55">
      <c r="A55" s="21" t="s">
        <v>938</v>
      </c>
      <c r="B55" s="22" t="s">
        <v>939</v>
      </c>
      <c r="C55" s="23" t="str">
        <f>IFERROR(__xludf.DUMMYFUNCTION("GOOGLETRANSLATE(B55, ""en"", ""fr"")"),"Arche mage")</f>
        <v>Arche mage</v>
      </c>
      <c r="D55" s="23" t="str">
        <f>IFERROR(__xludf.DUMMYFUNCTION("GOOGLETRANSLATE(B55, ""en"", ""es"")"),"Mago de arco")</f>
        <v>Mago de arco</v>
      </c>
      <c r="E55" s="23" t="str">
        <f>IFERROR(__xludf.DUMMYFUNCTION("GOOGLETRANSLATE(B55, ""en"", ""ru"")"),"Арка маг")</f>
        <v>Арка маг</v>
      </c>
      <c r="F55" s="23" t="str">
        <f>IFERROR(__xludf.DUMMYFUNCTION("GOOGLETRANSLATE(B55, ""en"", ""tr"")"),"Baş büyücü")</f>
        <v>Baş büyücü</v>
      </c>
      <c r="G55" s="23" t="str">
        <f>IFERROR(__xludf.DUMMYFUNCTION("GOOGLETRANSLATE(B55, ""en"", ""pt"")"),"Arch Mage")</f>
        <v>Arch Mage</v>
      </c>
      <c r="H55" s="24" t="str">
        <f>IFERROR(__xludf.DUMMYFUNCTION("GOOGLETRANSLATE(B55, ""en"", ""de"")"),"Bogenmager")</f>
        <v>Bogenmager</v>
      </c>
      <c r="I55" s="23" t="str">
        <f>IFERROR(__xludf.DUMMYFUNCTION("GOOGLETRANSLATE(B55, ""en"", ""pl"")"),"Arch Mag.")</f>
        <v>Arch Mag.</v>
      </c>
      <c r="J55" s="25" t="str">
        <f>IFERROR(__xludf.DUMMYFUNCTION("GOOGLETRANSLATE(B55, ""en"", ""zh"")"),"拱门法师")</f>
        <v>拱门法师</v>
      </c>
      <c r="K55" s="25" t="str">
        <f>IFERROR(__xludf.DUMMYFUNCTION("GOOGLETRANSLATE(B55, ""en"", ""vi"")"),"Arch Mage.")</f>
        <v>Arch Mage.</v>
      </c>
      <c r="L55" s="26" t="str">
        <f>IFERROR(__xludf.DUMMYFUNCTION("GOOGLETRANSLATE(B55, ""en"", ""hr"")"),"Luk")</f>
        <v>Luk</v>
      </c>
      <c r="M55" s="28"/>
      <c r="N55" s="28"/>
      <c r="O55" s="28"/>
      <c r="P55" s="28"/>
      <c r="Q55" s="28"/>
      <c r="R55" s="28"/>
      <c r="S55" s="28"/>
      <c r="T55" s="28"/>
      <c r="U55" s="28"/>
      <c r="V55" s="28"/>
      <c r="W55" s="28"/>
      <c r="X55" s="28"/>
      <c r="Y55" s="28"/>
      <c r="Z55" s="28"/>
      <c r="AA55" s="28"/>
      <c r="AB55" s="28"/>
    </row>
    <row r="56">
      <c r="A56" s="21" t="s">
        <v>940</v>
      </c>
      <c r="B56" s="22" t="s">
        <v>941</v>
      </c>
      <c r="C56" s="23" t="str">
        <f>IFERROR(__xludf.DUMMYFUNCTION("GOOGLETRANSLATE(B56, ""en"", ""fr"")"),"Additionnel")</f>
        <v>Additionnel</v>
      </c>
      <c r="D56" s="23" t="str">
        <f>IFERROR(__xludf.DUMMYFUNCTION("GOOGLETRANSLATE(B56, ""en"", ""es"")"),"Adumbral")</f>
        <v>Adumbral</v>
      </c>
      <c r="E56" s="23" t="str">
        <f>IFERROR(__xludf.DUMMYFUNCTION("GOOGLETRANSLATE(B56, ""en"", ""ru"")"),"Адумбрал")</f>
        <v>Адумбрал</v>
      </c>
      <c r="F56" s="23" t="str">
        <f>IFERROR(__xludf.DUMMYFUNCTION("GOOGLETRANSLATE(B56, ""en"", ""tr"")"),"Haydut")</f>
        <v>Haydut</v>
      </c>
      <c r="G56" s="23" t="str">
        <f>IFERROR(__xludf.DUMMYFUNCTION("GOOGLETRANSLATE(B56, ""en"", ""pt"")"),"Adumbral.")</f>
        <v>Adumbral.</v>
      </c>
      <c r="H56" s="24" t="str">
        <f>IFERROR(__xludf.DUMMYFUNCTION("GOOGLETRANSLATE(B56, ""en"", ""de"")"),"Adumbral")</f>
        <v>Adumbral</v>
      </c>
      <c r="I56" s="23" t="str">
        <f>IFERROR(__xludf.DUMMYFUNCTION("GOOGLETRANSLATE(B56, ""en"", ""pl"")"),"Adumbral.")</f>
        <v>Adumbral.</v>
      </c>
      <c r="J56" s="25" t="str">
        <f>IFERROR(__xludf.DUMMYFUNCTION("GOOGLETRANSLATE(B56, ""en"", ""zh"")"),"adumbral.")</f>
        <v>adumbral.</v>
      </c>
      <c r="K56" s="25" t="str">
        <f>IFERROR(__xludf.DUMMYFUNCTION("GOOGLETRANSLATE(B56, ""en"", ""vi"")"),"Adumbral.")</f>
        <v>Adumbral.</v>
      </c>
      <c r="L56" s="26" t="str">
        <f>IFERROR(__xludf.DUMMYFUNCTION("GOOGLETRANSLATE(B56, ""en"", ""hr"")"),"Adumbralan")</f>
        <v>Adumbralan</v>
      </c>
      <c r="M56" s="28"/>
      <c r="N56" s="28"/>
      <c r="O56" s="28"/>
      <c r="P56" s="28"/>
      <c r="Q56" s="28"/>
      <c r="R56" s="28"/>
      <c r="S56" s="28"/>
      <c r="T56" s="28"/>
      <c r="U56" s="28"/>
      <c r="V56" s="28"/>
      <c r="W56" s="28"/>
      <c r="X56" s="28"/>
      <c r="Y56" s="28"/>
      <c r="Z56" s="28"/>
      <c r="AA56" s="28"/>
      <c r="AB56" s="28"/>
    </row>
    <row r="57">
      <c r="A57" s="34"/>
      <c r="B57" s="35"/>
      <c r="C57" s="30"/>
      <c r="D57" s="30"/>
      <c r="E57" s="30"/>
      <c r="F57" s="30"/>
      <c r="G57" s="30"/>
      <c r="H57" s="31"/>
      <c r="I57" s="30"/>
      <c r="J57" s="32"/>
      <c r="K57" s="32"/>
      <c r="L57" s="33"/>
      <c r="M57" s="28"/>
      <c r="N57" s="28"/>
      <c r="O57" s="28"/>
      <c r="P57" s="28"/>
      <c r="Q57" s="28"/>
      <c r="R57" s="28"/>
      <c r="S57" s="28"/>
      <c r="T57" s="28"/>
      <c r="U57" s="28"/>
      <c r="V57" s="28"/>
      <c r="W57" s="28"/>
      <c r="X57" s="28"/>
      <c r="Y57" s="28"/>
      <c r="Z57" s="28"/>
      <c r="AA57" s="28"/>
      <c r="AB57" s="28"/>
    </row>
    <row r="58">
      <c r="A58" s="34"/>
      <c r="B58" s="35"/>
      <c r="C58" s="30"/>
      <c r="D58" s="30"/>
      <c r="E58" s="30"/>
      <c r="F58" s="30"/>
      <c r="G58" s="30"/>
      <c r="H58" s="31"/>
      <c r="I58" s="30"/>
      <c r="J58" s="32"/>
      <c r="K58" s="32"/>
      <c r="L58" s="33"/>
      <c r="M58" s="28"/>
      <c r="N58" s="28"/>
      <c r="O58" s="28"/>
      <c r="P58" s="28"/>
      <c r="Q58" s="28"/>
      <c r="R58" s="28"/>
      <c r="S58" s="28"/>
      <c r="T58" s="28"/>
      <c r="U58" s="28"/>
      <c r="V58" s="28"/>
      <c r="W58" s="28"/>
      <c r="X58" s="28"/>
      <c r="Y58" s="28"/>
      <c r="Z58" s="28"/>
      <c r="AA58" s="28"/>
      <c r="AB58" s="28"/>
    </row>
    <row r="59">
      <c r="A59" s="34"/>
      <c r="B59" s="35"/>
      <c r="C59" s="30"/>
      <c r="D59" s="30"/>
      <c r="E59" s="30"/>
      <c r="F59" s="30"/>
      <c r="G59" s="30"/>
      <c r="H59" s="31"/>
      <c r="I59" s="30"/>
      <c r="J59" s="32"/>
      <c r="K59" s="32"/>
      <c r="L59" s="33"/>
      <c r="M59" s="28"/>
      <c r="N59" s="28"/>
      <c r="O59" s="28"/>
      <c r="P59" s="28"/>
      <c r="Q59" s="28"/>
      <c r="R59" s="28"/>
      <c r="S59" s="28"/>
      <c r="T59" s="28"/>
      <c r="U59" s="28"/>
      <c r="V59" s="28"/>
      <c r="W59" s="28"/>
      <c r="X59" s="28"/>
      <c r="Y59" s="28"/>
      <c r="Z59" s="28"/>
      <c r="AA59" s="28"/>
      <c r="AB59" s="28"/>
    </row>
    <row r="60">
      <c r="A60" s="34"/>
      <c r="B60" s="35"/>
      <c r="C60" s="30"/>
      <c r="D60" s="30"/>
      <c r="E60" s="30"/>
      <c r="F60" s="30"/>
      <c r="G60" s="30"/>
      <c r="H60" s="31"/>
      <c r="I60" s="30"/>
      <c r="J60" s="32"/>
      <c r="K60" s="32"/>
      <c r="L60" s="33"/>
      <c r="M60" s="28"/>
      <c r="N60" s="28"/>
      <c r="O60" s="28"/>
      <c r="P60" s="28"/>
      <c r="Q60" s="28"/>
      <c r="R60" s="28"/>
      <c r="S60" s="28"/>
      <c r="T60" s="28"/>
      <c r="U60" s="28"/>
      <c r="V60" s="28"/>
      <c r="W60" s="28"/>
      <c r="X60" s="28"/>
      <c r="Y60" s="28"/>
      <c r="Z60" s="28"/>
      <c r="AA60" s="28"/>
      <c r="AB60" s="28"/>
    </row>
    <row r="61">
      <c r="A61" s="34"/>
      <c r="B61" s="35"/>
      <c r="C61" s="30"/>
      <c r="D61" s="30"/>
      <c r="E61" s="30"/>
      <c r="F61" s="30"/>
      <c r="G61" s="30"/>
      <c r="H61" s="31"/>
      <c r="I61" s="30"/>
      <c r="J61" s="32"/>
      <c r="K61" s="32"/>
      <c r="L61" s="33"/>
      <c r="M61" s="28"/>
      <c r="N61" s="28"/>
      <c r="O61" s="28"/>
      <c r="P61" s="28"/>
      <c r="Q61" s="28"/>
      <c r="R61" s="28"/>
      <c r="S61" s="28"/>
      <c r="T61" s="28"/>
      <c r="U61" s="28"/>
      <c r="V61" s="28"/>
      <c r="W61" s="28"/>
      <c r="X61" s="28"/>
      <c r="Y61" s="28"/>
      <c r="Z61" s="28"/>
      <c r="AA61" s="28"/>
      <c r="AB61" s="28"/>
    </row>
    <row r="62">
      <c r="A62" s="34"/>
      <c r="B62" s="35"/>
      <c r="C62" s="30"/>
      <c r="D62" s="30"/>
      <c r="E62" s="30"/>
      <c r="F62" s="30"/>
      <c r="G62" s="30"/>
      <c r="H62" s="31"/>
      <c r="I62" s="30"/>
      <c r="J62" s="32"/>
      <c r="K62" s="32"/>
      <c r="L62" s="33"/>
      <c r="M62" s="28"/>
      <c r="N62" s="28"/>
      <c r="O62" s="28"/>
      <c r="P62" s="28"/>
      <c r="Q62" s="28"/>
      <c r="R62" s="28"/>
      <c r="S62" s="28"/>
      <c r="T62" s="28"/>
      <c r="U62" s="28"/>
      <c r="V62" s="28"/>
      <c r="W62" s="28"/>
      <c r="X62" s="28"/>
      <c r="Y62" s="28"/>
      <c r="Z62" s="28"/>
      <c r="AA62" s="28"/>
      <c r="AB62" s="28"/>
    </row>
    <row r="63">
      <c r="A63" s="34"/>
      <c r="B63" s="35"/>
      <c r="C63" s="30"/>
      <c r="D63" s="30"/>
      <c r="E63" s="30"/>
      <c r="F63" s="30"/>
      <c r="G63" s="30"/>
      <c r="H63" s="31"/>
      <c r="I63" s="30"/>
      <c r="J63" s="32"/>
      <c r="K63" s="32"/>
      <c r="L63" s="33"/>
      <c r="M63" s="28"/>
      <c r="N63" s="28"/>
      <c r="O63" s="28"/>
      <c r="P63" s="28"/>
      <c r="Q63" s="28"/>
      <c r="R63" s="28"/>
      <c r="S63" s="28"/>
      <c r="T63" s="28"/>
      <c r="U63" s="28"/>
      <c r="V63" s="28"/>
      <c r="W63" s="28"/>
      <c r="X63" s="28"/>
      <c r="Y63" s="28"/>
      <c r="Z63" s="28"/>
      <c r="AA63" s="28"/>
      <c r="AB63" s="28"/>
    </row>
    <row r="64">
      <c r="A64" s="34"/>
      <c r="B64" s="35"/>
      <c r="C64" s="30"/>
      <c r="D64" s="30"/>
      <c r="E64" s="30"/>
      <c r="F64" s="30"/>
      <c r="G64" s="30"/>
      <c r="H64" s="31"/>
      <c r="I64" s="30"/>
      <c r="J64" s="32"/>
      <c r="K64" s="32"/>
      <c r="L64" s="33"/>
      <c r="M64" s="28"/>
      <c r="N64" s="28"/>
      <c r="O64" s="28"/>
      <c r="P64" s="28"/>
      <c r="Q64" s="28"/>
      <c r="R64" s="28"/>
      <c r="S64" s="28"/>
      <c r="T64" s="28"/>
      <c r="U64" s="28"/>
      <c r="V64" s="28"/>
      <c r="W64" s="28"/>
      <c r="X64" s="28"/>
      <c r="Y64" s="28"/>
      <c r="Z64" s="28"/>
      <c r="AA64" s="28"/>
      <c r="AB64" s="28"/>
    </row>
    <row r="65">
      <c r="A65" s="34"/>
      <c r="B65" s="35"/>
      <c r="C65" s="30"/>
      <c r="D65" s="30"/>
      <c r="E65" s="30"/>
      <c r="F65" s="30"/>
      <c r="G65" s="30"/>
      <c r="H65" s="31"/>
      <c r="I65" s="30"/>
      <c r="J65" s="32"/>
      <c r="K65" s="32"/>
      <c r="L65" s="33"/>
      <c r="M65" s="28"/>
      <c r="N65" s="28"/>
      <c r="O65" s="28"/>
      <c r="P65" s="28"/>
      <c r="Q65" s="28"/>
      <c r="R65" s="28"/>
      <c r="S65" s="28"/>
      <c r="T65" s="28"/>
      <c r="U65" s="28"/>
      <c r="V65" s="28"/>
      <c r="W65" s="28"/>
      <c r="X65" s="28"/>
      <c r="Y65" s="28"/>
      <c r="Z65" s="28"/>
      <c r="AA65" s="28"/>
      <c r="AB65" s="28"/>
    </row>
    <row r="66">
      <c r="A66" s="34"/>
      <c r="B66" s="35"/>
      <c r="C66" s="30"/>
      <c r="D66" s="30"/>
      <c r="E66" s="30"/>
      <c r="F66" s="30"/>
      <c r="G66" s="30"/>
      <c r="H66" s="31"/>
      <c r="I66" s="30"/>
      <c r="J66" s="32"/>
      <c r="K66" s="32"/>
      <c r="L66" s="33"/>
      <c r="M66" s="28"/>
      <c r="N66" s="28"/>
      <c r="O66" s="28"/>
      <c r="P66" s="28"/>
      <c r="Q66" s="28"/>
      <c r="R66" s="28"/>
      <c r="S66" s="28"/>
      <c r="T66" s="28"/>
      <c r="U66" s="28"/>
      <c r="V66" s="28"/>
      <c r="W66" s="28"/>
      <c r="X66" s="28"/>
      <c r="Y66" s="28"/>
      <c r="Z66" s="28"/>
      <c r="AA66" s="28"/>
      <c r="AB66" s="28"/>
    </row>
    <row r="67">
      <c r="A67" s="34"/>
      <c r="B67" s="35"/>
      <c r="C67" s="30"/>
      <c r="D67" s="30"/>
      <c r="E67" s="30"/>
      <c r="F67" s="30"/>
      <c r="G67" s="30"/>
      <c r="H67" s="31"/>
      <c r="I67" s="30"/>
      <c r="J67" s="32"/>
      <c r="K67" s="32"/>
      <c r="L67" s="33"/>
      <c r="M67" s="28"/>
      <c r="N67" s="28"/>
      <c r="O67" s="28"/>
      <c r="P67" s="28"/>
      <c r="Q67" s="28"/>
      <c r="R67" s="28"/>
      <c r="S67" s="28"/>
      <c r="T67" s="28"/>
      <c r="U67" s="28"/>
      <c r="V67" s="28"/>
      <c r="W67" s="28"/>
      <c r="X67" s="28"/>
      <c r="Y67" s="28"/>
      <c r="Z67" s="28"/>
      <c r="AA67" s="28"/>
      <c r="AB67" s="28"/>
    </row>
    <row r="68">
      <c r="A68" s="34"/>
      <c r="B68" s="35"/>
      <c r="C68" s="30"/>
      <c r="D68" s="30"/>
      <c r="E68" s="30"/>
      <c r="F68" s="30"/>
      <c r="G68" s="30"/>
      <c r="H68" s="31"/>
      <c r="I68" s="30"/>
      <c r="J68" s="32"/>
      <c r="K68" s="32"/>
      <c r="L68" s="33"/>
      <c r="M68" s="28"/>
      <c r="N68" s="28"/>
      <c r="O68" s="28"/>
      <c r="P68" s="28"/>
      <c r="Q68" s="28"/>
      <c r="R68" s="28"/>
      <c r="S68" s="28"/>
      <c r="T68" s="28"/>
      <c r="U68" s="28"/>
      <c r="V68" s="28"/>
      <c r="W68" s="28"/>
      <c r="X68" s="28"/>
      <c r="Y68" s="28"/>
      <c r="Z68" s="28"/>
      <c r="AA68" s="28"/>
      <c r="AB68" s="28"/>
    </row>
    <row r="69">
      <c r="A69" s="34"/>
      <c r="B69" s="35"/>
      <c r="C69" s="30"/>
      <c r="D69" s="30"/>
      <c r="E69" s="30"/>
      <c r="F69" s="30"/>
      <c r="G69" s="30"/>
      <c r="H69" s="31"/>
      <c r="I69" s="30"/>
      <c r="J69" s="32"/>
      <c r="K69" s="32"/>
      <c r="L69" s="33"/>
      <c r="M69" s="28"/>
      <c r="N69" s="28"/>
      <c r="O69" s="28"/>
      <c r="P69" s="28"/>
      <c r="Q69" s="28"/>
      <c r="R69" s="28"/>
      <c r="S69" s="28"/>
      <c r="T69" s="28"/>
      <c r="U69" s="28"/>
      <c r="V69" s="28"/>
      <c r="W69" s="28"/>
      <c r="X69" s="28"/>
      <c r="Y69" s="28"/>
      <c r="Z69" s="28"/>
      <c r="AA69" s="28"/>
      <c r="AB69" s="28"/>
    </row>
    <row r="70">
      <c r="A70" s="34"/>
      <c r="B70" s="35"/>
      <c r="C70" s="30"/>
      <c r="D70" s="30"/>
      <c r="E70" s="30"/>
      <c r="F70" s="30"/>
      <c r="G70" s="30"/>
      <c r="H70" s="31"/>
      <c r="I70" s="30"/>
      <c r="J70" s="32"/>
      <c r="K70" s="32"/>
      <c r="L70" s="33"/>
      <c r="M70" s="28"/>
      <c r="N70" s="28"/>
      <c r="O70" s="28"/>
      <c r="P70" s="28"/>
      <c r="Q70" s="28"/>
      <c r="R70" s="28"/>
      <c r="S70" s="28"/>
      <c r="T70" s="28"/>
      <c r="U70" s="28"/>
      <c r="V70" s="28"/>
      <c r="W70" s="28"/>
      <c r="X70" s="28"/>
      <c r="Y70" s="28"/>
      <c r="Z70" s="28"/>
      <c r="AA70" s="28"/>
      <c r="AB70" s="28"/>
    </row>
    <row r="71">
      <c r="A71" s="34"/>
      <c r="B71" s="35"/>
      <c r="C71" s="30"/>
      <c r="D71" s="30"/>
      <c r="E71" s="30"/>
      <c r="F71" s="30"/>
      <c r="G71" s="30"/>
      <c r="H71" s="31"/>
      <c r="I71" s="30"/>
      <c r="J71" s="32"/>
      <c r="K71" s="32"/>
      <c r="L71" s="33"/>
      <c r="M71" s="28"/>
      <c r="N71" s="28"/>
      <c r="O71" s="28"/>
      <c r="P71" s="28"/>
      <c r="Q71" s="28"/>
      <c r="R71" s="28"/>
      <c r="S71" s="28"/>
      <c r="T71" s="28"/>
      <c r="U71" s="28"/>
      <c r="V71" s="28"/>
      <c r="W71" s="28"/>
      <c r="X71" s="28"/>
      <c r="Y71" s="28"/>
      <c r="Z71" s="28"/>
      <c r="AA71" s="28"/>
      <c r="AB71" s="28"/>
    </row>
    <row r="72">
      <c r="A72" s="34"/>
      <c r="B72" s="35"/>
      <c r="C72" s="30"/>
      <c r="D72" s="30"/>
      <c r="E72" s="30"/>
      <c r="F72" s="30"/>
      <c r="G72" s="30"/>
      <c r="H72" s="31"/>
      <c r="I72" s="30"/>
      <c r="J72" s="32"/>
      <c r="K72" s="32"/>
      <c r="L72" s="33"/>
      <c r="M72" s="28"/>
      <c r="N72" s="28"/>
      <c r="O72" s="28"/>
      <c r="P72" s="28"/>
      <c r="Q72" s="28"/>
      <c r="R72" s="28"/>
      <c r="S72" s="28"/>
      <c r="T72" s="28"/>
      <c r="U72" s="28"/>
      <c r="V72" s="28"/>
      <c r="W72" s="28"/>
      <c r="X72" s="28"/>
      <c r="Y72" s="28"/>
      <c r="Z72" s="28"/>
      <c r="AA72" s="28"/>
      <c r="AB72" s="28"/>
    </row>
    <row r="73">
      <c r="A73" s="34"/>
      <c r="B73" s="35"/>
      <c r="C73" s="30"/>
      <c r="D73" s="30"/>
      <c r="E73" s="30"/>
      <c r="F73" s="30"/>
      <c r="G73" s="30"/>
      <c r="H73" s="31"/>
      <c r="I73" s="30"/>
      <c r="J73" s="32"/>
      <c r="K73" s="32"/>
      <c r="L73" s="33"/>
      <c r="M73" s="28"/>
      <c r="N73" s="28"/>
      <c r="O73" s="28"/>
      <c r="P73" s="28"/>
      <c r="Q73" s="28"/>
      <c r="R73" s="28"/>
      <c r="S73" s="28"/>
      <c r="T73" s="28"/>
      <c r="U73" s="28"/>
      <c r="V73" s="28"/>
      <c r="W73" s="28"/>
      <c r="X73" s="28"/>
      <c r="Y73" s="28"/>
      <c r="Z73" s="28"/>
      <c r="AA73" s="28"/>
      <c r="AB73" s="28"/>
    </row>
    <row r="74">
      <c r="A74" s="34"/>
      <c r="B74" s="35"/>
      <c r="C74" s="30"/>
      <c r="D74" s="30"/>
      <c r="E74" s="30"/>
      <c r="F74" s="30"/>
      <c r="G74" s="30"/>
      <c r="H74" s="31"/>
      <c r="I74" s="30"/>
      <c r="J74" s="32"/>
      <c r="K74" s="32"/>
      <c r="L74" s="33"/>
      <c r="M74" s="28"/>
      <c r="N74" s="28"/>
      <c r="O74" s="28"/>
      <c r="P74" s="28"/>
      <c r="Q74" s="28"/>
      <c r="R74" s="28"/>
      <c r="S74" s="28"/>
      <c r="T74" s="28"/>
      <c r="U74" s="28"/>
      <c r="V74" s="28"/>
      <c r="W74" s="28"/>
      <c r="X74" s="28"/>
      <c r="Y74" s="28"/>
      <c r="Z74" s="28"/>
      <c r="AA74" s="28"/>
      <c r="AB74" s="28"/>
    </row>
    <row r="75">
      <c r="A75" s="34"/>
      <c r="B75" s="35"/>
      <c r="C75" s="30"/>
      <c r="D75" s="30"/>
      <c r="E75" s="30"/>
      <c r="F75" s="30"/>
      <c r="G75" s="30"/>
      <c r="H75" s="31"/>
      <c r="I75" s="30"/>
      <c r="J75" s="32"/>
      <c r="K75" s="32"/>
      <c r="L75" s="33"/>
      <c r="M75" s="28"/>
      <c r="N75" s="28"/>
      <c r="O75" s="28"/>
      <c r="P75" s="28"/>
      <c r="Q75" s="28"/>
      <c r="R75" s="28"/>
      <c r="S75" s="28"/>
      <c r="T75" s="28"/>
      <c r="U75" s="28"/>
      <c r="V75" s="28"/>
      <c r="W75" s="28"/>
      <c r="X75" s="28"/>
      <c r="Y75" s="28"/>
      <c r="Z75" s="28"/>
      <c r="AA75" s="28"/>
      <c r="AB75" s="28"/>
    </row>
    <row r="76">
      <c r="A76" s="34"/>
      <c r="B76" s="35"/>
      <c r="C76" s="30"/>
      <c r="D76" s="30"/>
      <c r="E76" s="30"/>
      <c r="F76" s="30"/>
      <c r="G76" s="30"/>
      <c r="H76" s="31"/>
      <c r="I76" s="30"/>
      <c r="J76" s="32"/>
      <c r="K76" s="32"/>
      <c r="L76" s="33"/>
      <c r="M76" s="28"/>
      <c r="N76" s="28"/>
      <c r="O76" s="28"/>
      <c r="P76" s="28"/>
      <c r="Q76" s="28"/>
      <c r="R76" s="28"/>
      <c r="S76" s="28"/>
      <c r="T76" s="28"/>
      <c r="U76" s="28"/>
      <c r="V76" s="28"/>
      <c r="W76" s="28"/>
      <c r="X76" s="28"/>
      <c r="Y76" s="28"/>
      <c r="Z76" s="28"/>
      <c r="AA76" s="28"/>
      <c r="AB76" s="28"/>
    </row>
    <row r="77">
      <c r="A77" s="34"/>
      <c r="B77" s="35"/>
      <c r="C77" s="30"/>
      <c r="D77" s="30"/>
      <c r="E77" s="30"/>
      <c r="F77" s="30"/>
      <c r="G77" s="30"/>
      <c r="H77" s="31"/>
      <c r="I77" s="30"/>
      <c r="J77" s="32"/>
      <c r="K77" s="32"/>
      <c r="L77" s="33"/>
      <c r="M77" s="28"/>
      <c r="N77" s="28"/>
      <c r="O77" s="28"/>
      <c r="P77" s="28"/>
      <c r="Q77" s="28"/>
      <c r="R77" s="28"/>
      <c r="S77" s="28"/>
      <c r="T77" s="28"/>
      <c r="U77" s="28"/>
      <c r="V77" s="28"/>
      <c r="W77" s="28"/>
      <c r="X77" s="28"/>
      <c r="Y77" s="28"/>
      <c r="Z77" s="28"/>
      <c r="AA77" s="28"/>
      <c r="AB77" s="28"/>
    </row>
    <row r="78">
      <c r="A78" s="34"/>
      <c r="B78" s="35"/>
      <c r="C78" s="30"/>
      <c r="D78" s="30"/>
      <c r="E78" s="30"/>
      <c r="F78" s="30"/>
      <c r="G78" s="30"/>
      <c r="H78" s="31"/>
      <c r="I78" s="30"/>
      <c r="J78" s="32"/>
      <c r="K78" s="32"/>
      <c r="L78" s="33"/>
      <c r="M78" s="28"/>
      <c r="N78" s="28"/>
      <c r="O78" s="28"/>
      <c r="P78" s="28"/>
      <c r="Q78" s="28"/>
      <c r="R78" s="28"/>
      <c r="S78" s="28"/>
      <c r="T78" s="28"/>
      <c r="U78" s="28"/>
      <c r="V78" s="28"/>
      <c r="W78" s="28"/>
      <c r="X78" s="28"/>
      <c r="Y78" s="28"/>
      <c r="Z78" s="28"/>
      <c r="AA78" s="28"/>
      <c r="AB78" s="28"/>
    </row>
    <row r="79">
      <c r="A79" s="34"/>
      <c r="B79" s="35"/>
      <c r="C79" s="30"/>
      <c r="D79" s="30"/>
      <c r="E79" s="30"/>
      <c r="F79" s="30"/>
      <c r="G79" s="30"/>
      <c r="H79" s="31"/>
      <c r="I79" s="30"/>
      <c r="J79" s="32"/>
      <c r="K79" s="32"/>
      <c r="L79" s="33"/>
      <c r="M79" s="28"/>
      <c r="N79" s="28"/>
      <c r="O79" s="28"/>
      <c r="P79" s="28"/>
      <c r="Q79" s="28"/>
      <c r="R79" s="28"/>
      <c r="S79" s="28"/>
      <c r="T79" s="28"/>
      <c r="U79" s="28"/>
      <c r="V79" s="28"/>
      <c r="W79" s="28"/>
      <c r="X79" s="28"/>
      <c r="Y79" s="28"/>
      <c r="Z79" s="28"/>
      <c r="AA79" s="28"/>
      <c r="AB79" s="28"/>
    </row>
    <row r="80">
      <c r="A80" s="34"/>
      <c r="B80" s="35"/>
      <c r="C80" s="30"/>
      <c r="D80" s="30"/>
      <c r="E80" s="30"/>
      <c r="F80" s="30"/>
      <c r="G80" s="30"/>
      <c r="H80" s="31"/>
      <c r="I80" s="30"/>
      <c r="J80" s="32"/>
      <c r="K80" s="32"/>
      <c r="L80" s="33"/>
      <c r="M80" s="28"/>
      <c r="N80" s="28"/>
      <c r="O80" s="28"/>
      <c r="P80" s="28"/>
      <c r="Q80" s="28"/>
      <c r="R80" s="28"/>
      <c r="S80" s="28"/>
      <c r="T80" s="28"/>
      <c r="U80" s="28"/>
      <c r="V80" s="28"/>
      <c r="W80" s="28"/>
      <c r="X80" s="28"/>
      <c r="Y80" s="28"/>
      <c r="Z80" s="28"/>
      <c r="AA80" s="28"/>
      <c r="AB80" s="28"/>
    </row>
    <row r="81">
      <c r="A81" s="34"/>
      <c r="B81" s="35"/>
      <c r="C81" s="30"/>
      <c r="D81" s="30"/>
      <c r="E81" s="30"/>
      <c r="F81" s="30"/>
      <c r="G81" s="30"/>
      <c r="H81" s="31"/>
      <c r="I81" s="30"/>
      <c r="J81" s="32"/>
      <c r="K81" s="32"/>
      <c r="L81" s="33"/>
      <c r="M81" s="28"/>
      <c r="N81" s="28"/>
      <c r="O81" s="28"/>
      <c r="P81" s="28"/>
      <c r="Q81" s="28"/>
      <c r="R81" s="28"/>
      <c r="S81" s="28"/>
      <c r="T81" s="28"/>
      <c r="U81" s="28"/>
      <c r="V81" s="28"/>
      <c r="W81" s="28"/>
      <c r="X81" s="28"/>
      <c r="Y81" s="28"/>
      <c r="Z81" s="28"/>
      <c r="AA81" s="28"/>
      <c r="AB81" s="28"/>
    </row>
    <row r="82">
      <c r="A82" s="34"/>
      <c r="B82" s="35"/>
      <c r="C82" s="30"/>
      <c r="D82" s="30"/>
      <c r="E82" s="30"/>
      <c r="F82" s="30"/>
      <c r="G82" s="30"/>
      <c r="H82" s="31"/>
      <c r="I82" s="30"/>
      <c r="J82" s="32"/>
      <c r="K82" s="32"/>
      <c r="L82" s="33"/>
      <c r="M82" s="28"/>
      <c r="N82" s="28"/>
      <c r="O82" s="28"/>
      <c r="P82" s="28"/>
      <c r="Q82" s="28"/>
      <c r="R82" s="28"/>
      <c r="S82" s="28"/>
      <c r="T82" s="28"/>
      <c r="U82" s="28"/>
      <c r="V82" s="28"/>
      <c r="W82" s="28"/>
      <c r="X82" s="28"/>
      <c r="Y82" s="28"/>
      <c r="Z82" s="28"/>
      <c r="AA82" s="28"/>
      <c r="AB82" s="28"/>
    </row>
    <row r="83">
      <c r="A83" s="34"/>
      <c r="B83" s="35"/>
      <c r="C83" s="30"/>
      <c r="D83" s="30"/>
      <c r="E83" s="30"/>
      <c r="F83" s="30"/>
      <c r="G83" s="30"/>
      <c r="H83" s="31"/>
      <c r="I83" s="30"/>
      <c r="J83" s="32"/>
      <c r="K83" s="32"/>
      <c r="L83" s="33"/>
      <c r="M83" s="28"/>
      <c r="N83" s="28"/>
      <c r="O83" s="28"/>
      <c r="P83" s="28"/>
      <c r="Q83" s="28"/>
      <c r="R83" s="28"/>
      <c r="S83" s="28"/>
      <c r="T83" s="28"/>
      <c r="U83" s="28"/>
      <c r="V83" s="28"/>
      <c r="W83" s="28"/>
      <c r="X83" s="28"/>
      <c r="Y83" s="28"/>
      <c r="Z83" s="28"/>
      <c r="AA83" s="28"/>
      <c r="AB83" s="28"/>
    </row>
    <row r="84">
      <c r="A84" s="34"/>
      <c r="B84" s="35"/>
      <c r="C84" s="30"/>
      <c r="D84" s="30"/>
      <c r="E84" s="30"/>
      <c r="F84" s="30"/>
      <c r="G84" s="30"/>
      <c r="H84" s="31"/>
      <c r="I84" s="30"/>
      <c r="J84" s="32"/>
      <c r="K84" s="32"/>
      <c r="L84" s="33"/>
      <c r="M84" s="28"/>
      <c r="N84" s="28"/>
      <c r="O84" s="28"/>
      <c r="P84" s="28"/>
      <c r="Q84" s="28"/>
      <c r="R84" s="28"/>
      <c r="S84" s="28"/>
      <c r="T84" s="28"/>
      <c r="U84" s="28"/>
      <c r="V84" s="28"/>
      <c r="W84" s="28"/>
      <c r="X84" s="28"/>
      <c r="Y84" s="28"/>
      <c r="Z84" s="28"/>
      <c r="AA84" s="28"/>
      <c r="AB84" s="28"/>
    </row>
    <row r="85">
      <c r="A85" s="34"/>
      <c r="B85" s="35"/>
      <c r="C85" s="30"/>
      <c r="D85" s="30"/>
      <c r="E85" s="30"/>
      <c r="F85" s="30"/>
      <c r="G85" s="30"/>
      <c r="H85" s="31"/>
      <c r="I85" s="30"/>
      <c r="J85" s="32"/>
      <c r="K85" s="32"/>
      <c r="L85" s="33"/>
      <c r="M85" s="28"/>
      <c r="N85" s="28"/>
      <c r="O85" s="28"/>
      <c r="P85" s="28"/>
      <c r="Q85" s="28"/>
      <c r="R85" s="28"/>
      <c r="S85" s="28"/>
      <c r="T85" s="28"/>
      <c r="U85" s="28"/>
      <c r="V85" s="28"/>
      <c r="W85" s="28"/>
      <c r="X85" s="28"/>
      <c r="Y85" s="28"/>
      <c r="Z85" s="28"/>
      <c r="AA85" s="28"/>
      <c r="AB85" s="28"/>
    </row>
    <row r="86">
      <c r="A86" s="34"/>
      <c r="B86" s="35"/>
      <c r="C86" s="30"/>
      <c r="D86" s="30"/>
      <c r="E86" s="30"/>
      <c r="F86" s="30"/>
      <c r="G86" s="30"/>
      <c r="H86" s="31"/>
      <c r="I86" s="30"/>
      <c r="J86" s="32"/>
      <c r="K86" s="32"/>
      <c r="L86" s="33"/>
      <c r="M86" s="28"/>
      <c r="N86" s="28"/>
      <c r="O86" s="28"/>
      <c r="P86" s="28"/>
      <c r="Q86" s="28"/>
      <c r="R86" s="28"/>
      <c r="S86" s="28"/>
      <c r="T86" s="28"/>
      <c r="U86" s="28"/>
      <c r="V86" s="28"/>
      <c r="W86" s="28"/>
      <c r="X86" s="28"/>
      <c r="Y86" s="28"/>
      <c r="Z86" s="28"/>
      <c r="AA86" s="28"/>
      <c r="AB86" s="28"/>
    </row>
    <row r="87">
      <c r="A87" s="34"/>
      <c r="B87" s="35"/>
      <c r="C87" s="30"/>
      <c r="D87" s="30"/>
      <c r="E87" s="30"/>
      <c r="F87" s="30"/>
      <c r="G87" s="30"/>
      <c r="H87" s="31"/>
      <c r="I87" s="30"/>
      <c r="J87" s="32"/>
      <c r="K87" s="32"/>
      <c r="L87" s="33"/>
      <c r="M87" s="28"/>
      <c r="N87" s="28"/>
      <c r="O87" s="28"/>
      <c r="P87" s="28"/>
      <c r="Q87" s="28"/>
      <c r="R87" s="28"/>
      <c r="S87" s="28"/>
      <c r="T87" s="28"/>
      <c r="U87" s="28"/>
      <c r="V87" s="28"/>
      <c r="W87" s="28"/>
      <c r="X87" s="28"/>
      <c r="Y87" s="28"/>
      <c r="Z87" s="28"/>
      <c r="AA87" s="28"/>
      <c r="AB87" s="28"/>
    </row>
    <row r="88">
      <c r="A88" s="34"/>
      <c r="B88" s="35"/>
      <c r="C88" s="30"/>
      <c r="D88" s="30"/>
      <c r="E88" s="30"/>
      <c r="F88" s="30"/>
      <c r="G88" s="30"/>
      <c r="H88" s="31"/>
      <c r="I88" s="30"/>
      <c r="J88" s="32"/>
      <c r="K88" s="32"/>
      <c r="L88" s="33"/>
      <c r="M88" s="28"/>
      <c r="N88" s="28"/>
      <c r="O88" s="28"/>
      <c r="P88" s="28"/>
      <c r="Q88" s="28"/>
      <c r="R88" s="28"/>
      <c r="S88" s="28"/>
      <c r="T88" s="28"/>
      <c r="U88" s="28"/>
      <c r="V88" s="28"/>
      <c r="W88" s="28"/>
      <c r="X88" s="28"/>
      <c r="Y88" s="28"/>
      <c r="Z88" s="28"/>
      <c r="AA88" s="28"/>
      <c r="AB88" s="28"/>
    </row>
    <row r="89">
      <c r="A89" s="34"/>
      <c r="B89" s="35"/>
      <c r="C89" s="30"/>
      <c r="D89" s="30"/>
      <c r="E89" s="30"/>
      <c r="F89" s="30"/>
      <c r="G89" s="30"/>
      <c r="H89" s="31"/>
      <c r="I89" s="30"/>
      <c r="J89" s="32"/>
      <c r="K89" s="32"/>
      <c r="L89" s="33"/>
      <c r="M89" s="28"/>
      <c r="N89" s="28"/>
      <c r="O89" s="28"/>
      <c r="P89" s="28"/>
      <c r="Q89" s="28"/>
      <c r="R89" s="28"/>
      <c r="S89" s="28"/>
      <c r="T89" s="28"/>
      <c r="U89" s="28"/>
      <c r="V89" s="28"/>
      <c r="W89" s="28"/>
      <c r="X89" s="28"/>
      <c r="Y89" s="28"/>
      <c r="Z89" s="28"/>
      <c r="AA89" s="28"/>
      <c r="AB89" s="28"/>
    </row>
    <row r="90">
      <c r="A90" s="34"/>
      <c r="B90" s="35"/>
      <c r="C90" s="30"/>
      <c r="D90" s="30"/>
      <c r="E90" s="30"/>
      <c r="F90" s="30"/>
      <c r="G90" s="30"/>
      <c r="H90" s="31"/>
      <c r="I90" s="30"/>
      <c r="J90" s="32"/>
      <c r="K90" s="32"/>
      <c r="L90" s="33"/>
      <c r="M90" s="28"/>
      <c r="N90" s="28"/>
      <c r="O90" s="28"/>
      <c r="P90" s="28"/>
      <c r="Q90" s="28"/>
      <c r="R90" s="28"/>
      <c r="S90" s="28"/>
      <c r="T90" s="28"/>
      <c r="U90" s="28"/>
      <c r="V90" s="28"/>
      <c r="W90" s="28"/>
      <c r="X90" s="28"/>
      <c r="Y90" s="28"/>
      <c r="Z90" s="28"/>
      <c r="AA90" s="28"/>
      <c r="AB90" s="28"/>
    </row>
    <row r="91">
      <c r="A91" s="34"/>
      <c r="B91" s="35"/>
      <c r="C91" s="30"/>
      <c r="D91" s="30"/>
      <c r="E91" s="30"/>
      <c r="F91" s="30"/>
      <c r="G91" s="30"/>
      <c r="H91" s="31"/>
      <c r="I91" s="30"/>
      <c r="J91" s="32"/>
      <c r="K91" s="32"/>
      <c r="L91" s="33"/>
      <c r="M91" s="28"/>
      <c r="N91" s="28"/>
      <c r="O91" s="28"/>
      <c r="P91" s="28"/>
      <c r="Q91" s="28"/>
      <c r="R91" s="28"/>
      <c r="S91" s="28"/>
      <c r="T91" s="28"/>
      <c r="U91" s="28"/>
      <c r="V91" s="28"/>
      <c r="W91" s="28"/>
      <c r="X91" s="28"/>
      <c r="Y91" s="28"/>
      <c r="Z91" s="28"/>
      <c r="AA91" s="28"/>
      <c r="AB91" s="28"/>
    </row>
    <row r="92">
      <c r="A92" s="34"/>
      <c r="B92" s="35"/>
      <c r="C92" s="30"/>
      <c r="D92" s="30"/>
      <c r="E92" s="30"/>
      <c r="F92" s="30"/>
      <c r="G92" s="30"/>
      <c r="H92" s="31"/>
      <c r="I92" s="30"/>
      <c r="J92" s="32"/>
      <c r="K92" s="32"/>
      <c r="L92" s="33"/>
      <c r="M92" s="28"/>
      <c r="N92" s="28"/>
      <c r="O92" s="28"/>
      <c r="P92" s="28"/>
      <c r="Q92" s="28"/>
      <c r="R92" s="28"/>
      <c r="S92" s="28"/>
      <c r="T92" s="28"/>
      <c r="U92" s="28"/>
      <c r="V92" s="28"/>
      <c r="W92" s="28"/>
      <c r="X92" s="28"/>
      <c r="Y92" s="28"/>
      <c r="Z92" s="28"/>
      <c r="AA92" s="28"/>
      <c r="AB92" s="28"/>
    </row>
    <row r="93">
      <c r="A93" s="34"/>
      <c r="B93" s="35"/>
      <c r="C93" s="30"/>
      <c r="D93" s="30"/>
      <c r="E93" s="30"/>
      <c r="F93" s="30"/>
      <c r="G93" s="30"/>
      <c r="H93" s="31"/>
      <c r="I93" s="30"/>
      <c r="J93" s="32"/>
      <c r="K93" s="32"/>
      <c r="L93" s="33"/>
      <c r="M93" s="28"/>
      <c r="N93" s="28"/>
      <c r="O93" s="28"/>
      <c r="P93" s="28"/>
      <c r="Q93" s="28"/>
      <c r="R93" s="28"/>
      <c r="S93" s="28"/>
      <c r="T93" s="28"/>
      <c r="U93" s="28"/>
      <c r="V93" s="28"/>
      <c r="W93" s="28"/>
      <c r="X93" s="28"/>
      <c r="Y93" s="28"/>
      <c r="Z93" s="28"/>
      <c r="AA93" s="28"/>
      <c r="AB93" s="28"/>
    </row>
    <row r="94">
      <c r="A94" s="34"/>
      <c r="B94" s="35"/>
      <c r="C94" s="30"/>
      <c r="D94" s="30"/>
      <c r="E94" s="30"/>
      <c r="F94" s="30"/>
      <c r="G94" s="30"/>
      <c r="H94" s="31"/>
      <c r="I94" s="30"/>
      <c r="J94" s="32"/>
      <c r="K94" s="32"/>
      <c r="L94" s="33"/>
      <c r="M94" s="28"/>
      <c r="N94" s="28"/>
      <c r="O94" s="28"/>
      <c r="P94" s="28"/>
      <c r="Q94" s="28"/>
      <c r="R94" s="28"/>
      <c r="S94" s="28"/>
      <c r="T94" s="28"/>
      <c r="U94" s="28"/>
      <c r="V94" s="28"/>
      <c r="W94" s="28"/>
      <c r="X94" s="28"/>
      <c r="Y94" s="28"/>
      <c r="Z94" s="28"/>
      <c r="AA94" s="28"/>
      <c r="AB94" s="28"/>
    </row>
    <row r="95">
      <c r="A95" s="34"/>
      <c r="B95" s="35"/>
      <c r="C95" s="30"/>
      <c r="D95" s="30"/>
      <c r="E95" s="30"/>
      <c r="F95" s="30"/>
      <c r="G95" s="30"/>
      <c r="H95" s="31"/>
      <c r="I95" s="30"/>
      <c r="J95" s="32"/>
      <c r="K95" s="32"/>
      <c r="L95" s="33"/>
      <c r="M95" s="28"/>
      <c r="N95" s="28"/>
      <c r="O95" s="28"/>
      <c r="P95" s="28"/>
      <c r="Q95" s="28"/>
      <c r="R95" s="28"/>
      <c r="S95" s="28"/>
      <c r="T95" s="28"/>
      <c r="U95" s="28"/>
      <c r="V95" s="28"/>
      <c r="W95" s="28"/>
      <c r="X95" s="28"/>
      <c r="Y95" s="28"/>
      <c r="Z95" s="28"/>
      <c r="AA95" s="28"/>
      <c r="AB95" s="28"/>
    </row>
    <row r="96">
      <c r="A96" s="34"/>
      <c r="B96" s="35"/>
      <c r="C96" s="30"/>
      <c r="D96" s="30"/>
      <c r="E96" s="30"/>
      <c r="F96" s="30"/>
      <c r="G96" s="30"/>
      <c r="H96" s="31"/>
      <c r="I96" s="30"/>
      <c r="J96" s="32"/>
      <c r="K96" s="32"/>
      <c r="L96" s="33"/>
      <c r="M96" s="28"/>
      <c r="N96" s="28"/>
      <c r="O96" s="28"/>
      <c r="P96" s="28"/>
      <c r="Q96" s="28"/>
      <c r="R96" s="28"/>
      <c r="S96" s="28"/>
      <c r="T96" s="28"/>
      <c r="U96" s="28"/>
      <c r="V96" s="28"/>
      <c r="W96" s="28"/>
      <c r="X96" s="28"/>
      <c r="Y96" s="28"/>
      <c r="Z96" s="28"/>
      <c r="AA96" s="28"/>
      <c r="AB96" s="28"/>
    </row>
    <row r="97">
      <c r="A97" s="34"/>
      <c r="B97" s="35"/>
      <c r="C97" s="30"/>
      <c r="D97" s="30"/>
      <c r="E97" s="30"/>
      <c r="F97" s="30"/>
      <c r="G97" s="30"/>
      <c r="H97" s="31"/>
      <c r="I97" s="30"/>
      <c r="J97" s="32"/>
      <c r="K97" s="32"/>
      <c r="L97" s="33"/>
      <c r="M97" s="28"/>
      <c r="N97" s="28"/>
      <c r="O97" s="28"/>
      <c r="P97" s="28"/>
      <c r="Q97" s="28"/>
      <c r="R97" s="28"/>
      <c r="S97" s="28"/>
      <c r="T97" s="28"/>
      <c r="U97" s="28"/>
      <c r="V97" s="28"/>
      <c r="W97" s="28"/>
      <c r="X97" s="28"/>
      <c r="Y97" s="28"/>
      <c r="Z97" s="28"/>
      <c r="AA97" s="28"/>
      <c r="AB97" s="28"/>
    </row>
    <row r="98">
      <c r="A98" s="34"/>
      <c r="B98" s="35"/>
      <c r="C98" s="30"/>
      <c r="D98" s="30"/>
      <c r="E98" s="30"/>
      <c r="F98" s="30"/>
      <c r="G98" s="30"/>
      <c r="H98" s="31"/>
      <c r="I98" s="30"/>
      <c r="J98" s="32"/>
      <c r="K98" s="32"/>
      <c r="L98" s="33"/>
      <c r="M98" s="28"/>
      <c r="N98" s="28"/>
      <c r="O98" s="28"/>
      <c r="P98" s="28"/>
      <c r="Q98" s="28"/>
      <c r="R98" s="28"/>
      <c r="S98" s="28"/>
      <c r="T98" s="28"/>
      <c r="U98" s="28"/>
      <c r="V98" s="28"/>
      <c r="W98" s="28"/>
      <c r="X98" s="28"/>
      <c r="Y98" s="28"/>
      <c r="Z98" s="28"/>
      <c r="AA98" s="28"/>
      <c r="AB98" s="28"/>
    </row>
    <row r="99">
      <c r="A99" s="34"/>
      <c r="B99" s="35"/>
      <c r="C99" s="30"/>
      <c r="D99" s="30"/>
      <c r="E99" s="30"/>
      <c r="F99" s="30"/>
      <c r="G99" s="30"/>
      <c r="H99" s="31"/>
      <c r="I99" s="30"/>
      <c r="J99" s="32"/>
      <c r="K99" s="32"/>
      <c r="L99" s="33"/>
      <c r="M99" s="28"/>
      <c r="N99" s="28"/>
      <c r="O99" s="28"/>
      <c r="P99" s="28"/>
      <c r="Q99" s="28"/>
      <c r="R99" s="28"/>
      <c r="S99" s="28"/>
      <c r="T99" s="28"/>
      <c r="U99" s="28"/>
      <c r="V99" s="28"/>
      <c r="W99" s="28"/>
      <c r="X99" s="28"/>
      <c r="Y99" s="28"/>
      <c r="Z99" s="28"/>
      <c r="AA99" s="28"/>
      <c r="AB99" s="28"/>
    </row>
    <row r="100">
      <c r="A100" s="34"/>
      <c r="B100" s="35"/>
      <c r="C100" s="30"/>
      <c r="D100" s="30"/>
      <c r="E100" s="30"/>
      <c r="F100" s="30"/>
      <c r="G100" s="30"/>
      <c r="H100" s="31"/>
      <c r="I100" s="30"/>
      <c r="J100" s="32"/>
      <c r="K100" s="32"/>
      <c r="L100" s="33"/>
      <c r="M100" s="28"/>
      <c r="N100" s="28"/>
      <c r="O100" s="28"/>
      <c r="P100" s="28"/>
      <c r="Q100" s="28"/>
      <c r="R100" s="28"/>
      <c r="S100" s="28"/>
      <c r="T100" s="28"/>
      <c r="U100" s="28"/>
      <c r="V100" s="28"/>
      <c r="W100" s="28"/>
      <c r="X100" s="28"/>
      <c r="Y100" s="28"/>
      <c r="Z100" s="28"/>
      <c r="AA100" s="28"/>
      <c r="AB100" s="28"/>
    </row>
    <row r="101">
      <c r="A101" s="34"/>
      <c r="B101" s="35"/>
      <c r="C101" s="30"/>
      <c r="D101" s="30"/>
      <c r="E101" s="30"/>
      <c r="F101" s="30"/>
      <c r="G101" s="30"/>
      <c r="H101" s="31"/>
      <c r="I101" s="30"/>
      <c r="J101" s="32"/>
      <c r="K101" s="32"/>
      <c r="L101" s="33"/>
      <c r="M101" s="28"/>
      <c r="N101" s="28"/>
      <c r="O101" s="28"/>
      <c r="P101" s="28"/>
      <c r="Q101" s="28"/>
      <c r="R101" s="28"/>
      <c r="S101" s="28"/>
      <c r="T101" s="28"/>
      <c r="U101" s="28"/>
      <c r="V101" s="28"/>
      <c r="W101" s="28"/>
      <c r="X101" s="28"/>
      <c r="Y101" s="28"/>
      <c r="Z101" s="28"/>
      <c r="AA101" s="28"/>
      <c r="AB101" s="28"/>
    </row>
    <row r="102">
      <c r="A102" s="34"/>
      <c r="B102" s="35"/>
      <c r="C102" s="30"/>
      <c r="D102" s="30"/>
      <c r="E102" s="30"/>
      <c r="F102" s="30"/>
      <c r="G102" s="30"/>
      <c r="H102" s="31"/>
      <c r="I102" s="30"/>
      <c r="J102" s="32"/>
      <c r="K102" s="32"/>
      <c r="L102" s="33"/>
      <c r="M102" s="28"/>
      <c r="N102" s="28"/>
      <c r="O102" s="28"/>
      <c r="P102" s="28"/>
      <c r="Q102" s="28"/>
      <c r="R102" s="28"/>
      <c r="S102" s="28"/>
      <c r="T102" s="28"/>
      <c r="U102" s="28"/>
      <c r="V102" s="28"/>
      <c r="W102" s="28"/>
      <c r="X102" s="28"/>
      <c r="Y102" s="28"/>
      <c r="Z102" s="28"/>
      <c r="AA102" s="28"/>
      <c r="AB102" s="28"/>
    </row>
    <row r="103">
      <c r="A103" s="34"/>
      <c r="B103" s="35"/>
      <c r="C103" s="30"/>
      <c r="D103" s="30"/>
      <c r="E103" s="30"/>
      <c r="F103" s="30"/>
      <c r="G103" s="30"/>
      <c r="H103" s="31"/>
      <c r="I103" s="30"/>
      <c r="J103" s="32"/>
      <c r="K103" s="32"/>
      <c r="L103" s="33"/>
      <c r="M103" s="28"/>
      <c r="N103" s="28"/>
      <c r="O103" s="28"/>
      <c r="P103" s="28"/>
      <c r="Q103" s="28"/>
      <c r="R103" s="28"/>
      <c r="S103" s="28"/>
      <c r="T103" s="28"/>
      <c r="U103" s="28"/>
      <c r="V103" s="28"/>
      <c r="W103" s="28"/>
      <c r="X103" s="28"/>
      <c r="Y103" s="28"/>
      <c r="Z103" s="28"/>
      <c r="AA103" s="28"/>
      <c r="AB103" s="28"/>
    </row>
    <row r="104">
      <c r="A104" s="34"/>
      <c r="B104" s="35"/>
      <c r="C104" s="30"/>
      <c r="D104" s="30"/>
      <c r="E104" s="30"/>
      <c r="F104" s="30"/>
      <c r="G104" s="30"/>
      <c r="H104" s="31"/>
      <c r="I104" s="30"/>
      <c r="J104" s="32"/>
      <c r="K104" s="32"/>
      <c r="L104" s="33"/>
      <c r="M104" s="28"/>
      <c r="N104" s="28"/>
      <c r="O104" s="28"/>
      <c r="P104" s="28"/>
      <c r="Q104" s="28"/>
      <c r="R104" s="28"/>
      <c r="S104" s="28"/>
      <c r="T104" s="28"/>
      <c r="U104" s="28"/>
      <c r="V104" s="28"/>
      <c r="W104" s="28"/>
      <c r="X104" s="28"/>
      <c r="Y104" s="28"/>
      <c r="Z104" s="28"/>
      <c r="AA104" s="28"/>
      <c r="AB104" s="28"/>
    </row>
    <row r="105">
      <c r="A105" s="34"/>
      <c r="B105" s="35"/>
      <c r="C105" s="30"/>
      <c r="D105" s="30"/>
      <c r="E105" s="30"/>
      <c r="F105" s="30"/>
      <c r="G105" s="30"/>
      <c r="H105" s="31"/>
      <c r="I105" s="30"/>
      <c r="J105" s="32"/>
      <c r="K105" s="32"/>
      <c r="L105" s="33"/>
      <c r="M105" s="28"/>
      <c r="N105" s="28"/>
      <c r="O105" s="28"/>
      <c r="P105" s="28"/>
      <c r="Q105" s="28"/>
      <c r="R105" s="28"/>
      <c r="S105" s="28"/>
      <c r="T105" s="28"/>
      <c r="U105" s="28"/>
      <c r="V105" s="28"/>
      <c r="W105" s="28"/>
      <c r="X105" s="28"/>
      <c r="Y105" s="28"/>
      <c r="Z105" s="28"/>
      <c r="AA105" s="28"/>
      <c r="AB105" s="28"/>
    </row>
    <row r="106">
      <c r="A106" s="34"/>
      <c r="B106" s="35"/>
      <c r="C106" s="30"/>
      <c r="D106" s="30"/>
      <c r="E106" s="30"/>
      <c r="F106" s="30"/>
      <c r="G106" s="30"/>
      <c r="H106" s="31"/>
      <c r="I106" s="30"/>
      <c r="J106" s="32"/>
      <c r="K106" s="32"/>
      <c r="L106" s="33"/>
      <c r="M106" s="28"/>
      <c r="N106" s="28"/>
      <c r="O106" s="28"/>
      <c r="P106" s="28"/>
      <c r="Q106" s="28"/>
      <c r="R106" s="28"/>
      <c r="S106" s="28"/>
      <c r="T106" s="28"/>
      <c r="U106" s="28"/>
      <c r="V106" s="28"/>
      <c r="W106" s="28"/>
      <c r="X106" s="28"/>
      <c r="Y106" s="28"/>
      <c r="Z106" s="28"/>
      <c r="AA106" s="28"/>
      <c r="AB106" s="28"/>
    </row>
    <row r="107">
      <c r="A107" s="34"/>
      <c r="B107" s="35"/>
      <c r="C107" s="30"/>
      <c r="D107" s="30"/>
      <c r="E107" s="30"/>
      <c r="F107" s="30"/>
      <c r="G107" s="30"/>
      <c r="H107" s="31"/>
      <c r="I107" s="30"/>
      <c r="J107" s="32"/>
      <c r="K107" s="32"/>
      <c r="L107" s="33"/>
      <c r="M107" s="28"/>
      <c r="N107" s="28"/>
      <c r="O107" s="28"/>
      <c r="P107" s="28"/>
      <c r="Q107" s="28"/>
      <c r="R107" s="28"/>
      <c r="S107" s="28"/>
      <c r="T107" s="28"/>
      <c r="U107" s="28"/>
      <c r="V107" s="28"/>
      <c r="W107" s="28"/>
      <c r="X107" s="28"/>
      <c r="Y107" s="28"/>
      <c r="Z107" s="28"/>
      <c r="AA107" s="28"/>
      <c r="AB107" s="28"/>
    </row>
    <row r="108">
      <c r="A108" s="34"/>
      <c r="B108" s="35"/>
      <c r="C108" s="30"/>
      <c r="D108" s="30"/>
      <c r="E108" s="30"/>
      <c r="F108" s="30"/>
      <c r="G108" s="30"/>
      <c r="H108" s="31"/>
      <c r="I108" s="30"/>
      <c r="J108" s="32"/>
      <c r="K108" s="32"/>
      <c r="L108" s="33"/>
      <c r="M108" s="28"/>
      <c r="N108" s="28"/>
      <c r="O108" s="28"/>
      <c r="P108" s="28"/>
      <c r="Q108" s="28"/>
      <c r="R108" s="28"/>
      <c r="S108" s="28"/>
      <c r="T108" s="28"/>
      <c r="U108" s="28"/>
      <c r="V108" s="28"/>
      <c r="W108" s="28"/>
      <c r="X108" s="28"/>
      <c r="Y108" s="28"/>
      <c r="Z108" s="28"/>
      <c r="AA108" s="28"/>
      <c r="AB108" s="28"/>
    </row>
    <row r="109">
      <c r="A109" s="34"/>
      <c r="B109" s="35"/>
      <c r="C109" s="30"/>
      <c r="D109" s="30"/>
      <c r="E109" s="30"/>
      <c r="F109" s="30"/>
      <c r="G109" s="30"/>
      <c r="H109" s="31"/>
      <c r="I109" s="30"/>
      <c r="J109" s="32"/>
      <c r="K109" s="32"/>
      <c r="L109" s="33"/>
      <c r="M109" s="28"/>
      <c r="N109" s="28"/>
      <c r="O109" s="28"/>
      <c r="P109" s="28"/>
      <c r="Q109" s="28"/>
      <c r="R109" s="28"/>
      <c r="S109" s="28"/>
      <c r="T109" s="28"/>
      <c r="U109" s="28"/>
      <c r="V109" s="28"/>
      <c r="W109" s="28"/>
      <c r="X109" s="28"/>
      <c r="Y109" s="28"/>
      <c r="Z109" s="28"/>
      <c r="AA109" s="28"/>
      <c r="AB109" s="28"/>
    </row>
    <row r="110">
      <c r="A110" s="34"/>
      <c r="B110" s="35"/>
      <c r="C110" s="30"/>
      <c r="D110" s="30"/>
      <c r="E110" s="30"/>
      <c r="F110" s="30"/>
      <c r="G110" s="30"/>
      <c r="H110" s="31"/>
      <c r="I110" s="30"/>
      <c r="J110" s="32"/>
      <c r="K110" s="32"/>
      <c r="L110" s="33"/>
      <c r="M110" s="28"/>
      <c r="N110" s="28"/>
      <c r="O110" s="28"/>
      <c r="P110" s="28"/>
      <c r="Q110" s="28"/>
      <c r="R110" s="28"/>
      <c r="S110" s="28"/>
      <c r="T110" s="28"/>
      <c r="U110" s="28"/>
      <c r="V110" s="28"/>
      <c r="W110" s="28"/>
      <c r="X110" s="28"/>
      <c r="Y110" s="28"/>
      <c r="Z110" s="28"/>
      <c r="AA110" s="28"/>
      <c r="AB110" s="28"/>
    </row>
    <row r="111">
      <c r="A111" s="34"/>
      <c r="B111" s="35"/>
      <c r="C111" s="30"/>
      <c r="D111" s="30"/>
      <c r="E111" s="30"/>
      <c r="F111" s="30"/>
      <c r="G111" s="30"/>
      <c r="H111" s="31"/>
      <c r="I111" s="30"/>
      <c r="J111" s="32"/>
      <c r="K111" s="32"/>
      <c r="L111" s="33"/>
      <c r="M111" s="28"/>
      <c r="N111" s="28"/>
      <c r="O111" s="28"/>
      <c r="P111" s="28"/>
      <c r="Q111" s="28"/>
      <c r="R111" s="28"/>
      <c r="S111" s="28"/>
      <c r="T111" s="28"/>
      <c r="U111" s="28"/>
      <c r="V111" s="28"/>
      <c r="W111" s="28"/>
      <c r="X111" s="28"/>
      <c r="Y111" s="28"/>
      <c r="Z111" s="28"/>
      <c r="AA111" s="28"/>
      <c r="AB111" s="28"/>
    </row>
    <row r="112">
      <c r="A112" s="34"/>
      <c r="B112" s="35"/>
      <c r="C112" s="30"/>
      <c r="D112" s="30"/>
      <c r="E112" s="30"/>
      <c r="F112" s="30"/>
      <c r="G112" s="30"/>
      <c r="H112" s="31"/>
      <c r="I112" s="30"/>
      <c r="J112" s="32"/>
      <c r="K112" s="32"/>
      <c r="L112" s="33"/>
      <c r="M112" s="28"/>
      <c r="N112" s="28"/>
      <c r="O112" s="28"/>
      <c r="P112" s="28"/>
      <c r="Q112" s="28"/>
      <c r="R112" s="28"/>
      <c r="S112" s="28"/>
      <c r="T112" s="28"/>
      <c r="U112" s="28"/>
      <c r="V112" s="28"/>
      <c r="W112" s="28"/>
      <c r="X112" s="28"/>
      <c r="Y112" s="28"/>
      <c r="Z112" s="28"/>
      <c r="AA112" s="28"/>
      <c r="AB112" s="28"/>
    </row>
    <row r="113">
      <c r="A113" s="34"/>
      <c r="B113" s="35"/>
      <c r="C113" s="30"/>
      <c r="D113" s="30"/>
      <c r="E113" s="30"/>
      <c r="F113" s="30"/>
      <c r="G113" s="30"/>
      <c r="H113" s="31"/>
      <c r="I113" s="30"/>
      <c r="J113" s="32"/>
      <c r="K113" s="32"/>
      <c r="L113" s="33"/>
      <c r="M113" s="28"/>
      <c r="N113" s="28"/>
      <c r="O113" s="28"/>
      <c r="P113" s="28"/>
      <c r="Q113" s="28"/>
      <c r="R113" s="28"/>
      <c r="S113" s="28"/>
      <c r="T113" s="28"/>
      <c r="U113" s="28"/>
      <c r="V113" s="28"/>
      <c r="W113" s="28"/>
      <c r="X113" s="28"/>
      <c r="Y113" s="28"/>
      <c r="Z113" s="28"/>
      <c r="AA113" s="28"/>
      <c r="AB113" s="28"/>
    </row>
    <row r="114">
      <c r="A114" s="34"/>
      <c r="B114" s="35"/>
      <c r="C114" s="30"/>
      <c r="D114" s="30"/>
      <c r="E114" s="30"/>
      <c r="F114" s="30"/>
      <c r="G114" s="30"/>
      <c r="H114" s="31"/>
      <c r="I114" s="30"/>
      <c r="J114" s="32"/>
      <c r="K114" s="32"/>
      <c r="L114" s="33"/>
      <c r="M114" s="28"/>
      <c r="N114" s="28"/>
      <c r="O114" s="28"/>
      <c r="P114" s="28"/>
      <c r="Q114" s="28"/>
      <c r="R114" s="28"/>
      <c r="S114" s="28"/>
      <c r="T114" s="28"/>
      <c r="U114" s="28"/>
      <c r="V114" s="28"/>
      <c r="W114" s="28"/>
      <c r="X114" s="28"/>
      <c r="Y114" s="28"/>
      <c r="Z114" s="28"/>
      <c r="AA114" s="28"/>
      <c r="AB114" s="28"/>
    </row>
    <row r="115">
      <c r="A115" s="34"/>
      <c r="B115" s="35"/>
      <c r="C115" s="30"/>
      <c r="D115" s="30"/>
      <c r="E115" s="30"/>
      <c r="F115" s="30"/>
      <c r="G115" s="30"/>
      <c r="H115" s="31"/>
      <c r="I115" s="30"/>
      <c r="J115" s="32"/>
      <c r="K115" s="32"/>
      <c r="L115" s="33"/>
      <c r="M115" s="28"/>
      <c r="N115" s="28"/>
      <c r="O115" s="28"/>
      <c r="P115" s="28"/>
      <c r="Q115" s="28"/>
      <c r="R115" s="28"/>
      <c r="S115" s="28"/>
      <c r="T115" s="28"/>
      <c r="U115" s="28"/>
      <c r="V115" s="28"/>
      <c r="W115" s="28"/>
      <c r="X115" s="28"/>
      <c r="Y115" s="28"/>
      <c r="Z115" s="28"/>
      <c r="AA115" s="28"/>
      <c r="AB115" s="28"/>
    </row>
    <row r="116">
      <c r="A116" s="1"/>
      <c r="B116" s="36"/>
      <c r="C116" s="36"/>
      <c r="D116" s="36"/>
      <c r="E116" s="36"/>
      <c r="F116" s="36"/>
      <c r="G116" s="36"/>
      <c r="H116" s="37"/>
      <c r="I116" s="36"/>
      <c r="J116" s="38"/>
      <c r="K116" s="38"/>
      <c r="L116" s="39"/>
      <c r="M116" s="39"/>
      <c r="N116" s="39"/>
      <c r="O116" s="39"/>
      <c r="P116" s="39"/>
      <c r="Q116" s="39"/>
      <c r="R116" s="39"/>
      <c r="S116" s="39"/>
      <c r="T116" s="39"/>
      <c r="U116" s="39"/>
      <c r="V116" s="39"/>
      <c r="W116" s="39"/>
      <c r="X116" s="39"/>
      <c r="Y116" s="39"/>
      <c r="Z116" s="39"/>
      <c r="AA116" s="39"/>
      <c r="AB116" s="39"/>
    </row>
    <row r="117">
      <c r="A117" s="1"/>
      <c r="B117" s="36"/>
      <c r="C117" s="36"/>
      <c r="D117" s="36"/>
      <c r="E117" s="36"/>
      <c r="F117" s="36"/>
      <c r="G117" s="36"/>
      <c r="H117" s="37"/>
      <c r="I117" s="36"/>
      <c r="J117" s="38"/>
      <c r="K117" s="38"/>
      <c r="L117" s="39"/>
      <c r="M117" s="39"/>
      <c r="N117" s="39"/>
      <c r="O117" s="39"/>
      <c r="P117" s="39"/>
      <c r="Q117" s="39"/>
      <c r="R117" s="39"/>
      <c r="S117" s="39"/>
      <c r="T117" s="39"/>
      <c r="U117" s="39"/>
      <c r="V117" s="39"/>
      <c r="W117" s="39"/>
      <c r="X117" s="39"/>
      <c r="Y117" s="39"/>
      <c r="Z117" s="39"/>
      <c r="AA117" s="39"/>
      <c r="AB117" s="39"/>
    </row>
    <row r="118">
      <c r="A118" s="1"/>
      <c r="B118" s="36"/>
      <c r="C118" s="36"/>
      <c r="D118" s="36"/>
      <c r="E118" s="36"/>
      <c r="F118" s="36"/>
      <c r="G118" s="36"/>
      <c r="H118" s="37"/>
      <c r="I118" s="36"/>
      <c r="J118" s="38"/>
      <c r="K118" s="38"/>
      <c r="L118" s="39"/>
      <c r="M118" s="39"/>
      <c r="N118" s="39"/>
      <c r="O118" s="39"/>
      <c r="P118" s="39"/>
      <c r="Q118" s="39"/>
      <c r="R118" s="39"/>
      <c r="S118" s="39"/>
      <c r="T118" s="39"/>
      <c r="U118" s="39"/>
      <c r="V118" s="39"/>
      <c r="W118" s="39"/>
      <c r="X118" s="39"/>
      <c r="Y118" s="39"/>
      <c r="Z118" s="39"/>
      <c r="AA118" s="39"/>
      <c r="AB118" s="39"/>
    </row>
    <row r="119">
      <c r="A119" s="1"/>
      <c r="B119" s="36"/>
      <c r="C119" s="36"/>
      <c r="D119" s="36"/>
      <c r="E119" s="36"/>
      <c r="F119" s="36"/>
      <c r="G119" s="36"/>
      <c r="H119" s="37"/>
      <c r="I119" s="36"/>
      <c r="J119" s="38"/>
      <c r="K119" s="38"/>
      <c r="L119" s="39"/>
      <c r="M119" s="39"/>
      <c r="N119" s="39"/>
      <c r="O119" s="39"/>
      <c r="P119" s="39"/>
      <c r="Q119" s="39"/>
      <c r="R119" s="39"/>
      <c r="S119" s="39"/>
      <c r="T119" s="39"/>
      <c r="U119" s="39"/>
      <c r="V119" s="39"/>
      <c r="W119" s="39"/>
      <c r="X119" s="39"/>
      <c r="Y119" s="39"/>
      <c r="Z119" s="39"/>
      <c r="AA119" s="39"/>
      <c r="AB119" s="39"/>
    </row>
    <row r="120">
      <c r="A120" s="1"/>
      <c r="B120" s="36"/>
      <c r="C120" s="36"/>
      <c r="D120" s="36"/>
      <c r="E120" s="36"/>
      <c r="F120" s="36"/>
      <c r="G120" s="36"/>
      <c r="H120" s="37"/>
      <c r="I120" s="36"/>
      <c r="J120" s="38"/>
      <c r="K120" s="38"/>
      <c r="L120" s="39"/>
      <c r="M120" s="39"/>
      <c r="N120" s="39"/>
      <c r="O120" s="39"/>
      <c r="P120" s="39"/>
      <c r="Q120" s="39"/>
      <c r="R120" s="39"/>
      <c r="S120" s="39"/>
      <c r="T120" s="39"/>
      <c r="U120" s="39"/>
      <c r="V120" s="39"/>
      <c r="W120" s="39"/>
      <c r="X120" s="39"/>
      <c r="Y120" s="39"/>
      <c r="Z120" s="39"/>
      <c r="AA120" s="39"/>
      <c r="AB120" s="39"/>
    </row>
    <row r="121">
      <c r="A121" s="1"/>
      <c r="B121" s="36"/>
      <c r="C121" s="36"/>
      <c r="D121" s="36"/>
      <c r="E121" s="36"/>
      <c r="F121" s="36"/>
      <c r="G121" s="36"/>
      <c r="H121" s="37"/>
      <c r="I121" s="36"/>
      <c r="J121" s="38"/>
      <c r="K121" s="38"/>
      <c r="L121" s="39"/>
      <c r="M121" s="39"/>
      <c r="N121" s="39"/>
      <c r="O121" s="39"/>
      <c r="P121" s="39"/>
      <c r="Q121" s="39"/>
      <c r="R121" s="39"/>
      <c r="S121" s="39"/>
      <c r="T121" s="39"/>
      <c r="U121" s="39"/>
      <c r="V121" s="39"/>
      <c r="W121" s="39"/>
      <c r="X121" s="39"/>
      <c r="Y121" s="39"/>
      <c r="Z121" s="39"/>
      <c r="AA121" s="39"/>
      <c r="AB121" s="39"/>
    </row>
    <row r="122">
      <c r="A122" s="1"/>
      <c r="B122" s="36"/>
      <c r="C122" s="36"/>
      <c r="D122" s="36"/>
      <c r="E122" s="36"/>
      <c r="F122" s="36"/>
      <c r="G122" s="36"/>
      <c r="H122" s="37"/>
      <c r="I122" s="36"/>
      <c r="J122" s="38"/>
      <c r="K122" s="38"/>
      <c r="L122" s="39"/>
      <c r="M122" s="39"/>
      <c r="N122" s="39"/>
      <c r="O122" s="39"/>
      <c r="P122" s="39"/>
      <c r="Q122" s="39"/>
      <c r="R122" s="39"/>
      <c r="S122" s="39"/>
      <c r="T122" s="39"/>
      <c r="U122" s="39"/>
      <c r="V122" s="39"/>
      <c r="W122" s="39"/>
      <c r="X122" s="39"/>
      <c r="Y122" s="39"/>
      <c r="Z122" s="39"/>
      <c r="AA122" s="39"/>
      <c r="AB122" s="39"/>
    </row>
    <row r="123">
      <c r="A123" s="1"/>
      <c r="B123" s="36"/>
      <c r="C123" s="36"/>
      <c r="D123" s="36"/>
      <c r="E123" s="36"/>
      <c r="F123" s="36"/>
      <c r="G123" s="36"/>
      <c r="H123" s="37"/>
      <c r="I123" s="36"/>
      <c r="J123" s="38"/>
      <c r="K123" s="38"/>
      <c r="L123" s="39"/>
      <c r="M123" s="39"/>
      <c r="N123" s="39"/>
      <c r="O123" s="39"/>
      <c r="P123" s="39"/>
      <c r="Q123" s="39"/>
      <c r="R123" s="39"/>
      <c r="S123" s="39"/>
      <c r="T123" s="39"/>
      <c r="U123" s="39"/>
      <c r="V123" s="39"/>
      <c r="W123" s="39"/>
      <c r="X123" s="39"/>
      <c r="Y123" s="39"/>
      <c r="Z123" s="39"/>
      <c r="AA123" s="39"/>
      <c r="AB123" s="39"/>
    </row>
    <row r="124">
      <c r="A124" s="1"/>
      <c r="B124" s="36"/>
      <c r="C124" s="36"/>
      <c r="D124" s="36"/>
      <c r="E124" s="36"/>
      <c r="F124" s="36"/>
      <c r="G124" s="36"/>
      <c r="H124" s="37"/>
      <c r="I124" s="36"/>
      <c r="J124" s="38"/>
      <c r="K124" s="38"/>
      <c r="L124" s="39"/>
      <c r="M124" s="39"/>
      <c r="N124" s="39"/>
      <c r="O124" s="39"/>
      <c r="P124" s="39"/>
      <c r="Q124" s="39"/>
      <c r="R124" s="39"/>
      <c r="S124" s="39"/>
      <c r="T124" s="39"/>
      <c r="U124" s="39"/>
      <c r="V124" s="39"/>
      <c r="W124" s="39"/>
      <c r="X124" s="39"/>
      <c r="Y124" s="39"/>
      <c r="Z124" s="39"/>
      <c r="AA124" s="39"/>
      <c r="AB124" s="39"/>
    </row>
    <row r="125">
      <c r="A125" s="1"/>
      <c r="B125" s="36"/>
      <c r="C125" s="36"/>
      <c r="D125" s="36"/>
      <c r="E125" s="36"/>
      <c r="F125" s="36"/>
      <c r="G125" s="36"/>
      <c r="H125" s="37"/>
      <c r="I125" s="36"/>
      <c r="J125" s="38"/>
      <c r="K125" s="38"/>
      <c r="L125" s="39"/>
      <c r="M125" s="39"/>
      <c r="N125" s="39"/>
      <c r="O125" s="39"/>
      <c r="P125" s="39"/>
      <c r="Q125" s="39"/>
      <c r="R125" s="39"/>
      <c r="S125" s="39"/>
      <c r="T125" s="39"/>
      <c r="U125" s="39"/>
      <c r="V125" s="39"/>
      <c r="W125" s="39"/>
      <c r="X125" s="39"/>
      <c r="Y125" s="39"/>
      <c r="Z125" s="39"/>
      <c r="AA125" s="39"/>
      <c r="AB125" s="39"/>
    </row>
    <row r="126">
      <c r="A126" s="1"/>
      <c r="B126" s="36"/>
      <c r="C126" s="36"/>
      <c r="D126" s="36"/>
      <c r="E126" s="36"/>
      <c r="F126" s="36"/>
      <c r="G126" s="36"/>
      <c r="H126" s="37"/>
      <c r="I126" s="36"/>
      <c r="J126" s="38"/>
      <c r="K126" s="38"/>
      <c r="L126" s="39"/>
      <c r="M126" s="39"/>
      <c r="N126" s="39"/>
      <c r="O126" s="39"/>
      <c r="P126" s="39"/>
      <c r="Q126" s="39"/>
      <c r="R126" s="39"/>
      <c r="S126" s="39"/>
      <c r="T126" s="39"/>
      <c r="U126" s="39"/>
      <c r="V126" s="39"/>
      <c r="W126" s="39"/>
      <c r="X126" s="39"/>
      <c r="Y126" s="39"/>
      <c r="Z126" s="39"/>
      <c r="AA126" s="39"/>
      <c r="AB126" s="39"/>
    </row>
    <row r="127">
      <c r="A127" s="1"/>
      <c r="B127" s="36"/>
      <c r="C127" s="36"/>
      <c r="D127" s="36"/>
      <c r="E127" s="36"/>
      <c r="F127" s="36"/>
      <c r="G127" s="36"/>
      <c r="H127" s="37"/>
      <c r="I127" s="36"/>
      <c r="J127" s="38"/>
      <c r="K127" s="38"/>
      <c r="L127" s="39"/>
      <c r="M127" s="39"/>
      <c r="N127" s="39"/>
      <c r="O127" s="39"/>
      <c r="P127" s="39"/>
      <c r="Q127" s="39"/>
      <c r="R127" s="39"/>
      <c r="S127" s="39"/>
      <c r="T127" s="39"/>
      <c r="U127" s="39"/>
      <c r="V127" s="39"/>
      <c r="W127" s="39"/>
      <c r="X127" s="39"/>
      <c r="Y127" s="39"/>
      <c r="Z127" s="39"/>
      <c r="AA127" s="39"/>
      <c r="AB127" s="39"/>
    </row>
    <row r="128">
      <c r="A128" s="1"/>
      <c r="B128" s="36"/>
      <c r="C128" s="36"/>
      <c r="D128" s="36"/>
      <c r="E128" s="36"/>
      <c r="F128" s="36"/>
      <c r="G128" s="36"/>
      <c r="H128" s="37"/>
      <c r="I128" s="36"/>
      <c r="J128" s="38"/>
      <c r="K128" s="38"/>
      <c r="L128" s="39"/>
      <c r="M128" s="39"/>
      <c r="N128" s="39"/>
      <c r="O128" s="39"/>
      <c r="P128" s="39"/>
      <c r="Q128" s="39"/>
      <c r="R128" s="39"/>
      <c r="S128" s="39"/>
      <c r="T128" s="39"/>
      <c r="U128" s="39"/>
      <c r="V128" s="39"/>
      <c r="W128" s="39"/>
      <c r="X128" s="39"/>
      <c r="Y128" s="39"/>
      <c r="Z128" s="39"/>
      <c r="AA128" s="39"/>
      <c r="AB128" s="39"/>
    </row>
    <row r="129">
      <c r="A129" s="1"/>
      <c r="B129" s="36"/>
      <c r="C129" s="36"/>
      <c r="D129" s="36"/>
      <c r="E129" s="36"/>
      <c r="F129" s="36"/>
      <c r="G129" s="36"/>
      <c r="H129" s="37"/>
      <c r="I129" s="36"/>
      <c r="J129" s="38"/>
      <c r="K129" s="38"/>
      <c r="L129" s="39"/>
      <c r="M129" s="39"/>
      <c r="N129" s="39"/>
      <c r="O129" s="39"/>
      <c r="P129" s="39"/>
      <c r="Q129" s="39"/>
      <c r="R129" s="39"/>
      <c r="S129" s="39"/>
      <c r="T129" s="39"/>
      <c r="U129" s="39"/>
      <c r="V129" s="39"/>
      <c r="W129" s="39"/>
      <c r="X129" s="39"/>
      <c r="Y129" s="39"/>
      <c r="Z129" s="39"/>
      <c r="AA129" s="39"/>
      <c r="AB129" s="39"/>
    </row>
    <row r="130">
      <c r="A130" s="1"/>
      <c r="B130" s="36"/>
      <c r="C130" s="36"/>
      <c r="D130" s="36"/>
      <c r="E130" s="36"/>
      <c r="F130" s="36"/>
      <c r="G130" s="36"/>
      <c r="H130" s="37"/>
      <c r="I130" s="36"/>
      <c r="J130" s="38"/>
      <c r="K130" s="38"/>
      <c r="L130" s="39"/>
      <c r="M130" s="39"/>
      <c r="N130" s="39"/>
      <c r="O130" s="39"/>
      <c r="P130" s="39"/>
      <c r="Q130" s="39"/>
      <c r="R130" s="39"/>
      <c r="S130" s="39"/>
      <c r="T130" s="39"/>
      <c r="U130" s="39"/>
      <c r="V130" s="39"/>
      <c r="W130" s="39"/>
      <c r="X130" s="39"/>
      <c r="Y130" s="39"/>
      <c r="Z130" s="39"/>
      <c r="AA130" s="39"/>
      <c r="AB130" s="39"/>
    </row>
    <row r="131">
      <c r="A131" s="1"/>
      <c r="B131" s="36"/>
      <c r="C131" s="36"/>
      <c r="D131" s="36"/>
      <c r="E131" s="36"/>
      <c r="F131" s="36"/>
      <c r="G131" s="36"/>
      <c r="H131" s="37"/>
      <c r="I131" s="36"/>
      <c r="J131" s="38"/>
      <c r="K131" s="38"/>
      <c r="L131" s="39"/>
      <c r="M131" s="39"/>
      <c r="N131" s="39"/>
      <c r="O131" s="39"/>
      <c r="P131" s="39"/>
      <c r="Q131" s="39"/>
      <c r="R131" s="39"/>
      <c r="S131" s="39"/>
      <c r="T131" s="39"/>
      <c r="U131" s="39"/>
      <c r="V131" s="39"/>
      <c r="W131" s="39"/>
      <c r="X131" s="39"/>
      <c r="Y131" s="39"/>
      <c r="Z131" s="39"/>
      <c r="AA131" s="39"/>
      <c r="AB131" s="39"/>
    </row>
    <row r="132">
      <c r="A132" s="1"/>
      <c r="B132" s="36"/>
      <c r="C132" s="36"/>
      <c r="D132" s="36"/>
      <c r="E132" s="36"/>
      <c r="F132" s="36"/>
      <c r="G132" s="36"/>
      <c r="H132" s="37"/>
      <c r="I132" s="36"/>
      <c r="J132" s="38"/>
      <c r="K132" s="38"/>
      <c r="L132" s="39"/>
      <c r="M132" s="39"/>
      <c r="N132" s="39"/>
      <c r="O132" s="39"/>
      <c r="P132" s="39"/>
      <c r="Q132" s="39"/>
      <c r="R132" s="39"/>
      <c r="S132" s="39"/>
      <c r="T132" s="39"/>
      <c r="U132" s="39"/>
      <c r="V132" s="39"/>
      <c r="W132" s="39"/>
      <c r="X132" s="39"/>
      <c r="Y132" s="39"/>
      <c r="Z132" s="39"/>
      <c r="AA132" s="39"/>
      <c r="AB132" s="39"/>
    </row>
    <row r="133">
      <c r="A133" s="1"/>
      <c r="B133" s="36"/>
      <c r="C133" s="36"/>
      <c r="D133" s="36"/>
      <c r="E133" s="36"/>
      <c r="F133" s="36"/>
      <c r="G133" s="36"/>
      <c r="H133" s="37"/>
      <c r="I133" s="36"/>
      <c r="J133" s="38"/>
      <c r="K133" s="38"/>
      <c r="L133" s="39"/>
      <c r="M133" s="39"/>
      <c r="N133" s="39"/>
      <c r="O133" s="39"/>
      <c r="P133" s="39"/>
      <c r="Q133" s="39"/>
      <c r="R133" s="39"/>
      <c r="S133" s="39"/>
      <c r="T133" s="39"/>
      <c r="U133" s="39"/>
      <c r="V133" s="39"/>
      <c r="W133" s="39"/>
      <c r="X133" s="39"/>
      <c r="Y133" s="39"/>
      <c r="Z133" s="39"/>
      <c r="AA133" s="39"/>
      <c r="AB133" s="39"/>
    </row>
    <row r="134">
      <c r="A134" s="1"/>
      <c r="B134" s="36"/>
      <c r="C134" s="36"/>
      <c r="D134" s="36"/>
      <c r="E134" s="36"/>
      <c r="F134" s="36"/>
      <c r="G134" s="36"/>
      <c r="H134" s="37"/>
      <c r="I134" s="36"/>
      <c r="J134" s="38"/>
      <c r="K134" s="38"/>
      <c r="L134" s="39"/>
      <c r="M134" s="39"/>
      <c r="N134" s="39"/>
      <c r="O134" s="39"/>
      <c r="P134" s="39"/>
      <c r="Q134" s="39"/>
      <c r="R134" s="39"/>
      <c r="S134" s="39"/>
      <c r="T134" s="39"/>
      <c r="U134" s="39"/>
      <c r="V134" s="39"/>
      <c r="W134" s="39"/>
      <c r="X134" s="39"/>
      <c r="Y134" s="39"/>
      <c r="Z134" s="39"/>
      <c r="AA134" s="39"/>
      <c r="AB134" s="39"/>
    </row>
    <row r="135">
      <c r="A135" s="1"/>
      <c r="B135" s="36"/>
      <c r="C135" s="36"/>
      <c r="D135" s="36"/>
      <c r="E135" s="36"/>
      <c r="F135" s="36"/>
      <c r="G135" s="36"/>
      <c r="H135" s="37"/>
      <c r="I135" s="36"/>
      <c r="J135" s="38"/>
      <c r="K135" s="38"/>
      <c r="L135" s="39"/>
      <c r="M135" s="39"/>
      <c r="N135" s="39"/>
      <c r="O135" s="39"/>
      <c r="P135" s="39"/>
      <c r="Q135" s="39"/>
      <c r="R135" s="39"/>
      <c r="S135" s="39"/>
      <c r="T135" s="39"/>
      <c r="U135" s="39"/>
      <c r="V135" s="39"/>
      <c r="W135" s="39"/>
      <c r="X135" s="39"/>
      <c r="Y135" s="39"/>
      <c r="Z135" s="39"/>
      <c r="AA135" s="39"/>
      <c r="AB135" s="39"/>
    </row>
    <row r="136">
      <c r="A136" s="1"/>
      <c r="B136" s="36"/>
      <c r="C136" s="36"/>
      <c r="D136" s="36"/>
      <c r="E136" s="36"/>
      <c r="F136" s="36"/>
      <c r="G136" s="36"/>
      <c r="H136" s="37"/>
      <c r="I136" s="36"/>
      <c r="J136" s="38"/>
      <c r="K136" s="38"/>
      <c r="L136" s="39"/>
      <c r="M136" s="39"/>
      <c r="N136" s="39"/>
      <c r="O136" s="39"/>
      <c r="P136" s="39"/>
      <c r="Q136" s="39"/>
      <c r="R136" s="39"/>
      <c r="S136" s="39"/>
      <c r="T136" s="39"/>
      <c r="U136" s="39"/>
      <c r="V136" s="39"/>
      <c r="W136" s="39"/>
      <c r="X136" s="39"/>
      <c r="Y136" s="39"/>
      <c r="Z136" s="39"/>
      <c r="AA136" s="39"/>
      <c r="AB136" s="39"/>
    </row>
    <row r="137">
      <c r="A137" s="1"/>
      <c r="B137" s="36"/>
      <c r="C137" s="36"/>
      <c r="D137" s="36"/>
      <c r="E137" s="36"/>
      <c r="F137" s="36"/>
      <c r="G137" s="36"/>
      <c r="H137" s="37"/>
      <c r="I137" s="36"/>
      <c r="J137" s="38"/>
      <c r="K137" s="38"/>
      <c r="L137" s="39"/>
      <c r="M137" s="39"/>
      <c r="N137" s="39"/>
      <c r="O137" s="39"/>
      <c r="P137" s="39"/>
      <c r="Q137" s="39"/>
      <c r="R137" s="39"/>
      <c r="S137" s="39"/>
      <c r="T137" s="39"/>
      <c r="U137" s="39"/>
      <c r="V137" s="39"/>
      <c r="W137" s="39"/>
      <c r="X137" s="39"/>
      <c r="Y137" s="39"/>
      <c r="Z137" s="39"/>
      <c r="AA137" s="39"/>
      <c r="AB137" s="39"/>
    </row>
    <row r="138">
      <c r="A138" s="1"/>
      <c r="B138" s="36"/>
      <c r="C138" s="36"/>
      <c r="D138" s="36"/>
      <c r="E138" s="36"/>
      <c r="F138" s="36"/>
      <c r="G138" s="36"/>
      <c r="H138" s="37"/>
      <c r="I138" s="36"/>
      <c r="J138" s="38"/>
      <c r="K138" s="38"/>
      <c r="L138" s="39"/>
      <c r="M138" s="39"/>
      <c r="N138" s="39"/>
      <c r="O138" s="39"/>
      <c r="P138" s="39"/>
      <c r="Q138" s="39"/>
      <c r="R138" s="39"/>
      <c r="S138" s="39"/>
      <c r="T138" s="39"/>
      <c r="U138" s="39"/>
      <c r="V138" s="39"/>
      <c r="W138" s="39"/>
      <c r="X138" s="39"/>
      <c r="Y138" s="39"/>
      <c r="Z138" s="39"/>
      <c r="AA138" s="39"/>
      <c r="AB138" s="39"/>
    </row>
    <row r="139">
      <c r="A139" s="1"/>
      <c r="B139" s="36"/>
      <c r="C139" s="36"/>
      <c r="D139" s="36"/>
      <c r="E139" s="36"/>
      <c r="F139" s="36"/>
      <c r="G139" s="36"/>
      <c r="H139" s="37"/>
      <c r="I139" s="36"/>
      <c r="J139" s="38"/>
      <c r="K139" s="38"/>
      <c r="L139" s="39"/>
      <c r="M139" s="39"/>
      <c r="N139" s="39"/>
      <c r="O139" s="39"/>
      <c r="P139" s="39"/>
      <c r="Q139" s="39"/>
      <c r="R139" s="39"/>
      <c r="S139" s="39"/>
      <c r="T139" s="39"/>
      <c r="U139" s="39"/>
      <c r="V139" s="39"/>
      <c r="W139" s="39"/>
      <c r="X139" s="39"/>
      <c r="Y139" s="39"/>
      <c r="Z139" s="39"/>
      <c r="AA139" s="39"/>
      <c r="AB139" s="39"/>
    </row>
    <row r="140">
      <c r="A140" s="1"/>
      <c r="B140" s="36"/>
      <c r="C140" s="36"/>
      <c r="D140" s="36"/>
      <c r="E140" s="36"/>
      <c r="F140" s="36"/>
      <c r="G140" s="36"/>
      <c r="H140" s="37"/>
      <c r="I140" s="36"/>
      <c r="J140" s="38"/>
      <c r="K140" s="38"/>
      <c r="L140" s="39"/>
      <c r="M140" s="39"/>
      <c r="N140" s="39"/>
      <c r="O140" s="39"/>
      <c r="P140" s="39"/>
      <c r="Q140" s="39"/>
      <c r="R140" s="39"/>
      <c r="S140" s="39"/>
      <c r="T140" s="39"/>
      <c r="U140" s="39"/>
      <c r="V140" s="39"/>
      <c r="W140" s="39"/>
      <c r="X140" s="39"/>
      <c r="Y140" s="39"/>
      <c r="Z140" s="39"/>
      <c r="AA140" s="39"/>
      <c r="AB140" s="39"/>
    </row>
    <row r="141">
      <c r="A141" s="1"/>
      <c r="B141" s="36"/>
      <c r="C141" s="36"/>
      <c r="D141" s="36"/>
      <c r="E141" s="36"/>
      <c r="F141" s="36"/>
      <c r="G141" s="36"/>
      <c r="H141" s="37"/>
      <c r="I141" s="36"/>
      <c r="J141" s="38"/>
      <c r="K141" s="38"/>
      <c r="L141" s="39"/>
      <c r="M141" s="39"/>
      <c r="N141" s="39"/>
      <c r="O141" s="39"/>
      <c r="P141" s="39"/>
      <c r="Q141" s="39"/>
      <c r="R141" s="39"/>
      <c r="S141" s="39"/>
      <c r="T141" s="39"/>
      <c r="U141" s="39"/>
      <c r="V141" s="39"/>
      <c r="W141" s="39"/>
      <c r="X141" s="39"/>
      <c r="Y141" s="39"/>
      <c r="Z141" s="39"/>
      <c r="AA141" s="39"/>
      <c r="AB141" s="39"/>
    </row>
    <row r="142">
      <c r="A142" s="1"/>
      <c r="B142" s="36"/>
      <c r="C142" s="36"/>
      <c r="D142" s="36"/>
      <c r="E142" s="36"/>
      <c r="F142" s="36"/>
      <c r="G142" s="36"/>
      <c r="H142" s="37"/>
      <c r="I142" s="36"/>
      <c r="J142" s="38"/>
      <c r="K142" s="38"/>
      <c r="L142" s="39"/>
      <c r="M142" s="39"/>
      <c r="N142" s="39"/>
      <c r="O142" s="39"/>
      <c r="P142" s="39"/>
      <c r="Q142" s="39"/>
      <c r="R142" s="39"/>
      <c r="S142" s="39"/>
      <c r="T142" s="39"/>
      <c r="U142" s="39"/>
      <c r="V142" s="39"/>
      <c r="W142" s="39"/>
      <c r="X142" s="39"/>
      <c r="Y142" s="39"/>
      <c r="Z142" s="39"/>
      <c r="AA142" s="39"/>
      <c r="AB142" s="39"/>
    </row>
    <row r="143">
      <c r="A143" s="1"/>
      <c r="B143" s="36"/>
      <c r="C143" s="36"/>
      <c r="D143" s="36"/>
      <c r="E143" s="36"/>
      <c r="F143" s="36"/>
      <c r="G143" s="36"/>
      <c r="H143" s="37"/>
      <c r="I143" s="36"/>
      <c r="J143" s="38"/>
      <c r="K143" s="38"/>
      <c r="L143" s="39"/>
      <c r="M143" s="39"/>
      <c r="N143" s="39"/>
      <c r="O143" s="39"/>
      <c r="P143" s="39"/>
      <c r="Q143" s="39"/>
      <c r="R143" s="39"/>
      <c r="S143" s="39"/>
      <c r="T143" s="39"/>
      <c r="U143" s="39"/>
      <c r="V143" s="39"/>
      <c r="W143" s="39"/>
      <c r="X143" s="39"/>
      <c r="Y143" s="39"/>
      <c r="Z143" s="39"/>
      <c r="AA143" s="39"/>
      <c r="AB143" s="39"/>
    </row>
    <row r="144">
      <c r="A144" s="1"/>
      <c r="B144" s="36"/>
      <c r="C144" s="36"/>
      <c r="D144" s="36"/>
      <c r="E144" s="36"/>
      <c r="F144" s="36"/>
      <c r="G144" s="36"/>
      <c r="H144" s="37"/>
      <c r="I144" s="36"/>
      <c r="J144" s="38"/>
      <c r="K144" s="38"/>
      <c r="L144" s="39"/>
      <c r="M144" s="39"/>
      <c r="N144" s="39"/>
      <c r="O144" s="39"/>
      <c r="P144" s="39"/>
      <c r="Q144" s="39"/>
      <c r="R144" s="39"/>
      <c r="S144" s="39"/>
      <c r="T144" s="39"/>
      <c r="U144" s="39"/>
      <c r="V144" s="39"/>
      <c r="W144" s="39"/>
      <c r="X144" s="39"/>
      <c r="Y144" s="39"/>
      <c r="Z144" s="39"/>
      <c r="AA144" s="39"/>
      <c r="AB144" s="39"/>
    </row>
    <row r="145">
      <c r="A145" s="1"/>
      <c r="B145" s="36"/>
      <c r="C145" s="36"/>
      <c r="D145" s="36"/>
      <c r="E145" s="36"/>
      <c r="F145" s="36"/>
      <c r="G145" s="36"/>
      <c r="H145" s="37"/>
      <c r="I145" s="36"/>
      <c r="J145" s="38"/>
      <c r="K145" s="38"/>
      <c r="L145" s="39"/>
      <c r="M145" s="39"/>
      <c r="N145" s="39"/>
      <c r="O145" s="39"/>
      <c r="P145" s="39"/>
      <c r="Q145" s="39"/>
      <c r="R145" s="39"/>
      <c r="S145" s="39"/>
      <c r="T145" s="39"/>
      <c r="U145" s="39"/>
      <c r="V145" s="39"/>
      <c r="W145" s="39"/>
      <c r="X145" s="39"/>
      <c r="Y145" s="39"/>
      <c r="Z145" s="39"/>
      <c r="AA145" s="39"/>
      <c r="AB145" s="39"/>
    </row>
    <row r="146">
      <c r="A146" s="1"/>
      <c r="B146" s="36"/>
      <c r="C146" s="36"/>
      <c r="D146" s="36"/>
      <c r="E146" s="36"/>
      <c r="F146" s="36"/>
      <c r="G146" s="36"/>
      <c r="H146" s="37"/>
      <c r="I146" s="36"/>
      <c r="J146" s="38"/>
      <c r="K146" s="38"/>
      <c r="L146" s="39"/>
      <c r="M146" s="39"/>
      <c r="N146" s="39"/>
      <c r="O146" s="39"/>
      <c r="P146" s="39"/>
      <c r="Q146" s="39"/>
      <c r="R146" s="39"/>
      <c r="S146" s="39"/>
      <c r="T146" s="39"/>
      <c r="U146" s="39"/>
      <c r="V146" s="39"/>
      <c r="W146" s="39"/>
      <c r="X146" s="39"/>
      <c r="Y146" s="39"/>
      <c r="Z146" s="39"/>
      <c r="AA146" s="39"/>
      <c r="AB146" s="39"/>
    </row>
    <row r="147">
      <c r="A147" s="1"/>
      <c r="B147" s="36"/>
      <c r="C147" s="36"/>
      <c r="D147" s="36"/>
      <c r="E147" s="36"/>
      <c r="F147" s="36"/>
      <c r="G147" s="36"/>
      <c r="H147" s="37"/>
      <c r="I147" s="36"/>
      <c r="J147" s="38"/>
      <c r="K147" s="38"/>
      <c r="L147" s="39"/>
      <c r="M147" s="39"/>
      <c r="N147" s="39"/>
      <c r="O147" s="39"/>
      <c r="P147" s="39"/>
      <c r="Q147" s="39"/>
      <c r="R147" s="39"/>
      <c r="S147" s="39"/>
      <c r="T147" s="39"/>
      <c r="U147" s="39"/>
      <c r="V147" s="39"/>
      <c r="W147" s="39"/>
      <c r="X147" s="39"/>
      <c r="Y147" s="39"/>
      <c r="Z147" s="39"/>
      <c r="AA147" s="39"/>
      <c r="AB147" s="39"/>
    </row>
    <row r="148">
      <c r="A148" s="1"/>
      <c r="B148" s="36"/>
      <c r="C148" s="36"/>
      <c r="D148" s="36"/>
      <c r="E148" s="36"/>
      <c r="F148" s="36"/>
      <c r="G148" s="36"/>
      <c r="H148" s="37"/>
      <c r="I148" s="36"/>
      <c r="J148" s="38"/>
      <c r="K148" s="38"/>
      <c r="L148" s="39"/>
      <c r="M148" s="39"/>
      <c r="N148" s="39"/>
      <c r="O148" s="39"/>
      <c r="P148" s="39"/>
      <c r="Q148" s="39"/>
      <c r="R148" s="39"/>
      <c r="S148" s="39"/>
      <c r="T148" s="39"/>
      <c r="U148" s="39"/>
      <c r="V148" s="39"/>
      <c r="W148" s="39"/>
      <c r="X148" s="39"/>
      <c r="Y148" s="39"/>
      <c r="Z148" s="39"/>
      <c r="AA148" s="39"/>
      <c r="AB148" s="39"/>
    </row>
    <row r="149">
      <c r="A149" s="1"/>
      <c r="B149" s="36"/>
      <c r="C149" s="36"/>
      <c r="D149" s="36"/>
      <c r="E149" s="36"/>
      <c r="F149" s="36"/>
      <c r="G149" s="36"/>
      <c r="H149" s="37"/>
      <c r="I149" s="36"/>
      <c r="J149" s="38"/>
      <c r="K149" s="38"/>
      <c r="L149" s="39"/>
      <c r="M149" s="39"/>
      <c r="N149" s="39"/>
      <c r="O149" s="39"/>
      <c r="P149" s="39"/>
      <c r="Q149" s="39"/>
      <c r="R149" s="39"/>
      <c r="S149" s="39"/>
      <c r="T149" s="39"/>
      <c r="U149" s="39"/>
      <c r="V149" s="39"/>
      <c r="W149" s="39"/>
      <c r="X149" s="39"/>
      <c r="Y149" s="39"/>
      <c r="Z149" s="39"/>
      <c r="AA149" s="39"/>
      <c r="AB149" s="39"/>
    </row>
    <row r="150">
      <c r="A150" s="1"/>
      <c r="B150" s="36"/>
      <c r="C150" s="36"/>
      <c r="D150" s="36"/>
      <c r="E150" s="36"/>
      <c r="F150" s="36"/>
      <c r="G150" s="36"/>
      <c r="H150" s="37"/>
      <c r="I150" s="36"/>
      <c r="J150" s="38"/>
      <c r="K150" s="38"/>
      <c r="L150" s="39"/>
      <c r="M150" s="39"/>
      <c r="N150" s="39"/>
      <c r="O150" s="39"/>
      <c r="P150" s="39"/>
      <c r="Q150" s="39"/>
      <c r="R150" s="39"/>
      <c r="S150" s="39"/>
      <c r="T150" s="39"/>
      <c r="U150" s="39"/>
      <c r="V150" s="39"/>
      <c r="W150" s="39"/>
      <c r="X150" s="39"/>
      <c r="Y150" s="39"/>
      <c r="Z150" s="39"/>
      <c r="AA150" s="39"/>
      <c r="AB150" s="39"/>
    </row>
    <row r="151">
      <c r="A151" s="1"/>
      <c r="B151" s="36"/>
      <c r="C151" s="36"/>
      <c r="D151" s="36"/>
      <c r="E151" s="36"/>
      <c r="F151" s="36"/>
      <c r="G151" s="36"/>
      <c r="H151" s="37"/>
      <c r="I151" s="36"/>
      <c r="J151" s="38"/>
      <c r="K151" s="38"/>
      <c r="L151" s="39"/>
      <c r="M151" s="39"/>
      <c r="N151" s="39"/>
      <c r="O151" s="39"/>
      <c r="P151" s="39"/>
      <c r="Q151" s="39"/>
      <c r="R151" s="39"/>
      <c r="S151" s="39"/>
      <c r="T151" s="39"/>
      <c r="U151" s="39"/>
      <c r="V151" s="39"/>
      <c r="W151" s="39"/>
      <c r="X151" s="39"/>
      <c r="Y151" s="39"/>
      <c r="Z151" s="39"/>
      <c r="AA151" s="39"/>
      <c r="AB151" s="39"/>
    </row>
    <row r="152">
      <c r="A152" s="1"/>
      <c r="B152" s="36"/>
      <c r="C152" s="36"/>
      <c r="D152" s="36"/>
      <c r="E152" s="36"/>
      <c r="F152" s="36"/>
      <c r="G152" s="36"/>
      <c r="H152" s="37"/>
      <c r="I152" s="36"/>
      <c r="J152" s="38"/>
      <c r="K152" s="38"/>
      <c r="L152" s="39"/>
      <c r="M152" s="39"/>
      <c r="N152" s="39"/>
      <c r="O152" s="39"/>
      <c r="P152" s="39"/>
      <c r="Q152" s="39"/>
      <c r="R152" s="39"/>
      <c r="S152" s="39"/>
      <c r="T152" s="39"/>
      <c r="U152" s="39"/>
      <c r="V152" s="39"/>
      <c r="W152" s="39"/>
      <c r="X152" s="39"/>
      <c r="Y152" s="39"/>
      <c r="Z152" s="39"/>
      <c r="AA152" s="39"/>
      <c r="AB152" s="39"/>
    </row>
    <row r="153">
      <c r="A153" s="1"/>
      <c r="B153" s="36"/>
      <c r="C153" s="36"/>
      <c r="D153" s="36"/>
      <c r="E153" s="36"/>
      <c r="F153" s="36"/>
      <c r="G153" s="36"/>
      <c r="H153" s="37"/>
      <c r="I153" s="36"/>
      <c r="J153" s="38"/>
      <c r="K153" s="38"/>
      <c r="L153" s="39"/>
      <c r="M153" s="39"/>
      <c r="N153" s="39"/>
      <c r="O153" s="39"/>
      <c r="P153" s="39"/>
      <c r="Q153" s="39"/>
      <c r="R153" s="39"/>
      <c r="S153" s="39"/>
      <c r="T153" s="39"/>
      <c r="U153" s="39"/>
      <c r="V153" s="39"/>
      <c r="W153" s="39"/>
      <c r="X153" s="39"/>
      <c r="Y153" s="39"/>
      <c r="Z153" s="39"/>
      <c r="AA153" s="39"/>
      <c r="AB153" s="39"/>
    </row>
    <row r="154">
      <c r="A154" s="1"/>
      <c r="B154" s="36"/>
      <c r="C154" s="36"/>
      <c r="D154" s="36"/>
      <c r="E154" s="36"/>
      <c r="F154" s="36"/>
      <c r="G154" s="36"/>
      <c r="H154" s="37"/>
      <c r="I154" s="36"/>
      <c r="J154" s="38"/>
      <c r="K154" s="38"/>
      <c r="L154" s="39"/>
      <c r="M154" s="39"/>
      <c r="N154" s="39"/>
      <c r="O154" s="39"/>
      <c r="P154" s="39"/>
      <c r="Q154" s="39"/>
      <c r="R154" s="39"/>
      <c r="S154" s="39"/>
      <c r="T154" s="39"/>
      <c r="U154" s="39"/>
      <c r="V154" s="39"/>
      <c r="W154" s="39"/>
      <c r="X154" s="39"/>
      <c r="Y154" s="39"/>
      <c r="Z154" s="39"/>
      <c r="AA154" s="39"/>
      <c r="AB154" s="39"/>
    </row>
    <row r="155">
      <c r="A155" s="1"/>
      <c r="B155" s="36"/>
      <c r="C155" s="36"/>
      <c r="D155" s="36"/>
      <c r="E155" s="36"/>
      <c r="F155" s="36"/>
      <c r="G155" s="36"/>
      <c r="H155" s="37"/>
      <c r="I155" s="36"/>
      <c r="J155" s="38"/>
      <c r="K155" s="38"/>
      <c r="L155" s="39"/>
      <c r="M155" s="39"/>
      <c r="N155" s="39"/>
      <c r="O155" s="39"/>
      <c r="P155" s="39"/>
      <c r="Q155" s="39"/>
      <c r="R155" s="39"/>
      <c r="S155" s="39"/>
      <c r="T155" s="39"/>
      <c r="U155" s="39"/>
      <c r="V155" s="39"/>
      <c r="W155" s="39"/>
      <c r="X155" s="39"/>
      <c r="Y155" s="39"/>
      <c r="Z155" s="39"/>
      <c r="AA155" s="39"/>
      <c r="AB155" s="39"/>
    </row>
    <row r="156">
      <c r="A156" s="1"/>
      <c r="B156" s="36"/>
      <c r="C156" s="36"/>
      <c r="D156" s="36"/>
      <c r="E156" s="36"/>
      <c r="F156" s="36"/>
      <c r="G156" s="36"/>
      <c r="H156" s="37"/>
      <c r="I156" s="36"/>
      <c r="J156" s="38"/>
      <c r="K156" s="38"/>
      <c r="L156" s="39"/>
      <c r="M156" s="39"/>
      <c r="N156" s="39"/>
      <c r="O156" s="39"/>
      <c r="P156" s="39"/>
      <c r="Q156" s="39"/>
      <c r="R156" s="39"/>
      <c r="S156" s="39"/>
      <c r="T156" s="39"/>
      <c r="U156" s="39"/>
      <c r="V156" s="39"/>
      <c r="W156" s="39"/>
      <c r="X156" s="39"/>
      <c r="Y156" s="39"/>
      <c r="Z156" s="39"/>
      <c r="AA156" s="39"/>
      <c r="AB156" s="39"/>
    </row>
    <row r="157">
      <c r="A157" s="1"/>
      <c r="B157" s="36"/>
      <c r="C157" s="36"/>
      <c r="D157" s="36"/>
      <c r="E157" s="36"/>
      <c r="F157" s="36"/>
      <c r="G157" s="36"/>
      <c r="H157" s="37"/>
      <c r="I157" s="36"/>
      <c r="J157" s="38"/>
      <c r="K157" s="38"/>
      <c r="L157" s="39"/>
      <c r="M157" s="39"/>
      <c r="N157" s="39"/>
      <c r="O157" s="39"/>
      <c r="P157" s="39"/>
      <c r="Q157" s="39"/>
      <c r="R157" s="39"/>
      <c r="S157" s="39"/>
      <c r="T157" s="39"/>
      <c r="U157" s="39"/>
      <c r="V157" s="39"/>
      <c r="W157" s="39"/>
      <c r="X157" s="39"/>
      <c r="Y157" s="39"/>
      <c r="Z157" s="39"/>
      <c r="AA157" s="39"/>
      <c r="AB157" s="39"/>
    </row>
    <row r="158">
      <c r="A158" s="1"/>
      <c r="B158" s="36"/>
      <c r="C158" s="36"/>
      <c r="D158" s="36"/>
      <c r="E158" s="36"/>
      <c r="F158" s="36"/>
      <c r="G158" s="36"/>
      <c r="H158" s="37"/>
      <c r="I158" s="36"/>
      <c r="J158" s="38"/>
      <c r="K158" s="38"/>
      <c r="L158" s="39"/>
      <c r="M158" s="39"/>
      <c r="N158" s="39"/>
      <c r="O158" s="39"/>
      <c r="P158" s="39"/>
      <c r="Q158" s="39"/>
      <c r="R158" s="39"/>
      <c r="S158" s="39"/>
      <c r="T158" s="39"/>
      <c r="U158" s="39"/>
      <c r="V158" s="39"/>
      <c r="W158" s="39"/>
      <c r="X158" s="39"/>
      <c r="Y158" s="39"/>
      <c r="Z158" s="39"/>
      <c r="AA158" s="39"/>
      <c r="AB158" s="39"/>
    </row>
    <row r="159">
      <c r="A159" s="1"/>
      <c r="B159" s="36"/>
      <c r="C159" s="36"/>
      <c r="D159" s="36"/>
      <c r="E159" s="36"/>
      <c r="F159" s="36"/>
      <c r="G159" s="36"/>
      <c r="H159" s="37"/>
      <c r="I159" s="36"/>
      <c r="J159" s="38"/>
      <c r="K159" s="38"/>
      <c r="L159" s="39"/>
      <c r="M159" s="39"/>
      <c r="N159" s="39"/>
      <c r="O159" s="39"/>
      <c r="P159" s="39"/>
      <c r="Q159" s="39"/>
      <c r="R159" s="39"/>
      <c r="S159" s="39"/>
      <c r="T159" s="39"/>
      <c r="U159" s="39"/>
      <c r="V159" s="39"/>
      <c r="W159" s="39"/>
      <c r="X159" s="39"/>
      <c r="Y159" s="39"/>
      <c r="Z159" s="39"/>
      <c r="AA159" s="39"/>
      <c r="AB159" s="39"/>
    </row>
    <row r="160">
      <c r="A160" s="1"/>
      <c r="B160" s="36"/>
      <c r="C160" s="36"/>
      <c r="D160" s="36"/>
      <c r="E160" s="36"/>
      <c r="F160" s="36"/>
      <c r="G160" s="36"/>
      <c r="H160" s="37"/>
      <c r="I160" s="36"/>
      <c r="J160" s="38"/>
      <c r="K160" s="38"/>
      <c r="L160" s="39"/>
      <c r="M160" s="39"/>
      <c r="N160" s="39"/>
      <c r="O160" s="39"/>
      <c r="P160" s="39"/>
      <c r="Q160" s="39"/>
      <c r="R160" s="39"/>
      <c r="S160" s="39"/>
      <c r="T160" s="39"/>
      <c r="U160" s="39"/>
      <c r="V160" s="39"/>
      <c r="W160" s="39"/>
      <c r="X160" s="39"/>
      <c r="Y160" s="39"/>
      <c r="Z160" s="39"/>
      <c r="AA160" s="39"/>
      <c r="AB160" s="39"/>
    </row>
    <row r="161">
      <c r="A161" s="1"/>
      <c r="B161" s="36"/>
      <c r="C161" s="36"/>
      <c r="D161" s="36"/>
      <c r="E161" s="36"/>
      <c r="F161" s="36"/>
      <c r="G161" s="36"/>
      <c r="H161" s="37"/>
      <c r="I161" s="36"/>
      <c r="J161" s="38"/>
      <c r="K161" s="38"/>
      <c r="L161" s="39"/>
      <c r="M161" s="39"/>
      <c r="N161" s="39"/>
      <c r="O161" s="39"/>
      <c r="P161" s="39"/>
      <c r="Q161" s="39"/>
      <c r="R161" s="39"/>
      <c r="S161" s="39"/>
      <c r="T161" s="39"/>
      <c r="U161" s="39"/>
      <c r="V161" s="39"/>
      <c r="W161" s="39"/>
      <c r="X161" s="39"/>
      <c r="Y161" s="39"/>
      <c r="Z161" s="39"/>
      <c r="AA161" s="39"/>
      <c r="AB161" s="39"/>
    </row>
    <row r="162">
      <c r="A162" s="1"/>
      <c r="B162" s="36"/>
      <c r="C162" s="36"/>
      <c r="D162" s="36"/>
      <c r="E162" s="36"/>
      <c r="F162" s="36"/>
      <c r="G162" s="36"/>
      <c r="H162" s="37"/>
      <c r="I162" s="36"/>
      <c r="J162" s="38"/>
      <c r="K162" s="38"/>
      <c r="L162" s="39"/>
      <c r="M162" s="39"/>
      <c r="N162" s="39"/>
      <c r="O162" s="39"/>
      <c r="P162" s="39"/>
      <c r="Q162" s="39"/>
      <c r="R162" s="39"/>
      <c r="S162" s="39"/>
      <c r="T162" s="39"/>
      <c r="U162" s="39"/>
      <c r="V162" s="39"/>
      <c r="W162" s="39"/>
      <c r="X162" s="39"/>
      <c r="Y162" s="39"/>
      <c r="Z162" s="39"/>
      <c r="AA162" s="39"/>
      <c r="AB162" s="39"/>
    </row>
    <row r="163">
      <c r="A163" s="1"/>
      <c r="B163" s="36"/>
      <c r="C163" s="36"/>
      <c r="D163" s="36"/>
      <c r="E163" s="36"/>
      <c r="F163" s="36"/>
      <c r="G163" s="36"/>
      <c r="H163" s="37"/>
      <c r="I163" s="36"/>
      <c r="J163" s="38"/>
      <c r="K163" s="38"/>
      <c r="L163" s="39"/>
      <c r="M163" s="39"/>
      <c r="N163" s="39"/>
      <c r="O163" s="39"/>
      <c r="P163" s="39"/>
      <c r="Q163" s="39"/>
      <c r="R163" s="39"/>
      <c r="S163" s="39"/>
      <c r="T163" s="39"/>
      <c r="U163" s="39"/>
      <c r="V163" s="39"/>
      <c r="W163" s="39"/>
      <c r="X163" s="39"/>
      <c r="Y163" s="39"/>
      <c r="Z163" s="39"/>
      <c r="AA163" s="39"/>
      <c r="AB163" s="39"/>
    </row>
    <row r="164">
      <c r="A164" s="1"/>
      <c r="B164" s="36"/>
      <c r="C164" s="36"/>
      <c r="D164" s="36"/>
      <c r="E164" s="36"/>
      <c r="F164" s="36"/>
      <c r="G164" s="36"/>
      <c r="H164" s="37"/>
      <c r="I164" s="36"/>
      <c r="J164" s="38"/>
      <c r="K164" s="38"/>
      <c r="L164" s="39"/>
      <c r="M164" s="39"/>
      <c r="N164" s="39"/>
      <c r="O164" s="39"/>
      <c r="P164" s="39"/>
      <c r="Q164" s="39"/>
      <c r="R164" s="39"/>
      <c r="S164" s="39"/>
      <c r="T164" s="39"/>
      <c r="U164" s="39"/>
      <c r="V164" s="39"/>
      <c r="W164" s="39"/>
      <c r="X164" s="39"/>
      <c r="Y164" s="39"/>
      <c r="Z164" s="39"/>
      <c r="AA164" s="39"/>
      <c r="AB164" s="39"/>
    </row>
    <row r="165">
      <c r="A165" s="1"/>
      <c r="B165" s="36"/>
      <c r="C165" s="36"/>
      <c r="D165" s="36"/>
      <c r="E165" s="36"/>
      <c r="F165" s="36"/>
      <c r="G165" s="36"/>
      <c r="H165" s="37"/>
      <c r="I165" s="36"/>
      <c r="J165" s="38"/>
      <c r="K165" s="38"/>
      <c r="L165" s="39"/>
      <c r="M165" s="39"/>
      <c r="N165" s="39"/>
      <c r="O165" s="39"/>
      <c r="P165" s="39"/>
      <c r="Q165" s="39"/>
      <c r="R165" s="39"/>
      <c r="S165" s="39"/>
      <c r="T165" s="39"/>
      <c r="U165" s="39"/>
      <c r="V165" s="39"/>
      <c r="W165" s="39"/>
      <c r="X165" s="39"/>
      <c r="Y165" s="39"/>
      <c r="Z165" s="39"/>
      <c r="AA165" s="39"/>
      <c r="AB165" s="39"/>
    </row>
    <row r="166">
      <c r="A166" s="1"/>
      <c r="B166" s="36"/>
      <c r="C166" s="36"/>
      <c r="D166" s="36"/>
      <c r="E166" s="36"/>
      <c r="F166" s="36"/>
      <c r="G166" s="36"/>
      <c r="H166" s="37"/>
      <c r="I166" s="36"/>
      <c r="J166" s="38"/>
      <c r="K166" s="38"/>
      <c r="L166" s="39"/>
      <c r="M166" s="39"/>
      <c r="N166" s="39"/>
      <c r="O166" s="39"/>
      <c r="P166" s="39"/>
      <c r="Q166" s="39"/>
      <c r="R166" s="39"/>
      <c r="S166" s="39"/>
      <c r="T166" s="39"/>
      <c r="U166" s="39"/>
      <c r="V166" s="39"/>
      <c r="W166" s="39"/>
      <c r="X166" s="39"/>
      <c r="Y166" s="39"/>
      <c r="Z166" s="39"/>
      <c r="AA166" s="39"/>
      <c r="AB166" s="39"/>
    </row>
    <row r="167">
      <c r="A167" s="1"/>
      <c r="B167" s="36"/>
      <c r="C167" s="36"/>
      <c r="D167" s="36"/>
      <c r="E167" s="36"/>
      <c r="F167" s="36"/>
      <c r="G167" s="36"/>
      <c r="H167" s="37"/>
      <c r="I167" s="36"/>
      <c r="J167" s="38"/>
      <c r="K167" s="38"/>
      <c r="L167" s="39"/>
      <c r="M167" s="39"/>
      <c r="N167" s="39"/>
      <c r="O167" s="39"/>
      <c r="P167" s="39"/>
      <c r="Q167" s="39"/>
      <c r="R167" s="39"/>
      <c r="S167" s="39"/>
      <c r="T167" s="39"/>
      <c r="U167" s="39"/>
      <c r="V167" s="39"/>
      <c r="W167" s="39"/>
      <c r="X167" s="39"/>
      <c r="Y167" s="39"/>
      <c r="Z167" s="39"/>
      <c r="AA167" s="39"/>
      <c r="AB167" s="39"/>
    </row>
    <row r="168">
      <c r="A168" s="1"/>
      <c r="B168" s="36"/>
      <c r="C168" s="36"/>
      <c r="D168" s="36"/>
      <c r="E168" s="36"/>
      <c r="F168" s="36"/>
      <c r="G168" s="36"/>
      <c r="H168" s="37"/>
      <c r="I168" s="36"/>
      <c r="J168" s="38"/>
      <c r="K168" s="38"/>
      <c r="L168" s="39"/>
      <c r="M168" s="39"/>
      <c r="N168" s="39"/>
      <c r="O168" s="39"/>
      <c r="P168" s="39"/>
      <c r="Q168" s="39"/>
      <c r="R168" s="39"/>
      <c r="S168" s="39"/>
      <c r="T168" s="39"/>
      <c r="U168" s="39"/>
      <c r="V168" s="39"/>
      <c r="W168" s="39"/>
      <c r="X168" s="39"/>
      <c r="Y168" s="39"/>
      <c r="Z168" s="39"/>
      <c r="AA168" s="39"/>
      <c r="AB168" s="39"/>
    </row>
    <row r="169">
      <c r="A169" s="1"/>
      <c r="B169" s="36"/>
      <c r="C169" s="36"/>
      <c r="D169" s="36"/>
      <c r="E169" s="36"/>
      <c r="F169" s="36"/>
      <c r="G169" s="36"/>
      <c r="H169" s="37"/>
      <c r="I169" s="36"/>
      <c r="J169" s="38"/>
      <c r="K169" s="38"/>
      <c r="L169" s="39"/>
      <c r="M169" s="39"/>
      <c r="N169" s="39"/>
      <c r="O169" s="39"/>
      <c r="P169" s="39"/>
      <c r="Q169" s="39"/>
      <c r="R169" s="39"/>
      <c r="S169" s="39"/>
      <c r="T169" s="39"/>
      <c r="U169" s="39"/>
      <c r="V169" s="39"/>
      <c r="W169" s="39"/>
      <c r="X169" s="39"/>
      <c r="Y169" s="39"/>
      <c r="Z169" s="39"/>
      <c r="AA169" s="39"/>
      <c r="AB169" s="39"/>
    </row>
    <row r="170">
      <c r="A170" s="1"/>
      <c r="B170" s="36"/>
      <c r="C170" s="36"/>
      <c r="D170" s="36"/>
      <c r="E170" s="36"/>
      <c r="F170" s="36"/>
      <c r="G170" s="36"/>
      <c r="H170" s="37"/>
      <c r="I170" s="36"/>
      <c r="J170" s="38"/>
      <c r="K170" s="38"/>
      <c r="L170" s="39"/>
      <c r="M170" s="39"/>
      <c r="N170" s="39"/>
      <c r="O170" s="39"/>
      <c r="P170" s="39"/>
      <c r="Q170" s="39"/>
      <c r="R170" s="39"/>
      <c r="S170" s="39"/>
      <c r="T170" s="39"/>
      <c r="U170" s="39"/>
      <c r="V170" s="39"/>
      <c r="W170" s="39"/>
      <c r="X170" s="39"/>
      <c r="Y170" s="39"/>
      <c r="Z170" s="39"/>
      <c r="AA170" s="39"/>
      <c r="AB170" s="39"/>
    </row>
    <row r="171">
      <c r="A171" s="1"/>
      <c r="B171" s="36"/>
      <c r="C171" s="36"/>
      <c r="D171" s="36"/>
      <c r="E171" s="36"/>
      <c r="F171" s="36"/>
      <c r="G171" s="36"/>
      <c r="H171" s="37"/>
      <c r="I171" s="36"/>
      <c r="J171" s="38"/>
      <c r="K171" s="38"/>
      <c r="L171" s="39"/>
      <c r="M171" s="39"/>
      <c r="N171" s="39"/>
      <c r="O171" s="39"/>
      <c r="P171" s="39"/>
      <c r="Q171" s="39"/>
      <c r="R171" s="39"/>
      <c r="S171" s="39"/>
      <c r="T171" s="39"/>
      <c r="U171" s="39"/>
      <c r="V171" s="39"/>
      <c r="W171" s="39"/>
      <c r="X171" s="39"/>
      <c r="Y171" s="39"/>
      <c r="Z171" s="39"/>
      <c r="AA171" s="39"/>
      <c r="AB171" s="39"/>
    </row>
    <row r="172">
      <c r="A172" s="1"/>
      <c r="B172" s="36"/>
      <c r="C172" s="36"/>
      <c r="D172" s="36"/>
      <c r="E172" s="36"/>
      <c r="F172" s="36"/>
      <c r="G172" s="36"/>
      <c r="H172" s="37"/>
      <c r="I172" s="36"/>
      <c r="J172" s="38"/>
      <c r="K172" s="38"/>
      <c r="L172" s="39"/>
      <c r="M172" s="39"/>
      <c r="N172" s="39"/>
      <c r="O172" s="39"/>
      <c r="P172" s="39"/>
      <c r="Q172" s="39"/>
      <c r="R172" s="39"/>
      <c r="S172" s="39"/>
      <c r="T172" s="39"/>
      <c r="U172" s="39"/>
      <c r="V172" s="39"/>
      <c r="W172" s="39"/>
      <c r="X172" s="39"/>
      <c r="Y172" s="39"/>
      <c r="Z172" s="39"/>
      <c r="AA172" s="39"/>
      <c r="AB172" s="39"/>
    </row>
    <row r="173">
      <c r="A173" s="1"/>
      <c r="B173" s="36"/>
      <c r="C173" s="36"/>
      <c r="D173" s="36"/>
      <c r="E173" s="36"/>
      <c r="F173" s="36"/>
      <c r="G173" s="36"/>
      <c r="H173" s="37"/>
      <c r="I173" s="36"/>
      <c r="J173" s="38"/>
      <c r="K173" s="38"/>
      <c r="L173" s="39"/>
      <c r="M173" s="39"/>
      <c r="N173" s="39"/>
      <c r="O173" s="39"/>
      <c r="P173" s="39"/>
      <c r="Q173" s="39"/>
      <c r="R173" s="39"/>
      <c r="S173" s="39"/>
      <c r="T173" s="39"/>
      <c r="U173" s="39"/>
      <c r="V173" s="39"/>
      <c r="W173" s="39"/>
      <c r="X173" s="39"/>
      <c r="Y173" s="39"/>
      <c r="Z173" s="39"/>
      <c r="AA173" s="39"/>
      <c r="AB173" s="39"/>
    </row>
    <row r="174">
      <c r="A174" s="1"/>
      <c r="B174" s="36"/>
      <c r="C174" s="36"/>
      <c r="D174" s="36"/>
      <c r="E174" s="36"/>
      <c r="F174" s="36"/>
      <c r="G174" s="36"/>
      <c r="H174" s="37"/>
      <c r="I174" s="36"/>
      <c r="J174" s="38"/>
      <c r="K174" s="38"/>
      <c r="L174" s="39"/>
      <c r="M174" s="39"/>
      <c r="N174" s="39"/>
      <c r="O174" s="39"/>
      <c r="P174" s="39"/>
      <c r="Q174" s="39"/>
      <c r="R174" s="39"/>
      <c r="S174" s="39"/>
      <c r="T174" s="39"/>
      <c r="U174" s="39"/>
      <c r="V174" s="39"/>
      <c r="W174" s="39"/>
      <c r="X174" s="39"/>
      <c r="Y174" s="39"/>
      <c r="Z174" s="39"/>
      <c r="AA174" s="39"/>
      <c r="AB174" s="39"/>
    </row>
    <row r="175">
      <c r="A175" s="1"/>
      <c r="B175" s="36"/>
      <c r="C175" s="36"/>
      <c r="D175" s="36"/>
      <c r="E175" s="36"/>
      <c r="F175" s="36"/>
      <c r="G175" s="36"/>
      <c r="H175" s="37"/>
      <c r="I175" s="36"/>
      <c r="J175" s="38"/>
      <c r="K175" s="38"/>
      <c r="L175" s="39"/>
      <c r="M175" s="39"/>
      <c r="N175" s="39"/>
      <c r="O175" s="39"/>
      <c r="P175" s="39"/>
      <c r="Q175" s="39"/>
      <c r="R175" s="39"/>
      <c r="S175" s="39"/>
      <c r="T175" s="39"/>
      <c r="U175" s="39"/>
      <c r="V175" s="39"/>
      <c r="W175" s="39"/>
      <c r="X175" s="39"/>
      <c r="Y175" s="39"/>
      <c r="Z175" s="39"/>
      <c r="AA175" s="39"/>
      <c r="AB175" s="39"/>
    </row>
    <row r="176">
      <c r="A176" s="1"/>
      <c r="B176" s="36"/>
      <c r="C176" s="36"/>
      <c r="D176" s="36"/>
      <c r="E176" s="36"/>
      <c r="F176" s="36"/>
      <c r="G176" s="36"/>
      <c r="H176" s="37"/>
      <c r="I176" s="36"/>
      <c r="J176" s="38"/>
      <c r="K176" s="38"/>
      <c r="L176" s="39"/>
      <c r="M176" s="39"/>
      <c r="N176" s="39"/>
      <c r="O176" s="39"/>
      <c r="P176" s="39"/>
      <c r="Q176" s="39"/>
      <c r="R176" s="39"/>
      <c r="S176" s="39"/>
      <c r="T176" s="39"/>
      <c r="U176" s="39"/>
      <c r="V176" s="39"/>
      <c r="W176" s="39"/>
      <c r="X176" s="39"/>
      <c r="Y176" s="39"/>
      <c r="Z176" s="39"/>
      <c r="AA176" s="39"/>
      <c r="AB176" s="39"/>
    </row>
    <row r="177">
      <c r="A177" s="1"/>
      <c r="B177" s="36"/>
      <c r="C177" s="36"/>
      <c r="D177" s="36"/>
      <c r="E177" s="36"/>
      <c r="F177" s="36"/>
      <c r="G177" s="36"/>
      <c r="H177" s="37"/>
      <c r="I177" s="36"/>
      <c r="J177" s="38"/>
      <c r="K177" s="38"/>
      <c r="L177" s="39"/>
      <c r="M177" s="39"/>
      <c r="N177" s="39"/>
      <c r="O177" s="39"/>
      <c r="P177" s="39"/>
      <c r="Q177" s="39"/>
      <c r="R177" s="39"/>
      <c r="S177" s="39"/>
      <c r="T177" s="39"/>
      <c r="U177" s="39"/>
      <c r="V177" s="39"/>
      <c r="W177" s="39"/>
      <c r="X177" s="39"/>
      <c r="Y177" s="39"/>
      <c r="Z177" s="39"/>
      <c r="AA177" s="39"/>
      <c r="AB177" s="39"/>
    </row>
    <row r="178">
      <c r="A178" s="1"/>
      <c r="B178" s="36"/>
      <c r="C178" s="36"/>
      <c r="D178" s="36"/>
      <c r="E178" s="36"/>
      <c r="F178" s="36"/>
      <c r="G178" s="36"/>
      <c r="H178" s="37"/>
      <c r="I178" s="36"/>
      <c r="J178" s="38"/>
      <c r="K178" s="38"/>
      <c r="L178" s="39"/>
      <c r="M178" s="39"/>
      <c r="N178" s="39"/>
      <c r="O178" s="39"/>
      <c r="P178" s="39"/>
      <c r="Q178" s="39"/>
      <c r="R178" s="39"/>
      <c r="S178" s="39"/>
      <c r="T178" s="39"/>
      <c r="U178" s="39"/>
      <c r="V178" s="39"/>
      <c r="W178" s="39"/>
      <c r="X178" s="39"/>
      <c r="Y178" s="39"/>
      <c r="Z178" s="39"/>
      <c r="AA178" s="39"/>
      <c r="AB178" s="39"/>
    </row>
    <row r="179">
      <c r="A179" s="1"/>
      <c r="B179" s="36"/>
      <c r="C179" s="36"/>
      <c r="D179" s="36"/>
      <c r="E179" s="36"/>
      <c r="F179" s="36"/>
      <c r="G179" s="36"/>
      <c r="H179" s="37"/>
      <c r="I179" s="36"/>
      <c r="J179" s="38"/>
      <c r="K179" s="38"/>
      <c r="L179" s="39"/>
      <c r="M179" s="39"/>
      <c r="N179" s="39"/>
      <c r="O179" s="39"/>
      <c r="P179" s="39"/>
      <c r="Q179" s="39"/>
      <c r="R179" s="39"/>
      <c r="S179" s="39"/>
      <c r="T179" s="39"/>
      <c r="U179" s="39"/>
      <c r="V179" s="39"/>
      <c r="W179" s="39"/>
      <c r="X179" s="39"/>
      <c r="Y179" s="39"/>
      <c r="Z179" s="39"/>
      <c r="AA179" s="39"/>
      <c r="AB179" s="39"/>
    </row>
    <row r="180">
      <c r="A180" s="1"/>
      <c r="B180" s="36"/>
      <c r="C180" s="36"/>
      <c r="D180" s="36"/>
      <c r="E180" s="36"/>
      <c r="F180" s="36"/>
      <c r="G180" s="36"/>
      <c r="H180" s="37"/>
      <c r="I180" s="36"/>
      <c r="J180" s="38"/>
      <c r="K180" s="38"/>
      <c r="L180" s="39"/>
      <c r="M180" s="39"/>
      <c r="N180" s="39"/>
      <c r="O180" s="39"/>
      <c r="P180" s="39"/>
      <c r="Q180" s="39"/>
      <c r="R180" s="39"/>
      <c r="S180" s="39"/>
      <c r="T180" s="39"/>
      <c r="U180" s="39"/>
      <c r="V180" s="39"/>
      <c r="W180" s="39"/>
      <c r="X180" s="39"/>
      <c r="Y180" s="39"/>
      <c r="Z180" s="39"/>
      <c r="AA180" s="39"/>
      <c r="AB180" s="39"/>
    </row>
    <row r="181">
      <c r="A181" s="1"/>
      <c r="B181" s="36"/>
      <c r="C181" s="36"/>
      <c r="D181" s="36"/>
      <c r="E181" s="36"/>
      <c r="F181" s="36"/>
      <c r="G181" s="36"/>
      <c r="H181" s="37"/>
      <c r="I181" s="36"/>
      <c r="J181" s="38"/>
      <c r="K181" s="38"/>
      <c r="L181" s="39"/>
      <c r="M181" s="39"/>
      <c r="N181" s="39"/>
      <c r="O181" s="39"/>
      <c r="P181" s="39"/>
      <c r="Q181" s="39"/>
      <c r="R181" s="39"/>
      <c r="S181" s="39"/>
      <c r="T181" s="39"/>
      <c r="U181" s="39"/>
      <c r="V181" s="39"/>
      <c r="W181" s="39"/>
      <c r="X181" s="39"/>
      <c r="Y181" s="39"/>
      <c r="Z181" s="39"/>
      <c r="AA181" s="39"/>
      <c r="AB181" s="39"/>
    </row>
    <row r="182">
      <c r="A182" s="1"/>
      <c r="B182" s="36"/>
      <c r="C182" s="36"/>
      <c r="D182" s="36"/>
      <c r="E182" s="36"/>
      <c r="F182" s="36"/>
      <c r="G182" s="36"/>
      <c r="H182" s="37"/>
      <c r="I182" s="36"/>
      <c r="J182" s="38"/>
      <c r="K182" s="38"/>
      <c r="L182" s="39"/>
      <c r="M182" s="39"/>
      <c r="N182" s="39"/>
      <c r="O182" s="39"/>
      <c r="P182" s="39"/>
      <c r="Q182" s="39"/>
      <c r="R182" s="39"/>
      <c r="S182" s="39"/>
      <c r="T182" s="39"/>
      <c r="U182" s="39"/>
      <c r="V182" s="39"/>
      <c r="W182" s="39"/>
      <c r="X182" s="39"/>
      <c r="Y182" s="39"/>
      <c r="Z182" s="39"/>
      <c r="AA182" s="39"/>
      <c r="AB182" s="39"/>
    </row>
    <row r="183">
      <c r="A183" s="1"/>
      <c r="B183" s="36"/>
      <c r="C183" s="36"/>
      <c r="D183" s="36"/>
      <c r="E183" s="36"/>
      <c r="F183" s="36"/>
      <c r="G183" s="36"/>
      <c r="H183" s="37"/>
      <c r="I183" s="36"/>
      <c r="J183" s="38"/>
      <c r="K183" s="38"/>
      <c r="L183" s="39"/>
      <c r="M183" s="39"/>
      <c r="N183" s="39"/>
      <c r="O183" s="39"/>
      <c r="P183" s="39"/>
      <c r="Q183" s="39"/>
      <c r="R183" s="39"/>
      <c r="S183" s="39"/>
      <c r="T183" s="39"/>
      <c r="U183" s="39"/>
      <c r="V183" s="39"/>
      <c r="W183" s="39"/>
      <c r="X183" s="39"/>
      <c r="Y183" s="39"/>
      <c r="Z183" s="39"/>
      <c r="AA183" s="39"/>
      <c r="AB183" s="39"/>
    </row>
    <row r="184">
      <c r="A184" s="1"/>
      <c r="B184" s="36"/>
      <c r="C184" s="36"/>
      <c r="D184" s="36"/>
      <c r="E184" s="36"/>
      <c r="F184" s="36"/>
      <c r="G184" s="36"/>
      <c r="H184" s="37"/>
      <c r="I184" s="36"/>
      <c r="J184" s="38"/>
      <c r="K184" s="38"/>
      <c r="L184" s="39"/>
      <c r="M184" s="39"/>
      <c r="N184" s="39"/>
      <c r="O184" s="39"/>
      <c r="P184" s="39"/>
      <c r="Q184" s="39"/>
      <c r="R184" s="39"/>
      <c r="S184" s="39"/>
      <c r="T184" s="39"/>
      <c r="U184" s="39"/>
      <c r="V184" s="39"/>
      <c r="W184" s="39"/>
      <c r="X184" s="39"/>
      <c r="Y184" s="39"/>
      <c r="Z184" s="39"/>
      <c r="AA184" s="39"/>
      <c r="AB184" s="39"/>
    </row>
    <row r="185">
      <c r="A185" s="1"/>
      <c r="B185" s="36"/>
      <c r="C185" s="36"/>
      <c r="D185" s="36"/>
      <c r="E185" s="36"/>
      <c r="F185" s="36"/>
      <c r="G185" s="36"/>
      <c r="H185" s="37"/>
      <c r="I185" s="36"/>
      <c r="J185" s="38"/>
      <c r="K185" s="38"/>
      <c r="L185" s="39"/>
      <c r="M185" s="39"/>
      <c r="N185" s="39"/>
      <c r="O185" s="39"/>
      <c r="P185" s="39"/>
      <c r="Q185" s="39"/>
      <c r="R185" s="39"/>
      <c r="S185" s="39"/>
      <c r="T185" s="39"/>
      <c r="U185" s="39"/>
      <c r="V185" s="39"/>
      <c r="W185" s="39"/>
      <c r="X185" s="39"/>
      <c r="Y185" s="39"/>
      <c r="Z185" s="39"/>
      <c r="AA185" s="39"/>
      <c r="AB185" s="39"/>
    </row>
    <row r="186">
      <c r="A186" s="1"/>
      <c r="B186" s="36"/>
      <c r="C186" s="36"/>
      <c r="D186" s="36"/>
      <c r="E186" s="36"/>
      <c r="F186" s="36"/>
      <c r="G186" s="36"/>
      <c r="H186" s="37"/>
      <c r="I186" s="36"/>
      <c r="J186" s="38"/>
      <c r="K186" s="38"/>
      <c r="L186" s="39"/>
      <c r="M186" s="39"/>
      <c r="N186" s="39"/>
      <c r="O186" s="39"/>
      <c r="P186" s="39"/>
      <c r="Q186" s="39"/>
      <c r="R186" s="39"/>
      <c r="S186" s="39"/>
      <c r="T186" s="39"/>
      <c r="U186" s="39"/>
      <c r="V186" s="39"/>
      <c r="W186" s="39"/>
      <c r="X186" s="39"/>
      <c r="Y186" s="39"/>
      <c r="Z186" s="39"/>
      <c r="AA186" s="39"/>
      <c r="AB186" s="39"/>
    </row>
    <row r="187">
      <c r="A187" s="1"/>
      <c r="B187" s="36"/>
      <c r="C187" s="36"/>
      <c r="D187" s="36"/>
      <c r="E187" s="36"/>
      <c r="F187" s="36"/>
      <c r="G187" s="36"/>
      <c r="H187" s="37"/>
      <c r="I187" s="36"/>
      <c r="J187" s="38"/>
      <c r="K187" s="38"/>
      <c r="L187" s="39"/>
      <c r="M187" s="39"/>
      <c r="N187" s="39"/>
      <c r="O187" s="39"/>
      <c r="P187" s="39"/>
      <c r="Q187" s="39"/>
      <c r="R187" s="39"/>
      <c r="S187" s="39"/>
      <c r="T187" s="39"/>
      <c r="U187" s="39"/>
      <c r="V187" s="39"/>
      <c r="W187" s="39"/>
      <c r="X187" s="39"/>
      <c r="Y187" s="39"/>
      <c r="Z187" s="39"/>
      <c r="AA187" s="39"/>
      <c r="AB187" s="39"/>
    </row>
    <row r="188">
      <c r="A188" s="1"/>
      <c r="B188" s="36"/>
      <c r="C188" s="36"/>
      <c r="D188" s="36"/>
      <c r="E188" s="36"/>
      <c r="F188" s="36"/>
      <c r="G188" s="36"/>
      <c r="H188" s="37"/>
      <c r="I188" s="36"/>
      <c r="J188" s="38"/>
      <c r="K188" s="38"/>
      <c r="L188" s="39"/>
      <c r="M188" s="39"/>
      <c r="N188" s="39"/>
      <c r="O188" s="39"/>
      <c r="P188" s="39"/>
      <c r="Q188" s="39"/>
      <c r="R188" s="39"/>
      <c r="S188" s="39"/>
      <c r="T188" s="39"/>
      <c r="U188" s="39"/>
      <c r="V188" s="39"/>
      <c r="W188" s="39"/>
      <c r="X188" s="39"/>
      <c r="Y188" s="39"/>
      <c r="Z188" s="39"/>
      <c r="AA188" s="39"/>
      <c r="AB188" s="39"/>
    </row>
    <row r="189">
      <c r="A189" s="1"/>
      <c r="B189" s="36"/>
      <c r="C189" s="36"/>
      <c r="D189" s="36"/>
      <c r="E189" s="36"/>
      <c r="F189" s="36"/>
      <c r="G189" s="36"/>
      <c r="H189" s="37"/>
      <c r="I189" s="36"/>
      <c r="J189" s="38"/>
      <c r="K189" s="38"/>
      <c r="L189" s="39"/>
      <c r="M189" s="39"/>
      <c r="N189" s="39"/>
      <c r="O189" s="39"/>
      <c r="P189" s="39"/>
      <c r="Q189" s="39"/>
      <c r="R189" s="39"/>
      <c r="S189" s="39"/>
      <c r="T189" s="39"/>
      <c r="U189" s="39"/>
      <c r="V189" s="39"/>
      <c r="W189" s="39"/>
      <c r="X189" s="39"/>
      <c r="Y189" s="39"/>
      <c r="Z189" s="39"/>
      <c r="AA189" s="39"/>
      <c r="AB189" s="39"/>
    </row>
    <row r="190">
      <c r="A190" s="1"/>
      <c r="B190" s="36"/>
      <c r="C190" s="36"/>
      <c r="D190" s="36"/>
      <c r="E190" s="36"/>
      <c r="F190" s="36"/>
      <c r="G190" s="36"/>
      <c r="H190" s="37"/>
      <c r="I190" s="36"/>
      <c r="J190" s="38"/>
      <c r="K190" s="38"/>
      <c r="L190" s="39"/>
      <c r="M190" s="39"/>
      <c r="N190" s="39"/>
      <c r="O190" s="39"/>
      <c r="P190" s="39"/>
      <c r="Q190" s="39"/>
      <c r="R190" s="39"/>
      <c r="S190" s="39"/>
      <c r="T190" s="39"/>
      <c r="U190" s="39"/>
      <c r="V190" s="39"/>
      <c r="W190" s="39"/>
      <c r="X190" s="39"/>
      <c r="Y190" s="39"/>
      <c r="Z190" s="39"/>
      <c r="AA190" s="39"/>
      <c r="AB190" s="39"/>
    </row>
    <row r="191">
      <c r="A191" s="1"/>
      <c r="B191" s="36"/>
      <c r="C191" s="36"/>
      <c r="D191" s="36"/>
      <c r="E191" s="36"/>
      <c r="F191" s="36"/>
      <c r="G191" s="36"/>
      <c r="H191" s="37"/>
      <c r="I191" s="36"/>
      <c r="J191" s="38"/>
      <c r="K191" s="38"/>
      <c r="L191" s="39"/>
      <c r="M191" s="39"/>
      <c r="N191" s="39"/>
      <c r="O191" s="39"/>
      <c r="P191" s="39"/>
      <c r="Q191" s="39"/>
      <c r="R191" s="39"/>
      <c r="S191" s="39"/>
      <c r="T191" s="39"/>
      <c r="U191" s="39"/>
      <c r="V191" s="39"/>
      <c r="W191" s="39"/>
      <c r="X191" s="39"/>
      <c r="Y191" s="39"/>
      <c r="Z191" s="39"/>
      <c r="AA191" s="39"/>
      <c r="AB191" s="39"/>
    </row>
    <row r="192">
      <c r="A192" s="1"/>
      <c r="B192" s="36"/>
      <c r="C192" s="36"/>
      <c r="D192" s="36"/>
      <c r="E192" s="36"/>
      <c r="F192" s="36"/>
      <c r="G192" s="36"/>
      <c r="H192" s="37"/>
      <c r="I192" s="36"/>
      <c r="J192" s="38"/>
      <c r="K192" s="38"/>
      <c r="L192" s="39"/>
      <c r="M192" s="39"/>
      <c r="N192" s="39"/>
      <c r="O192" s="39"/>
      <c r="P192" s="39"/>
      <c r="Q192" s="39"/>
      <c r="R192" s="39"/>
      <c r="S192" s="39"/>
      <c r="T192" s="39"/>
      <c r="U192" s="39"/>
      <c r="V192" s="39"/>
      <c r="W192" s="39"/>
      <c r="X192" s="39"/>
      <c r="Y192" s="39"/>
      <c r="Z192" s="39"/>
      <c r="AA192" s="39"/>
      <c r="AB192" s="39"/>
    </row>
    <row r="193">
      <c r="A193" s="1"/>
      <c r="B193" s="36"/>
      <c r="C193" s="36"/>
      <c r="D193" s="36"/>
      <c r="E193" s="36"/>
      <c r="F193" s="36"/>
      <c r="G193" s="36"/>
      <c r="H193" s="37"/>
      <c r="I193" s="36"/>
      <c r="J193" s="38"/>
      <c r="K193" s="38"/>
      <c r="L193" s="39"/>
      <c r="M193" s="39"/>
      <c r="N193" s="39"/>
      <c r="O193" s="39"/>
      <c r="P193" s="39"/>
      <c r="Q193" s="39"/>
      <c r="R193" s="39"/>
      <c r="S193" s="39"/>
      <c r="T193" s="39"/>
      <c r="U193" s="39"/>
      <c r="V193" s="39"/>
      <c r="W193" s="39"/>
      <c r="X193" s="39"/>
      <c r="Y193" s="39"/>
      <c r="Z193" s="39"/>
      <c r="AA193" s="39"/>
      <c r="AB193" s="39"/>
    </row>
    <row r="194">
      <c r="A194" s="1"/>
      <c r="B194" s="36"/>
      <c r="C194" s="36"/>
      <c r="D194" s="36"/>
      <c r="E194" s="36"/>
      <c r="F194" s="36"/>
      <c r="G194" s="36"/>
      <c r="H194" s="37"/>
      <c r="I194" s="36"/>
      <c r="J194" s="38"/>
      <c r="K194" s="38"/>
      <c r="L194" s="39"/>
      <c r="M194" s="39"/>
      <c r="N194" s="39"/>
      <c r="O194" s="39"/>
      <c r="P194" s="39"/>
      <c r="Q194" s="39"/>
      <c r="R194" s="39"/>
      <c r="S194" s="39"/>
      <c r="T194" s="39"/>
      <c r="U194" s="39"/>
      <c r="V194" s="39"/>
      <c r="W194" s="39"/>
      <c r="X194" s="39"/>
      <c r="Y194" s="39"/>
      <c r="Z194" s="39"/>
      <c r="AA194" s="39"/>
      <c r="AB194" s="39"/>
    </row>
    <row r="195">
      <c r="A195" s="1"/>
      <c r="B195" s="36"/>
      <c r="C195" s="36"/>
      <c r="D195" s="36"/>
      <c r="E195" s="36"/>
      <c r="F195" s="36"/>
      <c r="G195" s="36"/>
      <c r="H195" s="37"/>
      <c r="I195" s="36"/>
      <c r="J195" s="38"/>
      <c r="K195" s="38"/>
      <c r="L195" s="39"/>
      <c r="M195" s="39"/>
      <c r="N195" s="39"/>
      <c r="O195" s="39"/>
      <c r="P195" s="39"/>
      <c r="Q195" s="39"/>
      <c r="R195" s="39"/>
      <c r="S195" s="39"/>
      <c r="T195" s="39"/>
      <c r="U195" s="39"/>
      <c r="V195" s="39"/>
      <c r="W195" s="39"/>
      <c r="X195" s="39"/>
      <c r="Y195" s="39"/>
      <c r="Z195" s="39"/>
      <c r="AA195" s="39"/>
      <c r="AB195" s="39"/>
    </row>
    <row r="196">
      <c r="A196" s="1"/>
      <c r="B196" s="36"/>
      <c r="C196" s="36"/>
      <c r="D196" s="36"/>
      <c r="E196" s="36"/>
      <c r="F196" s="36"/>
      <c r="G196" s="36"/>
      <c r="H196" s="37"/>
      <c r="I196" s="36"/>
      <c r="J196" s="38"/>
      <c r="K196" s="38"/>
      <c r="L196" s="39"/>
      <c r="M196" s="39"/>
      <c r="N196" s="39"/>
      <c r="O196" s="39"/>
      <c r="P196" s="39"/>
      <c r="Q196" s="39"/>
      <c r="R196" s="39"/>
      <c r="S196" s="39"/>
      <c r="T196" s="39"/>
      <c r="U196" s="39"/>
      <c r="V196" s="39"/>
      <c r="W196" s="39"/>
      <c r="X196" s="39"/>
      <c r="Y196" s="39"/>
      <c r="Z196" s="39"/>
      <c r="AA196" s="39"/>
      <c r="AB196" s="39"/>
    </row>
    <row r="197">
      <c r="A197" s="1"/>
      <c r="B197" s="36"/>
      <c r="C197" s="36"/>
      <c r="D197" s="36"/>
      <c r="E197" s="36"/>
      <c r="F197" s="36"/>
      <c r="G197" s="36"/>
      <c r="H197" s="37"/>
      <c r="I197" s="36"/>
      <c r="J197" s="38"/>
      <c r="K197" s="38"/>
      <c r="L197" s="39"/>
      <c r="M197" s="39"/>
      <c r="N197" s="39"/>
      <c r="O197" s="39"/>
      <c r="P197" s="39"/>
      <c r="Q197" s="39"/>
      <c r="R197" s="39"/>
      <c r="S197" s="39"/>
      <c r="T197" s="39"/>
      <c r="U197" s="39"/>
      <c r="V197" s="39"/>
      <c r="W197" s="39"/>
      <c r="X197" s="39"/>
      <c r="Y197" s="39"/>
      <c r="Z197" s="39"/>
      <c r="AA197" s="39"/>
      <c r="AB197" s="39"/>
    </row>
    <row r="198">
      <c r="A198" s="1"/>
      <c r="B198" s="36"/>
      <c r="C198" s="36"/>
      <c r="D198" s="36"/>
      <c r="E198" s="36"/>
      <c r="F198" s="36"/>
      <c r="G198" s="36"/>
      <c r="H198" s="37"/>
      <c r="I198" s="36"/>
      <c r="J198" s="38"/>
      <c r="K198" s="38"/>
      <c r="L198" s="39"/>
      <c r="M198" s="39"/>
      <c r="N198" s="39"/>
      <c r="O198" s="39"/>
      <c r="P198" s="39"/>
      <c r="Q198" s="39"/>
      <c r="R198" s="39"/>
      <c r="S198" s="39"/>
      <c r="T198" s="39"/>
      <c r="U198" s="39"/>
      <c r="V198" s="39"/>
      <c r="W198" s="39"/>
      <c r="X198" s="39"/>
      <c r="Y198" s="39"/>
      <c r="Z198" s="39"/>
      <c r="AA198" s="39"/>
      <c r="AB198" s="39"/>
    </row>
    <row r="199">
      <c r="A199" s="1"/>
      <c r="B199" s="36"/>
      <c r="C199" s="36"/>
      <c r="D199" s="36"/>
      <c r="E199" s="36"/>
      <c r="F199" s="36"/>
      <c r="G199" s="36"/>
      <c r="H199" s="37"/>
      <c r="I199" s="36"/>
      <c r="J199" s="38"/>
      <c r="K199" s="38"/>
      <c r="L199" s="39"/>
      <c r="M199" s="39"/>
      <c r="N199" s="39"/>
      <c r="O199" s="39"/>
      <c r="P199" s="39"/>
      <c r="Q199" s="39"/>
      <c r="R199" s="39"/>
      <c r="S199" s="39"/>
      <c r="T199" s="39"/>
      <c r="U199" s="39"/>
      <c r="V199" s="39"/>
      <c r="W199" s="39"/>
      <c r="X199" s="39"/>
      <c r="Y199" s="39"/>
      <c r="Z199" s="39"/>
      <c r="AA199" s="39"/>
      <c r="AB199" s="39"/>
    </row>
    <row r="200">
      <c r="A200" s="1"/>
      <c r="B200" s="36"/>
      <c r="C200" s="36"/>
      <c r="D200" s="36"/>
      <c r="E200" s="36"/>
      <c r="F200" s="36"/>
      <c r="G200" s="36"/>
      <c r="H200" s="37"/>
      <c r="I200" s="36"/>
      <c r="J200" s="38"/>
      <c r="K200" s="38"/>
      <c r="L200" s="39"/>
      <c r="M200" s="39"/>
      <c r="N200" s="39"/>
      <c r="O200" s="39"/>
      <c r="P200" s="39"/>
      <c r="Q200" s="39"/>
      <c r="R200" s="39"/>
      <c r="S200" s="39"/>
      <c r="T200" s="39"/>
      <c r="U200" s="39"/>
      <c r="V200" s="39"/>
      <c r="W200" s="39"/>
      <c r="X200" s="39"/>
      <c r="Y200" s="39"/>
      <c r="Z200" s="39"/>
      <c r="AA200" s="39"/>
      <c r="AB200" s="39"/>
    </row>
    <row r="201">
      <c r="A201" s="1"/>
      <c r="B201" s="36"/>
      <c r="C201" s="36"/>
      <c r="D201" s="36"/>
      <c r="E201" s="36"/>
      <c r="F201" s="36"/>
      <c r="G201" s="36"/>
      <c r="H201" s="37"/>
      <c r="I201" s="36"/>
      <c r="J201" s="38"/>
      <c r="K201" s="38"/>
      <c r="L201" s="39"/>
      <c r="M201" s="39"/>
      <c r="N201" s="39"/>
      <c r="O201" s="39"/>
      <c r="P201" s="39"/>
      <c r="Q201" s="39"/>
      <c r="R201" s="39"/>
      <c r="S201" s="39"/>
      <c r="T201" s="39"/>
      <c r="U201" s="39"/>
      <c r="V201" s="39"/>
      <c r="W201" s="39"/>
      <c r="X201" s="39"/>
      <c r="Y201" s="39"/>
      <c r="Z201" s="39"/>
      <c r="AA201" s="39"/>
      <c r="AB201" s="39"/>
    </row>
    <row r="202">
      <c r="A202" s="1"/>
      <c r="B202" s="36"/>
      <c r="C202" s="36"/>
      <c r="D202" s="36"/>
      <c r="E202" s="36"/>
      <c r="F202" s="36"/>
      <c r="G202" s="36"/>
      <c r="H202" s="37"/>
      <c r="I202" s="36"/>
      <c r="J202" s="38"/>
      <c r="K202" s="38"/>
      <c r="L202" s="39"/>
      <c r="M202" s="39"/>
      <c r="N202" s="39"/>
      <c r="O202" s="39"/>
      <c r="P202" s="39"/>
      <c r="Q202" s="39"/>
      <c r="R202" s="39"/>
      <c r="S202" s="39"/>
      <c r="T202" s="39"/>
      <c r="U202" s="39"/>
      <c r="V202" s="39"/>
      <c r="W202" s="39"/>
      <c r="X202" s="39"/>
      <c r="Y202" s="39"/>
      <c r="Z202" s="39"/>
      <c r="AA202" s="39"/>
      <c r="AB202" s="39"/>
    </row>
    <row r="203">
      <c r="A203" s="1"/>
      <c r="B203" s="36"/>
      <c r="C203" s="36"/>
      <c r="D203" s="36"/>
      <c r="E203" s="36"/>
      <c r="F203" s="36"/>
      <c r="G203" s="36"/>
      <c r="H203" s="37"/>
      <c r="I203" s="36"/>
      <c r="J203" s="38"/>
      <c r="K203" s="38"/>
      <c r="L203" s="39"/>
      <c r="M203" s="39"/>
      <c r="N203" s="39"/>
      <c r="O203" s="39"/>
      <c r="P203" s="39"/>
      <c r="Q203" s="39"/>
      <c r="R203" s="39"/>
      <c r="S203" s="39"/>
      <c r="T203" s="39"/>
      <c r="U203" s="39"/>
      <c r="V203" s="39"/>
      <c r="W203" s="39"/>
      <c r="X203" s="39"/>
      <c r="Y203" s="39"/>
      <c r="Z203" s="39"/>
      <c r="AA203" s="39"/>
      <c r="AB203" s="39"/>
    </row>
    <row r="204">
      <c r="A204" s="1"/>
      <c r="B204" s="36"/>
      <c r="C204" s="36"/>
      <c r="D204" s="36"/>
      <c r="E204" s="36"/>
      <c r="F204" s="36"/>
      <c r="G204" s="36"/>
      <c r="H204" s="37"/>
      <c r="I204" s="36"/>
      <c r="J204" s="38"/>
      <c r="K204" s="38"/>
      <c r="L204" s="39"/>
      <c r="M204" s="39"/>
      <c r="N204" s="39"/>
      <c r="O204" s="39"/>
      <c r="P204" s="39"/>
      <c r="Q204" s="39"/>
      <c r="R204" s="39"/>
      <c r="S204" s="39"/>
      <c r="T204" s="39"/>
      <c r="U204" s="39"/>
      <c r="V204" s="39"/>
      <c r="W204" s="39"/>
      <c r="X204" s="39"/>
      <c r="Y204" s="39"/>
      <c r="Z204" s="39"/>
      <c r="AA204" s="39"/>
      <c r="AB204" s="39"/>
    </row>
    <row r="205">
      <c r="A205" s="1"/>
      <c r="B205" s="36"/>
      <c r="C205" s="36"/>
      <c r="D205" s="36"/>
      <c r="E205" s="36"/>
      <c r="F205" s="36"/>
      <c r="G205" s="36"/>
      <c r="H205" s="37"/>
      <c r="I205" s="36"/>
      <c r="J205" s="38"/>
      <c r="K205" s="38"/>
      <c r="L205" s="39"/>
      <c r="M205" s="39"/>
      <c r="N205" s="39"/>
      <c r="O205" s="39"/>
      <c r="P205" s="39"/>
      <c r="Q205" s="39"/>
      <c r="R205" s="39"/>
      <c r="S205" s="39"/>
      <c r="T205" s="39"/>
      <c r="U205" s="39"/>
      <c r="V205" s="39"/>
      <c r="W205" s="39"/>
      <c r="X205" s="39"/>
      <c r="Y205" s="39"/>
      <c r="Z205" s="39"/>
      <c r="AA205" s="39"/>
      <c r="AB205" s="39"/>
    </row>
    <row r="206">
      <c r="A206" s="1"/>
      <c r="B206" s="36"/>
      <c r="C206" s="36"/>
      <c r="D206" s="36"/>
      <c r="E206" s="36"/>
      <c r="F206" s="36"/>
      <c r="G206" s="36"/>
      <c r="H206" s="37"/>
      <c r="I206" s="36"/>
      <c r="J206" s="38"/>
      <c r="K206" s="38"/>
      <c r="L206" s="39"/>
      <c r="M206" s="39"/>
      <c r="N206" s="39"/>
      <c r="O206" s="39"/>
      <c r="P206" s="39"/>
      <c r="Q206" s="39"/>
      <c r="R206" s="39"/>
      <c r="S206" s="39"/>
      <c r="T206" s="39"/>
      <c r="U206" s="39"/>
      <c r="V206" s="39"/>
      <c r="W206" s="39"/>
      <c r="X206" s="39"/>
      <c r="Y206" s="39"/>
      <c r="Z206" s="39"/>
      <c r="AA206" s="39"/>
      <c r="AB206" s="39"/>
    </row>
    <row r="207">
      <c r="A207" s="1"/>
      <c r="B207" s="36"/>
      <c r="C207" s="36"/>
      <c r="D207" s="36"/>
      <c r="E207" s="36"/>
      <c r="F207" s="36"/>
      <c r="G207" s="36"/>
      <c r="H207" s="37"/>
      <c r="I207" s="36"/>
      <c r="J207" s="38"/>
      <c r="K207" s="38"/>
      <c r="L207" s="39"/>
      <c r="M207" s="39"/>
      <c r="N207" s="39"/>
      <c r="O207" s="39"/>
      <c r="P207" s="39"/>
      <c r="Q207" s="39"/>
      <c r="R207" s="39"/>
      <c r="S207" s="39"/>
      <c r="T207" s="39"/>
      <c r="U207" s="39"/>
      <c r="V207" s="39"/>
      <c r="W207" s="39"/>
      <c r="X207" s="39"/>
      <c r="Y207" s="39"/>
      <c r="Z207" s="39"/>
      <c r="AA207" s="39"/>
      <c r="AB207" s="39"/>
    </row>
    <row r="208">
      <c r="A208" s="1"/>
      <c r="B208" s="36"/>
      <c r="C208" s="36"/>
      <c r="D208" s="36"/>
      <c r="E208" s="36"/>
      <c r="F208" s="36"/>
      <c r="G208" s="36"/>
      <c r="H208" s="37"/>
      <c r="I208" s="36"/>
      <c r="J208" s="38"/>
      <c r="K208" s="38"/>
      <c r="L208" s="39"/>
      <c r="M208" s="39"/>
      <c r="N208" s="39"/>
      <c r="O208" s="39"/>
      <c r="P208" s="39"/>
      <c r="Q208" s="39"/>
      <c r="R208" s="39"/>
      <c r="S208" s="39"/>
      <c r="T208" s="39"/>
      <c r="U208" s="39"/>
      <c r="V208" s="39"/>
      <c r="W208" s="39"/>
      <c r="X208" s="39"/>
      <c r="Y208" s="39"/>
      <c r="Z208" s="39"/>
      <c r="AA208" s="39"/>
      <c r="AB208" s="39"/>
    </row>
    <row r="209">
      <c r="A209" s="1"/>
      <c r="B209" s="36"/>
      <c r="C209" s="36"/>
      <c r="D209" s="36"/>
      <c r="E209" s="36"/>
      <c r="F209" s="36"/>
      <c r="G209" s="36"/>
      <c r="H209" s="37"/>
      <c r="I209" s="36"/>
      <c r="J209" s="38"/>
      <c r="K209" s="38"/>
      <c r="L209" s="39"/>
      <c r="M209" s="39"/>
      <c r="N209" s="39"/>
      <c r="O209" s="39"/>
      <c r="P209" s="39"/>
      <c r="Q209" s="39"/>
      <c r="R209" s="39"/>
      <c r="S209" s="39"/>
      <c r="T209" s="39"/>
      <c r="U209" s="39"/>
      <c r="V209" s="39"/>
      <c r="W209" s="39"/>
      <c r="X209" s="39"/>
      <c r="Y209" s="39"/>
      <c r="Z209" s="39"/>
      <c r="AA209" s="39"/>
      <c r="AB209" s="39"/>
    </row>
    <row r="210">
      <c r="A210" s="1"/>
      <c r="B210" s="36"/>
      <c r="C210" s="36"/>
      <c r="D210" s="36"/>
      <c r="E210" s="36"/>
      <c r="F210" s="36"/>
      <c r="G210" s="36"/>
      <c r="H210" s="37"/>
      <c r="I210" s="36"/>
      <c r="J210" s="38"/>
      <c r="K210" s="38"/>
      <c r="L210" s="39"/>
      <c r="M210" s="39"/>
      <c r="N210" s="39"/>
      <c r="O210" s="39"/>
      <c r="P210" s="39"/>
      <c r="Q210" s="39"/>
      <c r="R210" s="39"/>
      <c r="S210" s="39"/>
      <c r="T210" s="39"/>
      <c r="U210" s="39"/>
      <c r="V210" s="39"/>
      <c r="W210" s="39"/>
      <c r="X210" s="39"/>
      <c r="Y210" s="39"/>
      <c r="Z210" s="39"/>
      <c r="AA210" s="39"/>
      <c r="AB210" s="39"/>
    </row>
    <row r="211">
      <c r="A211" s="1"/>
      <c r="B211" s="36"/>
      <c r="C211" s="36"/>
      <c r="D211" s="36"/>
      <c r="E211" s="36"/>
      <c r="F211" s="36"/>
      <c r="G211" s="36"/>
      <c r="H211" s="37"/>
      <c r="I211" s="36"/>
      <c r="J211" s="38"/>
      <c r="K211" s="38"/>
      <c r="L211" s="39"/>
      <c r="M211" s="39"/>
      <c r="N211" s="39"/>
      <c r="O211" s="39"/>
      <c r="P211" s="39"/>
      <c r="Q211" s="39"/>
      <c r="R211" s="39"/>
      <c r="S211" s="39"/>
      <c r="T211" s="39"/>
      <c r="U211" s="39"/>
      <c r="V211" s="39"/>
      <c r="W211" s="39"/>
      <c r="X211" s="39"/>
      <c r="Y211" s="39"/>
      <c r="Z211" s="39"/>
      <c r="AA211" s="39"/>
      <c r="AB211" s="39"/>
    </row>
    <row r="212">
      <c r="A212" s="1"/>
      <c r="B212" s="36"/>
      <c r="C212" s="36"/>
      <c r="D212" s="36"/>
      <c r="E212" s="36"/>
      <c r="F212" s="36"/>
      <c r="G212" s="36"/>
      <c r="H212" s="37"/>
      <c r="I212" s="36"/>
      <c r="J212" s="38"/>
      <c r="K212" s="38"/>
      <c r="L212" s="39"/>
      <c r="M212" s="39"/>
      <c r="N212" s="39"/>
      <c r="O212" s="39"/>
      <c r="P212" s="39"/>
      <c r="Q212" s="39"/>
      <c r="R212" s="39"/>
      <c r="S212" s="39"/>
      <c r="T212" s="39"/>
      <c r="U212" s="39"/>
      <c r="V212" s="39"/>
      <c r="W212" s="39"/>
      <c r="X212" s="39"/>
      <c r="Y212" s="39"/>
      <c r="Z212" s="39"/>
      <c r="AA212" s="39"/>
      <c r="AB212" s="39"/>
    </row>
    <row r="213">
      <c r="A213" s="1"/>
      <c r="B213" s="36"/>
      <c r="C213" s="36"/>
      <c r="D213" s="36"/>
      <c r="E213" s="36"/>
      <c r="F213" s="36"/>
      <c r="G213" s="36"/>
      <c r="H213" s="37"/>
      <c r="I213" s="36"/>
      <c r="J213" s="38"/>
      <c r="K213" s="38"/>
      <c r="L213" s="39"/>
      <c r="M213" s="39"/>
      <c r="N213" s="39"/>
      <c r="O213" s="39"/>
      <c r="P213" s="39"/>
      <c r="Q213" s="39"/>
      <c r="R213" s="39"/>
      <c r="S213" s="39"/>
      <c r="T213" s="39"/>
      <c r="U213" s="39"/>
      <c r="V213" s="39"/>
      <c r="W213" s="39"/>
      <c r="X213" s="39"/>
      <c r="Y213" s="39"/>
      <c r="Z213" s="39"/>
      <c r="AA213" s="39"/>
      <c r="AB213" s="39"/>
    </row>
    <row r="214">
      <c r="A214" s="1"/>
      <c r="B214" s="36"/>
      <c r="C214" s="36"/>
      <c r="D214" s="36"/>
      <c r="E214" s="36"/>
      <c r="F214" s="36"/>
      <c r="G214" s="36"/>
      <c r="H214" s="37"/>
      <c r="I214" s="36"/>
      <c r="J214" s="38"/>
      <c r="K214" s="38"/>
      <c r="L214" s="39"/>
      <c r="M214" s="39"/>
      <c r="N214" s="39"/>
      <c r="O214" s="39"/>
      <c r="P214" s="39"/>
      <c r="Q214" s="39"/>
      <c r="R214" s="39"/>
      <c r="S214" s="39"/>
      <c r="T214" s="39"/>
      <c r="U214" s="39"/>
      <c r="V214" s="39"/>
      <c r="W214" s="39"/>
      <c r="X214" s="39"/>
      <c r="Y214" s="39"/>
      <c r="Z214" s="39"/>
      <c r="AA214" s="39"/>
      <c r="AB214" s="39"/>
    </row>
    <row r="215">
      <c r="A215" s="1"/>
      <c r="B215" s="36"/>
      <c r="C215" s="36"/>
      <c r="D215" s="36"/>
      <c r="E215" s="36"/>
      <c r="F215" s="36"/>
      <c r="G215" s="36"/>
      <c r="H215" s="37"/>
      <c r="I215" s="36"/>
      <c r="J215" s="38"/>
      <c r="K215" s="38"/>
      <c r="L215" s="39"/>
      <c r="M215" s="39"/>
      <c r="N215" s="39"/>
      <c r="O215" s="39"/>
      <c r="P215" s="39"/>
      <c r="Q215" s="39"/>
      <c r="R215" s="39"/>
      <c r="S215" s="39"/>
      <c r="T215" s="39"/>
      <c r="U215" s="39"/>
      <c r="V215" s="39"/>
      <c r="W215" s="39"/>
      <c r="X215" s="39"/>
      <c r="Y215" s="39"/>
      <c r="Z215" s="39"/>
      <c r="AA215" s="39"/>
      <c r="AB215" s="39"/>
    </row>
    <row r="216">
      <c r="A216" s="1"/>
      <c r="B216" s="36"/>
      <c r="C216" s="36"/>
      <c r="D216" s="36"/>
      <c r="E216" s="36"/>
      <c r="F216" s="36"/>
      <c r="G216" s="36"/>
      <c r="H216" s="37"/>
      <c r="I216" s="36"/>
      <c r="J216" s="38"/>
      <c r="K216" s="38"/>
      <c r="L216" s="39"/>
      <c r="M216" s="39"/>
      <c r="N216" s="39"/>
      <c r="O216" s="39"/>
      <c r="P216" s="39"/>
      <c r="Q216" s="39"/>
      <c r="R216" s="39"/>
      <c r="S216" s="39"/>
      <c r="T216" s="39"/>
      <c r="U216" s="39"/>
      <c r="V216" s="39"/>
      <c r="W216" s="39"/>
      <c r="X216" s="39"/>
      <c r="Y216" s="39"/>
      <c r="Z216" s="39"/>
      <c r="AA216" s="39"/>
      <c r="AB216" s="39"/>
    </row>
    <row r="217">
      <c r="A217" s="1"/>
      <c r="B217" s="36"/>
      <c r="C217" s="36"/>
      <c r="D217" s="36"/>
      <c r="E217" s="36"/>
      <c r="F217" s="36"/>
      <c r="G217" s="36"/>
      <c r="H217" s="37"/>
      <c r="I217" s="36"/>
      <c r="J217" s="38"/>
      <c r="K217" s="38"/>
      <c r="L217" s="39"/>
      <c r="M217" s="39"/>
      <c r="N217" s="39"/>
      <c r="O217" s="39"/>
      <c r="P217" s="39"/>
      <c r="Q217" s="39"/>
      <c r="R217" s="39"/>
      <c r="S217" s="39"/>
      <c r="T217" s="39"/>
      <c r="U217" s="39"/>
      <c r="V217" s="39"/>
      <c r="W217" s="39"/>
      <c r="X217" s="39"/>
      <c r="Y217" s="39"/>
      <c r="Z217" s="39"/>
      <c r="AA217" s="39"/>
      <c r="AB217" s="39"/>
    </row>
    <row r="218">
      <c r="A218" s="1"/>
      <c r="B218" s="36"/>
      <c r="C218" s="36"/>
      <c r="D218" s="36"/>
      <c r="E218" s="36"/>
      <c r="F218" s="36"/>
      <c r="G218" s="36"/>
      <c r="H218" s="37"/>
      <c r="I218" s="36"/>
      <c r="J218" s="38"/>
      <c r="K218" s="38"/>
      <c r="L218" s="39"/>
      <c r="M218" s="39"/>
      <c r="N218" s="39"/>
      <c r="O218" s="39"/>
      <c r="P218" s="39"/>
      <c r="Q218" s="39"/>
      <c r="R218" s="39"/>
      <c r="S218" s="39"/>
      <c r="T218" s="39"/>
      <c r="U218" s="39"/>
      <c r="V218" s="39"/>
      <c r="W218" s="39"/>
      <c r="X218" s="39"/>
      <c r="Y218" s="39"/>
      <c r="Z218" s="39"/>
      <c r="AA218" s="39"/>
      <c r="AB218" s="39"/>
    </row>
    <row r="219">
      <c r="A219" s="1"/>
      <c r="B219" s="36"/>
      <c r="C219" s="36"/>
      <c r="D219" s="36"/>
      <c r="E219" s="36"/>
      <c r="F219" s="36"/>
      <c r="G219" s="36"/>
      <c r="H219" s="37"/>
      <c r="I219" s="36"/>
      <c r="J219" s="38"/>
      <c r="K219" s="38"/>
      <c r="L219" s="39"/>
      <c r="M219" s="39"/>
      <c r="N219" s="39"/>
      <c r="O219" s="39"/>
      <c r="P219" s="39"/>
      <c r="Q219" s="39"/>
      <c r="R219" s="39"/>
      <c r="S219" s="39"/>
      <c r="T219" s="39"/>
      <c r="U219" s="39"/>
      <c r="V219" s="39"/>
      <c r="W219" s="39"/>
      <c r="X219" s="39"/>
      <c r="Y219" s="39"/>
      <c r="Z219" s="39"/>
      <c r="AA219" s="39"/>
      <c r="AB219" s="39"/>
    </row>
    <row r="220">
      <c r="A220" s="1"/>
      <c r="B220" s="36"/>
      <c r="C220" s="36"/>
      <c r="D220" s="36"/>
      <c r="E220" s="36"/>
      <c r="F220" s="36"/>
      <c r="G220" s="36"/>
      <c r="H220" s="37"/>
      <c r="I220" s="36"/>
      <c r="J220" s="38"/>
      <c r="K220" s="38"/>
      <c r="L220" s="39"/>
      <c r="M220" s="39"/>
      <c r="N220" s="39"/>
      <c r="O220" s="39"/>
      <c r="P220" s="39"/>
      <c r="Q220" s="39"/>
      <c r="R220" s="39"/>
      <c r="S220" s="39"/>
      <c r="T220" s="39"/>
      <c r="U220" s="39"/>
      <c r="V220" s="39"/>
      <c r="W220" s="39"/>
      <c r="X220" s="39"/>
      <c r="Y220" s="39"/>
      <c r="Z220" s="39"/>
      <c r="AA220" s="39"/>
      <c r="AB220" s="39"/>
    </row>
    <row r="221">
      <c r="A221" s="1"/>
      <c r="B221" s="36"/>
      <c r="C221" s="36"/>
      <c r="D221" s="36"/>
      <c r="E221" s="36"/>
      <c r="F221" s="36"/>
      <c r="G221" s="36"/>
      <c r="H221" s="37"/>
      <c r="I221" s="36"/>
      <c r="J221" s="38"/>
      <c r="K221" s="38"/>
      <c r="L221" s="39"/>
      <c r="M221" s="39"/>
      <c r="N221" s="39"/>
      <c r="O221" s="39"/>
      <c r="P221" s="39"/>
      <c r="Q221" s="39"/>
      <c r="R221" s="39"/>
      <c r="S221" s="39"/>
      <c r="T221" s="39"/>
      <c r="U221" s="39"/>
      <c r="V221" s="39"/>
      <c r="W221" s="39"/>
      <c r="X221" s="39"/>
      <c r="Y221" s="39"/>
      <c r="Z221" s="39"/>
      <c r="AA221" s="39"/>
      <c r="AB221" s="39"/>
    </row>
    <row r="222">
      <c r="A222" s="1"/>
      <c r="B222" s="36"/>
      <c r="C222" s="36"/>
      <c r="D222" s="36"/>
      <c r="E222" s="36"/>
      <c r="F222" s="36"/>
      <c r="G222" s="36"/>
      <c r="H222" s="37"/>
      <c r="I222" s="36"/>
      <c r="J222" s="38"/>
      <c r="K222" s="38"/>
      <c r="L222" s="39"/>
      <c r="M222" s="39"/>
      <c r="N222" s="39"/>
      <c r="O222" s="39"/>
      <c r="P222" s="39"/>
      <c r="Q222" s="39"/>
      <c r="R222" s="39"/>
      <c r="S222" s="39"/>
      <c r="T222" s="39"/>
      <c r="U222" s="39"/>
      <c r="V222" s="39"/>
      <c r="W222" s="39"/>
      <c r="X222" s="39"/>
      <c r="Y222" s="39"/>
      <c r="Z222" s="39"/>
      <c r="AA222" s="39"/>
      <c r="AB222" s="39"/>
    </row>
    <row r="223">
      <c r="A223" s="1"/>
      <c r="B223" s="36"/>
      <c r="C223" s="36"/>
      <c r="D223" s="36"/>
      <c r="E223" s="36"/>
      <c r="F223" s="36"/>
      <c r="G223" s="36"/>
      <c r="H223" s="37"/>
      <c r="I223" s="36"/>
      <c r="J223" s="38"/>
      <c r="K223" s="38"/>
      <c r="L223" s="39"/>
      <c r="M223" s="39"/>
      <c r="N223" s="39"/>
      <c r="O223" s="39"/>
      <c r="P223" s="39"/>
      <c r="Q223" s="39"/>
      <c r="R223" s="39"/>
      <c r="S223" s="39"/>
      <c r="T223" s="39"/>
      <c r="U223" s="39"/>
      <c r="V223" s="39"/>
      <c r="W223" s="39"/>
      <c r="X223" s="39"/>
      <c r="Y223" s="39"/>
      <c r="Z223" s="39"/>
      <c r="AA223" s="39"/>
      <c r="AB223" s="39"/>
    </row>
    <row r="224">
      <c r="A224" s="1"/>
      <c r="B224" s="36"/>
      <c r="C224" s="36"/>
      <c r="D224" s="36"/>
      <c r="E224" s="36"/>
      <c r="F224" s="36"/>
      <c r="G224" s="36"/>
      <c r="H224" s="37"/>
      <c r="I224" s="36"/>
      <c r="J224" s="38"/>
      <c r="K224" s="38"/>
      <c r="L224" s="39"/>
      <c r="M224" s="39"/>
      <c r="N224" s="39"/>
      <c r="O224" s="39"/>
      <c r="P224" s="39"/>
      <c r="Q224" s="39"/>
      <c r="R224" s="39"/>
      <c r="S224" s="39"/>
      <c r="T224" s="39"/>
      <c r="U224" s="39"/>
      <c r="V224" s="39"/>
      <c r="W224" s="39"/>
      <c r="X224" s="39"/>
      <c r="Y224" s="39"/>
      <c r="Z224" s="39"/>
      <c r="AA224" s="39"/>
      <c r="AB224" s="39"/>
    </row>
    <row r="225">
      <c r="A225" s="1"/>
      <c r="B225" s="36"/>
      <c r="C225" s="36"/>
      <c r="D225" s="36"/>
      <c r="E225" s="36"/>
      <c r="F225" s="36"/>
      <c r="G225" s="36"/>
      <c r="H225" s="37"/>
      <c r="I225" s="36"/>
      <c r="J225" s="38"/>
      <c r="K225" s="38"/>
      <c r="L225" s="39"/>
      <c r="M225" s="39"/>
      <c r="N225" s="39"/>
      <c r="O225" s="39"/>
      <c r="P225" s="39"/>
      <c r="Q225" s="39"/>
      <c r="R225" s="39"/>
      <c r="S225" s="39"/>
      <c r="T225" s="39"/>
      <c r="U225" s="39"/>
      <c r="V225" s="39"/>
      <c r="W225" s="39"/>
      <c r="X225" s="39"/>
      <c r="Y225" s="39"/>
      <c r="Z225" s="39"/>
      <c r="AA225" s="39"/>
      <c r="AB225" s="39"/>
    </row>
    <row r="226">
      <c r="A226" s="1"/>
      <c r="B226" s="36"/>
      <c r="C226" s="36"/>
      <c r="D226" s="36"/>
      <c r="E226" s="36"/>
      <c r="F226" s="36"/>
      <c r="G226" s="36"/>
      <c r="H226" s="37"/>
      <c r="I226" s="36"/>
      <c r="J226" s="38"/>
      <c r="K226" s="38"/>
      <c r="L226" s="39"/>
      <c r="M226" s="39"/>
      <c r="N226" s="39"/>
      <c r="O226" s="39"/>
      <c r="P226" s="39"/>
      <c r="Q226" s="39"/>
      <c r="R226" s="39"/>
      <c r="S226" s="39"/>
      <c r="T226" s="39"/>
      <c r="U226" s="39"/>
      <c r="V226" s="39"/>
      <c r="W226" s="39"/>
      <c r="X226" s="39"/>
      <c r="Y226" s="39"/>
      <c r="Z226" s="39"/>
      <c r="AA226" s="39"/>
      <c r="AB226" s="39"/>
    </row>
    <row r="227">
      <c r="A227" s="1"/>
      <c r="B227" s="36"/>
      <c r="C227" s="36"/>
      <c r="D227" s="36"/>
      <c r="E227" s="36"/>
      <c r="F227" s="36"/>
      <c r="G227" s="36"/>
      <c r="H227" s="37"/>
      <c r="I227" s="36"/>
      <c r="J227" s="38"/>
      <c r="K227" s="38"/>
      <c r="L227" s="39"/>
      <c r="M227" s="39"/>
      <c r="N227" s="39"/>
      <c r="O227" s="39"/>
      <c r="P227" s="39"/>
      <c r="Q227" s="39"/>
      <c r="R227" s="39"/>
      <c r="S227" s="39"/>
      <c r="T227" s="39"/>
      <c r="U227" s="39"/>
      <c r="V227" s="39"/>
      <c r="W227" s="39"/>
      <c r="X227" s="39"/>
      <c r="Y227" s="39"/>
      <c r="Z227" s="39"/>
      <c r="AA227" s="39"/>
      <c r="AB227" s="39"/>
    </row>
    <row r="228">
      <c r="A228" s="1"/>
      <c r="B228" s="36"/>
      <c r="C228" s="36"/>
      <c r="D228" s="36"/>
      <c r="E228" s="36"/>
      <c r="F228" s="36"/>
      <c r="G228" s="36"/>
      <c r="H228" s="37"/>
      <c r="I228" s="36"/>
      <c r="J228" s="38"/>
      <c r="K228" s="38"/>
      <c r="L228" s="39"/>
      <c r="M228" s="39"/>
      <c r="N228" s="39"/>
      <c r="O228" s="39"/>
      <c r="P228" s="39"/>
      <c r="Q228" s="39"/>
      <c r="R228" s="39"/>
      <c r="S228" s="39"/>
      <c r="T228" s="39"/>
      <c r="U228" s="39"/>
      <c r="V228" s="39"/>
      <c r="W228" s="39"/>
      <c r="X228" s="39"/>
      <c r="Y228" s="39"/>
      <c r="Z228" s="39"/>
      <c r="AA228" s="39"/>
      <c r="AB228" s="39"/>
    </row>
    <row r="229">
      <c r="A229" s="1"/>
      <c r="B229" s="36"/>
      <c r="C229" s="36"/>
      <c r="D229" s="36"/>
      <c r="E229" s="36"/>
      <c r="F229" s="36"/>
      <c r="G229" s="36"/>
      <c r="H229" s="37"/>
      <c r="I229" s="36"/>
      <c r="J229" s="38"/>
      <c r="K229" s="38"/>
      <c r="L229" s="39"/>
      <c r="M229" s="39"/>
      <c r="N229" s="39"/>
      <c r="O229" s="39"/>
      <c r="P229" s="39"/>
      <c r="Q229" s="39"/>
      <c r="R229" s="39"/>
      <c r="S229" s="39"/>
      <c r="T229" s="39"/>
      <c r="U229" s="39"/>
      <c r="V229" s="39"/>
      <c r="W229" s="39"/>
      <c r="X229" s="39"/>
      <c r="Y229" s="39"/>
      <c r="Z229" s="39"/>
      <c r="AA229" s="39"/>
      <c r="AB229" s="39"/>
    </row>
    <row r="230">
      <c r="A230" s="1"/>
      <c r="B230" s="36"/>
      <c r="C230" s="36"/>
      <c r="D230" s="36"/>
      <c r="E230" s="36"/>
      <c r="F230" s="36"/>
      <c r="G230" s="36"/>
      <c r="H230" s="37"/>
      <c r="I230" s="36"/>
      <c r="J230" s="38"/>
      <c r="K230" s="38"/>
      <c r="L230" s="39"/>
      <c r="M230" s="39"/>
      <c r="N230" s="39"/>
      <c r="O230" s="39"/>
      <c r="P230" s="39"/>
      <c r="Q230" s="39"/>
      <c r="R230" s="39"/>
      <c r="S230" s="39"/>
      <c r="T230" s="39"/>
      <c r="U230" s="39"/>
      <c r="V230" s="39"/>
      <c r="W230" s="39"/>
      <c r="X230" s="39"/>
      <c r="Y230" s="39"/>
      <c r="Z230" s="39"/>
      <c r="AA230" s="39"/>
      <c r="AB230" s="39"/>
    </row>
    <row r="231">
      <c r="A231" s="1"/>
      <c r="B231" s="36"/>
      <c r="C231" s="36"/>
      <c r="D231" s="36"/>
      <c r="E231" s="36"/>
      <c r="F231" s="36"/>
      <c r="G231" s="36"/>
      <c r="H231" s="37"/>
      <c r="I231" s="36"/>
      <c r="J231" s="38"/>
      <c r="K231" s="38"/>
      <c r="L231" s="39"/>
      <c r="M231" s="39"/>
      <c r="N231" s="39"/>
      <c r="O231" s="39"/>
      <c r="P231" s="39"/>
      <c r="Q231" s="39"/>
      <c r="R231" s="39"/>
      <c r="S231" s="39"/>
      <c r="T231" s="39"/>
      <c r="U231" s="39"/>
      <c r="V231" s="39"/>
      <c r="W231" s="39"/>
      <c r="X231" s="39"/>
      <c r="Y231" s="39"/>
      <c r="Z231" s="39"/>
      <c r="AA231" s="39"/>
      <c r="AB231" s="39"/>
    </row>
    <row r="232">
      <c r="A232" s="1"/>
      <c r="B232" s="36"/>
      <c r="C232" s="36"/>
      <c r="D232" s="36"/>
      <c r="E232" s="36"/>
      <c r="F232" s="36"/>
      <c r="G232" s="36"/>
      <c r="H232" s="37"/>
      <c r="I232" s="36"/>
      <c r="J232" s="38"/>
      <c r="K232" s="38"/>
      <c r="L232" s="39"/>
      <c r="M232" s="39"/>
      <c r="N232" s="39"/>
      <c r="O232" s="39"/>
      <c r="P232" s="39"/>
      <c r="Q232" s="39"/>
      <c r="R232" s="39"/>
      <c r="S232" s="39"/>
      <c r="T232" s="39"/>
      <c r="U232" s="39"/>
      <c r="V232" s="39"/>
      <c r="W232" s="39"/>
      <c r="X232" s="39"/>
      <c r="Y232" s="39"/>
      <c r="Z232" s="39"/>
      <c r="AA232" s="39"/>
      <c r="AB232" s="39"/>
    </row>
    <row r="233">
      <c r="A233" s="1"/>
      <c r="B233" s="36"/>
      <c r="C233" s="36"/>
      <c r="D233" s="36"/>
      <c r="E233" s="36"/>
      <c r="F233" s="36"/>
      <c r="G233" s="36"/>
      <c r="H233" s="37"/>
      <c r="I233" s="36"/>
      <c r="J233" s="38"/>
      <c r="K233" s="38"/>
      <c r="L233" s="39"/>
      <c r="M233" s="39"/>
      <c r="N233" s="39"/>
      <c r="O233" s="39"/>
      <c r="P233" s="39"/>
      <c r="Q233" s="39"/>
      <c r="R233" s="39"/>
      <c r="S233" s="39"/>
      <c r="T233" s="39"/>
      <c r="U233" s="39"/>
      <c r="V233" s="39"/>
      <c r="W233" s="39"/>
      <c r="X233" s="39"/>
      <c r="Y233" s="39"/>
      <c r="Z233" s="39"/>
      <c r="AA233" s="39"/>
      <c r="AB233" s="39"/>
    </row>
    <row r="234">
      <c r="A234" s="1"/>
      <c r="B234" s="36"/>
      <c r="C234" s="36"/>
      <c r="D234" s="36"/>
      <c r="E234" s="36"/>
      <c r="F234" s="36"/>
      <c r="G234" s="36"/>
      <c r="H234" s="37"/>
      <c r="I234" s="36"/>
      <c r="J234" s="38"/>
      <c r="K234" s="38"/>
      <c r="L234" s="39"/>
      <c r="M234" s="39"/>
      <c r="N234" s="39"/>
      <c r="O234" s="39"/>
      <c r="P234" s="39"/>
      <c r="Q234" s="39"/>
      <c r="R234" s="39"/>
      <c r="S234" s="39"/>
      <c r="T234" s="39"/>
      <c r="U234" s="39"/>
      <c r="V234" s="39"/>
      <c r="W234" s="39"/>
      <c r="X234" s="39"/>
      <c r="Y234" s="39"/>
      <c r="Z234" s="39"/>
      <c r="AA234" s="39"/>
      <c r="AB234" s="39"/>
    </row>
    <row r="235">
      <c r="A235" s="1"/>
      <c r="B235" s="36"/>
      <c r="C235" s="36"/>
      <c r="D235" s="36"/>
      <c r="E235" s="36"/>
      <c r="F235" s="36"/>
      <c r="G235" s="36"/>
      <c r="H235" s="37"/>
      <c r="I235" s="36"/>
      <c r="J235" s="38"/>
      <c r="K235" s="38"/>
      <c r="L235" s="39"/>
      <c r="M235" s="39"/>
      <c r="N235" s="39"/>
      <c r="O235" s="39"/>
      <c r="P235" s="39"/>
      <c r="Q235" s="39"/>
      <c r="R235" s="39"/>
      <c r="S235" s="39"/>
      <c r="T235" s="39"/>
      <c r="U235" s="39"/>
      <c r="V235" s="39"/>
      <c r="W235" s="39"/>
      <c r="X235" s="39"/>
      <c r="Y235" s="39"/>
      <c r="Z235" s="39"/>
      <c r="AA235" s="39"/>
      <c r="AB235" s="39"/>
    </row>
    <row r="236">
      <c r="A236" s="1"/>
      <c r="B236" s="36"/>
      <c r="C236" s="36"/>
      <c r="D236" s="36"/>
      <c r="E236" s="36"/>
      <c r="F236" s="36"/>
      <c r="G236" s="36"/>
      <c r="H236" s="37"/>
      <c r="I236" s="36"/>
      <c r="J236" s="38"/>
      <c r="K236" s="38"/>
      <c r="L236" s="39"/>
      <c r="M236" s="39"/>
      <c r="N236" s="39"/>
      <c r="O236" s="39"/>
      <c r="P236" s="39"/>
      <c r="Q236" s="39"/>
      <c r="R236" s="39"/>
      <c r="S236" s="39"/>
      <c r="T236" s="39"/>
      <c r="U236" s="39"/>
      <c r="V236" s="39"/>
      <c r="W236" s="39"/>
      <c r="X236" s="39"/>
      <c r="Y236" s="39"/>
      <c r="Z236" s="39"/>
      <c r="AA236" s="39"/>
      <c r="AB236" s="39"/>
    </row>
    <row r="237">
      <c r="A237" s="1"/>
      <c r="B237" s="36"/>
      <c r="C237" s="36"/>
      <c r="D237" s="36"/>
      <c r="E237" s="36"/>
      <c r="F237" s="36"/>
      <c r="G237" s="36"/>
      <c r="H237" s="37"/>
      <c r="I237" s="36"/>
      <c r="J237" s="38"/>
      <c r="K237" s="38"/>
      <c r="L237" s="39"/>
      <c r="M237" s="39"/>
      <c r="N237" s="39"/>
      <c r="O237" s="39"/>
      <c r="P237" s="39"/>
      <c r="Q237" s="39"/>
      <c r="R237" s="39"/>
      <c r="S237" s="39"/>
      <c r="T237" s="39"/>
      <c r="U237" s="39"/>
      <c r="V237" s="39"/>
      <c r="W237" s="39"/>
      <c r="X237" s="39"/>
      <c r="Y237" s="39"/>
      <c r="Z237" s="39"/>
      <c r="AA237" s="39"/>
      <c r="AB237" s="39"/>
    </row>
    <row r="238">
      <c r="A238" s="1"/>
      <c r="B238" s="36"/>
      <c r="C238" s="36"/>
      <c r="D238" s="36"/>
      <c r="E238" s="36"/>
      <c r="F238" s="36"/>
      <c r="G238" s="36"/>
      <c r="H238" s="37"/>
      <c r="I238" s="36"/>
      <c r="J238" s="38"/>
      <c r="K238" s="38"/>
      <c r="L238" s="39"/>
      <c r="M238" s="39"/>
      <c r="N238" s="39"/>
      <c r="O238" s="39"/>
      <c r="P238" s="39"/>
      <c r="Q238" s="39"/>
      <c r="R238" s="39"/>
      <c r="S238" s="39"/>
      <c r="T238" s="39"/>
      <c r="U238" s="39"/>
      <c r="V238" s="39"/>
      <c r="W238" s="39"/>
      <c r="X238" s="39"/>
      <c r="Y238" s="39"/>
      <c r="Z238" s="39"/>
      <c r="AA238" s="39"/>
      <c r="AB238" s="39"/>
    </row>
    <row r="239">
      <c r="A239" s="1"/>
      <c r="B239" s="36"/>
      <c r="C239" s="36"/>
      <c r="D239" s="36"/>
      <c r="E239" s="36"/>
      <c r="F239" s="36"/>
      <c r="G239" s="36"/>
      <c r="H239" s="37"/>
      <c r="I239" s="36"/>
      <c r="J239" s="38"/>
      <c r="K239" s="38"/>
      <c r="L239" s="39"/>
      <c r="M239" s="39"/>
      <c r="N239" s="39"/>
      <c r="O239" s="39"/>
      <c r="P239" s="39"/>
      <c r="Q239" s="39"/>
      <c r="R239" s="39"/>
      <c r="S239" s="39"/>
      <c r="T239" s="39"/>
      <c r="U239" s="39"/>
      <c r="V239" s="39"/>
      <c r="W239" s="39"/>
      <c r="X239" s="39"/>
      <c r="Y239" s="39"/>
      <c r="Z239" s="39"/>
      <c r="AA239" s="39"/>
      <c r="AB239" s="39"/>
    </row>
    <row r="240">
      <c r="A240" s="1"/>
      <c r="B240" s="36"/>
      <c r="C240" s="36"/>
      <c r="D240" s="36"/>
      <c r="E240" s="36"/>
      <c r="F240" s="36"/>
      <c r="G240" s="36"/>
      <c r="H240" s="37"/>
      <c r="I240" s="36"/>
      <c r="J240" s="38"/>
      <c r="K240" s="38"/>
      <c r="L240" s="39"/>
      <c r="M240" s="39"/>
      <c r="N240" s="39"/>
      <c r="O240" s="39"/>
      <c r="P240" s="39"/>
      <c r="Q240" s="39"/>
      <c r="R240" s="39"/>
      <c r="S240" s="39"/>
      <c r="T240" s="39"/>
      <c r="U240" s="39"/>
      <c r="V240" s="39"/>
      <c r="W240" s="39"/>
      <c r="X240" s="39"/>
      <c r="Y240" s="39"/>
      <c r="Z240" s="39"/>
      <c r="AA240" s="39"/>
      <c r="AB240" s="39"/>
    </row>
    <row r="241">
      <c r="A241" s="1"/>
      <c r="B241" s="36"/>
      <c r="C241" s="36"/>
      <c r="D241" s="36"/>
      <c r="E241" s="36"/>
      <c r="F241" s="36"/>
      <c r="G241" s="36"/>
      <c r="H241" s="37"/>
      <c r="I241" s="36"/>
      <c r="J241" s="38"/>
      <c r="K241" s="38"/>
      <c r="L241" s="39"/>
      <c r="M241" s="39"/>
      <c r="N241" s="39"/>
      <c r="O241" s="39"/>
      <c r="P241" s="39"/>
      <c r="Q241" s="39"/>
      <c r="R241" s="39"/>
      <c r="S241" s="39"/>
      <c r="T241" s="39"/>
      <c r="U241" s="39"/>
      <c r="V241" s="39"/>
      <c r="W241" s="39"/>
      <c r="X241" s="39"/>
      <c r="Y241" s="39"/>
      <c r="Z241" s="39"/>
      <c r="AA241" s="39"/>
      <c r="AB241" s="39"/>
    </row>
    <row r="242">
      <c r="A242" s="1"/>
      <c r="B242" s="36"/>
      <c r="C242" s="36"/>
      <c r="D242" s="36"/>
      <c r="E242" s="36"/>
      <c r="F242" s="36"/>
      <c r="G242" s="36"/>
      <c r="H242" s="37"/>
      <c r="I242" s="36"/>
      <c r="J242" s="38"/>
      <c r="K242" s="38"/>
      <c r="L242" s="39"/>
      <c r="M242" s="39"/>
      <c r="N242" s="39"/>
      <c r="O242" s="39"/>
      <c r="P242" s="39"/>
      <c r="Q242" s="39"/>
      <c r="R242" s="39"/>
      <c r="S242" s="39"/>
      <c r="T242" s="39"/>
      <c r="U242" s="39"/>
      <c r="V242" s="39"/>
      <c r="W242" s="39"/>
      <c r="X242" s="39"/>
      <c r="Y242" s="39"/>
      <c r="Z242" s="39"/>
      <c r="AA242" s="39"/>
      <c r="AB242" s="39"/>
    </row>
    <row r="243">
      <c r="A243" s="1"/>
      <c r="B243" s="36"/>
      <c r="C243" s="36"/>
      <c r="D243" s="36"/>
      <c r="E243" s="36"/>
      <c r="F243" s="36"/>
      <c r="G243" s="36"/>
      <c r="H243" s="37"/>
      <c r="I243" s="36"/>
      <c r="J243" s="38"/>
      <c r="K243" s="38"/>
      <c r="L243" s="39"/>
      <c r="M243" s="39"/>
      <c r="N243" s="39"/>
      <c r="O243" s="39"/>
      <c r="P243" s="39"/>
      <c r="Q243" s="39"/>
      <c r="R243" s="39"/>
      <c r="S243" s="39"/>
      <c r="T243" s="39"/>
      <c r="U243" s="39"/>
      <c r="V243" s="39"/>
      <c r="W243" s="39"/>
      <c r="X243" s="39"/>
      <c r="Y243" s="39"/>
      <c r="Z243" s="39"/>
      <c r="AA243" s="39"/>
      <c r="AB243" s="39"/>
    </row>
    <row r="244">
      <c r="A244" s="1"/>
      <c r="B244" s="36"/>
      <c r="C244" s="36"/>
      <c r="D244" s="36"/>
      <c r="E244" s="36"/>
      <c r="F244" s="36"/>
      <c r="G244" s="36"/>
      <c r="H244" s="37"/>
      <c r="I244" s="36"/>
      <c r="J244" s="38"/>
      <c r="K244" s="38"/>
      <c r="L244" s="39"/>
      <c r="M244" s="39"/>
      <c r="N244" s="39"/>
      <c r="O244" s="39"/>
      <c r="P244" s="39"/>
      <c r="Q244" s="39"/>
      <c r="R244" s="39"/>
      <c r="S244" s="39"/>
      <c r="T244" s="39"/>
      <c r="U244" s="39"/>
      <c r="V244" s="39"/>
      <c r="W244" s="39"/>
      <c r="X244" s="39"/>
      <c r="Y244" s="39"/>
      <c r="Z244" s="39"/>
      <c r="AA244" s="39"/>
      <c r="AB244" s="39"/>
    </row>
    <row r="245">
      <c r="A245" s="1"/>
      <c r="B245" s="36"/>
      <c r="C245" s="36"/>
      <c r="D245" s="36"/>
      <c r="E245" s="36"/>
      <c r="F245" s="36"/>
      <c r="G245" s="36"/>
      <c r="H245" s="37"/>
      <c r="I245" s="36"/>
      <c r="J245" s="38"/>
      <c r="K245" s="38"/>
      <c r="L245" s="39"/>
      <c r="M245" s="39"/>
      <c r="N245" s="39"/>
      <c r="O245" s="39"/>
      <c r="P245" s="39"/>
      <c r="Q245" s="39"/>
      <c r="R245" s="39"/>
      <c r="S245" s="39"/>
      <c r="T245" s="39"/>
      <c r="U245" s="39"/>
      <c r="V245" s="39"/>
      <c r="W245" s="39"/>
      <c r="X245" s="39"/>
      <c r="Y245" s="39"/>
      <c r="Z245" s="39"/>
      <c r="AA245" s="39"/>
      <c r="AB245" s="39"/>
    </row>
    <row r="246">
      <c r="A246" s="1"/>
      <c r="B246" s="36"/>
      <c r="C246" s="36"/>
      <c r="D246" s="36"/>
      <c r="E246" s="36"/>
      <c r="F246" s="36"/>
      <c r="G246" s="36"/>
      <c r="H246" s="37"/>
      <c r="I246" s="36"/>
      <c r="J246" s="38"/>
      <c r="K246" s="38"/>
      <c r="L246" s="39"/>
      <c r="M246" s="39"/>
      <c r="N246" s="39"/>
      <c r="O246" s="39"/>
      <c r="P246" s="39"/>
      <c r="Q246" s="39"/>
      <c r="R246" s="39"/>
      <c r="S246" s="39"/>
      <c r="T246" s="39"/>
      <c r="U246" s="39"/>
      <c r="V246" s="39"/>
      <c r="W246" s="39"/>
      <c r="X246" s="39"/>
      <c r="Y246" s="39"/>
      <c r="Z246" s="39"/>
      <c r="AA246" s="39"/>
      <c r="AB246" s="39"/>
    </row>
    <row r="247">
      <c r="A247" s="1"/>
      <c r="B247" s="36"/>
      <c r="C247" s="36"/>
      <c r="D247" s="36"/>
      <c r="E247" s="36"/>
      <c r="F247" s="36"/>
      <c r="G247" s="36"/>
      <c r="H247" s="37"/>
      <c r="I247" s="36"/>
      <c r="J247" s="38"/>
      <c r="K247" s="38"/>
      <c r="L247" s="39"/>
      <c r="M247" s="39"/>
      <c r="N247" s="39"/>
      <c r="O247" s="39"/>
      <c r="P247" s="39"/>
      <c r="Q247" s="39"/>
      <c r="R247" s="39"/>
      <c r="S247" s="39"/>
      <c r="T247" s="39"/>
      <c r="U247" s="39"/>
      <c r="V247" s="39"/>
      <c r="W247" s="39"/>
      <c r="X247" s="39"/>
      <c r="Y247" s="39"/>
      <c r="Z247" s="39"/>
      <c r="AA247" s="39"/>
      <c r="AB247" s="39"/>
    </row>
    <row r="248">
      <c r="A248" s="1"/>
      <c r="B248" s="36"/>
      <c r="C248" s="36"/>
      <c r="D248" s="36"/>
      <c r="E248" s="36"/>
      <c r="F248" s="36"/>
      <c r="G248" s="36"/>
      <c r="H248" s="37"/>
      <c r="I248" s="36"/>
      <c r="J248" s="38"/>
      <c r="K248" s="38"/>
      <c r="L248" s="39"/>
      <c r="M248" s="39"/>
      <c r="N248" s="39"/>
      <c r="O248" s="39"/>
      <c r="P248" s="39"/>
      <c r="Q248" s="39"/>
      <c r="R248" s="39"/>
      <c r="S248" s="39"/>
      <c r="T248" s="39"/>
      <c r="U248" s="39"/>
      <c r="V248" s="39"/>
      <c r="W248" s="39"/>
      <c r="X248" s="39"/>
      <c r="Y248" s="39"/>
      <c r="Z248" s="39"/>
      <c r="AA248" s="39"/>
      <c r="AB248" s="39"/>
    </row>
    <row r="249">
      <c r="A249" s="1"/>
      <c r="B249" s="36"/>
      <c r="C249" s="36"/>
      <c r="D249" s="36"/>
      <c r="E249" s="36"/>
      <c r="F249" s="36"/>
      <c r="G249" s="36"/>
      <c r="H249" s="37"/>
      <c r="I249" s="36"/>
      <c r="J249" s="38"/>
      <c r="K249" s="38"/>
      <c r="L249" s="39"/>
      <c r="M249" s="39"/>
      <c r="N249" s="39"/>
      <c r="O249" s="39"/>
      <c r="P249" s="39"/>
      <c r="Q249" s="39"/>
      <c r="R249" s="39"/>
      <c r="S249" s="39"/>
      <c r="T249" s="39"/>
      <c r="U249" s="39"/>
      <c r="V249" s="39"/>
      <c r="W249" s="39"/>
      <c r="X249" s="39"/>
      <c r="Y249" s="39"/>
      <c r="Z249" s="39"/>
      <c r="AA249" s="39"/>
      <c r="AB249" s="39"/>
    </row>
    <row r="250">
      <c r="A250" s="1"/>
      <c r="B250" s="36"/>
      <c r="C250" s="36"/>
      <c r="D250" s="36"/>
      <c r="E250" s="36"/>
      <c r="F250" s="36"/>
      <c r="G250" s="36"/>
      <c r="H250" s="37"/>
      <c r="I250" s="36"/>
      <c r="J250" s="38"/>
      <c r="K250" s="38"/>
      <c r="L250" s="39"/>
      <c r="M250" s="39"/>
      <c r="N250" s="39"/>
      <c r="O250" s="39"/>
      <c r="P250" s="39"/>
      <c r="Q250" s="39"/>
      <c r="R250" s="39"/>
      <c r="S250" s="39"/>
      <c r="T250" s="39"/>
      <c r="U250" s="39"/>
      <c r="V250" s="39"/>
      <c r="W250" s="39"/>
      <c r="X250" s="39"/>
      <c r="Y250" s="39"/>
      <c r="Z250" s="39"/>
      <c r="AA250" s="39"/>
      <c r="AB250" s="39"/>
    </row>
    <row r="251">
      <c r="A251" s="1"/>
      <c r="B251" s="36"/>
      <c r="C251" s="36"/>
      <c r="D251" s="36"/>
      <c r="E251" s="36"/>
      <c r="F251" s="36"/>
      <c r="G251" s="36"/>
      <c r="H251" s="37"/>
      <c r="I251" s="36"/>
      <c r="J251" s="38"/>
      <c r="K251" s="38"/>
      <c r="L251" s="39"/>
      <c r="M251" s="39"/>
      <c r="N251" s="39"/>
      <c r="O251" s="39"/>
      <c r="P251" s="39"/>
      <c r="Q251" s="39"/>
      <c r="R251" s="39"/>
      <c r="S251" s="39"/>
      <c r="T251" s="39"/>
      <c r="U251" s="39"/>
      <c r="V251" s="39"/>
      <c r="W251" s="39"/>
      <c r="X251" s="39"/>
      <c r="Y251" s="39"/>
      <c r="Z251" s="39"/>
      <c r="AA251" s="39"/>
      <c r="AB251" s="39"/>
    </row>
    <row r="252">
      <c r="A252" s="1"/>
      <c r="B252" s="36"/>
      <c r="C252" s="36"/>
      <c r="D252" s="36"/>
      <c r="E252" s="36"/>
      <c r="F252" s="36"/>
      <c r="G252" s="36"/>
      <c r="H252" s="37"/>
      <c r="I252" s="36"/>
      <c r="J252" s="38"/>
      <c r="K252" s="38"/>
      <c r="L252" s="39"/>
      <c r="M252" s="39"/>
      <c r="N252" s="39"/>
      <c r="O252" s="39"/>
      <c r="P252" s="39"/>
      <c r="Q252" s="39"/>
      <c r="R252" s="39"/>
      <c r="S252" s="39"/>
      <c r="T252" s="39"/>
      <c r="U252" s="39"/>
      <c r="V252" s="39"/>
      <c r="W252" s="39"/>
      <c r="X252" s="39"/>
      <c r="Y252" s="39"/>
      <c r="Z252" s="39"/>
      <c r="AA252" s="39"/>
      <c r="AB252" s="39"/>
    </row>
    <row r="253">
      <c r="A253" s="1"/>
      <c r="B253" s="36"/>
      <c r="C253" s="36"/>
      <c r="D253" s="36"/>
      <c r="E253" s="36"/>
      <c r="F253" s="36"/>
      <c r="G253" s="36"/>
      <c r="H253" s="37"/>
      <c r="I253" s="36"/>
      <c r="J253" s="38"/>
      <c r="K253" s="38"/>
      <c r="L253" s="39"/>
      <c r="M253" s="39"/>
      <c r="N253" s="39"/>
      <c r="O253" s="39"/>
      <c r="P253" s="39"/>
      <c r="Q253" s="39"/>
      <c r="R253" s="39"/>
      <c r="S253" s="39"/>
      <c r="T253" s="39"/>
      <c r="U253" s="39"/>
      <c r="V253" s="39"/>
      <c r="W253" s="39"/>
      <c r="X253" s="39"/>
      <c r="Y253" s="39"/>
      <c r="Z253" s="39"/>
      <c r="AA253" s="39"/>
      <c r="AB253" s="39"/>
    </row>
    <row r="254">
      <c r="A254" s="1"/>
      <c r="B254" s="36"/>
      <c r="C254" s="36"/>
      <c r="D254" s="36"/>
      <c r="E254" s="36"/>
      <c r="F254" s="36"/>
      <c r="G254" s="36"/>
      <c r="H254" s="37"/>
      <c r="I254" s="36"/>
      <c r="J254" s="38"/>
      <c r="K254" s="38"/>
      <c r="L254" s="39"/>
      <c r="M254" s="39"/>
      <c r="N254" s="39"/>
      <c r="O254" s="39"/>
      <c r="P254" s="39"/>
      <c r="Q254" s="39"/>
      <c r="R254" s="39"/>
      <c r="S254" s="39"/>
      <c r="T254" s="39"/>
      <c r="U254" s="39"/>
      <c r="V254" s="39"/>
      <c r="W254" s="39"/>
      <c r="X254" s="39"/>
      <c r="Y254" s="39"/>
      <c r="Z254" s="39"/>
      <c r="AA254" s="39"/>
      <c r="AB254" s="39"/>
    </row>
    <row r="255">
      <c r="A255" s="1"/>
      <c r="B255" s="36"/>
      <c r="C255" s="36"/>
      <c r="D255" s="36"/>
      <c r="E255" s="36"/>
      <c r="F255" s="36"/>
      <c r="G255" s="36"/>
      <c r="H255" s="37"/>
      <c r="I255" s="36"/>
      <c r="J255" s="38"/>
      <c r="K255" s="38"/>
      <c r="L255" s="39"/>
      <c r="M255" s="39"/>
      <c r="N255" s="39"/>
      <c r="O255" s="39"/>
      <c r="P255" s="39"/>
      <c r="Q255" s="39"/>
      <c r="R255" s="39"/>
      <c r="S255" s="39"/>
      <c r="T255" s="39"/>
      <c r="U255" s="39"/>
      <c r="V255" s="39"/>
      <c r="W255" s="39"/>
      <c r="X255" s="39"/>
      <c r="Y255" s="39"/>
      <c r="Z255" s="39"/>
      <c r="AA255" s="39"/>
      <c r="AB255" s="39"/>
    </row>
    <row r="256">
      <c r="A256" s="1"/>
      <c r="B256" s="36"/>
      <c r="C256" s="36"/>
      <c r="D256" s="36"/>
      <c r="E256" s="36"/>
      <c r="F256" s="36"/>
      <c r="G256" s="36"/>
      <c r="H256" s="37"/>
      <c r="I256" s="36"/>
      <c r="J256" s="38"/>
      <c r="K256" s="38"/>
      <c r="L256" s="39"/>
      <c r="M256" s="39"/>
      <c r="N256" s="39"/>
      <c r="O256" s="39"/>
      <c r="P256" s="39"/>
      <c r="Q256" s="39"/>
      <c r="R256" s="39"/>
      <c r="S256" s="39"/>
      <c r="T256" s="39"/>
      <c r="U256" s="39"/>
      <c r="V256" s="39"/>
      <c r="W256" s="39"/>
      <c r="X256" s="39"/>
      <c r="Y256" s="39"/>
      <c r="Z256" s="39"/>
      <c r="AA256" s="39"/>
      <c r="AB256" s="39"/>
    </row>
    <row r="257">
      <c r="A257" s="1"/>
      <c r="B257" s="36"/>
      <c r="C257" s="36"/>
      <c r="D257" s="36"/>
      <c r="E257" s="36"/>
      <c r="F257" s="36"/>
      <c r="G257" s="36"/>
      <c r="H257" s="37"/>
      <c r="I257" s="36"/>
      <c r="J257" s="38"/>
      <c r="K257" s="38"/>
      <c r="L257" s="39"/>
      <c r="M257" s="39"/>
      <c r="N257" s="39"/>
      <c r="O257" s="39"/>
      <c r="P257" s="39"/>
      <c r="Q257" s="39"/>
      <c r="R257" s="39"/>
      <c r="S257" s="39"/>
      <c r="T257" s="39"/>
      <c r="U257" s="39"/>
      <c r="V257" s="39"/>
      <c r="W257" s="39"/>
      <c r="X257" s="39"/>
      <c r="Y257" s="39"/>
      <c r="Z257" s="39"/>
      <c r="AA257" s="39"/>
      <c r="AB257" s="39"/>
    </row>
    <row r="258">
      <c r="A258" s="1"/>
      <c r="B258" s="36"/>
      <c r="C258" s="36"/>
      <c r="D258" s="36"/>
      <c r="E258" s="36"/>
      <c r="F258" s="36"/>
      <c r="G258" s="36"/>
      <c r="H258" s="37"/>
      <c r="I258" s="36"/>
      <c r="J258" s="38"/>
      <c r="K258" s="38"/>
      <c r="L258" s="39"/>
      <c r="M258" s="39"/>
      <c r="N258" s="39"/>
      <c r="O258" s="39"/>
      <c r="P258" s="39"/>
      <c r="Q258" s="39"/>
      <c r="R258" s="39"/>
      <c r="S258" s="39"/>
      <c r="T258" s="39"/>
      <c r="U258" s="39"/>
      <c r="V258" s="39"/>
      <c r="W258" s="39"/>
      <c r="X258" s="39"/>
      <c r="Y258" s="39"/>
      <c r="Z258" s="39"/>
      <c r="AA258" s="39"/>
      <c r="AB258" s="39"/>
    </row>
    <row r="259">
      <c r="A259" s="1"/>
      <c r="B259" s="36"/>
      <c r="C259" s="36"/>
      <c r="D259" s="36"/>
      <c r="E259" s="36"/>
      <c r="F259" s="36"/>
      <c r="G259" s="36"/>
      <c r="H259" s="37"/>
      <c r="I259" s="36"/>
      <c r="J259" s="38"/>
      <c r="K259" s="38"/>
      <c r="L259" s="39"/>
      <c r="M259" s="39"/>
      <c r="N259" s="39"/>
      <c r="O259" s="39"/>
      <c r="P259" s="39"/>
      <c r="Q259" s="39"/>
      <c r="R259" s="39"/>
      <c r="S259" s="39"/>
      <c r="T259" s="39"/>
      <c r="U259" s="39"/>
      <c r="V259" s="39"/>
      <c r="W259" s="39"/>
      <c r="X259" s="39"/>
      <c r="Y259" s="39"/>
      <c r="Z259" s="39"/>
      <c r="AA259" s="39"/>
      <c r="AB259" s="39"/>
    </row>
    <row r="260">
      <c r="A260" s="1"/>
      <c r="B260" s="36"/>
      <c r="C260" s="36"/>
      <c r="D260" s="36"/>
      <c r="E260" s="36"/>
      <c r="F260" s="36"/>
      <c r="G260" s="36"/>
      <c r="H260" s="37"/>
      <c r="I260" s="36"/>
      <c r="J260" s="38"/>
      <c r="K260" s="38"/>
      <c r="L260" s="39"/>
      <c r="M260" s="39"/>
      <c r="N260" s="39"/>
      <c r="O260" s="39"/>
      <c r="P260" s="39"/>
      <c r="Q260" s="39"/>
      <c r="R260" s="39"/>
      <c r="S260" s="39"/>
      <c r="T260" s="39"/>
      <c r="U260" s="39"/>
      <c r="V260" s="39"/>
      <c r="W260" s="39"/>
      <c r="X260" s="39"/>
      <c r="Y260" s="39"/>
      <c r="Z260" s="39"/>
      <c r="AA260" s="39"/>
      <c r="AB260" s="39"/>
    </row>
    <row r="261">
      <c r="A261" s="1"/>
      <c r="B261" s="36"/>
      <c r="C261" s="36"/>
      <c r="D261" s="36"/>
      <c r="E261" s="36"/>
      <c r="F261" s="36"/>
      <c r="G261" s="36"/>
      <c r="H261" s="37"/>
      <c r="I261" s="36"/>
      <c r="J261" s="38"/>
      <c r="K261" s="38"/>
      <c r="L261" s="39"/>
      <c r="M261" s="39"/>
      <c r="N261" s="39"/>
      <c r="O261" s="39"/>
      <c r="P261" s="39"/>
      <c r="Q261" s="39"/>
      <c r="R261" s="39"/>
      <c r="S261" s="39"/>
      <c r="T261" s="39"/>
      <c r="U261" s="39"/>
      <c r="V261" s="39"/>
      <c r="W261" s="39"/>
      <c r="X261" s="39"/>
      <c r="Y261" s="39"/>
      <c r="Z261" s="39"/>
      <c r="AA261" s="39"/>
      <c r="AB261" s="39"/>
    </row>
    <row r="262">
      <c r="A262" s="1"/>
      <c r="B262" s="36"/>
      <c r="C262" s="36"/>
      <c r="D262" s="36"/>
      <c r="E262" s="36"/>
      <c r="F262" s="36"/>
      <c r="G262" s="36"/>
      <c r="H262" s="37"/>
      <c r="I262" s="36"/>
      <c r="J262" s="38"/>
      <c r="K262" s="38"/>
      <c r="L262" s="39"/>
      <c r="M262" s="39"/>
      <c r="N262" s="39"/>
      <c r="O262" s="39"/>
      <c r="P262" s="39"/>
      <c r="Q262" s="39"/>
      <c r="R262" s="39"/>
      <c r="S262" s="39"/>
      <c r="T262" s="39"/>
      <c r="U262" s="39"/>
      <c r="V262" s="39"/>
      <c r="W262" s="39"/>
      <c r="X262" s="39"/>
      <c r="Y262" s="39"/>
      <c r="Z262" s="39"/>
      <c r="AA262" s="39"/>
      <c r="AB262" s="39"/>
    </row>
    <row r="263">
      <c r="A263" s="1"/>
      <c r="B263" s="36"/>
      <c r="C263" s="36"/>
      <c r="D263" s="36"/>
      <c r="E263" s="36"/>
      <c r="F263" s="36"/>
      <c r="G263" s="36"/>
      <c r="H263" s="37"/>
      <c r="I263" s="36"/>
      <c r="J263" s="38"/>
      <c r="K263" s="38"/>
      <c r="L263" s="39"/>
      <c r="M263" s="39"/>
      <c r="N263" s="39"/>
      <c r="O263" s="39"/>
      <c r="P263" s="39"/>
      <c r="Q263" s="39"/>
      <c r="R263" s="39"/>
      <c r="S263" s="39"/>
      <c r="T263" s="39"/>
      <c r="U263" s="39"/>
      <c r="V263" s="39"/>
      <c r="W263" s="39"/>
      <c r="X263" s="39"/>
      <c r="Y263" s="39"/>
      <c r="Z263" s="39"/>
      <c r="AA263" s="39"/>
      <c r="AB263" s="39"/>
    </row>
    <row r="264">
      <c r="A264" s="1"/>
      <c r="B264" s="36"/>
      <c r="C264" s="36"/>
      <c r="D264" s="36"/>
      <c r="E264" s="36"/>
      <c r="F264" s="36"/>
      <c r="G264" s="36"/>
      <c r="H264" s="37"/>
      <c r="I264" s="36"/>
      <c r="J264" s="38"/>
      <c r="K264" s="38"/>
      <c r="L264" s="39"/>
      <c r="M264" s="39"/>
      <c r="N264" s="39"/>
      <c r="O264" s="39"/>
      <c r="P264" s="39"/>
      <c r="Q264" s="39"/>
      <c r="R264" s="39"/>
      <c r="S264" s="39"/>
      <c r="T264" s="39"/>
      <c r="U264" s="39"/>
      <c r="V264" s="39"/>
      <c r="W264" s="39"/>
      <c r="X264" s="39"/>
      <c r="Y264" s="39"/>
      <c r="Z264" s="39"/>
      <c r="AA264" s="39"/>
      <c r="AB264" s="39"/>
    </row>
    <row r="265">
      <c r="A265" s="1"/>
      <c r="B265" s="36"/>
      <c r="C265" s="36"/>
      <c r="D265" s="36"/>
      <c r="E265" s="36"/>
      <c r="F265" s="36"/>
      <c r="G265" s="36"/>
      <c r="H265" s="37"/>
      <c r="I265" s="36"/>
      <c r="J265" s="38"/>
      <c r="K265" s="38"/>
      <c r="L265" s="39"/>
      <c r="M265" s="39"/>
      <c r="N265" s="39"/>
      <c r="O265" s="39"/>
      <c r="P265" s="39"/>
      <c r="Q265" s="39"/>
      <c r="R265" s="39"/>
      <c r="S265" s="39"/>
      <c r="T265" s="39"/>
      <c r="U265" s="39"/>
      <c r="V265" s="39"/>
      <c r="W265" s="39"/>
      <c r="X265" s="39"/>
      <c r="Y265" s="39"/>
      <c r="Z265" s="39"/>
      <c r="AA265" s="39"/>
      <c r="AB265" s="39"/>
    </row>
    <row r="266">
      <c r="A266" s="1"/>
      <c r="B266" s="36"/>
      <c r="C266" s="36"/>
      <c r="D266" s="36"/>
      <c r="E266" s="36"/>
      <c r="F266" s="36"/>
      <c r="G266" s="36"/>
      <c r="H266" s="37"/>
      <c r="I266" s="36"/>
      <c r="J266" s="38"/>
      <c r="K266" s="38"/>
      <c r="L266" s="39"/>
      <c r="M266" s="39"/>
      <c r="N266" s="39"/>
      <c r="O266" s="39"/>
      <c r="P266" s="39"/>
      <c r="Q266" s="39"/>
      <c r="R266" s="39"/>
      <c r="S266" s="39"/>
      <c r="T266" s="39"/>
      <c r="U266" s="39"/>
      <c r="V266" s="39"/>
      <c r="W266" s="39"/>
      <c r="X266" s="39"/>
      <c r="Y266" s="39"/>
      <c r="Z266" s="39"/>
      <c r="AA266" s="39"/>
      <c r="AB266" s="39"/>
    </row>
    <row r="267">
      <c r="A267" s="1"/>
      <c r="B267" s="36"/>
      <c r="C267" s="36"/>
      <c r="D267" s="36"/>
      <c r="E267" s="36"/>
      <c r="F267" s="36"/>
      <c r="G267" s="36"/>
      <c r="H267" s="37"/>
      <c r="I267" s="36"/>
      <c r="J267" s="38"/>
      <c r="K267" s="38"/>
      <c r="L267" s="39"/>
      <c r="M267" s="39"/>
      <c r="N267" s="39"/>
      <c r="O267" s="39"/>
      <c r="P267" s="39"/>
      <c r="Q267" s="39"/>
      <c r="R267" s="39"/>
      <c r="S267" s="39"/>
      <c r="T267" s="39"/>
      <c r="U267" s="39"/>
      <c r="V267" s="39"/>
      <c r="W267" s="39"/>
      <c r="X267" s="39"/>
      <c r="Y267" s="39"/>
      <c r="Z267" s="39"/>
      <c r="AA267" s="39"/>
      <c r="AB267" s="39"/>
    </row>
    <row r="268">
      <c r="A268" s="1"/>
      <c r="B268" s="36"/>
      <c r="C268" s="36"/>
      <c r="D268" s="36"/>
      <c r="E268" s="36"/>
      <c r="F268" s="36"/>
      <c r="G268" s="36"/>
      <c r="H268" s="37"/>
      <c r="I268" s="36"/>
      <c r="J268" s="38"/>
      <c r="K268" s="38"/>
      <c r="L268" s="39"/>
      <c r="M268" s="39"/>
      <c r="N268" s="39"/>
      <c r="O268" s="39"/>
      <c r="P268" s="39"/>
      <c r="Q268" s="39"/>
      <c r="R268" s="39"/>
      <c r="S268" s="39"/>
      <c r="T268" s="39"/>
      <c r="U268" s="39"/>
      <c r="V268" s="39"/>
      <c r="W268" s="39"/>
      <c r="X268" s="39"/>
      <c r="Y268" s="39"/>
      <c r="Z268" s="39"/>
      <c r="AA268" s="39"/>
      <c r="AB268" s="39"/>
    </row>
    <row r="269">
      <c r="A269" s="1"/>
      <c r="B269" s="36"/>
      <c r="C269" s="36"/>
      <c r="D269" s="36"/>
      <c r="E269" s="36"/>
      <c r="F269" s="36"/>
      <c r="G269" s="36"/>
      <c r="H269" s="37"/>
      <c r="I269" s="36"/>
      <c r="J269" s="38"/>
      <c r="K269" s="38"/>
      <c r="L269" s="39"/>
      <c r="M269" s="39"/>
      <c r="N269" s="39"/>
      <c r="O269" s="39"/>
      <c r="P269" s="39"/>
      <c r="Q269" s="39"/>
      <c r="R269" s="39"/>
      <c r="S269" s="39"/>
      <c r="T269" s="39"/>
      <c r="U269" s="39"/>
      <c r="V269" s="39"/>
      <c r="W269" s="39"/>
      <c r="X269" s="39"/>
      <c r="Y269" s="39"/>
      <c r="Z269" s="39"/>
      <c r="AA269" s="39"/>
      <c r="AB269" s="39"/>
    </row>
    <row r="270">
      <c r="A270" s="1"/>
      <c r="B270" s="36"/>
      <c r="C270" s="36"/>
      <c r="D270" s="36"/>
      <c r="E270" s="36"/>
      <c r="F270" s="36"/>
      <c r="G270" s="36"/>
      <c r="H270" s="37"/>
      <c r="I270" s="36"/>
      <c r="J270" s="38"/>
      <c r="K270" s="38"/>
      <c r="L270" s="39"/>
      <c r="M270" s="39"/>
      <c r="N270" s="39"/>
      <c r="O270" s="39"/>
      <c r="P270" s="39"/>
      <c r="Q270" s="39"/>
      <c r="R270" s="39"/>
      <c r="S270" s="39"/>
      <c r="T270" s="39"/>
      <c r="U270" s="39"/>
      <c r="V270" s="39"/>
      <c r="W270" s="39"/>
      <c r="X270" s="39"/>
      <c r="Y270" s="39"/>
      <c r="Z270" s="39"/>
      <c r="AA270" s="39"/>
      <c r="AB270" s="39"/>
    </row>
    <row r="271">
      <c r="A271" s="1"/>
      <c r="B271" s="36"/>
      <c r="C271" s="36"/>
      <c r="D271" s="36"/>
      <c r="E271" s="36"/>
      <c r="F271" s="36"/>
      <c r="G271" s="36"/>
      <c r="H271" s="37"/>
      <c r="I271" s="36"/>
      <c r="J271" s="38"/>
      <c r="K271" s="38"/>
      <c r="L271" s="39"/>
      <c r="M271" s="39"/>
      <c r="N271" s="39"/>
      <c r="O271" s="39"/>
      <c r="P271" s="39"/>
      <c r="Q271" s="39"/>
      <c r="R271" s="39"/>
      <c r="S271" s="39"/>
      <c r="T271" s="39"/>
      <c r="U271" s="39"/>
      <c r="V271" s="39"/>
      <c r="W271" s="39"/>
      <c r="X271" s="39"/>
      <c r="Y271" s="39"/>
      <c r="Z271" s="39"/>
      <c r="AA271" s="39"/>
      <c r="AB271" s="39"/>
    </row>
    <row r="272">
      <c r="A272" s="1"/>
      <c r="B272" s="36"/>
      <c r="C272" s="36"/>
      <c r="D272" s="36"/>
      <c r="E272" s="36"/>
      <c r="F272" s="36"/>
      <c r="G272" s="36"/>
      <c r="H272" s="37"/>
      <c r="I272" s="36"/>
      <c r="J272" s="38"/>
      <c r="K272" s="38"/>
      <c r="L272" s="39"/>
      <c r="M272" s="39"/>
      <c r="N272" s="39"/>
      <c r="O272" s="39"/>
      <c r="P272" s="39"/>
      <c r="Q272" s="39"/>
      <c r="R272" s="39"/>
      <c r="S272" s="39"/>
      <c r="T272" s="39"/>
      <c r="U272" s="39"/>
      <c r="V272" s="39"/>
      <c r="W272" s="39"/>
      <c r="X272" s="39"/>
      <c r="Y272" s="39"/>
      <c r="Z272" s="39"/>
      <c r="AA272" s="39"/>
      <c r="AB272" s="39"/>
    </row>
    <row r="273">
      <c r="A273" s="1"/>
      <c r="B273" s="36"/>
      <c r="C273" s="36"/>
      <c r="D273" s="36"/>
      <c r="E273" s="36"/>
      <c r="F273" s="36"/>
      <c r="G273" s="36"/>
      <c r="H273" s="37"/>
      <c r="I273" s="36"/>
      <c r="J273" s="38"/>
      <c r="K273" s="38"/>
      <c r="L273" s="39"/>
      <c r="M273" s="39"/>
      <c r="N273" s="39"/>
      <c r="O273" s="39"/>
      <c r="P273" s="39"/>
      <c r="Q273" s="39"/>
      <c r="R273" s="39"/>
      <c r="S273" s="39"/>
      <c r="T273" s="39"/>
      <c r="U273" s="39"/>
      <c r="V273" s="39"/>
      <c r="W273" s="39"/>
      <c r="X273" s="39"/>
      <c r="Y273" s="39"/>
      <c r="Z273" s="39"/>
      <c r="AA273" s="39"/>
      <c r="AB273" s="39"/>
    </row>
    <row r="274">
      <c r="A274" s="1"/>
      <c r="B274" s="36"/>
      <c r="C274" s="36"/>
      <c r="D274" s="36"/>
      <c r="E274" s="36"/>
      <c r="F274" s="36"/>
      <c r="G274" s="36"/>
      <c r="H274" s="37"/>
      <c r="I274" s="36"/>
      <c r="J274" s="38"/>
      <c r="K274" s="38"/>
      <c r="L274" s="39"/>
      <c r="M274" s="39"/>
      <c r="N274" s="39"/>
      <c r="O274" s="39"/>
      <c r="P274" s="39"/>
      <c r="Q274" s="39"/>
      <c r="R274" s="39"/>
      <c r="S274" s="39"/>
      <c r="T274" s="39"/>
      <c r="U274" s="39"/>
      <c r="V274" s="39"/>
      <c r="W274" s="39"/>
      <c r="X274" s="39"/>
      <c r="Y274" s="39"/>
      <c r="Z274" s="39"/>
      <c r="AA274" s="39"/>
      <c r="AB274" s="39"/>
    </row>
    <row r="275">
      <c r="A275" s="1"/>
      <c r="B275" s="36"/>
      <c r="C275" s="36"/>
      <c r="D275" s="36"/>
      <c r="E275" s="36"/>
      <c r="F275" s="36"/>
      <c r="G275" s="36"/>
      <c r="H275" s="37"/>
      <c r="I275" s="36"/>
      <c r="J275" s="38"/>
      <c r="K275" s="38"/>
      <c r="L275" s="39"/>
      <c r="M275" s="39"/>
      <c r="N275" s="39"/>
      <c r="O275" s="39"/>
      <c r="P275" s="39"/>
      <c r="Q275" s="39"/>
      <c r="R275" s="39"/>
      <c r="S275" s="39"/>
      <c r="T275" s="39"/>
      <c r="U275" s="39"/>
      <c r="V275" s="39"/>
      <c r="W275" s="39"/>
      <c r="X275" s="39"/>
      <c r="Y275" s="39"/>
      <c r="Z275" s="39"/>
      <c r="AA275" s="39"/>
      <c r="AB275" s="39"/>
    </row>
    <row r="276">
      <c r="A276" s="1"/>
      <c r="B276" s="36"/>
      <c r="C276" s="36"/>
      <c r="D276" s="36"/>
      <c r="E276" s="36"/>
      <c r="F276" s="36"/>
      <c r="G276" s="36"/>
      <c r="H276" s="37"/>
      <c r="I276" s="36"/>
      <c r="J276" s="38"/>
      <c r="K276" s="38"/>
      <c r="L276" s="39"/>
      <c r="M276" s="39"/>
      <c r="N276" s="39"/>
      <c r="O276" s="39"/>
      <c r="P276" s="39"/>
      <c r="Q276" s="39"/>
      <c r="R276" s="39"/>
      <c r="S276" s="39"/>
      <c r="T276" s="39"/>
      <c r="U276" s="39"/>
      <c r="V276" s="39"/>
      <c r="W276" s="39"/>
      <c r="X276" s="39"/>
      <c r="Y276" s="39"/>
      <c r="Z276" s="39"/>
      <c r="AA276" s="39"/>
      <c r="AB276" s="39"/>
    </row>
    <row r="277">
      <c r="A277" s="1"/>
      <c r="B277" s="36"/>
      <c r="C277" s="36"/>
      <c r="D277" s="36"/>
      <c r="E277" s="36"/>
      <c r="F277" s="36"/>
      <c r="G277" s="36"/>
      <c r="H277" s="37"/>
      <c r="I277" s="36"/>
      <c r="J277" s="38"/>
      <c r="K277" s="38"/>
      <c r="L277" s="39"/>
      <c r="M277" s="39"/>
      <c r="N277" s="39"/>
      <c r="O277" s="39"/>
      <c r="P277" s="39"/>
      <c r="Q277" s="39"/>
      <c r="R277" s="39"/>
      <c r="S277" s="39"/>
      <c r="T277" s="39"/>
      <c r="U277" s="39"/>
      <c r="V277" s="39"/>
      <c r="W277" s="39"/>
      <c r="X277" s="39"/>
      <c r="Y277" s="39"/>
      <c r="Z277" s="39"/>
      <c r="AA277" s="39"/>
      <c r="AB277" s="39"/>
    </row>
    <row r="278">
      <c r="A278" s="1"/>
      <c r="B278" s="36"/>
      <c r="C278" s="36"/>
      <c r="D278" s="36"/>
      <c r="E278" s="36"/>
      <c r="F278" s="36"/>
      <c r="G278" s="36"/>
      <c r="H278" s="37"/>
      <c r="I278" s="36"/>
      <c r="J278" s="38"/>
      <c r="K278" s="38"/>
      <c r="L278" s="39"/>
      <c r="M278" s="39"/>
      <c r="N278" s="39"/>
      <c r="O278" s="39"/>
      <c r="P278" s="39"/>
      <c r="Q278" s="39"/>
      <c r="R278" s="39"/>
      <c r="S278" s="39"/>
      <c r="T278" s="39"/>
      <c r="U278" s="39"/>
      <c r="V278" s="39"/>
      <c r="W278" s="39"/>
      <c r="X278" s="39"/>
      <c r="Y278" s="39"/>
      <c r="Z278" s="39"/>
      <c r="AA278" s="39"/>
      <c r="AB278" s="39"/>
    </row>
    <row r="279">
      <c r="A279" s="1"/>
      <c r="B279" s="36"/>
      <c r="C279" s="36"/>
      <c r="D279" s="36"/>
      <c r="E279" s="36"/>
      <c r="F279" s="36"/>
      <c r="G279" s="36"/>
      <c r="H279" s="37"/>
      <c r="I279" s="36"/>
      <c r="J279" s="38"/>
      <c r="K279" s="38"/>
      <c r="L279" s="39"/>
      <c r="M279" s="39"/>
      <c r="N279" s="39"/>
      <c r="O279" s="39"/>
      <c r="P279" s="39"/>
      <c r="Q279" s="39"/>
      <c r="R279" s="39"/>
      <c r="S279" s="39"/>
      <c r="T279" s="39"/>
      <c r="U279" s="39"/>
      <c r="V279" s="39"/>
      <c r="W279" s="39"/>
      <c r="X279" s="39"/>
      <c r="Y279" s="39"/>
      <c r="Z279" s="39"/>
      <c r="AA279" s="39"/>
      <c r="AB279" s="39"/>
    </row>
    <row r="280">
      <c r="A280" s="1"/>
      <c r="B280" s="36"/>
      <c r="C280" s="36"/>
      <c r="D280" s="36"/>
      <c r="E280" s="36"/>
      <c r="F280" s="36"/>
      <c r="G280" s="36"/>
      <c r="H280" s="37"/>
      <c r="I280" s="36"/>
      <c r="J280" s="38"/>
      <c r="K280" s="38"/>
      <c r="L280" s="39"/>
      <c r="M280" s="39"/>
      <c r="N280" s="39"/>
      <c r="O280" s="39"/>
      <c r="P280" s="39"/>
      <c r="Q280" s="39"/>
      <c r="R280" s="39"/>
      <c r="S280" s="39"/>
      <c r="T280" s="39"/>
      <c r="U280" s="39"/>
      <c r="V280" s="39"/>
      <c r="W280" s="39"/>
      <c r="X280" s="39"/>
      <c r="Y280" s="39"/>
      <c r="Z280" s="39"/>
      <c r="AA280" s="39"/>
      <c r="AB280" s="39"/>
    </row>
    <row r="281">
      <c r="A281" s="1"/>
      <c r="B281" s="36"/>
      <c r="C281" s="36"/>
      <c r="D281" s="36"/>
      <c r="E281" s="36"/>
      <c r="F281" s="36"/>
      <c r="G281" s="36"/>
      <c r="H281" s="37"/>
      <c r="I281" s="36"/>
      <c r="J281" s="38"/>
      <c r="K281" s="38"/>
      <c r="L281" s="39"/>
      <c r="M281" s="39"/>
      <c r="N281" s="39"/>
      <c r="O281" s="39"/>
      <c r="P281" s="39"/>
      <c r="Q281" s="39"/>
      <c r="R281" s="39"/>
      <c r="S281" s="39"/>
      <c r="T281" s="39"/>
      <c r="U281" s="39"/>
      <c r="V281" s="39"/>
      <c r="W281" s="39"/>
      <c r="X281" s="39"/>
      <c r="Y281" s="39"/>
      <c r="Z281" s="39"/>
      <c r="AA281" s="39"/>
      <c r="AB281" s="39"/>
    </row>
    <row r="282">
      <c r="A282" s="1"/>
      <c r="B282" s="36"/>
      <c r="C282" s="36"/>
      <c r="D282" s="36"/>
      <c r="E282" s="36"/>
      <c r="F282" s="36"/>
      <c r="G282" s="36"/>
      <c r="H282" s="37"/>
      <c r="I282" s="36"/>
      <c r="J282" s="38"/>
      <c r="K282" s="38"/>
      <c r="L282" s="39"/>
      <c r="M282" s="39"/>
      <c r="N282" s="39"/>
      <c r="O282" s="39"/>
      <c r="P282" s="39"/>
      <c r="Q282" s="39"/>
      <c r="R282" s="39"/>
      <c r="S282" s="39"/>
      <c r="T282" s="39"/>
      <c r="U282" s="39"/>
      <c r="V282" s="39"/>
      <c r="W282" s="39"/>
      <c r="X282" s="39"/>
      <c r="Y282" s="39"/>
      <c r="Z282" s="39"/>
      <c r="AA282" s="39"/>
      <c r="AB282" s="39"/>
    </row>
    <row r="283">
      <c r="A283" s="1"/>
      <c r="B283" s="36"/>
      <c r="C283" s="36"/>
      <c r="D283" s="36"/>
      <c r="E283" s="36"/>
      <c r="F283" s="36"/>
      <c r="G283" s="36"/>
      <c r="H283" s="37"/>
      <c r="I283" s="36"/>
      <c r="J283" s="38"/>
      <c r="K283" s="38"/>
      <c r="L283" s="39"/>
      <c r="M283" s="39"/>
      <c r="N283" s="39"/>
      <c r="O283" s="39"/>
      <c r="P283" s="39"/>
      <c r="Q283" s="39"/>
      <c r="R283" s="39"/>
      <c r="S283" s="39"/>
      <c r="T283" s="39"/>
      <c r="U283" s="39"/>
      <c r="V283" s="39"/>
      <c r="W283" s="39"/>
      <c r="X283" s="39"/>
      <c r="Y283" s="39"/>
      <c r="Z283" s="39"/>
      <c r="AA283" s="39"/>
      <c r="AB283" s="39"/>
    </row>
    <row r="284">
      <c r="A284" s="1"/>
      <c r="B284" s="36"/>
      <c r="C284" s="36"/>
      <c r="D284" s="36"/>
      <c r="E284" s="36"/>
      <c r="F284" s="36"/>
      <c r="G284" s="36"/>
      <c r="H284" s="37"/>
      <c r="I284" s="36"/>
      <c r="J284" s="38"/>
      <c r="K284" s="38"/>
      <c r="L284" s="39"/>
      <c r="M284" s="39"/>
      <c r="N284" s="39"/>
      <c r="O284" s="39"/>
      <c r="P284" s="39"/>
      <c r="Q284" s="39"/>
      <c r="R284" s="39"/>
      <c r="S284" s="39"/>
      <c r="T284" s="39"/>
      <c r="U284" s="39"/>
      <c r="V284" s="39"/>
      <c r="W284" s="39"/>
      <c r="X284" s="39"/>
      <c r="Y284" s="39"/>
      <c r="Z284" s="39"/>
      <c r="AA284" s="39"/>
      <c r="AB284" s="39"/>
    </row>
    <row r="285">
      <c r="A285" s="1"/>
      <c r="B285" s="36"/>
      <c r="C285" s="36"/>
      <c r="D285" s="36"/>
      <c r="E285" s="36"/>
      <c r="F285" s="36"/>
      <c r="G285" s="36"/>
      <c r="H285" s="37"/>
      <c r="I285" s="36"/>
      <c r="J285" s="38"/>
      <c r="K285" s="38"/>
      <c r="L285" s="39"/>
      <c r="M285" s="39"/>
      <c r="N285" s="39"/>
      <c r="O285" s="39"/>
      <c r="P285" s="39"/>
      <c r="Q285" s="39"/>
      <c r="R285" s="39"/>
      <c r="S285" s="39"/>
      <c r="T285" s="39"/>
      <c r="U285" s="39"/>
      <c r="V285" s="39"/>
      <c r="W285" s="39"/>
      <c r="X285" s="39"/>
      <c r="Y285" s="39"/>
      <c r="Z285" s="39"/>
      <c r="AA285" s="39"/>
      <c r="AB285" s="39"/>
    </row>
    <row r="286">
      <c r="A286" s="1"/>
      <c r="B286" s="36"/>
      <c r="C286" s="36"/>
      <c r="D286" s="36"/>
      <c r="E286" s="36"/>
      <c r="F286" s="36"/>
      <c r="G286" s="36"/>
      <c r="H286" s="37"/>
      <c r="I286" s="36"/>
      <c r="J286" s="38"/>
      <c r="K286" s="38"/>
      <c r="L286" s="39"/>
      <c r="M286" s="39"/>
      <c r="N286" s="39"/>
      <c r="O286" s="39"/>
      <c r="P286" s="39"/>
      <c r="Q286" s="39"/>
      <c r="R286" s="39"/>
      <c r="S286" s="39"/>
      <c r="T286" s="39"/>
      <c r="U286" s="39"/>
      <c r="V286" s="39"/>
      <c r="W286" s="39"/>
      <c r="X286" s="39"/>
      <c r="Y286" s="39"/>
      <c r="Z286" s="39"/>
      <c r="AA286" s="39"/>
      <c r="AB286" s="39"/>
    </row>
    <row r="287">
      <c r="A287" s="1"/>
      <c r="B287" s="36"/>
      <c r="C287" s="36"/>
      <c r="D287" s="36"/>
      <c r="E287" s="36"/>
      <c r="F287" s="36"/>
      <c r="G287" s="36"/>
      <c r="H287" s="37"/>
      <c r="I287" s="36"/>
      <c r="J287" s="38"/>
      <c r="K287" s="38"/>
      <c r="L287" s="39"/>
      <c r="M287" s="39"/>
      <c r="N287" s="39"/>
      <c r="O287" s="39"/>
      <c r="P287" s="39"/>
      <c r="Q287" s="39"/>
      <c r="R287" s="39"/>
      <c r="S287" s="39"/>
      <c r="T287" s="39"/>
      <c r="U287" s="39"/>
      <c r="V287" s="39"/>
      <c r="W287" s="39"/>
      <c r="X287" s="39"/>
      <c r="Y287" s="39"/>
      <c r="Z287" s="39"/>
      <c r="AA287" s="39"/>
      <c r="AB287" s="39"/>
    </row>
    <row r="288">
      <c r="A288" s="1"/>
      <c r="B288" s="36"/>
      <c r="C288" s="36"/>
      <c r="D288" s="36"/>
      <c r="E288" s="36"/>
      <c r="F288" s="36"/>
      <c r="G288" s="36"/>
      <c r="H288" s="37"/>
      <c r="I288" s="36"/>
      <c r="J288" s="38"/>
      <c r="K288" s="38"/>
      <c r="L288" s="39"/>
      <c r="M288" s="39"/>
      <c r="N288" s="39"/>
      <c r="O288" s="39"/>
      <c r="P288" s="39"/>
      <c r="Q288" s="39"/>
      <c r="R288" s="39"/>
      <c r="S288" s="39"/>
      <c r="T288" s="39"/>
      <c r="U288" s="39"/>
      <c r="V288" s="39"/>
      <c r="W288" s="39"/>
      <c r="X288" s="39"/>
      <c r="Y288" s="39"/>
      <c r="Z288" s="39"/>
      <c r="AA288" s="39"/>
      <c r="AB288" s="39"/>
    </row>
    <row r="289">
      <c r="A289" s="1"/>
      <c r="B289" s="36"/>
      <c r="C289" s="36"/>
      <c r="D289" s="36"/>
      <c r="E289" s="36"/>
      <c r="F289" s="36"/>
      <c r="G289" s="36"/>
      <c r="H289" s="37"/>
      <c r="I289" s="36"/>
      <c r="J289" s="38"/>
      <c r="K289" s="38"/>
      <c r="L289" s="39"/>
      <c r="M289" s="39"/>
      <c r="N289" s="39"/>
      <c r="O289" s="39"/>
      <c r="P289" s="39"/>
      <c r="Q289" s="39"/>
      <c r="R289" s="39"/>
      <c r="S289" s="39"/>
      <c r="T289" s="39"/>
      <c r="U289" s="39"/>
      <c r="V289" s="39"/>
      <c r="W289" s="39"/>
      <c r="X289" s="39"/>
      <c r="Y289" s="39"/>
      <c r="Z289" s="39"/>
      <c r="AA289" s="39"/>
      <c r="AB289" s="39"/>
    </row>
    <row r="290">
      <c r="A290" s="1"/>
      <c r="B290" s="36"/>
      <c r="C290" s="36"/>
      <c r="D290" s="36"/>
      <c r="E290" s="36"/>
      <c r="F290" s="36"/>
      <c r="G290" s="36"/>
      <c r="H290" s="37"/>
      <c r="I290" s="36"/>
      <c r="J290" s="38"/>
      <c r="K290" s="38"/>
      <c r="L290" s="39"/>
      <c r="M290" s="39"/>
      <c r="N290" s="39"/>
      <c r="O290" s="39"/>
      <c r="P290" s="39"/>
      <c r="Q290" s="39"/>
      <c r="R290" s="39"/>
      <c r="S290" s="39"/>
      <c r="T290" s="39"/>
      <c r="U290" s="39"/>
      <c r="V290" s="39"/>
      <c r="W290" s="39"/>
      <c r="X290" s="39"/>
      <c r="Y290" s="39"/>
      <c r="Z290" s="39"/>
      <c r="AA290" s="39"/>
      <c r="AB290" s="39"/>
    </row>
    <row r="291">
      <c r="A291" s="1"/>
      <c r="B291" s="36"/>
      <c r="C291" s="36"/>
      <c r="D291" s="36"/>
      <c r="E291" s="36"/>
      <c r="F291" s="36"/>
      <c r="G291" s="36"/>
      <c r="H291" s="37"/>
      <c r="I291" s="36"/>
      <c r="J291" s="38"/>
      <c r="K291" s="38"/>
      <c r="L291" s="39"/>
      <c r="M291" s="39"/>
      <c r="N291" s="39"/>
      <c r="O291" s="39"/>
      <c r="P291" s="39"/>
      <c r="Q291" s="39"/>
      <c r="R291" s="39"/>
      <c r="S291" s="39"/>
      <c r="T291" s="39"/>
      <c r="U291" s="39"/>
      <c r="V291" s="39"/>
      <c r="W291" s="39"/>
      <c r="X291" s="39"/>
      <c r="Y291" s="39"/>
      <c r="Z291" s="39"/>
      <c r="AA291" s="39"/>
      <c r="AB291" s="39"/>
    </row>
    <row r="292">
      <c r="A292" s="1"/>
      <c r="B292" s="36"/>
      <c r="C292" s="36"/>
      <c r="D292" s="36"/>
      <c r="E292" s="36"/>
      <c r="F292" s="36"/>
      <c r="G292" s="36"/>
      <c r="H292" s="37"/>
      <c r="I292" s="36"/>
      <c r="J292" s="38"/>
      <c r="K292" s="38"/>
      <c r="L292" s="39"/>
      <c r="M292" s="39"/>
      <c r="N292" s="39"/>
      <c r="O292" s="39"/>
      <c r="P292" s="39"/>
      <c r="Q292" s="39"/>
      <c r="R292" s="39"/>
      <c r="S292" s="39"/>
      <c r="T292" s="39"/>
      <c r="U292" s="39"/>
      <c r="V292" s="39"/>
      <c r="W292" s="39"/>
      <c r="X292" s="39"/>
      <c r="Y292" s="39"/>
      <c r="Z292" s="39"/>
      <c r="AA292" s="39"/>
      <c r="AB292" s="39"/>
    </row>
    <row r="293">
      <c r="A293" s="1"/>
      <c r="B293" s="36"/>
      <c r="C293" s="36"/>
      <c r="D293" s="36"/>
      <c r="E293" s="36"/>
      <c r="F293" s="36"/>
      <c r="G293" s="36"/>
      <c r="H293" s="37"/>
      <c r="I293" s="36"/>
      <c r="J293" s="38"/>
      <c r="K293" s="38"/>
      <c r="L293" s="39"/>
      <c r="M293" s="39"/>
      <c r="N293" s="39"/>
      <c r="O293" s="39"/>
      <c r="P293" s="39"/>
      <c r="Q293" s="39"/>
      <c r="R293" s="39"/>
      <c r="S293" s="39"/>
      <c r="T293" s="39"/>
      <c r="U293" s="39"/>
      <c r="V293" s="39"/>
      <c r="W293" s="39"/>
      <c r="X293" s="39"/>
      <c r="Y293" s="39"/>
      <c r="Z293" s="39"/>
      <c r="AA293" s="39"/>
      <c r="AB293" s="39"/>
    </row>
    <row r="294">
      <c r="A294" s="1"/>
      <c r="B294" s="36"/>
      <c r="C294" s="36"/>
      <c r="D294" s="36"/>
      <c r="E294" s="36"/>
      <c r="F294" s="36"/>
      <c r="G294" s="36"/>
      <c r="H294" s="37"/>
      <c r="I294" s="36"/>
      <c r="J294" s="38"/>
      <c r="K294" s="38"/>
      <c r="L294" s="39"/>
      <c r="M294" s="39"/>
      <c r="N294" s="39"/>
      <c r="O294" s="39"/>
      <c r="P294" s="39"/>
      <c r="Q294" s="39"/>
      <c r="R294" s="39"/>
      <c r="S294" s="39"/>
      <c r="T294" s="39"/>
      <c r="U294" s="39"/>
      <c r="V294" s="39"/>
      <c r="W294" s="39"/>
      <c r="X294" s="39"/>
      <c r="Y294" s="39"/>
      <c r="Z294" s="39"/>
      <c r="AA294" s="39"/>
      <c r="AB294" s="39"/>
    </row>
    <row r="295">
      <c r="A295" s="1"/>
      <c r="B295" s="36"/>
      <c r="C295" s="36"/>
      <c r="D295" s="36"/>
      <c r="E295" s="36"/>
      <c r="F295" s="36"/>
      <c r="G295" s="36"/>
      <c r="H295" s="37"/>
      <c r="I295" s="36"/>
      <c r="J295" s="38"/>
      <c r="K295" s="38"/>
      <c r="L295" s="39"/>
      <c r="M295" s="39"/>
      <c r="N295" s="39"/>
      <c r="O295" s="39"/>
      <c r="P295" s="39"/>
      <c r="Q295" s="39"/>
      <c r="R295" s="39"/>
      <c r="S295" s="39"/>
      <c r="T295" s="39"/>
      <c r="U295" s="39"/>
      <c r="V295" s="39"/>
      <c r="W295" s="39"/>
      <c r="X295" s="39"/>
      <c r="Y295" s="39"/>
      <c r="Z295" s="39"/>
      <c r="AA295" s="39"/>
      <c r="AB295" s="39"/>
    </row>
    <row r="296">
      <c r="A296" s="1"/>
      <c r="B296" s="36"/>
      <c r="C296" s="36"/>
      <c r="D296" s="36"/>
      <c r="E296" s="36"/>
      <c r="F296" s="36"/>
      <c r="G296" s="36"/>
      <c r="H296" s="37"/>
      <c r="I296" s="36"/>
      <c r="J296" s="38"/>
      <c r="K296" s="38"/>
      <c r="L296" s="39"/>
      <c r="M296" s="39"/>
      <c r="N296" s="39"/>
      <c r="O296" s="39"/>
      <c r="P296" s="39"/>
      <c r="Q296" s="39"/>
      <c r="R296" s="39"/>
      <c r="S296" s="39"/>
      <c r="T296" s="39"/>
      <c r="U296" s="39"/>
      <c r="V296" s="39"/>
      <c r="W296" s="39"/>
      <c r="X296" s="39"/>
      <c r="Y296" s="39"/>
      <c r="Z296" s="39"/>
      <c r="AA296" s="39"/>
      <c r="AB296" s="39"/>
    </row>
    <row r="297">
      <c r="A297" s="1"/>
      <c r="B297" s="36"/>
      <c r="C297" s="36"/>
      <c r="D297" s="36"/>
      <c r="E297" s="36"/>
      <c r="F297" s="36"/>
      <c r="G297" s="36"/>
      <c r="H297" s="37"/>
      <c r="I297" s="36"/>
      <c r="J297" s="38"/>
      <c r="K297" s="38"/>
      <c r="L297" s="39"/>
      <c r="M297" s="39"/>
      <c r="N297" s="39"/>
      <c r="O297" s="39"/>
      <c r="P297" s="39"/>
      <c r="Q297" s="39"/>
      <c r="R297" s="39"/>
      <c r="S297" s="39"/>
      <c r="T297" s="39"/>
      <c r="U297" s="39"/>
      <c r="V297" s="39"/>
      <c r="W297" s="39"/>
      <c r="X297" s="39"/>
      <c r="Y297" s="39"/>
      <c r="Z297" s="39"/>
      <c r="AA297" s="39"/>
      <c r="AB297" s="39"/>
    </row>
    <row r="298">
      <c r="A298" s="1"/>
      <c r="B298" s="36"/>
      <c r="C298" s="36"/>
      <c r="D298" s="36"/>
      <c r="E298" s="36"/>
      <c r="F298" s="36"/>
      <c r="G298" s="36"/>
      <c r="H298" s="37"/>
      <c r="I298" s="36"/>
      <c r="J298" s="38"/>
      <c r="K298" s="38"/>
      <c r="L298" s="39"/>
      <c r="M298" s="39"/>
      <c r="N298" s="39"/>
      <c r="O298" s="39"/>
      <c r="P298" s="39"/>
      <c r="Q298" s="39"/>
      <c r="R298" s="39"/>
      <c r="S298" s="39"/>
      <c r="T298" s="39"/>
      <c r="U298" s="39"/>
      <c r="V298" s="39"/>
      <c r="W298" s="39"/>
      <c r="X298" s="39"/>
      <c r="Y298" s="39"/>
      <c r="Z298" s="39"/>
      <c r="AA298" s="39"/>
      <c r="AB298" s="39"/>
    </row>
    <row r="299">
      <c r="A299" s="1"/>
      <c r="B299" s="36"/>
      <c r="C299" s="36"/>
      <c r="D299" s="36"/>
      <c r="E299" s="36"/>
      <c r="F299" s="36"/>
      <c r="G299" s="36"/>
      <c r="H299" s="37"/>
      <c r="I299" s="36"/>
      <c r="J299" s="38"/>
      <c r="K299" s="38"/>
      <c r="L299" s="39"/>
      <c r="M299" s="39"/>
      <c r="N299" s="39"/>
      <c r="O299" s="39"/>
      <c r="P299" s="39"/>
      <c r="Q299" s="39"/>
      <c r="R299" s="39"/>
      <c r="S299" s="39"/>
      <c r="T299" s="39"/>
      <c r="U299" s="39"/>
      <c r="V299" s="39"/>
      <c r="W299" s="39"/>
      <c r="X299" s="39"/>
      <c r="Y299" s="39"/>
      <c r="Z299" s="39"/>
      <c r="AA299" s="39"/>
      <c r="AB299" s="39"/>
    </row>
    <row r="300">
      <c r="A300" s="1"/>
      <c r="B300" s="36"/>
      <c r="C300" s="36"/>
      <c r="D300" s="36"/>
      <c r="E300" s="36"/>
      <c r="F300" s="36"/>
      <c r="G300" s="36"/>
      <c r="H300" s="37"/>
      <c r="I300" s="36"/>
      <c r="J300" s="38"/>
      <c r="K300" s="38"/>
      <c r="L300" s="39"/>
      <c r="M300" s="39"/>
      <c r="N300" s="39"/>
      <c r="O300" s="39"/>
      <c r="P300" s="39"/>
      <c r="Q300" s="39"/>
      <c r="R300" s="39"/>
      <c r="S300" s="39"/>
      <c r="T300" s="39"/>
      <c r="U300" s="39"/>
      <c r="V300" s="39"/>
      <c r="W300" s="39"/>
      <c r="X300" s="39"/>
      <c r="Y300" s="39"/>
      <c r="Z300" s="39"/>
      <c r="AA300" s="39"/>
      <c r="AB300" s="39"/>
    </row>
    <row r="301">
      <c r="A301" s="1"/>
      <c r="B301" s="36"/>
      <c r="C301" s="36"/>
      <c r="D301" s="36"/>
      <c r="E301" s="36"/>
      <c r="F301" s="36"/>
      <c r="G301" s="36"/>
      <c r="H301" s="37"/>
      <c r="I301" s="36"/>
      <c r="J301" s="38"/>
      <c r="K301" s="38"/>
      <c r="L301" s="39"/>
      <c r="M301" s="39"/>
      <c r="N301" s="39"/>
      <c r="O301" s="39"/>
      <c r="P301" s="39"/>
      <c r="Q301" s="39"/>
      <c r="R301" s="39"/>
      <c r="S301" s="39"/>
      <c r="T301" s="39"/>
      <c r="U301" s="39"/>
      <c r="V301" s="39"/>
      <c r="W301" s="39"/>
      <c r="X301" s="39"/>
      <c r="Y301" s="39"/>
      <c r="Z301" s="39"/>
      <c r="AA301" s="39"/>
      <c r="AB301" s="39"/>
    </row>
    <row r="302">
      <c r="A302" s="1"/>
      <c r="B302" s="36"/>
      <c r="C302" s="36"/>
      <c r="D302" s="36"/>
      <c r="E302" s="36"/>
      <c r="F302" s="36"/>
      <c r="G302" s="36"/>
      <c r="H302" s="37"/>
      <c r="I302" s="36"/>
      <c r="J302" s="38"/>
      <c r="K302" s="38"/>
      <c r="L302" s="39"/>
      <c r="M302" s="39"/>
      <c r="N302" s="39"/>
      <c r="O302" s="39"/>
      <c r="P302" s="39"/>
      <c r="Q302" s="39"/>
      <c r="R302" s="39"/>
      <c r="S302" s="39"/>
      <c r="T302" s="39"/>
      <c r="U302" s="39"/>
      <c r="V302" s="39"/>
      <c r="W302" s="39"/>
      <c r="X302" s="39"/>
      <c r="Y302" s="39"/>
      <c r="Z302" s="39"/>
      <c r="AA302" s="39"/>
      <c r="AB302" s="39"/>
    </row>
    <row r="303">
      <c r="A303" s="1"/>
      <c r="B303" s="36"/>
      <c r="C303" s="36"/>
      <c r="D303" s="36"/>
      <c r="E303" s="36"/>
      <c r="F303" s="36"/>
      <c r="G303" s="36"/>
      <c r="H303" s="37"/>
      <c r="I303" s="36"/>
      <c r="J303" s="38"/>
      <c r="K303" s="38"/>
      <c r="L303" s="39"/>
      <c r="M303" s="39"/>
      <c r="N303" s="39"/>
      <c r="O303" s="39"/>
      <c r="P303" s="39"/>
      <c r="Q303" s="39"/>
      <c r="R303" s="39"/>
      <c r="S303" s="39"/>
      <c r="T303" s="39"/>
      <c r="U303" s="39"/>
      <c r="V303" s="39"/>
      <c r="W303" s="39"/>
      <c r="X303" s="39"/>
      <c r="Y303" s="39"/>
      <c r="Z303" s="39"/>
      <c r="AA303" s="39"/>
      <c r="AB303" s="39"/>
    </row>
    <row r="304">
      <c r="A304" s="1"/>
      <c r="B304" s="36"/>
      <c r="C304" s="36"/>
      <c r="D304" s="36"/>
      <c r="E304" s="36"/>
      <c r="F304" s="36"/>
      <c r="G304" s="36"/>
      <c r="H304" s="37"/>
      <c r="I304" s="36"/>
      <c r="J304" s="38"/>
      <c r="K304" s="38"/>
      <c r="L304" s="39"/>
      <c r="M304" s="39"/>
      <c r="N304" s="39"/>
      <c r="O304" s="39"/>
      <c r="P304" s="39"/>
      <c r="Q304" s="39"/>
      <c r="R304" s="39"/>
      <c r="S304" s="39"/>
      <c r="T304" s="39"/>
      <c r="U304" s="39"/>
      <c r="V304" s="39"/>
      <c r="W304" s="39"/>
      <c r="X304" s="39"/>
      <c r="Y304" s="39"/>
      <c r="Z304" s="39"/>
      <c r="AA304" s="39"/>
      <c r="AB304" s="39"/>
    </row>
    <row r="305">
      <c r="A305" s="1"/>
      <c r="B305" s="36"/>
      <c r="C305" s="36"/>
      <c r="D305" s="36"/>
      <c r="E305" s="36"/>
      <c r="F305" s="36"/>
      <c r="G305" s="36"/>
      <c r="H305" s="37"/>
      <c r="I305" s="36"/>
      <c r="J305" s="38"/>
      <c r="K305" s="38"/>
      <c r="L305" s="39"/>
      <c r="M305" s="39"/>
      <c r="N305" s="39"/>
      <c r="O305" s="39"/>
      <c r="P305" s="39"/>
      <c r="Q305" s="39"/>
      <c r="R305" s="39"/>
      <c r="S305" s="39"/>
      <c r="T305" s="39"/>
      <c r="U305" s="39"/>
      <c r="V305" s="39"/>
      <c r="W305" s="39"/>
      <c r="X305" s="39"/>
      <c r="Y305" s="39"/>
      <c r="Z305" s="39"/>
      <c r="AA305" s="39"/>
      <c r="AB305" s="39"/>
    </row>
    <row r="306">
      <c r="A306" s="1"/>
      <c r="B306" s="36"/>
      <c r="C306" s="36"/>
      <c r="D306" s="36"/>
      <c r="E306" s="36"/>
      <c r="F306" s="36"/>
      <c r="G306" s="36"/>
      <c r="H306" s="37"/>
      <c r="I306" s="36"/>
      <c r="J306" s="38"/>
      <c r="K306" s="38"/>
      <c r="L306" s="39"/>
      <c r="M306" s="39"/>
      <c r="N306" s="39"/>
      <c r="O306" s="39"/>
      <c r="P306" s="39"/>
      <c r="Q306" s="39"/>
      <c r="R306" s="39"/>
      <c r="S306" s="39"/>
      <c r="T306" s="39"/>
      <c r="U306" s="39"/>
      <c r="V306" s="39"/>
      <c r="W306" s="39"/>
      <c r="X306" s="39"/>
      <c r="Y306" s="39"/>
      <c r="Z306" s="39"/>
      <c r="AA306" s="39"/>
      <c r="AB306" s="39"/>
    </row>
    <row r="307">
      <c r="A307" s="1"/>
      <c r="B307" s="36"/>
      <c r="C307" s="36"/>
      <c r="D307" s="36"/>
      <c r="E307" s="36"/>
      <c r="F307" s="36"/>
      <c r="G307" s="36"/>
      <c r="H307" s="37"/>
      <c r="I307" s="36"/>
      <c r="J307" s="38"/>
      <c r="K307" s="38"/>
      <c r="L307" s="39"/>
      <c r="M307" s="39"/>
      <c r="N307" s="39"/>
      <c r="O307" s="39"/>
      <c r="P307" s="39"/>
      <c r="Q307" s="39"/>
      <c r="R307" s="39"/>
      <c r="S307" s="39"/>
      <c r="T307" s="39"/>
      <c r="U307" s="39"/>
      <c r="V307" s="39"/>
      <c r="W307" s="39"/>
      <c r="X307" s="39"/>
      <c r="Y307" s="39"/>
      <c r="Z307" s="39"/>
      <c r="AA307" s="39"/>
      <c r="AB307" s="39"/>
    </row>
    <row r="308">
      <c r="A308" s="1"/>
      <c r="B308" s="36"/>
      <c r="C308" s="36"/>
      <c r="D308" s="36"/>
      <c r="E308" s="36"/>
      <c r="F308" s="36"/>
      <c r="G308" s="36"/>
      <c r="H308" s="37"/>
      <c r="I308" s="36"/>
      <c r="J308" s="38"/>
      <c r="K308" s="38"/>
      <c r="L308" s="39"/>
      <c r="M308" s="39"/>
      <c r="N308" s="39"/>
      <c r="O308" s="39"/>
      <c r="P308" s="39"/>
      <c r="Q308" s="39"/>
      <c r="R308" s="39"/>
      <c r="S308" s="39"/>
      <c r="T308" s="39"/>
      <c r="U308" s="39"/>
      <c r="V308" s="39"/>
      <c r="W308" s="39"/>
      <c r="X308" s="39"/>
      <c r="Y308" s="39"/>
      <c r="Z308" s="39"/>
      <c r="AA308" s="39"/>
      <c r="AB308" s="39"/>
    </row>
    <row r="309">
      <c r="A309" s="1"/>
      <c r="B309" s="36"/>
      <c r="C309" s="36"/>
      <c r="D309" s="36"/>
      <c r="E309" s="36"/>
      <c r="F309" s="36"/>
      <c r="G309" s="36"/>
      <c r="H309" s="37"/>
      <c r="I309" s="36"/>
      <c r="J309" s="38"/>
      <c r="K309" s="38"/>
      <c r="L309" s="39"/>
      <c r="M309" s="39"/>
      <c r="N309" s="39"/>
      <c r="O309" s="39"/>
      <c r="P309" s="39"/>
      <c r="Q309" s="39"/>
      <c r="R309" s="39"/>
      <c r="S309" s="39"/>
      <c r="T309" s="39"/>
      <c r="U309" s="39"/>
      <c r="V309" s="39"/>
      <c r="W309" s="39"/>
      <c r="X309" s="39"/>
      <c r="Y309" s="39"/>
      <c r="Z309" s="39"/>
      <c r="AA309" s="39"/>
      <c r="AB309" s="39"/>
    </row>
    <row r="310">
      <c r="A310" s="1"/>
      <c r="B310" s="36"/>
      <c r="C310" s="36"/>
      <c r="D310" s="36"/>
      <c r="E310" s="36"/>
      <c r="F310" s="36"/>
      <c r="G310" s="36"/>
      <c r="H310" s="37"/>
      <c r="I310" s="36"/>
      <c r="J310" s="38"/>
      <c r="K310" s="38"/>
      <c r="L310" s="39"/>
      <c r="M310" s="39"/>
      <c r="N310" s="39"/>
      <c r="O310" s="39"/>
      <c r="P310" s="39"/>
      <c r="Q310" s="39"/>
      <c r="R310" s="39"/>
      <c r="S310" s="39"/>
      <c r="T310" s="39"/>
      <c r="U310" s="39"/>
      <c r="V310" s="39"/>
      <c r="W310" s="39"/>
      <c r="X310" s="39"/>
      <c r="Y310" s="39"/>
      <c r="Z310" s="39"/>
      <c r="AA310" s="39"/>
      <c r="AB310" s="39"/>
    </row>
    <row r="311">
      <c r="A311" s="1"/>
      <c r="B311" s="36"/>
      <c r="C311" s="36"/>
      <c r="D311" s="36"/>
      <c r="E311" s="36"/>
      <c r="F311" s="36"/>
      <c r="G311" s="36"/>
      <c r="H311" s="37"/>
      <c r="I311" s="36"/>
      <c r="J311" s="38"/>
      <c r="K311" s="38"/>
      <c r="L311" s="39"/>
      <c r="M311" s="39"/>
      <c r="N311" s="39"/>
      <c r="O311" s="39"/>
      <c r="P311" s="39"/>
      <c r="Q311" s="39"/>
      <c r="R311" s="39"/>
      <c r="S311" s="39"/>
      <c r="T311" s="39"/>
      <c r="U311" s="39"/>
      <c r="V311" s="39"/>
      <c r="W311" s="39"/>
      <c r="X311" s="39"/>
      <c r="Y311" s="39"/>
      <c r="Z311" s="39"/>
      <c r="AA311" s="39"/>
      <c r="AB311" s="39"/>
    </row>
    <row r="312">
      <c r="A312" s="1"/>
      <c r="B312" s="36"/>
      <c r="C312" s="36"/>
      <c r="D312" s="36"/>
      <c r="E312" s="36"/>
      <c r="F312" s="36"/>
      <c r="G312" s="36"/>
      <c r="H312" s="37"/>
      <c r="I312" s="36"/>
      <c r="J312" s="38"/>
      <c r="K312" s="38"/>
      <c r="L312" s="39"/>
      <c r="M312" s="39"/>
      <c r="N312" s="39"/>
      <c r="O312" s="39"/>
      <c r="P312" s="39"/>
      <c r="Q312" s="39"/>
      <c r="R312" s="39"/>
      <c r="S312" s="39"/>
      <c r="T312" s="39"/>
      <c r="U312" s="39"/>
      <c r="V312" s="39"/>
      <c r="W312" s="39"/>
      <c r="X312" s="39"/>
      <c r="Y312" s="39"/>
      <c r="Z312" s="39"/>
      <c r="AA312" s="39"/>
      <c r="AB312" s="39"/>
    </row>
    <row r="313">
      <c r="A313" s="1"/>
      <c r="B313" s="36"/>
      <c r="C313" s="36"/>
      <c r="D313" s="36"/>
      <c r="E313" s="36"/>
      <c r="F313" s="36"/>
      <c r="G313" s="36"/>
      <c r="H313" s="37"/>
      <c r="I313" s="36"/>
      <c r="J313" s="38"/>
      <c r="K313" s="38"/>
      <c r="L313" s="39"/>
      <c r="M313" s="39"/>
      <c r="N313" s="39"/>
      <c r="O313" s="39"/>
      <c r="P313" s="39"/>
      <c r="Q313" s="39"/>
      <c r="R313" s="39"/>
      <c r="S313" s="39"/>
      <c r="T313" s="39"/>
      <c r="U313" s="39"/>
      <c r="V313" s="39"/>
      <c r="W313" s="39"/>
      <c r="X313" s="39"/>
      <c r="Y313" s="39"/>
      <c r="Z313" s="39"/>
      <c r="AA313" s="39"/>
      <c r="AB313" s="39"/>
    </row>
    <row r="314">
      <c r="A314" s="1"/>
      <c r="B314" s="36"/>
      <c r="C314" s="36"/>
      <c r="D314" s="36"/>
      <c r="E314" s="36"/>
      <c r="F314" s="36"/>
      <c r="G314" s="36"/>
      <c r="H314" s="37"/>
      <c r="I314" s="36"/>
      <c r="J314" s="38"/>
      <c r="K314" s="38"/>
      <c r="L314" s="39"/>
      <c r="M314" s="39"/>
      <c r="N314" s="39"/>
      <c r="O314" s="39"/>
      <c r="P314" s="39"/>
      <c r="Q314" s="39"/>
      <c r="R314" s="39"/>
      <c r="S314" s="39"/>
      <c r="T314" s="39"/>
      <c r="U314" s="39"/>
      <c r="V314" s="39"/>
      <c r="W314" s="39"/>
      <c r="X314" s="39"/>
      <c r="Y314" s="39"/>
      <c r="Z314" s="39"/>
      <c r="AA314" s="39"/>
      <c r="AB314" s="39"/>
    </row>
    <row r="315">
      <c r="A315" s="1"/>
      <c r="B315" s="36"/>
      <c r="C315" s="36"/>
      <c r="D315" s="36"/>
      <c r="E315" s="36"/>
      <c r="F315" s="36"/>
      <c r="G315" s="36"/>
      <c r="H315" s="37"/>
      <c r="I315" s="36"/>
      <c r="J315" s="38"/>
      <c r="K315" s="38"/>
      <c r="L315" s="39"/>
      <c r="M315" s="39"/>
      <c r="N315" s="39"/>
      <c r="O315" s="39"/>
      <c r="P315" s="39"/>
      <c r="Q315" s="39"/>
      <c r="R315" s="39"/>
      <c r="S315" s="39"/>
      <c r="T315" s="39"/>
      <c r="U315" s="39"/>
      <c r="V315" s="39"/>
      <c r="W315" s="39"/>
      <c r="X315" s="39"/>
      <c r="Y315" s="39"/>
      <c r="Z315" s="39"/>
      <c r="AA315" s="39"/>
      <c r="AB315" s="39"/>
    </row>
    <row r="316">
      <c r="A316" s="1"/>
      <c r="B316" s="36"/>
      <c r="C316" s="36"/>
      <c r="D316" s="36"/>
      <c r="E316" s="36"/>
      <c r="F316" s="36"/>
      <c r="G316" s="36"/>
      <c r="H316" s="37"/>
      <c r="I316" s="36"/>
      <c r="J316" s="38"/>
      <c r="K316" s="38"/>
      <c r="L316" s="39"/>
      <c r="M316" s="39"/>
      <c r="N316" s="39"/>
      <c r="O316" s="39"/>
      <c r="P316" s="39"/>
      <c r="Q316" s="39"/>
      <c r="R316" s="39"/>
      <c r="S316" s="39"/>
      <c r="T316" s="39"/>
      <c r="U316" s="39"/>
      <c r="V316" s="39"/>
      <c r="W316" s="39"/>
      <c r="X316" s="39"/>
      <c r="Y316" s="39"/>
      <c r="Z316" s="39"/>
      <c r="AA316" s="39"/>
      <c r="AB316" s="39"/>
    </row>
    <row r="317">
      <c r="A317" s="1"/>
      <c r="B317" s="36"/>
      <c r="C317" s="36"/>
      <c r="D317" s="36"/>
      <c r="E317" s="36"/>
      <c r="F317" s="36"/>
      <c r="G317" s="36"/>
      <c r="H317" s="37"/>
      <c r="I317" s="36"/>
      <c r="J317" s="38"/>
      <c r="K317" s="38"/>
      <c r="L317" s="39"/>
      <c r="M317" s="39"/>
      <c r="N317" s="39"/>
      <c r="O317" s="39"/>
      <c r="P317" s="39"/>
      <c r="Q317" s="39"/>
      <c r="R317" s="39"/>
      <c r="S317" s="39"/>
      <c r="T317" s="39"/>
      <c r="U317" s="39"/>
      <c r="V317" s="39"/>
      <c r="W317" s="39"/>
      <c r="X317" s="39"/>
      <c r="Y317" s="39"/>
      <c r="Z317" s="39"/>
      <c r="AA317" s="39"/>
      <c r="AB317" s="39"/>
    </row>
    <row r="318">
      <c r="A318" s="1"/>
      <c r="B318" s="36"/>
      <c r="C318" s="36"/>
      <c r="D318" s="36"/>
      <c r="E318" s="36"/>
      <c r="F318" s="36"/>
      <c r="G318" s="36"/>
      <c r="H318" s="37"/>
      <c r="I318" s="36"/>
      <c r="J318" s="38"/>
      <c r="K318" s="38"/>
      <c r="L318" s="39"/>
      <c r="M318" s="39"/>
      <c r="N318" s="39"/>
      <c r="O318" s="39"/>
      <c r="P318" s="39"/>
      <c r="Q318" s="39"/>
      <c r="R318" s="39"/>
      <c r="S318" s="39"/>
      <c r="T318" s="39"/>
      <c r="U318" s="39"/>
      <c r="V318" s="39"/>
      <c r="W318" s="39"/>
      <c r="X318" s="39"/>
      <c r="Y318" s="39"/>
      <c r="Z318" s="39"/>
      <c r="AA318" s="39"/>
      <c r="AB318" s="39"/>
    </row>
    <row r="319">
      <c r="A319" s="1"/>
      <c r="B319" s="36"/>
      <c r="C319" s="36"/>
      <c r="D319" s="36"/>
      <c r="E319" s="36"/>
      <c r="F319" s="36"/>
      <c r="G319" s="36"/>
      <c r="H319" s="37"/>
      <c r="I319" s="36"/>
      <c r="J319" s="38"/>
      <c r="K319" s="38"/>
      <c r="L319" s="39"/>
      <c r="M319" s="39"/>
      <c r="N319" s="39"/>
      <c r="O319" s="39"/>
      <c r="P319" s="39"/>
      <c r="Q319" s="39"/>
      <c r="R319" s="39"/>
      <c r="S319" s="39"/>
      <c r="T319" s="39"/>
      <c r="U319" s="39"/>
      <c r="V319" s="39"/>
      <c r="W319" s="39"/>
      <c r="X319" s="39"/>
      <c r="Y319" s="39"/>
      <c r="Z319" s="39"/>
      <c r="AA319" s="39"/>
      <c r="AB319" s="39"/>
    </row>
    <row r="320">
      <c r="A320" s="1"/>
      <c r="B320" s="36"/>
      <c r="C320" s="36"/>
      <c r="D320" s="36"/>
      <c r="E320" s="36"/>
      <c r="F320" s="36"/>
      <c r="G320" s="36"/>
      <c r="H320" s="37"/>
      <c r="I320" s="36"/>
      <c r="J320" s="38"/>
      <c r="K320" s="38"/>
      <c r="L320" s="39"/>
      <c r="M320" s="39"/>
      <c r="N320" s="39"/>
      <c r="O320" s="39"/>
      <c r="P320" s="39"/>
      <c r="Q320" s="39"/>
      <c r="R320" s="39"/>
      <c r="S320" s="39"/>
      <c r="T320" s="39"/>
      <c r="U320" s="39"/>
      <c r="V320" s="39"/>
      <c r="W320" s="39"/>
      <c r="X320" s="39"/>
      <c r="Y320" s="39"/>
      <c r="Z320" s="39"/>
      <c r="AA320" s="39"/>
      <c r="AB320" s="39"/>
    </row>
    <row r="321">
      <c r="A321" s="1"/>
      <c r="B321" s="36"/>
      <c r="C321" s="36"/>
      <c r="D321" s="36"/>
      <c r="E321" s="36"/>
      <c r="F321" s="36"/>
      <c r="G321" s="36"/>
      <c r="H321" s="37"/>
      <c r="I321" s="36"/>
      <c r="J321" s="38"/>
      <c r="K321" s="38"/>
      <c r="L321" s="39"/>
      <c r="M321" s="39"/>
      <c r="N321" s="39"/>
      <c r="O321" s="39"/>
      <c r="P321" s="39"/>
      <c r="Q321" s="39"/>
      <c r="R321" s="39"/>
      <c r="S321" s="39"/>
      <c r="T321" s="39"/>
      <c r="U321" s="39"/>
      <c r="V321" s="39"/>
      <c r="W321" s="39"/>
      <c r="X321" s="39"/>
      <c r="Y321" s="39"/>
      <c r="Z321" s="39"/>
      <c r="AA321" s="39"/>
      <c r="AB321" s="39"/>
    </row>
    <row r="322">
      <c r="A322" s="1"/>
      <c r="B322" s="36"/>
      <c r="C322" s="36"/>
      <c r="D322" s="36"/>
      <c r="E322" s="36"/>
      <c r="F322" s="36"/>
      <c r="G322" s="36"/>
      <c r="H322" s="37"/>
      <c r="I322" s="36"/>
      <c r="J322" s="38"/>
      <c r="K322" s="38"/>
      <c r="L322" s="39"/>
      <c r="M322" s="39"/>
      <c r="N322" s="39"/>
      <c r="O322" s="39"/>
      <c r="P322" s="39"/>
      <c r="Q322" s="39"/>
      <c r="R322" s="39"/>
      <c r="S322" s="39"/>
      <c r="T322" s="39"/>
      <c r="U322" s="39"/>
      <c r="V322" s="39"/>
      <c r="W322" s="39"/>
      <c r="X322" s="39"/>
      <c r="Y322" s="39"/>
      <c r="Z322" s="39"/>
      <c r="AA322" s="39"/>
      <c r="AB322" s="39"/>
    </row>
    <row r="323">
      <c r="A323" s="1"/>
      <c r="B323" s="36"/>
      <c r="C323" s="36"/>
      <c r="D323" s="36"/>
      <c r="E323" s="36"/>
      <c r="F323" s="36"/>
      <c r="G323" s="36"/>
      <c r="H323" s="37"/>
      <c r="I323" s="36"/>
      <c r="J323" s="38"/>
      <c r="K323" s="38"/>
      <c r="L323" s="39"/>
      <c r="M323" s="39"/>
      <c r="N323" s="39"/>
      <c r="O323" s="39"/>
      <c r="P323" s="39"/>
      <c r="Q323" s="39"/>
      <c r="R323" s="39"/>
      <c r="S323" s="39"/>
      <c r="T323" s="39"/>
      <c r="U323" s="39"/>
      <c r="V323" s="39"/>
      <c r="W323" s="39"/>
      <c r="X323" s="39"/>
      <c r="Y323" s="39"/>
      <c r="Z323" s="39"/>
      <c r="AA323" s="39"/>
      <c r="AB323" s="39"/>
    </row>
    <row r="324">
      <c r="A324" s="1"/>
      <c r="B324" s="36"/>
      <c r="C324" s="36"/>
      <c r="D324" s="36"/>
      <c r="E324" s="36"/>
      <c r="F324" s="36"/>
      <c r="G324" s="36"/>
      <c r="H324" s="37"/>
      <c r="I324" s="36"/>
      <c r="J324" s="38"/>
      <c r="K324" s="38"/>
      <c r="L324" s="39"/>
      <c r="M324" s="39"/>
      <c r="N324" s="39"/>
      <c r="O324" s="39"/>
      <c r="P324" s="39"/>
      <c r="Q324" s="39"/>
      <c r="R324" s="39"/>
      <c r="S324" s="39"/>
      <c r="T324" s="39"/>
      <c r="U324" s="39"/>
      <c r="V324" s="39"/>
      <c r="W324" s="39"/>
      <c r="X324" s="39"/>
      <c r="Y324" s="39"/>
      <c r="Z324" s="39"/>
      <c r="AA324" s="39"/>
      <c r="AB324" s="39"/>
    </row>
    <row r="325">
      <c r="A325" s="1"/>
      <c r="B325" s="36"/>
      <c r="C325" s="36"/>
      <c r="D325" s="36"/>
      <c r="E325" s="36"/>
      <c r="F325" s="36"/>
      <c r="G325" s="36"/>
      <c r="H325" s="37"/>
      <c r="I325" s="36"/>
      <c r="J325" s="38"/>
      <c r="K325" s="38"/>
      <c r="L325" s="39"/>
      <c r="M325" s="39"/>
      <c r="N325" s="39"/>
      <c r="O325" s="39"/>
      <c r="P325" s="39"/>
      <c r="Q325" s="39"/>
      <c r="R325" s="39"/>
      <c r="S325" s="39"/>
      <c r="T325" s="39"/>
      <c r="U325" s="39"/>
      <c r="V325" s="39"/>
      <c r="W325" s="39"/>
      <c r="X325" s="39"/>
      <c r="Y325" s="39"/>
      <c r="Z325" s="39"/>
      <c r="AA325" s="39"/>
      <c r="AB325" s="39"/>
    </row>
    <row r="326">
      <c r="A326" s="1"/>
      <c r="B326" s="36"/>
      <c r="C326" s="36"/>
      <c r="D326" s="36"/>
      <c r="E326" s="36"/>
      <c r="F326" s="36"/>
      <c r="G326" s="36"/>
      <c r="H326" s="37"/>
      <c r="I326" s="36"/>
      <c r="J326" s="38"/>
      <c r="K326" s="38"/>
      <c r="L326" s="39"/>
      <c r="M326" s="39"/>
      <c r="N326" s="39"/>
      <c r="O326" s="39"/>
      <c r="P326" s="39"/>
      <c r="Q326" s="39"/>
      <c r="R326" s="39"/>
      <c r="S326" s="39"/>
      <c r="T326" s="39"/>
      <c r="U326" s="39"/>
      <c r="V326" s="39"/>
      <c r="W326" s="39"/>
      <c r="X326" s="39"/>
      <c r="Y326" s="39"/>
      <c r="Z326" s="39"/>
      <c r="AA326" s="39"/>
      <c r="AB326" s="39"/>
    </row>
    <row r="327">
      <c r="A327" s="1"/>
      <c r="B327" s="36"/>
      <c r="C327" s="36"/>
      <c r="D327" s="36"/>
      <c r="E327" s="36"/>
      <c r="F327" s="36"/>
      <c r="G327" s="36"/>
      <c r="H327" s="37"/>
      <c r="I327" s="36"/>
      <c r="J327" s="38"/>
      <c r="K327" s="38"/>
      <c r="L327" s="39"/>
      <c r="M327" s="39"/>
      <c r="N327" s="39"/>
      <c r="O327" s="39"/>
      <c r="P327" s="39"/>
      <c r="Q327" s="39"/>
      <c r="R327" s="39"/>
      <c r="S327" s="39"/>
      <c r="T327" s="39"/>
      <c r="U327" s="39"/>
      <c r="V327" s="39"/>
      <c r="W327" s="39"/>
      <c r="X327" s="39"/>
      <c r="Y327" s="39"/>
      <c r="Z327" s="39"/>
      <c r="AA327" s="39"/>
      <c r="AB327" s="39"/>
    </row>
    <row r="328">
      <c r="A328" s="1"/>
      <c r="B328" s="36"/>
      <c r="C328" s="36"/>
      <c r="D328" s="36"/>
      <c r="E328" s="36"/>
      <c r="F328" s="36"/>
      <c r="G328" s="36"/>
      <c r="H328" s="37"/>
      <c r="I328" s="36"/>
      <c r="J328" s="38"/>
      <c r="K328" s="38"/>
      <c r="L328" s="39"/>
      <c r="M328" s="39"/>
      <c r="N328" s="39"/>
      <c r="O328" s="39"/>
      <c r="P328" s="39"/>
      <c r="Q328" s="39"/>
      <c r="R328" s="39"/>
      <c r="S328" s="39"/>
      <c r="T328" s="39"/>
      <c r="U328" s="39"/>
      <c r="V328" s="39"/>
      <c r="W328" s="39"/>
      <c r="X328" s="39"/>
      <c r="Y328" s="39"/>
      <c r="Z328" s="39"/>
      <c r="AA328" s="39"/>
      <c r="AB328" s="39"/>
    </row>
    <row r="329">
      <c r="A329" s="1"/>
      <c r="B329" s="36"/>
      <c r="C329" s="36"/>
      <c r="D329" s="36"/>
      <c r="E329" s="36"/>
      <c r="F329" s="36"/>
      <c r="G329" s="36"/>
      <c r="H329" s="37"/>
      <c r="I329" s="36"/>
      <c r="J329" s="38"/>
      <c r="K329" s="38"/>
      <c r="L329" s="39"/>
      <c r="M329" s="39"/>
      <c r="N329" s="39"/>
      <c r="O329" s="39"/>
      <c r="P329" s="39"/>
      <c r="Q329" s="39"/>
      <c r="R329" s="39"/>
      <c r="S329" s="39"/>
      <c r="T329" s="39"/>
      <c r="U329" s="39"/>
      <c r="V329" s="39"/>
      <c r="W329" s="39"/>
      <c r="X329" s="39"/>
      <c r="Y329" s="39"/>
      <c r="Z329" s="39"/>
      <c r="AA329" s="39"/>
      <c r="AB329" s="39"/>
    </row>
    <row r="330">
      <c r="A330" s="1"/>
      <c r="B330" s="36"/>
      <c r="C330" s="36"/>
      <c r="D330" s="36"/>
      <c r="E330" s="36"/>
      <c r="F330" s="36"/>
      <c r="G330" s="36"/>
      <c r="H330" s="37"/>
      <c r="I330" s="36"/>
      <c r="J330" s="38"/>
      <c r="K330" s="38"/>
      <c r="L330" s="39"/>
      <c r="M330" s="39"/>
      <c r="N330" s="39"/>
      <c r="O330" s="39"/>
      <c r="P330" s="39"/>
      <c r="Q330" s="39"/>
      <c r="R330" s="39"/>
      <c r="S330" s="39"/>
      <c r="T330" s="39"/>
      <c r="U330" s="39"/>
      <c r="V330" s="39"/>
      <c r="W330" s="39"/>
      <c r="X330" s="39"/>
      <c r="Y330" s="39"/>
      <c r="Z330" s="39"/>
      <c r="AA330" s="39"/>
      <c r="AB330" s="39"/>
    </row>
    <row r="331">
      <c r="A331" s="1"/>
      <c r="B331" s="36"/>
      <c r="C331" s="36"/>
      <c r="D331" s="36"/>
      <c r="E331" s="36"/>
      <c r="F331" s="36"/>
      <c r="G331" s="36"/>
      <c r="H331" s="37"/>
      <c r="I331" s="36"/>
      <c r="J331" s="38"/>
      <c r="K331" s="38"/>
      <c r="L331" s="39"/>
      <c r="M331" s="39"/>
      <c r="N331" s="39"/>
      <c r="O331" s="39"/>
      <c r="P331" s="39"/>
      <c r="Q331" s="39"/>
      <c r="R331" s="39"/>
      <c r="S331" s="39"/>
      <c r="T331" s="39"/>
      <c r="U331" s="39"/>
      <c r="V331" s="39"/>
      <c r="W331" s="39"/>
      <c r="X331" s="39"/>
      <c r="Y331" s="39"/>
      <c r="Z331" s="39"/>
      <c r="AA331" s="39"/>
      <c r="AB331" s="39"/>
    </row>
    <row r="332">
      <c r="A332" s="1"/>
      <c r="B332" s="36"/>
      <c r="C332" s="36"/>
      <c r="D332" s="36"/>
      <c r="E332" s="36"/>
      <c r="F332" s="36"/>
      <c r="G332" s="36"/>
      <c r="H332" s="37"/>
      <c r="I332" s="36"/>
      <c r="J332" s="38"/>
      <c r="K332" s="38"/>
      <c r="L332" s="39"/>
      <c r="M332" s="39"/>
      <c r="N332" s="39"/>
      <c r="O332" s="39"/>
      <c r="P332" s="39"/>
      <c r="Q332" s="39"/>
      <c r="R332" s="39"/>
      <c r="S332" s="39"/>
      <c r="T332" s="39"/>
      <c r="U332" s="39"/>
      <c r="V332" s="39"/>
      <c r="W332" s="39"/>
      <c r="X332" s="39"/>
      <c r="Y332" s="39"/>
      <c r="Z332" s="39"/>
      <c r="AA332" s="39"/>
      <c r="AB332" s="39"/>
    </row>
    <row r="333">
      <c r="A333" s="1"/>
      <c r="B333" s="36"/>
      <c r="C333" s="36"/>
      <c r="D333" s="36"/>
      <c r="E333" s="36"/>
      <c r="F333" s="36"/>
      <c r="G333" s="36"/>
      <c r="H333" s="37"/>
      <c r="I333" s="36"/>
      <c r="J333" s="38"/>
      <c r="K333" s="38"/>
      <c r="L333" s="39"/>
      <c r="M333" s="39"/>
      <c r="N333" s="39"/>
      <c r="O333" s="39"/>
      <c r="P333" s="39"/>
      <c r="Q333" s="39"/>
      <c r="R333" s="39"/>
      <c r="S333" s="39"/>
      <c r="T333" s="39"/>
      <c r="U333" s="39"/>
      <c r="V333" s="39"/>
      <c r="W333" s="39"/>
      <c r="X333" s="39"/>
      <c r="Y333" s="39"/>
      <c r="Z333" s="39"/>
      <c r="AA333" s="39"/>
      <c r="AB333" s="39"/>
    </row>
    <row r="334">
      <c r="A334" s="1"/>
      <c r="B334" s="36"/>
      <c r="C334" s="36"/>
      <c r="D334" s="36"/>
      <c r="E334" s="36"/>
      <c r="F334" s="36"/>
      <c r="G334" s="36"/>
      <c r="H334" s="37"/>
      <c r="I334" s="36"/>
      <c r="J334" s="38"/>
      <c r="K334" s="38"/>
      <c r="L334" s="39"/>
      <c r="M334" s="39"/>
      <c r="N334" s="39"/>
      <c r="O334" s="39"/>
      <c r="P334" s="39"/>
      <c r="Q334" s="39"/>
      <c r="R334" s="39"/>
      <c r="S334" s="39"/>
      <c r="T334" s="39"/>
      <c r="U334" s="39"/>
      <c r="V334" s="39"/>
      <c r="W334" s="39"/>
      <c r="X334" s="39"/>
      <c r="Y334" s="39"/>
      <c r="Z334" s="39"/>
      <c r="AA334" s="39"/>
      <c r="AB334" s="39"/>
    </row>
    <row r="335">
      <c r="A335" s="1"/>
      <c r="B335" s="36"/>
      <c r="C335" s="36"/>
      <c r="D335" s="36"/>
      <c r="E335" s="36"/>
      <c r="F335" s="36"/>
      <c r="G335" s="36"/>
      <c r="H335" s="37"/>
      <c r="I335" s="36"/>
      <c r="J335" s="38"/>
      <c r="K335" s="38"/>
      <c r="L335" s="39"/>
      <c r="M335" s="39"/>
      <c r="N335" s="39"/>
      <c r="O335" s="39"/>
      <c r="P335" s="39"/>
      <c r="Q335" s="39"/>
      <c r="R335" s="39"/>
      <c r="S335" s="39"/>
      <c r="T335" s="39"/>
      <c r="U335" s="39"/>
      <c r="V335" s="39"/>
      <c r="W335" s="39"/>
      <c r="X335" s="39"/>
      <c r="Y335" s="39"/>
      <c r="Z335" s="39"/>
      <c r="AA335" s="39"/>
      <c r="AB335" s="39"/>
    </row>
    <row r="336">
      <c r="A336" s="1"/>
      <c r="B336" s="36"/>
      <c r="C336" s="36"/>
      <c r="D336" s="36"/>
      <c r="E336" s="36"/>
      <c r="F336" s="36"/>
      <c r="G336" s="36"/>
      <c r="H336" s="37"/>
      <c r="I336" s="36"/>
      <c r="J336" s="38"/>
      <c r="K336" s="38"/>
      <c r="L336" s="39"/>
      <c r="M336" s="39"/>
      <c r="N336" s="39"/>
      <c r="O336" s="39"/>
      <c r="P336" s="39"/>
      <c r="Q336" s="39"/>
      <c r="R336" s="39"/>
      <c r="S336" s="39"/>
      <c r="T336" s="39"/>
      <c r="U336" s="39"/>
      <c r="V336" s="39"/>
      <c r="W336" s="39"/>
      <c r="X336" s="39"/>
      <c r="Y336" s="39"/>
      <c r="Z336" s="39"/>
      <c r="AA336" s="39"/>
      <c r="AB336" s="39"/>
    </row>
    <row r="337">
      <c r="A337" s="1"/>
      <c r="B337" s="36"/>
      <c r="C337" s="36"/>
      <c r="D337" s="36"/>
      <c r="E337" s="36"/>
      <c r="F337" s="36"/>
      <c r="G337" s="36"/>
      <c r="H337" s="37"/>
      <c r="I337" s="36"/>
      <c r="J337" s="38"/>
      <c r="K337" s="38"/>
      <c r="L337" s="39"/>
      <c r="M337" s="39"/>
      <c r="N337" s="39"/>
      <c r="O337" s="39"/>
      <c r="P337" s="39"/>
      <c r="Q337" s="39"/>
      <c r="R337" s="39"/>
      <c r="S337" s="39"/>
      <c r="T337" s="39"/>
      <c r="U337" s="39"/>
      <c r="V337" s="39"/>
      <c r="W337" s="39"/>
      <c r="X337" s="39"/>
      <c r="Y337" s="39"/>
      <c r="Z337" s="39"/>
      <c r="AA337" s="39"/>
      <c r="AB337" s="39"/>
    </row>
    <row r="338">
      <c r="A338" s="1"/>
      <c r="B338" s="36"/>
      <c r="C338" s="36"/>
      <c r="D338" s="36"/>
      <c r="E338" s="36"/>
      <c r="F338" s="36"/>
      <c r="G338" s="36"/>
      <c r="H338" s="37"/>
      <c r="I338" s="36"/>
      <c r="J338" s="38"/>
      <c r="K338" s="38"/>
      <c r="L338" s="39"/>
      <c r="M338" s="39"/>
      <c r="N338" s="39"/>
      <c r="O338" s="39"/>
      <c r="P338" s="39"/>
      <c r="Q338" s="39"/>
      <c r="R338" s="39"/>
      <c r="S338" s="39"/>
      <c r="T338" s="39"/>
      <c r="U338" s="39"/>
      <c r="V338" s="39"/>
      <c r="W338" s="39"/>
      <c r="X338" s="39"/>
      <c r="Y338" s="39"/>
      <c r="Z338" s="39"/>
      <c r="AA338" s="39"/>
      <c r="AB338" s="39"/>
    </row>
    <row r="339">
      <c r="A339" s="1"/>
      <c r="B339" s="36"/>
      <c r="C339" s="36"/>
      <c r="D339" s="36"/>
      <c r="E339" s="36"/>
      <c r="F339" s="36"/>
      <c r="G339" s="36"/>
      <c r="H339" s="37"/>
      <c r="I339" s="36"/>
      <c r="J339" s="38"/>
      <c r="K339" s="38"/>
      <c r="L339" s="39"/>
      <c r="M339" s="39"/>
      <c r="N339" s="39"/>
      <c r="O339" s="39"/>
      <c r="P339" s="39"/>
      <c r="Q339" s="39"/>
      <c r="R339" s="39"/>
      <c r="S339" s="39"/>
      <c r="T339" s="39"/>
      <c r="U339" s="39"/>
      <c r="V339" s="39"/>
      <c r="W339" s="39"/>
      <c r="X339" s="39"/>
      <c r="Y339" s="39"/>
      <c r="Z339" s="39"/>
      <c r="AA339" s="39"/>
      <c r="AB339" s="39"/>
    </row>
    <row r="340">
      <c r="A340" s="1"/>
      <c r="B340" s="36"/>
      <c r="C340" s="36"/>
      <c r="D340" s="36"/>
      <c r="E340" s="36"/>
      <c r="F340" s="36"/>
      <c r="G340" s="36"/>
      <c r="H340" s="37"/>
      <c r="I340" s="36"/>
      <c r="J340" s="38"/>
      <c r="K340" s="38"/>
      <c r="L340" s="39"/>
      <c r="M340" s="39"/>
      <c r="N340" s="39"/>
      <c r="O340" s="39"/>
      <c r="P340" s="39"/>
      <c r="Q340" s="39"/>
      <c r="R340" s="39"/>
      <c r="S340" s="39"/>
      <c r="T340" s="39"/>
      <c r="U340" s="39"/>
      <c r="V340" s="39"/>
      <c r="W340" s="39"/>
      <c r="X340" s="39"/>
      <c r="Y340" s="39"/>
      <c r="Z340" s="39"/>
      <c r="AA340" s="39"/>
      <c r="AB340" s="39"/>
    </row>
    <row r="341">
      <c r="A341" s="1"/>
      <c r="B341" s="36"/>
      <c r="C341" s="36"/>
      <c r="D341" s="36"/>
      <c r="E341" s="36"/>
      <c r="F341" s="36"/>
      <c r="G341" s="36"/>
      <c r="H341" s="37"/>
      <c r="I341" s="36"/>
      <c r="J341" s="38"/>
      <c r="K341" s="38"/>
      <c r="L341" s="39"/>
      <c r="M341" s="39"/>
      <c r="N341" s="39"/>
      <c r="O341" s="39"/>
      <c r="P341" s="39"/>
      <c r="Q341" s="39"/>
      <c r="R341" s="39"/>
      <c r="S341" s="39"/>
      <c r="T341" s="39"/>
      <c r="U341" s="39"/>
      <c r="V341" s="39"/>
      <c r="W341" s="39"/>
      <c r="X341" s="39"/>
      <c r="Y341" s="39"/>
      <c r="Z341" s="39"/>
      <c r="AA341" s="39"/>
      <c r="AB341" s="39"/>
    </row>
    <row r="342">
      <c r="A342" s="1"/>
      <c r="B342" s="36"/>
      <c r="C342" s="36"/>
      <c r="D342" s="36"/>
      <c r="E342" s="36"/>
      <c r="F342" s="36"/>
      <c r="G342" s="36"/>
      <c r="H342" s="37"/>
      <c r="I342" s="36"/>
      <c r="J342" s="38"/>
      <c r="K342" s="38"/>
      <c r="L342" s="39"/>
      <c r="M342" s="39"/>
      <c r="N342" s="39"/>
      <c r="O342" s="39"/>
      <c r="P342" s="39"/>
      <c r="Q342" s="39"/>
      <c r="R342" s="39"/>
      <c r="S342" s="39"/>
      <c r="T342" s="39"/>
      <c r="U342" s="39"/>
      <c r="V342" s="39"/>
      <c r="W342" s="39"/>
      <c r="X342" s="39"/>
      <c r="Y342" s="39"/>
      <c r="Z342" s="39"/>
      <c r="AA342" s="39"/>
      <c r="AB342" s="39"/>
    </row>
    <row r="343">
      <c r="A343" s="1"/>
      <c r="B343" s="36"/>
      <c r="C343" s="36"/>
      <c r="D343" s="36"/>
      <c r="E343" s="36"/>
      <c r="F343" s="36"/>
      <c r="G343" s="36"/>
      <c r="H343" s="37"/>
      <c r="I343" s="36"/>
      <c r="J343" s="38"/>
      <c r="K343" s="38"/>
      <c r="L343" s="39"/>
      <c r="M343" s="39"/>
      <c r="N343" s="39"/>
      <c r="O343" s="39"/>
      <c r="P343" s="39"/>
      <c r="Q343" s="39"/>
      <c r="R343" s="39"/>
      <c r="S343" s="39"/>
      <c r="T343" s="39"/>
      <c r="U343" s="39"/>
      <c r="V343" s="39"/>
      <c r="W343" s="39"/>
      <c r="X343" s="39"/>
      <c r="Y343" s="39"/>
      <c r="Z343" s="39"/>
      <c r="AA343" s="39"/>
      <c r="AB343" s="39"/>
    </row>
    <row r="344">
      <c r="A344" s="1"/>
      <c r="B344" s="36"/>
      <c r="C344" s="36"/>
      <c r="D344" s="36"/>
      <c r="E344" s="36"/>
      <c r="F344" s="36"/>
      <c r="G344" s="36"/>
      <c r="H344" s="37"/>
      <c r="I344" s="36"/>
      <c r="J344" s="38"/>
      <c r="K344" s="38"/>
      <c r="L344" s="39"/>
      <c r="M344" s="39"/>
      <c r="N344" s="39"/>
      <c r="O344" s="39"/>
      <c r="P344" s="39"/>
      <c r="Q344" s="39"/>
      <c r="R344" s="39"/>
      <c r="S344" s="39"/>
      <c r="T344" s="39"/>
      <c r="U344" s="39"/>
      <c r="V344" s="39"/>
      <c r="W344" s="39"/>
      <c r="X344" s="39"/>
      <c r="Y344" s="39"/>
      <c r="Z344" s="39"/>
      <c r="AA344" s="39"/>
      <c r="AB344" s="39"/>
    </row>
    <row r="345">
      <c r="A345" s="1"/>
      <c r="B345" s="36"/>
      <c r="C345" s="36"/>
      <c r="D345" s="36"/>
      <c r="E345" s="36"/>
      <c r="F345" s="36"/>
      <c r="G345" s="36"/>
      <c r="H345" s="37"/>
      <c r="I345" s="36"/>
      <c r="J345" s="38"/>
      <c r="K345" s="38"/>
      <c r="L345" s="39"/>
      <c r="M345" s="39"/>
      <c r="N345" s="39"/>
      <c r="O345" s="39"/>
      <c r="P345" s="39"/>
      <c r="Q345" s="39"/>
      <c r="R345" s="39"/>
      <c r="S345" s="39"/>
      <c r="T345" s="39"/>
      <c r="U345" s="39"/>
      <c r="V345" s="39"/>
      <c r="W345" s="39"/>
      <c r="X345" s="39"/>
      <c r="Y345" s="39"/>
      <c r="Z345" s="39"/>
      <c r="AA345" s="39"/>
      <c r="AB345" s="39"/>
    </row>
    <row r="346">
      <c r="A346" s="1"/>
      <c r="B346" s="36"/>
      <c r="C346" s="36"/>
      <c r="D346" s="36"/>
      <c r="E346" s="36"/>
      <c r="F346" s="36"/>
      <c r="G346" s="36"/>
      <c r="H346" s="37"/>
      <c r="I346" s="36"/>
      <c r="J346" s="38"/>
      <c r="K346" s="38"/>
      <c r="L346" s="39"/>
      <c r="M346" s="39"/>
      <c r="N346" s="39"/>
      <c r="O346" s="39"/>
      <c r="P346" s="39"/>
      <c r="Q346" s="39"/>
      <c r="R346" s="39"/>
      <c r="S346" s="39"/>
      <c r="T346" s="39"/>
      <c r="U346" s="39"/>
      <c r="V346" s="39"/>
      <c r="W346" s="39"/>
      <c r="X346" s="39"/>
      <c r="Y346" s="39"/>
      <c r="Z346" s="39"/>
      <c r="AA346" s="39"/>
      <c r="AB346" s="39"/>
    </row>
    <row r="347">
      <c r="A347" s="1"/>
      <c r="B347" s="36"/>
      <c r="C347" s="36"/>
      <c r="D347" s="36"/>
      <c r="E347" s="36"/>
      <c r="F347" s="36"/>
      <c r="G347" s="36"/>
      <c r="H347" s="37"/>
      <c r="I347" s="36"/>
      <c r="J347" s="38"/>
      <c r="K347" s="38"/>
      <c r="L347" s="39"/>
      <c r="M347" s="39"/>
      <c r="N347" s="39"/>
      <c r="O347" s="39"/>
      <c r="P347" s="39"/>
      <c r="Q347" s="39"/>
      <c r="R347" s="39"/>
      <c r="S347" s="39"/>
      <c r="T347" s="39"/>
      <c r="U347" s="39"/>
      <c r="V347" s="39"/>
      <c r="W347" s="39"/>
      <c r="X347" s="39"/>
      <c r="Y347" s="39"/>
      <c r="Z347" s="39"/>
      <c r="AA347" s="39"/>
      <c r="AB347" s="39"/>
    </row>
    <row r="348">
      <c r="A348" s="1"/>
      <c r="B348" s="36"/>
      <c r="C348" s="36"/>
      <c r="D348" s="36"/>
      <c r="E348" s="36"/>
      <c r="F348" s="36"/>
      <c r="G348" s="36"/>
      <c r="H348" s="37"/>
      <c r="I348" s="36"/>
      <c r="J348" s="38"/>
      <c r="K348" s="38"/>
      <c r="L348" s="39"/>
      <c r="M348" s="39"/>
      <c r="N348" s="39"/>
      <c r="O348" s="39"/>
      <c r="P348" s="39"/>
      <c r="Q348" s="39"/>
      <c r="R348" s="39"/>
      <c r="S348" s="39"/>
      <c r="T348" s="39"/>
      <c r="U348" s="39"/>
      <c r="V348" s="39"/>
      <c r="W348" s="39"/>
      <c r="X348" s="39"/>
      <c r="Y348" s="39"/>
      <c r="Z348" s="39"/>
      <c r="AA348" s="39"/>
      <c r="AB348" s="39"/>
    </row>
    <row r="349">
      <c r="A349" s="1"/>
      <c r="B349" s="36"/>
      <c r="C349" s="36"/>
      <c r="D349" s="36"/>
      <c r="E349" s="36"/>
      <c r="F349" s="36"/>
      <c r="G349" s="36"/>
      <c r="H349" s="37"/>
      <c r="I349" s="36"/>
      <c r="J349" s="38"/>
      <c r="K349" s="38"/>
      <c r="L349" s="39"/>
      <c r="M349" s="39"/>
      <c r="N349" s="39"/>
      <c r="O349" s="39"/>
      <c r="P349" s="39"/>
      <c r="Q349" s="39"/>
      <c r="R349" s="39"/>
      <c r="S349" s="39"/>
      <c r="T349" s="39"/>
      <c r="U349" s="39"/>
      <c r="V349" s="39"/>
      <c r="W349" s="39"/>
      <c r="X349" s="39"/>
      <c r="Y349" s="39"/>
      <c r="Z349" s="39"/>
      <c r="AA349" s="39"/>
      <c r="AB349" s="39"/>
    </row>
    <row r="350">
      <c r="A350" s="1"/>
      <c r="B350" s="36"/>
      <c r="C350" s="36"/>
      <c r="D350" s="36"/>
      <c r="E350" s="36"/>
      <c r="F350" s="36"/>
      <c r="G350" s="36"/>
      <c r="H350" s="37"/>
      <c r="I350" s="36"/>
      <c r="J350" s="38"/>
      <c r="K350" s="38"/>
      <c r="L350" s="39"/>
      <c r="M350" s="39"/>
      <c r="N350" s="39"/>
      <c r="O350" s="39"/>
      <c r="P350" s="39"/>
      <c r="Q350" s="39"/>
      <c r="R350" s="39"/>
      <c r="S350" s="39"/>
      <c r="T350" s="39"/>
      <c r="U350" s="39"/>
      <c r="V350" s="39"/>
      <c r="W350" s="39"/>
      <c r="X350" s="39"/>
      <c r="Y350" s="39"/>
      <c r="Z350" s="39"/>
      <c r="AA350" s="39"/>
      <c r="AB350" s="39"/>
    </row>
    <row r="351">
      <c r="A351" s="1"/>
      <c r="B351" s="36"/>
      <c r="C351" s="36"/>
      <c r="D351" s="36"/>
      <c r="E351" s="36"/>
      <c r="F351" s="36"/>
      <c r="G351" s="36"/>
      <c r="H351" s="37"/>
      <c r="I351" s="36"/>
      <c r="J351" s="38"/>
      <c r="K351" s="38"/>
      <c r="L351" s="39"/>
      <c r="M351" s="39"/>
      <c r="N351" s="39"/>
      <c r="O351" s="39"/>
      <c r="P351" s="39"/>
      <c r="Q351" s="39"/>
      <c r="R351" s="39"/>
      <c r="S351" s="39"/>
      <c r="T351" s="39"/>
      <c r="U351" s="39"/>
      <c r="V351" s="39"/>
      <c r="W351" s="39"/>
      <c r="X351" s="39"/>
      <c r="Y351" s="39"/>
      <c r="Z351" s="39"/>
      <c r="AA351" s="39"/>
      <c r="AB351" s="39"/>
    </row>
    <row r="352">
      <c r="A352" s="1"/>
      <c r="B352" s="36"/>
      <c r="C352" s="36"/>
      <c r="D352" s="36"/>
      <c r="E352" s="36"/>
      <c r="F352" s="36"/>
      <c r="G352" s="36"/>
      <c r="H352" s="37"/>
      <c r="I352" s="36"/>
      <c r="J352" s="38"/>
      <c r="K352" s="38"/>
      <c r="L352" s="39"/>
      <c r="M352" s="39"/>
      <c r="N352" s="39"/>
      <c r="O352" s="39"/>
      <c r="P352" s="39"/>
      <c r="Q352" s="39"/>
      <c r="R352" s="39"/>
      <c r="S352" s="39"/>
      <c r="T352" s="39"/>
      <c r="U352" s="39"/>
      <c r="V352" s="39"/>
      <c r="W352" s="39"/>
      <c r="X352" s="39"/>
      <c r="Y352" s="39"/>
      <c r="Z352" s="39"/>
      <c r="AA352" s="39"/>
      <c r="AB352" s="39"/>
    </row>
    <row r="353">
      <c r="A353" s="1"/>
      <c r="B353" s="36"/>
      <c r="C353" s="36"/>
      <c r="D353" s="36"/>
      <c r="E353" s="36"/>
      <c r="F353" s="36"/>
      <c r="G353" s="36"/>
      <c r="H353" s="37"/>
      <c r="I353" s="36"/>
      <c r="J353" s="38"/>
      <c r="K353" s="38"/>
      <c r="L353" s="39"/>
      <c r="M353" s="39"/>
      <c r="N353" s="39"/>
      <c r="O353" s="39"/>
      <c r="P353" s="39"/>
      <c r="Q353" s="39"/>
      <c r="R353" s="39"/>
      <c r="S353" s="39"/>
      <c r="T353" s="39"/>
      <c r="U353" s="39"/>
      <c r="V353" s="39"/>
      <c r="W353" s="39"/>
      <c r="X353" s="39"/>
      <c r="Y353" s="39"/>
      <c r="Z353" s="39"/>
      <c r="AA353" s="39"/>
      <c r="AB353" s="39"/>
    </row>
    <row r="354">
      <c r="A354" s="1"/>
      <c r="B354" s="36"/>
      <c r="C354" s="36"/>
      <c r="D354" s="36"/>
      <c r="E354" s="36"/>
      <c r="F354" s="36"/>
      <c r="G354" s="36"/>
      <c r="H354" s="37"/>
      <c r="I354" s="36"/>
      <c r="J354" s="38"/>
      <c r="K354" s="38"/>
      <c r="L354" s="39"/>
      <c r="M354" s="39"/>
      <c r="N354" s="39"/>
      <c r="O354" s="39"/>
      <c r="P354" s="39"/>
      <c r="Q354" s="39"/>
      <c r="R354" s="39"/>
      <c r="S354" s="39"/>
      <c r="T354" s="39"/>
      <c r="U354" s="39"/>
      <c r="V354" s="39"/>
      <c r="W354" s="39"/>
      <c r="X354" s="39"/>
      <c r="Y354" s="39"/>
      <c r="Z354" s="39"/>
      <c r="AA354" s="39"/>
      <c r="AB354" s="39"/>
    </row>
    <row r="355">
      <c r="A355" s="1"/>
      <c r="B355" s="36"/>
      <c r="C355" s="36"/>
      <c r="D355" s="36"/>
      <c r="E355" s="36"/>
      <c r="F355" s="36"/>
      <c r="G355" s="36"/>
      <c r="H355" s="37"/>
      <c r="I355" s="36"/>
      <c r="J355" s="38"/>
      <c r="K355" s="38"/>
      <c r="L355" s="39"/>
      <c r="M355" s="39"/>
      <c r="N355" s="39"/>
      <c r="O355" s="39"/>
      <c r="P355" s="39"/>
      <c r="Q355" s="39"/>
      <c r="R355" s="39"/>
      <c r="S355" s="39"/>
      <c r="T355" s="39"/>
      <c r="U355" s="39"/>
      <c r="V355" s="39"/>
      <c r="W355" s="39"/>
      <c r="X355" s="39"/>
      <c r="Y355" s="39"/>
      <c r="Z355" s="39"/>
      <c r="AA355" s="39"/>
      <c r="AB355" s="39"/>
    </row>
    <row r="356">
      <c r="A356" s="1"/>
      <c r="B356" s="36"/>
      <c r="C356" s="36"/>
      <c r="D356" s="36"/>
      <c r="E356" s="36"/>
      <c r="F356" s="36"/>
      <c r="G356" s="36"/>
      <c r="H356" s="37"/>
      <c r="I356" s="36"/>
      <c r="J356" s="38"/>
      <c r="K356" s="38"/>
      <c r="L356" s="39"/>
      <c r="M356" s="39"/>
      <c r="N356" s="39"/>
      <c r="O356" s="39"/>
      <c r="P356" s="39"/>
      <c r="Q356" s="39"/>
      <c r="R356" s="39"/>
      <c r="S356" s="39"/>
      <c r="T356" s="39"/>
      <c r="U356" s="39"/>
      <c r="V356" s="39"/>
      <c r="W356" s="39"/>
      <c r="X356" s="39"/>
      <c r="Y356" s="39"/>
      <c r="Z356" s="39"/>
      <c r="AA356" s="39"/>
      <c r="AB356" s="39"/>
    </row>
    <row r="357">
      <c r="A357" s="1"/>
      <c r="B357" s="36"/>
      <c r="C357" s="36"/>
      <c r="D357" s="36"/>
      <c r="E357" s="36"/>
      <c r="F357" s="36"/>
      <c r="G357" s="36"/>
      <c r="H357" s="37"/>
      <c r="I357" s="36"/>
      <c r="J357" s="38"/>
      <c r="K357" s="38"/>
      <c r="L357" s="39"/>
      <c r="M357" s="39"/>
      <c r="N357" s="39"/>
      <c r="O357" s="39"/>
      <c r="P357" s="39"/>
      <c r="Q357" s="39"/>
      <c r="R357" s="39"/>
      <c r="S357" s="39"/>
      <c r="T357" s="39"/>
      <c r="U357" s="39"/>
      <c r="V357" s="39"/>
      <c r="W357" s="39"/>
      <c r="X357" s="39"/>
      <c r="Y357" s="39"/>
      <c r="Z357" s="39"/>
      <c r="AA357" s="39"/>
      <c r="AB357" s="39"/>
    </row>
    <row r="358">
      <c r="A358" s="1"/>
      <c r="B358" s="36"/>
      <c r="C358" s="36"/>
      <c r="D358" s="36"/>
      <c r="E358" s="36"/>
      <c r="F358" s="36"/>
      <c r="G358" s="36"/>
      <c r="H358" s="37"/>
      <c r="I358" s="36"/>
      <c r="J358" s="38"/>
      <c r="K358" s="38"/>
      <c r="L358" s="39"/>
      <c r="M358" s="39"/>
      <c r="N358" s="39"/>
      <c r="O358" s="39"/>
      <c r="P358" s="39"/>
      <c r="Q358" s="39"/>
      <c r="R358" s="39"/>
      <c r="S358" s="39"/>
      <c r="T358" s="39"/>
      <c r="U358" s="39"/>
      <c r="V358" s="39"/>
      <c r="W358" s="39"/>
      <c r="X358" s="39"/>
      <c r="Y358" s="39"/>
      <c r="Z358" s="39"/>
      <c r="AA358" s="39"/>
      <c r="AB358" s="39"/>
    </row>
    <row r="359">
      <c r="A359" s="1"/>
      <c r="B359" s="36"/>
      <c r="C359" s="36"/>
      <c r="D359" s="36"/>
      <c r="E359" s="36"/>
      <c r="F359" s="36"/>
      <c r="G359" s="36"/>
      <c r="H359" s="37"/>
      <c r="I359" s="36"/>
      <c r="J359" s="38"/>
      <c r="K359" s="38"/>
      <c r="L359" s="39"/>
      <c r="M359" s="39"/>
      <c r="N359" s="39"/>
      <c r="O359" s="39"/>
      <c r="P359" s="39"/>
      <c r="Q359" s="39"/>
      <c r="R359" s="39"/>
      <c r="S359" s="39"/>
      <c r="T359" s="39"/>
      <c r="U359" s="39"/>
      <c r="V359" s="39"/>
      <c r="W359" s="39"/>
      <c r="X359" s="39"/>
      <c r="Y359" s="39"/>
      <c r="Z359" s="39"/>
      <c r="AA359" s="39"/>
      <c r="AB359" s="39"/>
    </row>
    <row r="360">
      <c r="A360" s="1"/>
      <c r="B360" s="36"/>
      <c r="C360" s="36"/>
      <c r="D360" s="36"/>
      <c r="E360" s="36"/>
      <c r="F360" s="36"/>
      <c r="G360" s="36"/>
      <c r="H360" s="37"/>
      <c r="I360" s="36"/>
      <c r="J360" s="38"/>
      <c r="K360" s="38"/>
      <c r="L360" s="39"/>
      <c r="M360" s="39"/>
      <c r="N360" s="39"/>
      <c r="O360" s="39"/>
      <c r="P360" s="39"/>
      <c r="Q360" s="39"/>
      <c r="R360" s="39"/>
      <c r="S360" s="39"/>
      <c r="T360" s="39"/>
      <c r="U360" s="39"/>
      <c r="V360" s="39"/>
      <c r="W360" s="39"/>
      <c r="X360" s="39"/>
      <c r="Y360" s="39"/>
      <c r="Z360" s="39"/>
      <c r="AA360" s="39"/>
      <c r="AB360" s="39"/>
    </row>
    <row r="361">
      <c r="A361" s="1"/>
      <c r="B361" s="36"/>
      <c r="C361" s="36"/>
      <c r="D361" s="36"/>
      <c r="E361" s="36"/>
      <c r="F361" s="36"/>
      <c r="G361" s="36"/>
      <c r="H361" s="37"/>
      <c r="I361" s="36"/>
      <c r="J361" s="38"/>
      <c r="K361" s="38"/>
      <c r="L361" s="39"/>
      <c r="M361" s="39"/>
      <c r="N361" s="39"/>
      <c r="O361" s="39"/>
      <c r="P361" s="39"/>
      <c r="Q361" s="39"/>
      <c r="R361" s="39"/>
      <c r="S361" s="39"/>
      <c r="T361" s="39"/>
      <c r="U361" s="39"/>
      <c r="V361" s="39"/>
      <c r="W361" s="39"/>
      <c r="X361" s="39"/>
      <c r="Y361" s="39"/>
      <c r="Z361" s="39"/>
      <c r="AA361" s="39"/>
      <c r="AB361" s="39"/>
    </row>
    <row r="362">
      <c r="A362" s="1"/>
      <c r="B362" s="36"/>
      <c r="C362" s="36"/>
      <c r="D362" s="36"/>
      <c r="E362" s="36"/>
      <c r="F362" s="36"/>
      <c r="G362" s="36"/>
      <c r="H362" s="37"/>
      <c r="I362" s="36"/>
      <c r="J362" s="38"/>
      <c r="K362" s="38"/>
      <c r="L362" s="39"/>
      <c r="M362" s="39"/>
      <c r="N362" s="39"/>
      <c r="O362" s="39"/>
      <c r="P362" s="39"/>
      <c r="Q362" s="39"/>
      <c r="R362" s="39"/>
      <c r="S362" s="39"/>
      <c r="T362" s="39"/>
      <c r="U362" s="39"/>
      <c r="V362" s="39"/>
      <c r="W362" s="39"/>
      <c r="X362" s="39"/>
      <c r="Y362" s="39"/>
      <c r="Z362" s="39"/>
      <c r="AA362" s="39"/>
      <c r="AB362" s="39"/>
    </row>
    <row r="363">
      <c r="A363" s="1"/>
      <c r="B363" s="36"/>
      <c r="C363" s="36"/>
      <c r="D363" s="36"/>
      <c r="E363" s="36"/>
      <c r="F363" s="36"/>
      <c r="G363" s="36"/>
      <c r="H363" s="37"/>
      <c r="I363" s="36"/>
      <c r="J363" s="38"/>
      <c r="K363" s="38"/>
      <c r="L363" s="39"/>
      <c r="M363" s="39"/>
      <c r="N363" s="39"/>
      <c r="O363" s="39"/>
      <c r="P363" s="39"/>
      <c r="Q363" s="39"/>
      <c r="R363" s="39"/>
      <c r="S363" s="39"/>
      <c r="T363" s="39"/>
      <c r="U363" s="39"/>
      <c r="V363" s="39"/>
      <c r="W363" s="39"/>
      <c r="X363" s="39"/>
      <c r="Y363" s="39"/>
      <c r="Z363" s="39"/>
      <c r="AA363" s="39"/>
      <c r="AB363" s="39"/>
    </row>
    <row r="364">
      <c r="A364" s="1"/>
      <c r="B364" s="36"/>
      <c r="C364" s="36"/>
      <c r="D364" s="36"/>
      <c r="E364" s="36"/>
      <c r="F364" s="36"/>
      <c r="G364" s="36"/>
      <c r="H364" s="37"/>
      <c r="I364" s="36"/>
      <c r="J364" s="38"/>
      <c r="K364" s="38"/>
      <c r="L364" s="39"/>
      <c r="M364" s="39"/>
      <c r="N364" s="39"/>
      <c r="O364" s="39"/>
      <c r="P364" s="39"/>
      <c r="Q364" s="39"/>
      <c r="R364" s="39"/>
      <c r="S364" s="39"/>
      <c r="T364" s="39"/>
      <c r="U364" s="39"/>
      <c r="V364" s="39"/>
      <c r="W364" s="39"/>
      <c r="X364" s="39"/>
      <c r="Y364" s="39"/>
      <c r="Z364" s="39"/>
      <c r="AA364" s="39"/>
      <c r="AB364" s="39"/>
    </row>
    <row r="365">
      <c r="A365" s="1"/>
      <c r="B365" s="36"/>
      <c r="C365" s="36"/>
      <c r="D365" s="36"/>
      <c r="E365" s="36"/>
      <c r="F365" s="36"/>
      <c r="G365" s="36"/>
      <c r="H365" s="37"/>
      <c r="I365" s="36"/>
      <c r="J365" s="38"/>
      <c r="K365" s="38"/>
      <c r="L365" s="39"/>
      <c r="M365" s="39"/>
      <c r="N365" s="39"/>
      <c r="O365" s="39"/>
      <c r="P365" s="39"/>
      <c r="Q365" s="39"/>
      <c r="R365" s="39"/>
      <c r="S365" s="39"/>
      <c r="T365" s="39"/>
      <c r="U365" s="39"/>
      <c r="V365" s="39"/>
      <c r="W365" s="39"/>
      <c r="X365" s="39"/>
      <c r="Y365" s="39"/>
      <c r="Z365" s="39"/>
      <c r="AA365" s="39"/>
      <c r="AB365" s="39"/>
    </row>
    <row r="366">
      <c r="A366" s="1"/>
      <c r="B366" s="36"/>
      <c r="C366" s="36"/>
      <c r="D366" s="36"/>
      <c r="E366" s="36"/>
      <c r="F366" s="36"/>
      <c r="G366" s="36"/>
      <c r="H366" s="37"/>
      <c r="I366" s="36"/>
      <c r="J366" s="38"/>
      <c r="K366" s="38"/>
      <c r="L366" s="39"/>
      <c r="M366" s="39"/>
      <c r="N366" s="39"/>
      <c r="O366" s="39"/>
      <c r="P366" s="39"/>
      <c r="Q366" s="39"/>
      <c r="R366" s="39"/>
      <c r="S366" s="39"/>
      <c r="T366" s="39"/>
      <c r="U366" s="39"/>
      <c r="V366" s="39"/>
      <c r="W366" s="39"/>
      <c r="X366" s="39"/>
      <c r="Y366" s="39"/>
      <c r="Z366" s="39"/>
      <c r="AA366" s="39"/>
      <c r="AB366" s="39"/>
    </row>
    <row r="367">
      <c r="A367" s="1"/>
      <c r="B367" s="36"/>
      <c r="C367" s="36"/>
      <c r="D367" s="36"/>
      <c r="E367" s="36"/>
      <c r="F367" s="36"/>
      <c r="G367" s="36"/>
      <c r="H367" s="37"/>
      <c r="I367" s="36"/>
      <c r="J367" s="38"/>
      <c r="K367" s="38"/>
      <c r="L367" s="39"/>
      <c r="M367" s="39"/>
      <c r="N367" s="39"/>
      <c r="O367" s="39"/>
      <c r="P367" s="39"/>
      <c r="Q367" s="39"/>
      <c r="R367" s="39"/>
      <c r="S367" s="39"/>
      <c r="T367" s="39"/>
      <c r="U367" s="39"/>
      <c r="V367" s="39"/>
      <c r="W367" s="39"/>
      <c r="X367" s="39"/>
      <c r="Y367" s="39"/>
      <c r="Z367" s="39"/>
      <c r="AA367" s="39"/>
      <c r="AB367" s="39"/>
    </row>
    <row r="368">
      <c r="A368" s="1"/>
      <c r="B368" s="36"/>
      <c r="C368" s="36"/>
      <c r="D368" s="36"/>
      <c r="E368" s="36"/>
      <c r="F368" s="36"/>
      <c r="G368" s="36"/>
      <c r="H368" s="37"/>
      <c r="I368" s="36"/>
      <c r="J368" s="38"/>
      <c r="K368" s="38"/>
      <c r="L368" s="39"/>
      <c r="M368" s="39"/>
      <c r="N368" s="39"/>
      <c r="O368" s="39"/>
      <c r="P368" s="39"/>
      <c r="Q368" s="39"/>
      <c r="R368" s="39"/>
      <c r="S368" s="39"/>
      <c r="T368" s="39"/>
      <c r="U368" s="39"/>
      <c r="V368" s="39"/>
      <c r="W368" s="39"/>
      <c r="X368" s="39"/>
      <c r="Y368" s="39"/>
      <c r="Z368" s="39"/>
      <c r="AA368" s="39"/>
      <c r="AB368" s="39"/>
    </row>
    <row r="369">
      <c r="A369" s="1"/>
      <c r="B369" s="36"/>
      <c r="C369" s="36"/>
      <c r="D369" s="36"/>
      <c r="E369" s="36"/>
      <c r="F369" s="36"/>
      <c r="G369" s="36"/>
      <c r="H369" s="37"/>
      <c r="I369" s="36"/>
      <c r="J369" s="38"/>
      <c r="K369" s="38"/>
      <c r="L369" s="39"/>
      <c r="M369" s="39"/>
      <c r="N369" s="39"/>
      <c r="O369" s="39"/>
      <c r="P369" s="39"/>
      <c r="Q369" s="39"/>
      <c r="R369" s="39"/>
      <c r="S369" s="39"/>
      <c r="T369" s="39"/>
      <c r="U369" s="39"/>
      <c r="V369" s="39"/>
      <c r="W369" s="39"/>
      <c r="X369" s="39"/>
      <c r="Y369" s="39"/>
      <c r="Z369" s="39"/>
      <c r="AA369" s="39"/>
      <c r="AB369" s="39"/>
    </row>
    <row r="370">
      <c r="A370" s="1"/>
      <c r="B370" s="36"/>
      <c r="C370" s="36"/>
      <c r="D370" s="36"/>
      <c r="E370" s="36"/>
      <c r="F370" s="36"/>
      <c r="G370" s="36"/>
      <c r="H370" s="37"/>
      <c r="I370" s="36"/>
      <c r="J370" s="38"/>
      <c r="K370" s="38"/>
      <c r="L370" s="39"/>
      <c r="M370" s="39"/>
      <c r="N370" s="39"/>
      <c r="O370" s="39"/>
      <c r="P370" s="39"/>
      <c r="Q370" s="39"/>
      <c r="R370" s="39"/>
      <c r="S370" s="39"/>
      <c r="T370" s="39"/>
      <c r="U370" s="39"/>
      <c r="V370" s="39"/>
      <c r="W370" s="39"/>
      <c r="X370" s="39"/>
      <c r="Y370" s="39"/>
      <c r="Z370" s="39"/>
      <c r="AA370" s="39"/>
      <c r="AB370" s="39"/>
    </row>
    <row r="371">
      <c r="A371" s="1"/>
      <c r="B371" s="36"/>
      <c r="C371" s="36"/>
      <c r="D371" s="36"/>
      <c r="E371" s="36"/>
      <c r="F371" s="36"/>
      <c r="G371" s="36"/>
      <c r="H371" s="37"/>
      <c r="I371" s="36"/>
      <c r="J371" s="38"/>
      <c r="K371" s="38"/>
      <c r="L371" s="39"/>
      <c r="M371" s="39"/>
      <c r="N371" s="39"/>
      <c r="O371" s="39"/>
      <c r="P371" s="39"/>
      <c r="Q371" s="39"/>
      <c r="R371" s="39"/>
      <c r="S371" s="39"/>
      <c r="T371" s="39"/>
      <c r="U371" s="39"/>
      <c r="V371" s="39"/>
      <c r="W371" s="39"/>
      <c r="X371" s="39"/>
      <c r="Y371" s="39"/>
      <c r="Z371" s="39"/>
      <c r="AA371" s="39"/>
      <c r="AB371" s="39"/>
    </row>
    <row r="372">
      <c r="A372" s="1"/>
      <c r="B372" s="36"/>
      <c r="C372" s="36"/>
      <c r="D372" s="36"/>
      <c r="E372" s="36"/>
      <c r="F372" s="36"/>
      <c r="G372" s="36"/>
      <c r="H372" s="37"/>
      <c r="I372" s="36"/>
      <c r="J372" s="38"/>
      <c r="K372" s="38"/>
      <c r="L372" s="39"/>
      <c r="M372" s="39"/>
      <c r="N372" s="39"/>
      <c r="O372" s="39"/>
      <c r="P372" s="39"/>
      <c r="Q372" s="39"/>
      <c r="R372" s="39"/>
      <c r="S372" s="39"/>
      <c r="T372" s="39"/>
      <c r="U372" s="39"/>
      <c r="V372" s="39"/>
      <c r="W372" s="39"/>
      <c r="X372" s="39"/>
      <c r="Y372" s="39"/>
      <c r="Z372" s="39"/>
      <c r="AA372" s="39"/>
      <c r="AB372" s="39"/>
    </row>
    <row r="373">
      <c r="A373" s="1"/>
      <c r="B373" s="36"/>
      <c r="C373" s="36"/>
      <c r="D373" s="36"/>
      <c r="E373" s="36"/>
      <c r="F373" s="36"/>
      <c r="G373" s="36"/>
      <c r="H373" s="37"/>
      <c r="I373" s="36"/>
      <c r="J373" s="38"/>
      <c r="K373" s="38"/>
      <c r="L373" s="39"/>
      <c r="M373" s="39"/>
      <c r="N373" s="39"/>
      <c r="O373" s="39"/>
      <c r="P373" s="39"/>
      <c r="Q373" s="39"/>
      <c r="R373" s="39"/>
      <c r="S373" s="39"/>
      <c r="T373" s="39"/>
      <c r="U373" s="39"/>
      <c r="V373" s="39"/>
      <c r="W373" s="39"/>
      <c r="X373" s="39"/>
      <c r="Y373" s="39"/>
      <c r="Z373" s="39"/>
      <c r="AA373" s="39"/>
      <c r="AB373" s="39"/>
    </row>
    <row r="374">
      <c r="A374" s="1"/>
      <c r="B374" s="36"/>
      <c r="C374" s="36"/>
      <c r="D374" s="36"/>
      <c r="E374" s="36"/>
      <c r="F374" s="36"/>
      <c r="G374" s="36"/>
      <c r="H374" s="37"/>
      <c r="I374" s="36"/>
      <c r="J374" s="38"/>
      <c r="K374" s="38"/>
      <c r="L374" s="39"/>
      <c r="M374" s="39"/>
      <c r="N374" s="39"/>
      <c r="O374" s="39"/>
      <c r="P374" s="39"/>
      <c r="Q374" s="39"/>
      <c r="R374" s="39"/>
      <c r="S374" s="39"/>
      <c r="T374" s="39"/>
      <c r="U374" s="39"/>
      <c r="V374" s="39"/>
      <c r="W374" s="39"/>
      <c r="X374" s="39"/>
      <c r="Y374" s="39"/>
      <c r="Z374" s="39"/>
      <c r="AA374" s="39"/>
      <c r="AB374" s="39"/>
    </row>
    <row r="375">
      <c r="A375" s="1"/>
      <c r="B375" s="36"/>
      <c r="C375" s="36"/>
      <c r="D375" s="36"/>
      <c r="E375" s="36"/>
      <c r="F375" s="36"/>
      <c r="G375" s="36"/>
      <c r="H375" s="37"/>
      <c r="I375" s="36"/>
      <c r="J375" s="38"/>
      <c r="K375" s="38"/>
      <c r="L375" s="39"/>
      <c r="M375" s="39"/>
      <c r="N375" s="39"/>
      <c r="O375" s="39"/>
      <c r="P375" s="39"/>
      <c r="Q375" s="39"/>
      <c r="R375" s="39"/>
      <c r="S375" s="39"/>
      <c r="T375" s="39"/>
      <c r="U375" s="39"/>
      <c r="V375" s="39"/>
      <c r="W375" s="39"/>
      <c r="X375" s="39"/>
      <c r="Y375" s="39"/>
      <c r="Z375" s="39"/>
      <c r="AA375" s="39"/>
      <c r="AB375" s="39"/>
    </row>
    <row r="376">
      <c r="A376" s="1"/>
      <c r="B376" s="36"/>
      <c r="C376" s="36"/>
      <c r="D376" s="36"/>
      <c r="E376" s="36"/>
      <c r="F376" s="36"/>
      <c r="G376" s="36"/>
      <c r="H376" s="37"/>
      <c r="I376" s="36"/>
      <c r="J376" s="38"/>
      <c r="K376" s="38"/>
      <c r="L376" s="39"/>
      <c r="M376" s="39"/>
      <c r="N376" s="39"/>
      <c r="O376" s="39"/>
      <c r="P376" s="39"/>
      <c r="Q376" s="39"/>
      <c r="R376" s="39"/>
      <c r="S376" s="39"/>
      <c r="T376" s="39"/>
      <c r="U376" s="39"/>
      <c r="V376" s="39"/>
      <c r="W376" s="39"/>
      <c r="X376" s="39"/>
      <c r="Y376" s="39"/>
      <c r="Z376" s="39"/>
      <c r="AA376" s="39"/>
      <c r="AB376" s="39"/>
    </row>
    <row r="377">
      <c r="A377" s="1"/>
      <c r="B377" s="36"/>
      <c r="C377" s="36"/>
      <c r="D377" s="36"/>
      <c r="E377" s="36"/>
      <c r="F377" s="36"/>
      <c r="G377" s="36"/>
      <c r="H377" s="37"/>
      <c r="I377" s="36"/>
      <c r="J377" s="38"/>
      <c r="K377" s="38"/>
      <c r="L377" s="39"/>
      <c r="M377" s="39"/>
      <c r="N377" s="39"/>
      <c r="O377" s="39"/>
      <c r="P377" s="39"/>
      <c r="Q377" s="39"/>
      <c r="R377" s="39"/>
      <c r="S377" s="39"/>
      <c r="T377" s="39"/>
      <c r="U377" s="39"/>
      <c r="V377" s="39"/>
      <c r="W377" s="39"/>
      <c r="X377" s="39"/>
      <c r="Y377" s="39"/>
      <c r="Z377" s="39"/>
      <c r="AA377" s="39"/>
      <c r="AB377" s="39"/>
    </row>
    <row r="378">
      <c r="A378" s="1"/>
      <c r="B378" s="36"/>
      <c r="C378" s="36"/>
      <c r="D378" s="36"/>
      <c r="E378" s="36"/>
      <c r="F378" s="36"/>
      <c r="G378" s="36"/>
      <c r="H378" s="37"/>
      <c r="I378" s="36"/>
      <c r="J378" s="38"/>
      <c r="K378" s="38"/>
      <c r="L378" s="39"/>
      <c r="M378" s="39"/>
      <c r="N378" s="39"/>
      <c r="O378" s="39"/>
      <c r="P378" s="39"/>
      <c r="Q378" s="39"/>
      <c r="R378" s="39"/>
      <c r="S378" s="39"/>
      <c r="T378" s="39"/>
      <c r="U378" s="39"/>
      <c r="V378" s="39"/>
      <c r="W378" s="39"/>
      <c r="X378" s="39"/>
      <c r="Y378" s="39"/>
      <c r="Z378" s="39"/>
      <c r="AA378" s="39"/>
      <c r="AB378" s="39"/>
    </row>
    <row r="379">
      <c r="A379" s="1"/>
      <c r="B379" s="36"/>
      <c r="C379" s="36"/>
      <c r="D379" s="36"/>
      <c r="E379" s="36"/>
      <c r="F379" s="36"/>
      <c r="G379" s="36"/>
      <c r="H379" s="37"/>
      <c r="I379" s="36"/>
      <c r="J379" s="38"/>
      <c r="K379" s="38"/>
      <c r="L379" s="39"/>
      <c r="M379" s="39"/>
      <c r="N379" s="39"/>
      <c r="O379" s="39"/>
      <c r="P379" s="39"/>
      <c r="Q379" s="39"/>
      <c r="R379" s="39"/>
      <c r="S379" s="39"/>
      <c r="T379" s="39"/>
      <c r="U379" s="39"/>
      <c r="V379" s="39"/>
      <c r="W379" s="39"/>
      <c r="X379" s="39"/>
      <c r="Y379" s="39"/>
      <c r="Z379" s="39"/>
      <c r="AA379" s="39"/>
      <c r="AB379" s="39"/>
    </row>
    <row r="380">
      <c r="A380" s="1"/>
      <c r="B380" s="36"/>
      <c r="C380" s="36"/>
      <c r="D380" s="36"/>
      <c r="E380" s="36"/>
      <c r="F380" s="36"/>
      <c r="G380" s="36"/>
      <c r="H380" s="37"/>
      <c r="I380" s="36"/>
      <c r="J380" s="38"/>
      <c r="K380" s="38"/>
      <c r="L380" s="39"/>
      <c r="M380" s="39"/>
      <c r="N380" s="39"/>
      <c r="O380" s="39"/>
      <c r="P380" s="39"/>
      <c r="Q380" s="39"/>
      <c r="R380" s="39"/>
      <c r="S380" s="39"/>
      <c r="T380" s="39"/>
      <c r="U380" s="39"/>
      <c r="V380" s="39"/>
      <c r="W380" s="39"/>
      <c r="X380" s="39"/>
      <c r="Y380" s="39"/>
      <c r="Z380" s="39"/>
      <c r="AA380" s="39"/>
      <c r="AB380" s="39"/>
    </row>
    <row r="381">
      <c r="A381" s="1"/>
      <c r="B381" s="36"/>
      <c r="C381" s="36"/>
      <c r="D381" s="36"/>
      <c r="E381" s="36"/>
      <c r="F381" s="36"/>
      <c r="G381" s="36"/>
      <c r="H381" s="37"/>
      <c r="I381" s="36"/>
      <c r="J381" s="38"/>
      <c r="K381" s="38"/>
      <c r="L381" s="39"/>
      <c r="M381" s="39"/>
      <c r="N381" s="39"/>
      <c r="O381" s="39"/>
      <c r="P381" s="39"/>
      <c r="Q381" s="39"/>
      <c r="R381" s="39"/>
      <c r="S381" s="39"/>
      <c r="T381" s="39"/>
      <c r="U381" s="39"/>
      <c r="V381" s="39"/>
      <c r="W381" s="39"/>
      <c r="X381" s="39"/>
      <c r="Y381" s="39"/>
      <c r="Z381" s="39"/>
      <c r="AA381" s="39"/>
      <c r="AB381" s="39"/>
    </row>
    <row r="382">
      <c r="A382" s="1"/>
      <c r="B382" s="36"/>
      <c r="C382" s="36"/>
      <c r="D382" s="36"/>
      <c r="E382" s="36"/>
      <c r="F382" s="36"/>
      <c r="G382" s="36"/>
      <c r="H382" s="37"/>
      <c r="I382" s="36"/>
      <c r="J382" s="38"/>
      <c r="K382" s="38"/>
      <c r="L382" s="39"/>
      <c r="M382" s="39"/>
      <c r="N382" s="39"/>
      <c r="O382" s="39"/>
      <c r="P382" s="39"/>
      <c r="Q382" s="39"/>
      <c r="R382" s="39"/>
      <c r="S382" s="39"/>
      <c r="T382" s="39"/>
      <c r="U382" s="39"/>
      <c r="V382" s="39"/>
      <c r="W382" s="39"/>
      <c r="X382" s="39"/>
      <c r="Y382" s="39"/>
      <c r="Z382" s="39"/>
      <c r="AA382" s="39"/>
      <c r="AB382" s="39"/>
    </row>
    <row r="383">
      <c r="A383" s="1"/>
      <c r="B383" s="36"/>
      <c r="C383" s="36"/>
      <c r="D383" s="36"/>
      <c r="E383" s="36"/>
      <c r="F383" s="36"/>
      <c r="G383" s="36"/>
      <c r="H383" s="37"/>
      <c r="I383" s="36"/>
      <c r="J383" s="38"/>
      <c r="K383" s="38"/>
      <c r="L383" s="39"/>
      <c r="M383" s="39"/>
      <c r="N383" s="39"/>
      <c r="O383" s="39"/>
      <c r="P383" s="39"/>
      <c r="Q383" s="39"/>
      <c r="R383" s="39"/>
      <c r="S383" s="39"/>
      <c r="T383" s="39"/>
      <c r="U383" s="39"/>
      <c r="V383" s="39"/>
      <c r="W383" s="39"/>
      <c r="X383" s="39"/>
      <c r="Y383" s="39"/>
      <c r="Z383" s="39"/>
      <c r="AA383" s="39"/>
      <c r="AB383" s="39"/>
    </row>
    <row r="384">
      <c r="A384" s="1"/>
      <c r="B384" s="36"/>
      <c r="C384" s="36"/>
      <c r="D384" s="36"/>
      <c r="E384" s="36"/>
      <c r="F384" s="36"/>
      <c r="G384" s="36"/>
      <c r="H384" s="37"/>
      <c r="I384" s="36"/>
      <c r="J384" s="38"/>
      <c r="K384" s="38"/>
      <c r="L384" s="39"/>
      <c r="M384" s="39"/>
      <c r="N384" s="39"/>
      <c r="O384" s="39"/>
      <c r="P384" s="39"/>
      <c r="Q384" s="39"/>
      <c r="R384" s="39"/>
      <c r="S384" s="39"/>
      <c r="T384" s="39"/>
      <c r="U384" s="39"/>
      <c r="V384" s="39"/>
      <c r="W384" s="39"/>
      <c r="X384" s="39"/>
      <c r="Y384" s="39"/>
      <c r="Z384" s="39"/>
      <c r="AA384" s="39"/>
      <c r="AB384" s="39"/>
    </row>
    <row r="385">
      <c r="A385" s="1"/>
      <c r="B385" s="36"/>
      <c r="C385" s="36"/>
      <c r="D385" s="36"/>
      <c r="E385" s="36"/>
      <c r="F385" s="36"/>
      <c r="G385" s="36"/>
      <c r="H385" s="37"/>
      <c r="I385" s="36"/>
      <c r="J385" s="38"/>
      <c r="K385" s="38"/>
      <c r="L385" s="39"/>
      <c r="M385" s="39"/>
      <c r="N385" s="39"/>
      <c r="O385" s="39"/>
      <c r="P385" s="39"/>
      <c r="Q385" s="39"/>
      <c r="R385" s="39"/>
      <c r="S385" s="39"/>
      <c r="T385" s="39"/>
      <c r="U385" s="39"/>
      <c r="V385" s="39"/>
      <c r="W385" s="39"/>
      <c r="X385" s="39"/>
      <c r="Y385" s="39"/>
      <c r="Z385" s="39"/>
      <c r="AA385" s="39"/>
      <c r="AB385" s="39"/>
    </row>
    <row r="386">
      <c r="A386" s="1"/>
      <c r="B386" s="36"/>
      <c r="C386" s="36"/>
      <c r="D386" s="36"/>
      <c r="E386" s="36"/>
      <c r="F386" s="36"/>
      <c r="G386" s="36"/>
      <c r="H386" s="37"/>
      <c r="I386" s="36"/>
      <c r="J386" s="38"/>
      <c r="K386" s="38"/>
      <c r="L386" s="39"/>
      <c r="M386" s="39"/>
      <c r="N386" s="39"/>
      <c r="O386" s="39"/>
      <c r="P386" s="39"/>
      <c r="Q386" s="39"/>
      <c r="R386" s="39"/>
      <c r="S386" s="39"/>
      <c r="T386" s="39"/>
      <c r="U386" s="39"/>
      <c r="V386" s="39"/>
      <c r="W386" s="39"/>
      <c r="X386" s="39"/>
      <c r="Y386" s="39"/>
      <c r="Z386" s="39"/>
      <c r="AA386" s="39"/>
      <c r="AB386" s="39"/>
    </row>
    <row r="387">
      <c r="A387" s="1"/>
      <c r="B387" s="36"/>
      <c r="C387" s="36"/>
      <c r="D387" s="36"/>
      <c r="E387" s="36"/>
      <c r="F387" s="36"/>
      <c r="G387" s="36"/>
      <c r="H387" s="37"/>
      <c r="I387" s="36"/>
      <c r="J387" s="38"/>
      <c r="K387" s="38"/>
      <c r="L387" s="39"/>
      <c r="M387" s="39"/>
      <c r="N387" s="39"/>
      <c r="O387" s="39"/>
      <c r="P387" s="39"/>
      <c r="Q387" s="39"/>
      <c r="R387" s="39"/>
      <c r="S387" s="39"/>
      <c r="T387" s="39"/>
      <c r="U387" s="39"/>
      <c r="V387" s="39"/>
      <c r="W387" s="39"/>
      <c r="X387" s="39"/>
      <c r="Y387" s="39"/>
      <c r="Z387" s="39"/>
      <c r="AA387" s="39"/>
      <c r="AB387" s="39"/>
    </row>
    <row r="388">
      <c r="A388" s="1"/>
      <c r="B388" s="36"/>
      <c r="C388" s="36"/>
      <c r="D388" s="36"/>
      <c r="E388" s="36"/>
      <c r="F388" s="36"/>
      <c r="G388" s="36"/>
      <c r="H388" s="37"/>
      <c r="I388" s="36"/>
      <c r="J388" s="38"/>
      <c r="K388" s="38"/>
      <c r="L388" s="39"/>
      <c r="M388" s="39"/>
      <c r="N388" s="39"/>
      <c r="O388" s="39"/>
      <c r="P388" s="39"/>
      <c r="Q388" s="39"/>
      <c r="R388" s="39"/>
      <c r="S388" s="39"/>
      <c r="T388" s="39"/>
      <c r="U388" s="39"/>
      <c r="V388" s="39"/>
      <c r="W388" s="39"/>
      <c r="X388" s="39"/>
      <c r="Y388" s="39"/>
      <c r="Z388" s="39"/>
      <c r="AA388" s="39"/>
      <c r="AB388" s="39"/>
    </row>
    <row r="389">
      <c r="A389" s="1"/>
      <c r="B389" s="36"/>
      <c r="C389" s="36"/>
      <c r="D389" s="36"/>
      <c r="E389" s="36"/>
      <c r="F389" s="36"/>
      <c r="G389" s="36"/>
      <c r="H389" s="37"/>
      <c r="I389" s="36"/>
      <c r="J389" s="38"/>
      <c r="K389" s="38"/>
      <c r="L389" s="39"/>
      <c r="M389" s="39"/>
      <c r="N389" s="39"/>
      <c r="O389" s="39"/>
      <c r="P389" s="39"/>
      <c r="Q389" s="39"/>
      <c r="R389" s="39"/>
      <c r="S389" s="39"/>
      <c r="T389" s="39"/>
      <c r="U389" s="39"/>
      <c r="V389" s="39"/>
      <c r="W389" s="39"/>
      <c r="X389" s="39"/>
      <c r="Y389" s="39"/>
      <c r="Z389" s="39"/>
      <c r="AA389" s="39"/>
      <c r="AB389" s="39"/>
    </row>
    <row r="390">
      <c r="A390" s="1"/>
      <c r="B390" s="36"/>
      <c r="C390" s="36"/>
      <c r="D390" s="36"/>
      <c r="E390" s="36"/>
      <c r="F390" s="36"/>
      <c r="G390" s="36"/>
      <c r="H390" s="37"/>
      <c r="I390" s="36"/>
      <c r="J390" s="38"/>
      <c r="K390" s="38"/>
      <c r="L390" s="39"/>
      <c r="M390" s="39"/>
      <c r="N390" s="39"/>
      <c r="O390" s="39"/>
      <c r="P390" s="39"/>
      <c r="Q390" s="39"/>
      <c r="R390" s="39"/>
      <c r="S390" s="39"/>
      <c r="T390" s="39"/>
      <c r="U390" s="39"/>
      <c r="V390" s="39"/>
      <c r="W390" s="39"/>
      <c r="X390" s="39"/>
      <c r="Y390" s="39"/>
      <c r="Z390" s="39"/>
      <c r="AA390" s="39"/>
      <c r="AB390" s="39"/>
    </row>
    <row r="391">
      <c r="A391" s="1"/>
      <c r="B391" s="36"/>
      <c r="C391" s="36"/>
      <c r="D391" s="36"/>
      <c r="E391" s="36"/>
      <c r="F391" s="36"/>
      <c r="G391" s="36"/>
      <c r="H391" s="37"/>
      <c r="I391" s="36"/>
      <c r="J391" s="38"/>
      <c r="K391" s="38"/>
      <c r="L391" s="39"/>
      <c r="M391" s="39"/>
      <c r="N391" s="39"/>
      <c r="O391" s="39"/>
      <c r="P391" s="39"/>
      <c r="Q391" s="39"/>
      <c r="R391" s="39"/>
      <c r="S391" s="39"/>
      <c r="T391" s="39"/>
      <c r="U391" s="39"/>
      <c r="V391" s="39"/>
      <c r="W391" s="39"/>
      <c r="X391" s="39"/>
      <c r="Y391" s="39"/>
      <c r="Z391" s="39"/>
      <c r="AA391" s="39"/>
      <c r="AB391" s="39"/>
    </row>
    <row r="392">
      <c r="A392" s="1"/>
      <c r="B392" s="36"/>
      <c r="C392" s="36"/>
      <c r="D392" s="36"/>
      <c r="E392" s="36"/>
      <c r="F392" s="36"/>
      <c r="G392" s="36"/>
      <c r="H392" s="37"/>
      <c r="I392" s="36"/>
      <c r="J392" s="38"/>
      <c r="K392" s="38"/>
      <c r="L392" s="39"/>
      <c r="M392" s="39"/>
      <c r="N392" s="39"/>
      <c r="O392" s="39"/>
      <c r="P392" s="39"/>
      <c r="Q392" s="39"/>
      <c r="R392" s="39"/>
      <c r="S392" s="39"/>
      <c r="T392" s="39"/>
      <c r="U392" s="39"/>
      <c r="V392" s="39"/>
      <c r="W392" s="39"/>
      <c r="X392" s="39"/>
      <c r="Y392" s="39"/>
      <c r="Z392" s="39"/>
      <c r="AA392" s="39"/>
      <c r="AB392" s="39"/>
    </row>
    <row r="393">
      <c r="A393" s="1"/>
      <c r="B393" s="36"/>
      <c r="C393" s="36"/>
      <c r="D393" s="36"/>
      <c r="E393" s="36"/>
      <c r="F393" s="36"/>
      <c r="G393" s="36"/>
      <c r="H393" s="37"/>
      <c r="I393" s="36"/>
      <c r="J393" s="38"/>
      <c r="K393" s="38"/>
      <c r="L393" s="39"/>
      <c r="M393" s="39"/>
      <c r="N393" s="39"/>
      <c r="O393" s="39"/>
      <c r="P393" s="39"/>
      <c r="Q393" s="39"/>
      <c r="R393" s="39"/>
      <c r="S393" s="39"/>
      <c r="T393" s="39"/>
      <c r="U393" s="39"/>
      <c r="V393" s="39"/>
      <c r="W393" s="39"/>
      <c r="X393" s="39"/>
      <c r="Y393" s="39"/>
      <c r="Z393" s="39"/>
      <c r="AA393" s="39"/>
      <c r="AB393" s="39"/>
    </row>
    <row r="394">
      <c r="A394" s="1"/>
      <c r="B394" s="36"/>
      <c r="C394" s="36"/>
      <c r="D394" s="36"/>
      <c r="E394" s="36"/>
      <c r="F394" s="36"/>
      <c r="G394" s="36"/>
      <c r="H394" s="37"/>
      <c r="I394" s="36"/>
      <c r="J394" s="38"/>
      <c r="K394" s="38"/>
      <c r="L394" s="39"/>
      <c r="M394" s="39"/>
      <c r="N394" s="39"/>
      <c r="O394" s="39"/>
      <c r="P394" s="39"/>
      <c r="Q394" s="39"/>
      <c r="R394" s="39"/>
      <c r="S394" s="39"/>
      <c r="T394" s="39"/>
      <c r="U394" s="39"/>
      <c r="V394" s="39"/>
      <c r="W394" s="39"/>
      <c r="X394" s="39"/>
      <c r="Y394" s="39"/>
      <c r="Z394" s="39"/>
      <c r="AA394" s="39"/>
      <c r="AB394" s="39"/>
    </row>
    <row r="395">
      <c r="A395" s="1"/>
      <c r="B395" s="36"/>
      <c r="C395" s="36"/>
      <c r="D395" s="36"/>
      <c r="E395" s="36"/>
      <c r="F395" s="36"/>
      <c r="G395" s="36"/>
      <c r="H395" s="37"/>
      <c r="I395" s="36"/>
      <c r="J395" s="38"/>
      <c r="K395" s="38"/>
      <c r="L395" s="39"/>
      <c r="M395" s="39"/>
      <c r="N395" s="39"/>
      <c r="O395" s="39"/>
      <c r="P395" s="39"/>
      <c r="Q395" s="39"/>
      <c r="R395" s="39"/>
      <c r="S395" s="39"/>
      <c r="T395" s="39"/>
      <c r="U395" s="39"/>
      <c r="V395" s="39"/>
      <c r="W395" s="39"/>
      <c r="X395" s="39"/>
      <c r="Y395" s="39"/>
      <c r="Z395" s="39"/>
      <c r="AA395" s="39"/>
      <c r="AB395" s="39"/>
    </row>
    <row r="396">
      <c r="A396" s="1"/>
      <c r="B396" s="36"/>
      <c r="C396" s="36"/>
      <c r="D396" s="36"/>
      <c r="E396" s="36"/>
      <c r="F396" s="36"/>
      <c r="G396" s="36"/>
      <c r="H396" s="37"/>
      <c r="I396" s="36"/>
      <c r="J396" s="38"/>
      <c r="K396" s="38"/>
      <c r="L396" s="39"/>
      <c r="M396" s="39"/>
      <c r="N396" s="39"/>
      <c r="O396" s="39"/>
      <c r="P396" s="39"/>
      <c r="Q396" s="39"/>
      <c r="R396" s="39"/>
      <c r="S396" s="39"/>
      <c r="T396" s="39"/>
      <c r="U396" s="39"/>
      <c r="V396" s="39"/>
      <c r="W396" s="39"/>
      <c r="X396" s="39"/>
      <c r="Y396" s="39"/>
      <c r="Z396" s="39"/>
      <c r="AA396" s="39"/>
      <c r="AB396" s="39"/>
    </row>
    <row r="397">
      <c r="A397" s="1"/>
      <c r="B397" s="36"/>
      <c r="C397" s="36"/>
      <c r="D397" s="36"/>
      <c r="E397" s="36"/>
      <c r="F397" s="36"/>
      <c r="G397" s="36"/>
      <c r="H397" s="37"/>
      <c r="I397" s="36"/>
      <c r="J397" s="38"/>
      <c r="K397" s="38"/>
      <c r="L397" s="39"/>
      <c r="M397" s="39"/>
      <c r="N397" s="39"/>
      <c r="O397" s="39"/>
      <c r="P397" s="39"/>
      <c r="Q397" s="39"/>
      <c r="R397" s="39"/>
      <c r="S397" s="39"/>
      <c r="T397" s="39"/>
      <c r="U397" s="39"/>
      <c r="V397" s="39"/>
      <c r="W397" s="39"/>
      <c r="X397" s="39"/>
      <c r="Y397" s="39"/>
      <c r="Z397" s="39"/>
      <c r="AA397" s="39"/>
      <c r="AB397" s="39"/>
    </row>
    <row r="398">
      <c r="A398" s="1"/>
      <c r="B398" s="36"/>
      <c r="C398" s="36"/>
      <c r="D398" s="36"/>
      <c r="E398" s="36"/>
      <c r="F398" s="36"/>
      <c r="G398" s="36"/>
      <c r="H398" s="37"/>
      <c r="I398" s="36"/>
      <c r="J398" s="38"/>
      <c r="K398" s="38"/>
      <c r="L398" s="39"/>
      <c r="M398" s="39"/>
      <c r="N398" s="39"/>
      <c r="O398" s="39"/>
      <c r="P398" s="39"/>
      <c r="Q398" s="39"/>
      <c r="R398" s="39"/>
      <c r="S398" s="39"/>
      <c r="T398" s="39"/>
      <c r="U398" s="39"/>
      <c r="V398" s="39"/>
      <c r="W398" s="39"/>
      <c r="X398" s="39"/>
      <c r="Y398" s="39"/>
      <c r="Z398" s="39"/>
      <c r="AA398" s="39"/>
      <c r="AB398" s="39"/>
    </row>
    <row r="399">
      <c r="A399" s="1"/>
      <c r="B399" s="36"/>
      <c r="C399" s="36"/>
      <c r="D399" s="36"/>
      <c r="E399" s="36"/>
      <c r="F399" s="36"/>
      <c r="G399" s="36"/>
      <c r="H399" s="37"/>
      <c r="I399" s="36"/>
      <c r="J399" s="38"/>
      <c r="K399" s="38"/>
      <c r="L399" s="39"/>
      <c r="M399" s="39"/>
      <c r="N399" s="39"/>
      <c r="O399" s="39"/>
      <c r="P399" s="39"/>
      <c r="Q399" s="39"/>
      <c r="R399" s="39"/>
      <c r="S399" s="39"/>
      <c r="T399" s="39"/>
      <c r="U399" s="39"/>
      <c r="V399" s="39"/>
      <c r="W399" s="39"/>
      <c r="X399" s="39"/>
      <c r="Y399" s="39"/>
      <c r="Z399" s="39"/>
      <c r="AA399" s="39"/>
      <c r="AB399" s="39"/>
    </row>
    <row r="400">
      <c r="A400" s="1"/>
      <c r="B400" s="36"/>
      <c r="C400" s="36"/>
      <c r="D400" s="36"/>
      <c r="E400" s="36"/>
      <c r="F400" s="36"/>
      <c r="G400" s="36"/>
      <c r="H400" s="37"/>
      <c r="I400" s="36"/>
      <c r="J400" s="38"/>
      <c r="K400" s="38"/>
      <c r="L400" s="39"/>
      <c r="M400" s="39"/>
      <c r="N400" s="39"/>
      <c r="O400" s="39"/>
      <c r="P400" s="39"/>
      <c r="Q400" s="39"/>
      <c r="R400" s="39"/>
      <c r="S400" s="39"/>
      <c r="T400" s="39"/>
      <c r="U400" s="39"/>
      <c r="V400" s="39"/>
      <c r="W400" s="39"/>
      <c r="X400" s="39"/>
      <c r="Y400" s="39"/>
      <c r="Z400" s="39"/>
      <c r="AA400" s="39"/>
      <c r="AB400" s="39"/>
    </row>
    <row r="401">
      <c r="A401" s="1"/>
      <c r="B401" s="36"/>
      <c r="C401" s="36"/>
      <c r="D401" s="36"/>
      <c r="E401" s="36"/>
      <c r="F401" s="36"/>
      <c r="G401" s="36"/>
      <c r="H401" s="37"/>
      <c r="I401" s="36"/>
      <c r="J401" s="38"/>
      <c r="K401" s="38"/>
      <c r="L401" s="39"/>
      <c r="M401" s="39"/>
      <c r="N401" s="39"/>
      <c r="O401" s="39"/>
      <c r="P401" s="39"/>
      <c r="Q401" s="39"/>
      <c r="R401" s="39"/>
      <c r="S401" s="39"/>
      <c r="T401" s="39"/>
      <c r="U401" s="39"/>
      <c r="V401" s="39"/>
      <c r="W401" s="39"/>
      <c r="X401" s="39"/>
      <c r="Y401" s="39"/>
      <c r="Z401" s="39"/>
      <c r="AA401" s="39"/>
      <c r="AB401" s="39"/>
    </row>
    <row r="402">
      <c r="A402" s="1"/>
      <c r="B402" s="36"/>
      <c r="C402" s="36"/>
      <c r="D402" s="36"/>
      <c r="E402" s="36"/>
      <c r="F402" s="36"/>
      <c r="G402" s="36"/>
      <c r="H402" s="37"/>
      <c r="I402" s="36"/>
      <c r="J402" s="38"/>
      <c r="K402" s="38"/>
      <c r="L402" s="39"/>
      <c r="M402" s="39"/>
      <c r="N402" s="39"/>
      <c r="O402" s="39"/>
      <c r="P402" s="39"/>
      <c r="Q402" s="39"/>
      <c r="R402" s="39"/>
      <c r="S402" s="39"/>
      <c r="T402" s="39"/>
      <c r="U402" s="39"/>
      <c r="V402" s="39"/>
      <c r="W402" s="39"/>
      <c r="X402" s="39"/>
      <c r="Y402" s="39"/>
      <c r="Z402" s="39"/>
      <c r="AA402" s="39"/>
      <c r="AB402" s="39"/>
    </row>
    <row r="403">
      <c r="A403" s="1"/>
      <c r="B403" s="36"/>
      <c r="C403" s="36"/>
      <c r="D403" s="36"/>
      <c r="E403" s="36"/>
      <c r="F403" s="36"/>
      <c r="G403" s="36"/>
      <c r="H403" s="37"/>
      <c r="I403" s="36"/>
      <c r="J403" s="38"/>
      <c r="K403" s="38"/>
      <c r="L403" s="39"/>
      <c r="M403" s="39"/>
      <c r="N403" s="39"/>
      <c r="O403" s="39"/>
      <c r="P403" s="39"/>
      <c r="Q403" s="39"/>
      <c r="R403" s="39"/>
      <c r="S403" s="39"/>
      <c r="T403" s="39"/>
      <c r="U403" s="39"/>
      <c r="V403" s="39"/>
      <c r="W403" s="39"/>
      <c r="X403" s="39"/>
      <c r="Y403" s="39"/>
      <c r="Z403" s="39"/>
      <c r="AA403" s="39"/>
      <c r="AB403" s="39"/>
    </row>
    <row r="404">
      <c r="A404" s="1"/>
      <c r="B404" s="36"/>
      <c r="C404" s="36"/>
      <c r="D404" s="36"/>
      <c r="E404" s="36"/>
      <c r="F404" s="36"/>
      <c r="G404" s="36"/>
      <c r="H404" s="37"/>
      <c r="I404" s="36"/>
      <c r="J404" s="38"/>
      <c r="K404" s="38"/>
      <c r="L404" s="39"/>
      <c r="M404" s="39"/>
      <c r="N404" s="39"/>
      <c r="O404" s="39"/>
      <c r="P404" s="39"/>
      <c r="Q404" s="39"/>
      <c r="R404" s="39"/>
      <c r="S404" s="39"/>
      <c r="T404" s="39"/>
      <c r="U404" s="39"/>
      <c r="V404" s="39"/>
      <c r="W404" s="39"/>
      <c r="X404" s="39"/>
      <c r="Y404" s="39"/>
      <c r="Z404" s="39"/>
      <c r="AA404" s="39"/>
      <c r="AB404" s="39"/>
    </row>
    <row r="405">
      <c r="A405" s="1"/>
      <c r="B405" s="36"/>
      <c r="C405" s="36"/>
      <c r="D405" s="36"/>
      <c r="E405" s="36"/>
      <c r="F405" s="36"/>
      <c r="G405" s="36"/>
      <c r="H405" s="37"/>
      <c r="I405" s="36"/>
      <c r="J405" s="38"/>
      <c r="K405" s="38"/>
      <c r="L405" s="39"/>
      <c r="M405" s="39"/>
      <c r="N405" s="39"/>
      <c r="O405" s="39"/>
      <c r="P405" s="39"/>
      <c r="Q405" s="39"/>
      <c r="R405" s="39"/>
      <c r="S405" s="39"/>
      <c r="T405" s="39"/>
      <c r="U405" s="39"/>
      <c r="V405" s="39"/>
      <c r="W405" s="39"/>
      <c r="X405" s="39"/>
      <c r="Y405" s="39"/>
      <c r="Z405" s="39"/>
      <c r="AA405" s="39"/>
      <c r="AB405" s="39"/>
    </row>
    <row r="406">
      <c r="A406" s="1"/>
      <c r="B406" s="36"/>
      <c r="C406" s="36"/>
      <c r="D406" s="36"/>
      <c r="E406" s="36"/>
      <c r="F406" s="36"/>
      <c r="G406" s="36"/>
      <c r="H406" s="37"/>
      <c r="I406" s="36"/>
      <c r="J406" s="38"/>
      <c r="K406" s="38"/>
      <c r="L406" s="39"/>
      <c r="M406" s="39"/>
      <c r="N406" s="39"/>
      <c r="O406" s="39"/>
      <c r="P406" s="39"/>
      <c r="Q406" s="39"/>
      <c r="R406" s="39"/>
      <c r="S406" s="39"/>
      <c r="T406" s="39"/>
      <c r="U406" s="39"/>
      <c r="V406" s="39"/>
      <c r="W406" s="39"/>
      <c r="X406" s="39"/>
      <c r="Y406" s="39"/>
      <c r="Z406" s="39"/>
      <c r="AA406" s="39"/>
      <c r="AB406" s="39"/>
    </row>
    <row r="407">
      <c r="A407" s="1"/>
      <c r="B407" s="36"/>
      <c r="C407" s="36"/>
      <c r="D407" s="36"/>
      <c r="E407" s="36"/>
      <c r="F407" s="36"/>
      <c r="G407" s="36"/>
      <c r="H407" s="37"/>
      <c r="I407" s="36"/>
      <c r="J407" s="38"/>
      <c r="K407" s="38"/>
      <c r="L407" s="39"/>
      <c r="M407" s="39"/>
      <c r="N407" s="39"/>
      <c r="O407" s="39"/>
      <c r="P407" s="39"/>
      <c r="Q407" s="39"/>
      <c r="R407" s="39"/>
      <c r="S407" s="39"/>
      <c r="T407" s="39"/>
      <c r="U407" s="39"/>
      <c r="V407" s="39"/>
      <c r="W407" s="39"/>
      <c r="X407" s="39"/>
      <c r="Y407" s="39"/>
      <c r="Z407" s="39"/>
      <c r="AA407" s="39"/>
      <c r="AB407" s="39"/>
    </row>
    <row r="408">
      <c r="A408" s="1"/>
      <c r="B408" s="36"/>
      <c r="C408" s="36"/>
      <c r="D408" s="36"/>
      <c r="E408" s="36"/>
      <c r="F408" s="36"/>
      <c r="G408" s="36"/>
      <c r="H408" s="37"/>
      <c r="I408" s="36"/>
      <c r="J408" s="38"/>
      <c r="K408" s="38"/>
      <c r="L408" s="39"/>
      <c r="M408" s="39"/>
      <c r="N408" s="39"/>
      <c r="O408" s="39"/>
      <c r="P408" s="39"/>
      <c r="Q408" s="39"/>
      <c r="R408" s="39"/>
      <c r="S408" s="39"/>
      <c r="T408" s="39"/>
      <c r="U408" s="39"/>
      <c r="V408" s="39"/>
      <c r="W408" s="39"/>
      <c r="X408" s="39"/>
      <c r="Y408" s="39"/>
      <c r="Z408" s="39"/>
      <c r="AA408" s="39"/>
      <c r="AB408" s="39"/>
    </row>
    <row r="409">
      <c r="A409" s="1"/>
      <c r="B409" s="36"/>
      <c r="C409" s="36"/>
      <c r="D409" s="36"/>
      <c r="E409" s="36"/>
      <c r="F409" s="36"/>
      <c r="G409" s="36"/>
      <c r="H409" s="37"/>
      <c r="I409" s="36"/>
      <c r="J409" s="38"/>
      <c r="K409" s="38"/>
      <c r="L409" s="39"/>
      <c r="M409" s="39"/>
      <c r="N409" s="39"/>
      <c r="O409" s="39"/>
      <c r="P409" s="39"/>
      <c r="Q409" s="39"/>
      <c r="R409" s="39"/>
      <c r="S409" s="39"/>
      <c r="T409" s="39"/>
      <c r="U409" s="39"/>
      <c r="V409" s="39"/>
      <c r="W409" s="39"/>
      <c r="X409" s="39"/>
      <c r="Y409" s="39"/>
      <c r="Z409" s="39"/>
      <c r="AA409" s="39"/>
      <c r="AB409" s="39"/>
    </row>
    <row r="410">
      <c r="A410" s="1"/>
      <c r="B410" s="36"/>
      <c r="C410" s="36"/>
      <c r="D410" s="36"/>
      <c r="E410" s="36"/>
      <c r="F410" s="36"/>
      <c r="G410" s="36"/>
      <c r="H410" s="37"/>
      <c r="I410" s="36"/>
      <c r="J410" s="38"/>
      <c r="K410" s="38"/>
      <c r="L410" s="39"/>
      <c r="M410" s="39"/>
      <c r="N410" s="39"/>
      <c r="O410" s="39"/>
      <c r="P410" s="39"/>
      <c r="Q410" s="39"/>
      <c r="R410" s="39"/>
      <c r="S410" s="39"/>
      <c r="T410" s="39"/>
      <c r="U410" s="39"/>
      <c r="V410" s="39"/>
      <c r="W410" s="39"/>
      <c r="X410" s="39"/>
      <c r="Y410" s="39"/>
      <c r="Z410" s="39"/>
      <c r="AA410" s="39"/>
      <c r="AB410" s="39"/>
    </row>
    <row r="411">
      <c r="A411" s="1"/>
      <c r="B411" s="36"/>
      <c r="C411" s="36"/>
      <c r="D411" s="36"/>
      <c r="E411" s="36"/>
      <c r="F411" s="36"/>
      <c r="G411" s="36"/>
      <c r="H411" s="37"/>
      <c r="I411" s="36"/>
      <c r="J411" s="38"/>
      <c r="K411" s="38"/>
      <c r="L411" s="39"/>
      <c r="M411" s="39"/>
      <c r="N411" s="39"/>
      <c r="O411" s="39"/>
      <c r="P411" s="39"/>
      <c r="Q411" s="39"/>
      <c r="R411" s="39"/>
      <c r="S411" s="39"/>
      <c r="T411" s="39"/>
      <c r="U411" s="39"/>
      <c r="V411" s="39"/>
      <c r="W411" s="39"/>
      <c r="X411" s="39"/>
      <c r="Y411" s="39"/>
      <c r="Z411" s="39"/>
      <c r="AA411" s="39"/>
      <c r="AB411" s="39"/>
    </row>
    <row r="412">
      <c r="A412" s="1"/>
      <c r="B412" s="36"/>
      <c r="C412" s="36"/>
      <c r="D412" s="36"/>
      <c r="E412" s="36"/>
      <c r="F412" s="36"/>
      <c r="G412" s="36"/>
      <c r="H412" s="37"/>
      <c r="I412" s="36"/>
      <c r="J412" s="38"/>
      <c r="K412" s="38"/>
      <c r="L412" s="39"/>
      <c r="M412" s="39"/>
      <c r="N412" s="39"/>
      <c r="O412" s="39"/>
      <c r="P412" s="39"/>
      <c r="Q412" s="39"/>
      <c r="R412" s="39"/>
      <c r="S412" s="39"/>
      <c r="T412" s="39"/>
      <c r="U412" s="39"/>
      <c r="V412" s="39"/>
      <c r="W412" s="39"/>
      <c r="X412" s="39"/>
      <c r="Y412" s="39"/>
      <c r="Z412" s="39"/>
      <c r="AA412" s="39"/>
      <c r="AB412" s="39"/>
    </row>
    <row r="413">
      <c r="A413" s="1"/>
      <c r="B413" s="36"/>
      <c r="C413" s="36"/>
      <c r="D413" s="36"/>
      <c r="E413" s="36"/>
      <c r="F413" s="36"/>
      <c r="G413" s="36"/>
      <c r="H413" s="37"/>
      <c r="I413" s="36"/>
      <c r="J413" s="38"/>
      <c r="K413" s="38"/>
      <c r="L413" s="39"/>
      <c r="M413" s="39"/>
      <c r="N413" s="39"/>
      <c r="O413" s="39"/>
      <c r="P413" s="39"/>
      <c r="Q413" s="39"/>
      <c r="R413" s="39"/>
      <c r="S413" s="39"/>
      <c r="T413" s="39"/>
      <c r="U413" s="39"/>
      <c r="V413" s="39"/>
      <c r="W413" s="39"/>
      <c r="X413" s="39"/>
      <c r="Y413" s="39"/>
      <c r="Z413" s="39"/>
      <c r="AA413" s="39"/>
      <c r="AB413" s="39"/>
    </row>
    <row r="414">
      <c r="A414" s="1"/>
      <c r="B414" s="36"/>
      <c r="C414" s="36"/>
      <c r="D414" s="36"/>
      <c r="E414" s="36"/>
      <c r="F414" s="36"/>
      <c r="G414" s="36"/>
      <c r="H414" s="37"/>
      <c r="I414" s="36"/>
      <c r="J414" s="38"/>
      <c r="K414" s="38"/>
      <c r="L414" s="39"/>
      <c r="M414" s="39"/>
      <c r="N414" s="39"/>
      <c r="O414" s="39"/>
      <c r="P414" s="39"/>
      <c r="Q414" s="39"/>
      <c r="R414" s="39"/>
      <c r="S414" s="39"/>
      <c r="T414" s="39"/>
      <c r="U414" s="39"/>
      <c r="V414" s="39"/>
      <c r="W414" s="39"/>
      <c r="X414" s="39"/>
      <c r="Y414" s="39"/>
      <c r="Z414" s="39"/>
      <c r="AA414" s="39"/>
      <c r="AB414" s="39"/>
    </row>
    <row r="415">
      <c r="A415" s="1"/>
      <c r="B415" s="36"/>
      <c r="C415" s="36"/>
      <c r="D415" s="36"/>
      <c r="E415" s="36"/>
      <c r="F415" s="36"/>
      <c r="G415" s="36"/>
      <c r="H415" s="37"/>
      <c r="I415" s="36"/>
      <c r="J415" s="38"/>
      <c r="K415" s="38"/>
      <c r="L415" s="39"/>
      <c r="M415" s="39"/>
      <c r="N415" s="39"/>
      <c r="O415" s="39"/>
      <c r="P415" s="39"/>
      <c r="Q415" s="39"/>
      <c r="R415" s="39"/>
      <c r="S415" s="39"/>
      <c r="T415" s="39"/>
      <c r="U415" s="39"/>
      <c r="V415" s="39"/>
      <c r="W415" s="39"/>
      <c r="X415" s="39"/>
      <c r="Y415" s="39"/>
      <c r="Z415" s="39"/>
      <c r="AA415" s="39"/>
      <c r="AB415" s="39"/>
    </row>
    <row r="416">
      <c r="A416" s="1"/>
      <c r="B416" s="36"/>
      <c r="C416" s="36"/>
      <c r="D416" s="36"/>
      <c r="E416" s="36"/>
      <c r="F416" s="36"/>
      <c r="G416" s="36"/>
      <c r="H416" s="37"/>
      <c r="I416" s="36"/>
      <c r="J416" s="38"/>
      <c r="K416" s="38"/>
      <c r="L416" s="39"/>
      <c r="M416" s="39"/>
      <c r="N416" s="39"/>
      <c r="O416" s="39"/>
      <c r="P416" s="39"/>
      <c r="Q416" s="39"/>
      <c r="R416" s="39"/>
      <c r="S416" s="39"/>
      <c r="T416" s="39"/>
      <c r="U416" s="39"/>
      <c r="V416" s="39"/>
      <c r="W416" s="39"/>
      <c r="X416" s="39"/>
      <c r="Y416" s="39"/>
      <c r="Z416" s="39"/>
      <c r="AA416" s="39"/>
      <c r="AB416" s="39"/>
    </row>
    <row r="417">
      <c r="A417" s="1"/>
      <c r="B417" s="36"/>
      <c r="C417" s="36"/>
      <c r="D417" s="36"/>
      <c r="E417" s="36"/>
      <c r="F417" s="36"/>
      <c r="G417" s="36"/>
      <c r="H417" s="37"/>
      <c r="I417" s="36"/>
      <c r="J417" s="38"/>
      <c r="K417" s="38"/>
      <c r="L417" s="39"/>
      <c r="M417" s="39"/>
      <c r="N417" s="39"/>
      <c r="O417" s="39"/>
      <c r="P417" s="39"/>
      <c r="Q417" s="39"/>
      <c r="R417" s="39"/>
      <c r="S417" s="39"/>
      <c r="T417" s="39"/>
      <c r="U417" s="39"/>
      <c r="V417" s="39"/>
      <c r="W417" s="39"/>
      <c r="X417" s="39"/>
      <c r="Y417" s="39"/>
      <c r="Z417" s="39"/>
      <c r="AA417" s="39"/>
      <c r="AB417" s="39"/>
    </row>
    <row r="418">
      <c r="A418" s="1"/>
      <c r="B418" s="36"/>
      <c r="C418" s="36"/>
      <c r="D418" s="36"/>
      <c r="E418" s="36"/>
      <c r="F418" s="36"/>
      <c r="G418" s="36"/>
      <c r="H418" s="37"/>
      <c r="I418" s="36"/>
      <c r="J418" s="38"/>
      <c r="K418" s="38"/>
      <c r="L418" s="39"/>
      <c r="M418" s="39"/>
      <c r="N418" s="39"/>
      <c r="O418" s="39"/>
      <c r="P418" s="39"/>
      <c r="Q418" s="39"/>
      <c r="R418" s="39"/>
      <c r="S418" s="39"/>
      <c r="T418" s="39"/>
      <c r="U418" s="39"/>
      <c r="V418" s="39"/>
      <c r="W418" s="39"/>
      <c r="X418" s="39"/>
      <c r="Y418" s="39"/>
      <c r="Z418" s="39"/>
      <c r="AA418" s="39"/>
      <c r="AB418" s="39"/>
    </row>
    <row r="419">
      <c r="A419" s="1"/>
      <c r="B419" s="36"/>
      <c r="C419" s="36"/>
      <c r="D419" s="36"/>
      <c r="E419" s="36"/>
      <c r="F419" s="36"/>
      <c r="G419" s="36"/>
      <c r="H419" s="37"/>
      <c r="I419" s="36"/>
      <c r="J419" s="38"/>
      <c r="K419" s="38"/>
      <c r="L419" s="39"/>
      <c r="M419" s="39"/>
      <c r="N419" s="39"/>
      <c r="O419" s="39"/>
      <c r="P419" s="39"/>
      <c r="Q419" s="39"/>
      <c r="R419" s="39"/>
      <c r="S419" s="39"/>
      <c r="T419" s="39"/>
      <c r="U419" s="39"/>
      <c r="V419" s="39"/>
      <c r="W419" s="39"/>
      <c r="X419" s="39"/>
      <c r="Y419" s="39"/>
      <c r="Z419" s="39"/>
      <c r="AA419" s="39"/>
      <c r="AB419" s="39"/>
    </row>
    <row r="420">
      <c r="A420" s="1"/>
      <c r="B420" s="36"/>
      <c r="C420" s="36"/>
      <c r="D420" s="36"/>
      <c r="E420" s="36"/>
      <c r="F420" s="36"/>
      <c r="G420" s="36"/>
      <c r="H420" s="37"/>
      <c r="I420" s="36"/>
      <c r="J420" s="38"/>
      <c r="K420" s="38"/>
      <c r="L420" s="39"/>
      <c r="M420" s="39"/>
      <c r="N420" s="39"/>
      <c r="O420" s="39"/>
      <c r="P420" s="39"/>
      <c r="Q420" s="39"/>
      <c r="R420" s="39"/>
      <c r="S420" s="39"/>
      <c r="T420" s="39"/>
      <c r="U420" s="39"/>
      <c r="V420" s="39"/>
      <c r="W420" s="39"/>
      <c r="X420" s="39"/>
      <c r="Y420" s="39"/>
      <c r="Z420" s="39"/>
      <c r="AA420" s="39"/>
      <c r="AB420" s="39"/>
    </row>
    <row r="421">
      <c r="A421" s="1"/>
      <c r="B421" s="36"/>
      <c r="C421" s="36"/>
      <c r="D421" s="36"/>
      <c r="E421" s="36"/>
      <c r="F421" s="36"/>
      <c r="G421" s="36"/>
      <c r="H421" s="37"/>
      <c r="I421" s="36"/>
      <c r="J421" s="38"/>
      <c r="K421" s="38"/>
      <c r="L421" s="39"/>
      <c r="M421" s="39"/>
      <c r="N421" s="39"/>
      <c r="O421" s="39"/>
      <c r="P421" s="39"/>
      <c r="Q421" s="39"/>
      <c r="R421" s="39"/>
      <c r="S421" s="39"/>
      <c r="T421" s="39"/>
      <c r="U421" s="39"/>
      <c r="V421" s="39"/>
      <c r="W421" s="39"/>
      <c r="X421" s="39"/>
      <c r="Y421" s="39"/>
      <c r="Z421" s="39"/>
      <c r="AA421" s="39"/>
      <c r="AB421" s="39"/>
    </row>
    <row r="422">
      <c r="A422" s="1"/>
      <c r="B422" s="36"/>
      <c r="C422" s="36"/>
      <c r="D422" s="36"/>
      <c r="E422" s="36"/>
      <c r="F422" s="36"/>
      <c r="G422" s="36"/>
      <c r="H422" s="37"/>
      <c r="I422" s="36"/>
      <c r="J422" s="38"/>
      <c r="K422" s="38"/>
      <c r="L422" s="39"/>
      <c r="M422" s="39"/>
      <c r="N422" s="39"/>
      <c r="O422" s="39"/>
      <c r="P422" s="39"/>
      <c r="Q422" s="39"/>
      <c r="R422" s="39"/>
      <c r="S422" s="39"/>
      <c r="T422" s="39"/>
      <c r="U422" s="39"/>
      <c r="V422" s="39"/>
      <c r="W422" s="39"/>
      <c r="X422" s="39"/>
      <c r="Y422" s="39"/>
      <c r="Z422" s="39"/>
      <c r="AA422" s="39"/>
      <c r="AB422" s="39"/>
    </row>
    <row r="423">
      <c r="A423" s="1"/>
      <c r="B423" s="36"/>
      <c r="C423" s="36"/>
      <c r="D423" s="36"/>
      <c r="E423" s="36"/>
      <c r="F423" s="36"/>
      <c r="G423" s="36"/>
      <c r="H423" s="37"/>
      <c r="I423" s="36"/>
      <c r="J423" s="38"/>
      <c r="K423" s="38"/>
      <c r="L423" s="39"/>
      <c r="M423" s="39"/>
      <c r="N423" s="39"/>
      <c r="O423" s="39"/>
      <c r="P423" s="39"/>
      <c r="Q423" s="39"/>
      <c r="R423" s="39"/>
      <c r="S423" s="39"/>
      <c r="T423" s="39"/>
      <c r="U423" s="39"/>
      <c r="V423" s="39"/>
      <c r="W423" s="39"/>
      <c r="X423" s="39"/>
      <c r="Y423" s="39"/>
      <c r="Z423" s="39"/>
      <c r="AA423" s="39"/>
      <c r="AB423" s="39"/>
    </row>
    <row r="424">
      <c r="A424" s="1"/>
      <c r="B424" s="36"/>
      <c r="C424" s="36"/>
      <c r="D424" s="36"/>
      <c r="E424" s="36"/>
      <c r="F424" s="36"/>
      <c r="G424" s="36"/>
      <c r="H424" s="37"/>
      <c r="I424" s="36"/>
      <c r="J424" s="38"/>
      <c r="K424" s="38"/>
      <c r="L424" s="39"/>
      <c r="M424" s="39"/>
      <c r="N424" s="39"/>
      <c r="O424" s="39"/>
      <c r="P424" s="39"/>
      <c r="Q424" s="39"/>
      <c r="R424" s="39"/>
      <c r="S424" s="39"/>
      <c r="T424" s="39"/>
      <c r="U424" s="39"/>
      <c r="V424" s="39"/>
      <c r="W424" s="39"/>
      <c r="X424" s="39"/>
      <c r="Y424" s="39"/>
      <c r="Z424" s="39"/>
      <c r="AA424" s="39"/>
      <c r="AB424" s="39"/>
    </row>
    <row r="425">
      <c r="A425" s="1"/>
      <c r="B425" s="36"/>
      <c r="C425" s="36"/>
      <c r="D425" s="36"/>
      <c r="E425" s="36"/>
      <c r="F425" s="36"/>
      <c r="G425" s="36"/>
      <c r="H425" s="37"/>
      <c r="I425" s="36"/>
      <c r="J425" s="38"/>
      <c r="K425" s="38"/>
      <c r="L425" s="39"/>
      <c r="M425" s="39"/>
      <c r="N425" s="39"/>
      <c r="O425" s="39"/>
      <c r="P425" s="39"/>
      <c r="Q425" s="39"/>
      <c r="R425" s="39"/>
      <c r="S425" s="39"/>
      <c r="T425" s="39"/>
      <c r="U425" s="39"/>
      <c r="V425" s="39"/>
      <c r="W425" s="39"/>
      <c r="X425" s="39"/>
      <c r="Y425" s="39"/>
      <c r="Z425" s="39"/>
      <c r="AA425" s="39"/>
      <c r="AB425" s="39"/>
    </row>
    <row r="426">
      <c r="A426" s="1"/>
      <c r="B426" s="36"/>
      <c r="C426" s="36"/>
      <c r="D426" s="36"/>
      <c r="E426" s="36"/>
      <c r="F426" s="36"/>
      <c r="G426" s="36"/>
      <c r="H426" s="37"/>
      <c r="I426" s="36"/>
      <c r="J426" s="38"/>
      <c r="K426" s="38"/>
      <c r="L426" s="39"/>
      <c r="M426" s="39"/>
      <c r="N426" s="39"/>
      <c r="O426" s="39"/>
      <c r="P426" s="39"/>
      <c r="Q426" s="39"/>
      <c r="R426" s="39"/>
      <c r="S426" s="39"/>
      <c r="T426" s="39"/>
      <c r="U426" s="39"/>
      <c r="V426" s="39"/>
      <c r="W426" s="39"/>
      <c r="X426" s="39"/>
      <c r="Y426" s="39"/>
      <c r="Z426" s="39"/>
      <c r="AA426" s="39"/>
      <c r="AB426" s="39"/>
    </row>
    <row r="427">
      <c r="A427" s="1"/>
      <c r="B427" s="36"/>
      <c r="C427" s="36"/>
      <c r="D427" s="36"/>
      <c r="E427" s="36"/>
      <c r="F427" s="36"/>
      <c r="G427" s="36"/>
      <c r="H427" s="37"/>
      <c r="I427" s="36"/>
      <c r="J427" s="38"/>
      <c r="K427" s="38"/>
      <c r="L427" s="39"/>
      <c r="M427" s="39"/>
      <c r="N427" s="39"/>
      <c r="O427" s="39"/>
      <c r="P427" s="39"/>
      <c r="Q427" s="39"/>
      <c r="R427" s="39"/>
      <c r="S427" s="39"/>
      <c r="T427" s="39"/>
      <c r="U427" s="39"/>
      <c r="V427" s="39"/>
      <c r="W427" s="39"/>
      <c r="X427" s="39"/>
      <c r="Y427" s="39"/>
      <c r="Z427" s="39"/>
      <c r="AA427" s="39"/>
      <c r="AB427" s="39"/>
    </row>
    <row r="428">
      <c r="A428" s="1"/>
      <c r="B428" s="36"/>
      <c r="C428" s="36"/>
      <c r="D428" s="36"/>
      <c r="E428" s="36"/>
      <c r="F428" s="36"/>
      <c r="G428" s="36"/>
      <c r="H428" s="37"/>
      <c r="I428" s="36"/>
      <c r="J428" s="38"/>
      <c r="K428" s="38"/>
      <c r="L428" s="39"/>
      <c r="M428" s="39"/>
      <c r="N428" s="39"/>
      <c r="O428" s="39"/>
      <c r="P428" s="39"/>
      <c r="Q428" s="39"/>
      <c r="R428" s="39"/>
      <c r="S428" s="39"/>
      <c r="T428" s="39"/>
      <c r="U428" s="39"/>
      <c r="V428" s="39"/>
      <c r="W428" s="39"/>
      <c r="X428" s="39"/>
      <c r="Y428" s="39"/>
      <c r="Z428" s="39"/>
      <c r="AA428" s="39"/>
      <c r="AB428" s="39"/>
    </row>
    <row r="429">
      <c r="A429" s="1"/>
      <c r="B429" s="36"/>
      <c r="C429" s="36"/>
      <c r="D429" s="36"/>
      <c r="E429" s="36"/>
      <c r="F429" s="36"/>
      <c r="G429" s="36"/>
      <c r="H429" s="37"/>
      <c r="I429" s="36"/>
      <c r="J429" s="38"/>
      <c r="K429" s="38"/>
      <c r="L429" s="39"/>
      <c r="M429" s="39"/>
      <c r="N429" s="39"/>
      <c r="O429" s="39"/>
      <c r="P429" s="39"/>
      <c r="Q429" s="39"/>
      <c r="R429" s="39"/>
      <c r="S429" s="39"/>
      <c r="T429" s="39"/>
      <c r="U429" s="39"/>
      <c r="V429" s="39"/>
      <c r="W429" s="39"/>
      <c r="X429" s="39"/>
      <c r="Y429" s="39"/>
      <c r="Z429" s="39"/>
      <c r="AA429" s="39"/>
      <c r="AB429" s="39"/>
    </row>
    <row r="430">
      <c r="A430" s="1"/>
      <c r="B430" s="36"/>
      <c r="C430" s="36"/>
      <c r="D430" s="36"/>
      <c r="E430" s="36"/>
      <c r="F430" s="36"/>
      <c r="G430" s="36"/>
      <c r="H430" s="37"/>
      <c r="I430" s="36"/>
      <c r="J430" s="38"/>
      <c r="K430" s="38"/>
      <c r="L430" s="39"/>
      <c r="M430" s="39"/>
      <c r="N430" s="39"/>
      <c r="O430" s="39"/>
      <c r="P430" s="39"/>
      <c r="Q430" s="39"/>
      <c r="R430" s="39"/>
      <c r="S430" s="39"/>
      <c r="T430" s="39"/>
      <c r="U430" s="39"/>
      <c r="V430" s="39"/>
      <c r="W430" s="39"/>
      <c r="X430" s="39"/>
      <c r="Y430" s="39"/>
      <c r="Z430" s="39"/>
      <c r="AA430" s="39"/>
      <c r="AB430" s="39"/>
    </row>
    <row r="431">
      <c r="A431" s="1"/>
      <c r="B431" s="36"/>
      <c r="C431" s="36"/>
      <c r="D431" s="36"/>
      <c r="E431" s="36"/>
      <c r="F431" s="36"/>
      <c r="G431" s="36"/>
      <c r="H431" s="37"/>
      <c r="I431" s="36"/>
      <c r="J431" s="38"/>
      <c r="K431" s="38"/>
      <c r="L431" s="39"/>
      <c r="M431" s="39"/>
      <c r="N431" s="39"/>
      <c r="O431" s="39"/>
      <c r="P431" s="39"/>
      <c r="Q431" s="39"/>
      <c r="R431" s="39"/>
      <c r="S431" s="39"/>
      <c r="T431" s="39"/>
      <c r="U431" s="39"/>
      <c r="V431" s="39"/>
      <c r="W431" s="39"/>
      <c r="X431" s="39"/>
      <c r="Y431" s="39"/>
      <c r="Z431" s="39"/>
      <c r="AA431" s="39"/>
      <c r="AB431" s="39"/>
    </row>
    <row r="432">
      <c r="A432" s="1"/>
      <c r="B432" s="36"/>
      <c r="C432" s="36"/>
      <c r="D432" s="36"/>
      <c r="E432" s="36"/>
      <c r="F432" s="36"/>
      <c r="G432" s="36"/>
      <c r="H432" s="37"/>
      <c r="I432" s="36"/>
      <c r="J432" s="38"/>
      <c r="K432" s="38"/>
      <c r="L432" s="39"/>
      <c r="M432" s="39"/>
      <c r="N432" s="39"/>
      <c r="O432" s="39"/>
      <c r="P432" s="39"/>
      <c r="Q432" s="39"/>
      <c r="R432" s="39"/>
      <c r="S432" s="39"/>
      <c r="T432" s="39"/>
      <c r="U432" s="39"/>
      <c r="V432" s="39"/>
      <c r="W432" s="39"/>
      <c r="X432" s="39"/>
      <c r="Y432" s="39"/>
      <c r="Z432" s="39"/>
      <c r="AA432" s="39"/>
      <c r="AB432" s="39"/>
    </row>
    <row r="433">
      <c r="A433" s="1"/>
      <c r="B433" s="36"/>
      <c r="C433" s="36"/>
      <c r="D433" s="36"/>
      <c r="E433" s="36"/>
      <c r="F433" s="36"/>
      <c r="G433" s="36"/>
      <c r="H433" s="37"/>
      <c r="I433" s="36"/>
      <c r="J433" s="38"/>
      <c r="K433" s="38"/>
      <c r="L433" s="39"/>
      <c r="M433" s="39"/>
      <c r="N433" s="39"/>
      <c r="O433" s="39"/>
      <c r="P433" s="39"/>
      <c r="Q433" s="39"/>
      <c r="R433" s="39"/>
      <c r="S433" s="39"/>
      <c r="T433" s="39"/>
      <c r="U433" s="39"/>
      <c r="V433" s="39"/>
      <c r="W433" s="39"/>
      <c r="X433" s="39"/>
      <c r="Y433" s="39"/>
      <c r="Z433" s="39"/>
      <c r="AA433" s="39"/>
      <c r="AB433" s="39"/>
    </row>
    <row r="434">
      <c r="A434" s="1"/>
      <c r="B434" s="36"/>
      <c r="C434" s="36"/>
      <c r="D434" s="36"/>
      <c r="E434" s="36"/>
      <c r="F434" s="36"/>
      <c r="G434" s="36"/>
      <c r="H434" s="37"/>
      <c r="I434" s="36"/>
      <c r="J434" s="38"/>
      <c r="K434" s="38"/>
      <c r="L434" s="39"/>
      <c r="M434" s="39"/>
      <c r="N434" s="39"/>
      <c r="O434" s="39"/>
      <c r="P434" s="39"/>
      <c r="Q434" s="39"/>
      <c r="R434" s="39"/>
      <c r="S434" s="39"/>
      <c r="T434" s="39"/>
      <c r="U434" s="39"/>
      <c r="V434" s="39"/>
      <c r="W434" s="39"/>
      <c r="X434" s="39"/>
      <c r="Y434" s="39"/>
      <c r="Z434" s="39"/>
      <c r="AA434" s="39"/>
      <c r="AB434" s="39"/>
    </row>
    <row r="435">
      <c r="A435" s="1"/>
      <c r="B435" s="36"/>
      <c r="C435" s="36"/>
      <c r="D435" s="36"/>
      <c r="E435" s="36"/>
      <c r="F435" s="36"/>
      <c r="G435" s="36"/>
      <c r="H435" s="37"/>
      <c r="I435" s="36"/>
      <c r="J435" s="38"/>
      <c r="K435" s="38"/>
      <c r="L435" s="39"/>
      <c r="M435" s="39"/>
      <c r="N435" s="39"/>
      <c r="O435" s="39"/>
      <c r="P435" s="39"/>
      <c r="Q435" s="39"/>
      <c r="R435" s="39"/>
      <c r="S435" s="39"/>
      <c r="T435" s="39"/>
      <c r="U435" s="39"/>
      <c r="V435" s="39"/>
      <c r="W435" s="39"/>
      <c r="X435" s="39"/>
      <c r="Y435" s="39"/>
      <c r="Z435" s="39"/>
      <c r="AA435" s="39"/>
      <c r="AB435" s="39"/>
    </row>
    <row r="436">
      <c r="A436" s="1"/>
      <c r="B436" s="36"/>
      <c r="C436" s="36"/>
      <c r="D436" s="36"/>
      <c r="E436" s="36"/>
      <c r="F436" s="36"/>
      <c r="G436" s="36"/>
      <c r="H436" s="37"/>
      <c r="I436" s="36"/>
      <c r="J436" s="38"/>
      <c r="K436" s="38"/>
      <c r="L436" s="39"/>
      <c r="M436" s="39"/>
      <c r="N436" s="39"/>
      <c r="O436" s="39"/>
      <c r="P436" s="39"/>
      <c r="Q436" s="39"/>
      <c r="R436" s="39"/>
      <c r="S436" s="39"/>
      <c r="T436" s="39"/>
      <c r="U436" s="39"/>
      <c r="V436" s="39"/>
      <c r="W436" s="39"/>
      <c r="X436" s="39"/>
      <c r="Y436" s="39"/>
      <c r="Z436" s="39"/>
      <c r="AA436" s="39"/>
      <c r="AB436" s="39"/>
    </row>
    <row r="437">
      <c r="A437" s="1"/>
      <c r="B437" s="36"/>
      <c r="C437" s="36"/>
      <c r="D437" s="36"/>
      <c r="E437" s="36"/>
      <c r="F437" s="36"/>
      <c r="G437" s="36"/>
      <c r="H437" s="37"/>
      <c r="I437" s="36"/>
      <c r="J437" s="38"/>
      <c r="K437" s="38"/>
      <c r="L437" s="39"/>
      <c r="M437" s="39"/>
      <c r="N437" s="39"/>
      <c r="O437" s="39"/>
      <c r="P437" s="39"/>
      <c r="Q437" s="39"/>
      <c r="R437" s="39"/>
      <c r="S437" s="39"/>
      <c r="T437" s="39"/>
      <c r="U437" s="39"/>
      <c r="V437" s="39"/>
      <c r="W437" s="39"/>
      <c r="X437" s="39"/>
      <c r="Y437" s="39"/>
      <c r="Z437" s="39"/>
      <c r="AA437" s="39"/>
      <c r="AB437" s="39"/>
    </row>
    <row r="438">
      <c r="A438" s="1"/>
      <c r="B438" s="36"/>
      <c r="C438" s="36"/>
      <c r="D438" s="36"/>
      <c r="E438" s="36"/>
      <c r="F438" s="36"/>
      <c r="G438" s="36"/>
      <c r="H438" s="37"/>
      <c r="I438" s="36"/>
      <c r="J438" s="38"/>
      <c r="K438" s="38"/>
      <c r="L438" s="39"/>
      <c r="M438" s="39"/>
      <c r="N438" s="39"/>
      <c r="O438" s="39"/>
      <c r="P438" s="39"/>
      <c r="Q438" s="39"/>
      <c r="R438" s="39"/>
      <c r="S438" s="39"/>
      <c r="T438" s="39"/>
      <c r="U438" s="39"/>
      <c r="V438" s="39"/>
      <c r="W438" s="39"/>
      <c r="X438" s="39"/>
      <c r="Y438" s="39"/>
      <c r="Z438" s="39"/>
      <c r="AA438" s="39"/>
      <c r="AB438" s="39"/>
    </row>
    <row r="439">
      <c r="A439" s="1"/>
      <c r="B439" s="36"/>
      <c r="C439" s="36"/>
      <c r="D439" s="36"/>
      <c r="E439" s="36"/>
      <c r="F439" s="36"/>
      <c r="G439" s="36"/>
      <c r="H439" s="37"/>
      <c r="I439" s="36"/>
      <c r="J439" s="38"/>
      <c r="K439" s="38"/>
      <c r="L439" s="39"/>
      <c r="M439" s="39"/>
      <c r="N439" s="39"/>
      <c r="O439" s="39"/>
      <c r="P439" s="39"/>
      <c r="Q439" s="39"/>
      <c r="R439" s="39"/>
      <c r="S439" s="39"/>
      <c r="T439" s="39"/>
      <c r="U439" s="39"/>
      <c r="V439" s="39"/>
      <c r="W439" s="39"/>
      <c r="X439" s="39"/>
      <c r="Y439" s="39"/>
      <c r="Z439" s="39"/>
      <c r="AA439" s="39"/>
      <c r="AB439" s="39"/>
    </row>
    <row r="440">
      <c r="A440" s="1"/>
      <c r="B440" s="36"/>
      <c r="C440" s="36"/>
      <c r="D440" s="36"/>
      <c r="E440" s="36"/>
      <c r="F440" s="36"/>
      <c r="G440" s="36"/>
      <c r="H440" s="37"/>
      <c r="I440" s="36"/>
      <c r="J440" s="38"/>
      <c r="K440" s="38"/>
      <c r="L440" s="39"/>
      <c r="M440" s="39"/>
      <c r="N440" s="39"/>
      <c r="O440" s="39"/>
      <c r="P440" s="39"/>
      <c r="Q440" s="39"/>
      <c r="R440" s="39"/>
      <c r="S440" s="39"/>
      <c r="T440" s="39"/>
      <c r="U440" s="39"/>
      <c r="V440" s="39"/>
      <c r="W440" s="39"/>
      <c r="X440" s="39"/>
      <c r="Y440" s="39"/>
      <c r="Z440" s="39"/>
      <c r="AA440" s="39"/>
      <c r="AB440" s="39"/>
    </row>
    <row r="441">
      <c r="A441" s="1"/>
      <c r="B441" s="36"/>
      <c r="C441" s="36"/>
      <c r="D441" s="36"/>
      <c r="E441" s="36"/>
      <c r="F441" s="36"/>
      <c r="G441" s="36"/>
      <c r="H441" s="37"/>
      <c r="I441" s="36"/>
      <c r="J441" s="38"/>
      <c r="K441" s="38"/>
      <c r="L441" s="39"/>
      <c r="M441" s="39"/>
      <c r="N441" s="39"/>
      <c r="O441" s="39"/>
      <c r="P441" s="39"/>
      <c r="Q441" s="39"/>
      <c r="R441" s="39"/>
      <c r="S441" s="39"/>
      <c r="T441" s="39"/>
      <c r="U441" s="39"/>
      <c r="V441" s="39"/>
      <c r="W441" s="39"/>
      <c r="X441" s="39"/>
      <c r="Y441" s="39"/>
      <c r="Z441" s="39"/>
      <c r="AA441" s="39"/>
      <c r="AB441" s="39"/>
    </row>
    <row r="442">
      <c r="A442" s="1"/>
      <c r="B442" s="36"/>
      <c r="C442" s="36"/>
      <c r="D442" s="36"/>
      <c r="E442" s="36"/>
      <c r="F442" s="36"/>
      <c r="G442" s="36"/>
      <c r="H442" s="37"/>
      <c r="I442" s="36"/>
      <c r="J442" s="38"/>
      <c r="K442" s="38"/>
      <c r="L442" s="39"/>
      <c r="M442" s="39"/>
      <c r="N442" s="39"/>
      <c r="O442" s="39"/>
      <c r="P442" s="39"/>
      <c r="Q442" s="39"/>
      <c r="R442" s="39"/>
      <c r="S442" s="39"/>
      <c r="T442" s="39"/>
      <c r="U442" s="39"/>
      <c r="V442" s="39"/>
      <c r="W442" s="39"/>
      <c r="X442" s="39"/>
      <c r="Y442" s="39"/>
      <c r="Z442" s="39"/>
      <c r="AA442" s="39"/>
      <c r="AB442" s="39"/>
    </row>
    <row r="443">
      <c r="A443" s="1"/>
      <c r="B443" s="36"/>
      <c r="C443" s="36"/>
      <c r="D443" s="36"/>
      <c r="E443" s="36"/>
      <c r="F443" s="36"/>
      <c r="G443" s="36"/>
      <c r="H443" s="37"/>
      <c r="I443" s="36"/>
      <c r="J443" s="38"/>
      <c r="K443" s="38"/>
      <c r="L443" s="39"/>
      <c r="M443" s="39"/>
      <c r="N443" s="39"/>
      <c r="O443" s="39"/>
      <c r="P443" s="39"/>
      <c r="Q443" s="39"/>
      <c r="R443" s="39"/>
      <c r="S443" s="39"/>
      <c r="T443" s="39"/>
      <c r="U443" s="39"/>
      <c r="V443" s="39"/>
      <c r="W443" s="39"/>
      <c r="X443" s="39"/>
      <c r="Y443" s="39"/>
      <c r="Z443" s="39"/>
      <c r="AA443" s="39"/>
      <c r="AB443" s="39"/>
    </row>
    <row r="444">
      <c r="A444" s="1"/>
      <c r="B444" s="36"/>
      <c r="C444" s="36"/>
      <c r="D444" s="36"/>
      <c r="E444" s="36"/>
      <c r="F444" s="36"/>
      <c r="G444" s="36"/>
      <c r="H444" s="37"/>
      <c r="I444" s="36"/>
      <c r="J444" s="38"/>
      <c r="K444" s="38"/>
      <c r="L444" s="39"/>
      <c r="M444" s="39"/>
      <c r="N444" s="39"/>
      <c r="O444" s="39"/>
      <c r="P444" s="39"/>
      <c r="Q444" s="39"/>
      <c r="R444" s="39"/>
      <c r="S444" s="39"/>
      <c r="T444" s="39"/>
      <c r="U444" s="39"/>
      <c r="V444" s="39"/>
      <c r="W444" s="39"/>
      <c r="X444" s="39"/>
      <c r="Y444" s="39"/>
      <c r="Z444" s="39"/>
      <c r="AA444" s="39"/>
      <c r="AB444" s="39"/>
    </row>
    <row r="445">
      <c r="A445" s="1"/>
      <c r="B445" s="36"/>
      <c r="C445" s="36"/>
      <c r="D445" s="36"/>
      <c r="E445" s="36"/>
      <c r="F445" s="36"/>
      <c r="G445" s="36"/>
      <c r="H445" s="37"/>
      <c r="I445" s="36"/>
      <c r="J445" s="38"/>
      <c r="K445" s="38"/>
      <c r="L445" s="39"/>
      <c r="M445" s="39"/>
      <c r="N445" s="39"/>
      <c r="O445" s="39"/>
      <c r="P445" s="39"/>
      <c r="Q445" s="39"/>
      <c r="R445" s="39"/>
      <c r="S445" s="39"/>
      <c r="T445" s="39"/>
      <c r="U445" s="39"/>
      <c r="V445" s="39"/>
      <c r="W445" s="39"/>
      <c r="X445" s="39"/>
      <c r="Y445" s="39"/>
      <c r="Z445" s="39"/>
      <c r="AA445" s="39"/>
      <c r="AB445" s="39"/>
    </row>
    <row r="446">
      <c r="A446" s="1"/>
      <c r="B446" s="36"/>
      <c r="C446" s="36"/>
      <c r="D446" s="36"/>
      <c r="E446" s="36"/>
      <c r="F446" s="36"/>
      <c r="G446" s="36"/>
      <c r="H446" s="37"/>
      <c r="I446" s="36"/>
      <c r="J446" s="38"/>
      <c r="K446" s="38"/>
      <c r="L446" s="39"/>
      <c r="M446" s="39"/>
      <c r="N446" s="39"/>
      <c r="O446" s="39"/>
      <c r="P446" s="39"/>
      <c r="Q446" s="39"/>
      <c r="R446" s="39"/>
      <c r="S446" s="39"/>
      <c r="T446" s="39"/>
      <c r="U446" s="39"/>
      <c r="V446" s="39"/>
      <c r="W446" s="39"/>
      <c r="X446" s="39"/>
      <c r="Y446" s="39"/>
      <c r="Z446" s="39"/>
      <c r="AA446" s="39"/>
      <c r="AB446" s="39"/>
    </row>
    <row r="447">
      <c r="A447" s="1"/>
      <c r="B447" s="36"/>
      <c r="C447" s="36"/>
      <c r="D447" s="36"/>
      <c r="E447" s="36"/>
      <c r="F447" s="36"/>
      <c r="G447" s="36"/>
      <c r="H447" s="37"/>
      <c r="I447" s="36"/>
      <c r="J447" s="38"/>
      <c r="K447" s="38"/>
      <c r="L447" s="39"/>
      <c r="M447" s="39"/>
      <c r="N447" s="39"/>
      <c r="O447" s="39"/>
      <c r="P447" s="39"/>
      <c r="Q447" s="39"/>
      <c r="R447" s="39"/>
      <c r="S447" s="39"/>
      <c r="T447" s="39"/>
      <c r="U447" s="39"/>
      <c r="V447" s="39"/>
      <c r="W447" s="39"/>
      <c r="X447" s="39"/>
      <c r="Y447" s="39"/>
      <c r="Z447" s="39"/>
      <c r="AA447" s="39"/>
      <c r="AB447" s="39"/>
    </row>
    <row r="448">
      <c r="A448" s="1"/>
      <c r="B448" s="36"/>
      <c r="C448" s="36"/>
      <c r="D448" s="36"/>
      <c r="E448" s="36"/>
      <c r="F448" s="36"/>
      <c r="G448" s="36"/>
      <c r="H448" s="37"/>
      <c r="I448" s="36"/>
      <c r="J448" s="38"/>
      <c r="K448" s="38"/>
      <c r="L448" s="39"/>
      <c r="M448" s="39"/>
      <c r="N448" s="39"/>
      <c r="O448" s="39"/>
      <c r="P448" s="39"/>
      <c r="Q448" s="39"/>
      <c r="R448" s="39"/>
      <c r="S448" s="39"/>
      <c r="T448" s="39"/>
      <c r="U448" s="39"/>
      <c r="V448" s="39"/>
      <c r="W448" s="39"/>
      <c r="X448" s="39"/>
      <c r="Y448" s="39"/>
      <c r="Z448" s="39"/>
      <c r="AA448" s="39"/>
      <c r="AB448" s="39"/>
    </row>
    <row r="449">
      <c r="A449" s="1"/>
      <c r="B449" s="36"/>
      <c r="C449" s="36"/>
      <c r="D449" s="36"/>
      <c r="E449" s="36"/>
      <c r="F449" s="36"/>
      <c r="G449" s="36"/>
      <c r="H449" s="37"/>
      <c r="I449" s="36"/>
      <c r="J449" s="38"/>
      <c r="K449" s="38"/>
      <c r="L449" s="39"/>
      <c r="M449" s="39"/>
      <c r="N449" s="39"/>
      <c r="O449" s="39"/>
      <c r="P449" s="39"/>
      <c r="Q449" s="39"/>
      <c r="R449" s="39"/>
      <c r="S449" s="39"/>
      <c r="T449" s="39"/>
      <c r="U449" s="39"/>
      <c r="V449" s="39"/>
      <c r="W449" s="39"/>
      <c r="X449" s="39"/>
      <c r="Y449" s="39"/>
      <c r="Z449" s="39"/>
      <c r="AA449" s="39"/>
      <c r="AB449" s="39"/>
    </row>
    <row r="450">
      <c r="A450" s="1"/>
      <c r="B450" s="36"/>
      <c r="C450" s="36"/>
      <c r="D450" s="36"/>
      <c r="E450" s="36"/>
      <c r="F450" s="36"/>
      <c r="G450" s="36"/>
      <c r="H450" s="37"/>
      <c r="I450" s="36"/>
      <c r="J450" s="38"/>
      <c r="K450" s="38"/>
      <c r="L450" s="39"/>
      <c r="M450" s="39"/>
      <c r="N450" s="39"/>
      <c r="O450" s="39"/>
      <c r="P450" s="39"/>
      <c r="Q450" s="39"/>
      <c r="R450" s="39"/>
      <c r="S450" s="39"/>
      <c r="T450" s="39"/>
      <c r="U450" s="39"/>
      <c r="V450" s="39"/>
      <c r="W450" s="39"/>
      <c r="X450" s="39"/>
      <c r="Y450" s="39"/>
      <c r="Z450" s="39"/>
      <c r="AA450" s="39"/>
      <c r="AB450" s="39"/>
    </row>
    <row r="451">
      <c r="A451" s="1"/>
      <c r="B451" s="36"/>
      <c r="C451" s="36"/>
      <c r="D451" s="36"/>
      <c r="E451" s="36"/>
      <c r="F451" s="36"/>
      <c r="G451" s="36"/>
      <c r="H451" s="37"/>
      <c r="I451" s="36"/>
      <c r="J451" s="38"/>
      <c r="K451" s="38"/>
      <c r="L451" s="39"/>
      <c r="M451" s="39"/>
      <c r="N451" s="39"/>
      <c r="O451" s="39"/>
      <c r="P451" s="39"/>
      <c r="Q451" s="39"/>
      <c r="R451" s="39"/>
      <c r="S451" s="39"/>
      <c r="T451" s="39"/>
      <c r="U451" s="39"/>
      <c r="V451" s="39"/>
      <c r="W451" s="39"/>
      <c r="X451" s="39"/>
      <c r="Y451" s="39"/>
      <c r="Z451" s="39"/>
      <c r="AA451" s="39"/>
      <c r="AB451" s="39"/>
    </row>
    <row r="452">
      <c r="A452" s="1"/>
      <c r="B452" s="36"/>
      <c r="C452" s="36"/>
      <c r="D452" s="36"/>
      <c r="E452" s="36"/>
      <c r="F452" s="36"/>
      <c r="G452" s="36"/>
      <c r="H452" s="37"/>
      <c r="I452" s="36"/>
      <c r="J452" s="38"/>
      <c r="K452" s="38"/>
      <c r="L452" s="39"/>
      <c r="M452" s="39"/>
      <c r="N452" s="39"/>
      <c r="O452" s="39"/>
      <c r="P452" s="39"/>
      <c r="Q452" s="39"/>
      <c r="R452" s="39"/>
      <c r="S452" s="39"/>
      <c r="T452" s="39"/>
      <c r="U452" s="39"/>
      <c r="V452" s="39"/>
      <c r="W452" s="39"/>
      <c r="X452" s="39"/>
      <c r="Y452" s="39"/>
      <c r="Z452" s="39"/>
      <c r="AA452" s="39"/>
      <c r="AB452" s="39"/>
    </row>
    <row r="453">
      <c r="A453" s="1"/>
      <c r="B453" s="36"/>
      <c r="C453" s="36"/>
      <c r="D453" s="36"/>
      <c r="E453" s="36"/>
      <c r="F453" s="36"/>
      <c r="G453" s="36"/>
      <c r="H453" s="37"/>
      <c r="I453" s="36"/>
      <c r="J453" s="38"/>
      <c r="K453" s="38"/>
      <c r="L453" s="39"/>
      <c r="M453" s="39"/>
      <c r="N453" s="39"/>
      <c r="O453" s="39"/>
      <c r="P453" s="39"/>
      <c r="Q453" s="39"/>
      <c r="R453" s="39"/>
      <c r="S453" s="39"/>
      <c r="T453" s="39"/>
      <c r="U453" s="39"/>
      <c r="V453" s="39"/>
      <c r="W453" s="39"/>
      <c r="X453" s="39"/>
      <c r="Y453" s="39"/>
      <c r="Z453" s="39"/>
      <c r="AA453" s="39"/>
      <c r="AB453" s="39"/>
    </row>
    <row r="454">
      <c r="A454" s="1"/>
      <c r="B454" s="36"/>
      <c r="C454" s="36"/>
      <c r="D454" s="36"/>
      <c r="E454" s="36"/>
      <c r="F454" s="36"/>
      <c r="G454" s="36"/>
      <c r="H454" s="37"/>
      <c r="I454" s="36"/>
      <c r="J454" s="38"/>
      <c r="K454" s="38"/>
      <c r="L454" s="39"/>
      <c r="M454" s="39"/>
      <c r="N454" s="39"/>
      <c r="O454" s="39"/>
      <c r="P454" s="39"/>
      <c r="Q454" s="39"/>
      <c r="R454" s="39"/>
      <c r="S454" s="39"/>
      <c r="T454" s="39"/>
      <c r="U454" s="39"/>
      <c r="V454" s="39"/>
      <c r="W454" s="39"/>
      <c r="X454" s="39"/>
      <c r="Y454" s="39"/>
      <c r="Z454" s="39"/>
      <c r="AA454" s="39"/>
      <c r="AB454" s="39"/>
    </row>
    <row r="455">
      <c r="A455" s="1"/>
      <c r="B455" s="36"/>
      <c r="C455" s="36"/>
      <c r="D455" s="36"/>
      <c r="E455" s="36"/>
      <c r="F455" s="36"/>
      <c r="G455" s="36"/>
      <c r="H455" s="37"/>
      <c r="I455" s="36"/>
      <c r="J455" s="38"/>
      <c r="K455" s="38"/>
      <c r="L455" s="39"/>
      <c r="M455" s="39"/>
      <c r="N455" s="39"/>
      <c r="O455" s="39"/>
      <c r="P455" s="39"/>
      <c r="Q455" s="39"/>
      <c r="R455" s="39"/>
      <c r="S455" s="39"/>
      <c r="T455" s="39"/>
      <c r="U455" s="39"/>
      <c r="V455" s="39"/>
      <c r="W455" s="39"/>
      <c r="X455" s="39"/>
      <c r="Y455" s="39"/>
      <c r="Z455" s="39"/>
      <c r="AA455" s="39"/>
      <c r="AB455" s="39"/>
    </row>
    <row r="456">
      <c r="A456" s="1"/>
      <c r="B456" s="36"/>
      <c r="C456" s="36"/>
      <c r="D456" s="36"/>
      <c r="E456" s="36"/>
      <c r="F456" s="36"/>
      <c r="G456" s="36"/>
      <c r="H456" s="37"/>
      <c r="I456" s="36"/>
      <c r="J456" s="38"/>
      <c r="K456" s="38"/>
      <c r="L456" s="39"/>
      <c r="M456" s="39"/>
      <c r="N456" s="39"/>
      <c r="O456" s="39"/>
      <c r="P456" s="39"/>
      <c r="Q456" s="39"/>
      <c r="R456" s="39"/>
      <c r="S456" s="39"/>
      <c r="T456" s="39"/>
      <c r="U456" s="39"/>
      <c r="V456" s="39"/>
      <c r="W456" s="39"/>
      <c r="X456" s="39"/>
      <c r="Y456" s="39"/>
      <c r="Z456" s="39"/>
      <c r="AA456" s="39"/>
      <c r="AB456" s="39"/>
    </row>
    <row r="457">
      <c r="A457" s="1"/>
      <c r="B457" s="36"/>
      <c r="C457" s="36"/>
      <c r="D457" s="36"/>
      <c r="E457" s="36"/>
      <c r="F457" s="36"/>
      <c r="G457" s="36"/>
      <c r="H457" s="37"/>
      <c r="I457" s="36"/>
      <c r="J457" s="38"/>
      <c r="K457" s="38"/>
      <c r="L457" s="39"/>
      <c r="M457" s="39"/>
      <c r="N457" s="39"/>
      <c r="O457" s="39"/>
      <c r="P457" s="39"/>
      <c r="Q457" s="39"/>
      <c r="R457" s="39"/>
      <c r="S457" s="39"/>
      <c r="T457" s="39"/>
      <c r="U457" s="39"/>
      <c r="V457" s="39"/>
      <c r="W457" s="39"/>
      <c r="X457" s="39"/>
      <c r="Y457" s="39"/>
      <c r="Z457" s="39"/>
      <c r="AA457" s="39"/>
      <c r="AB457" s="39"/>
    </row>
    <row r="458">
      <c r="A458" s="1"/>
      <c r="B458" s="36"/>
      <c r="C458" s="36"/>
      <c r="D458" s="36"/>
      <c r="E458" s="36"/>
      <c r="F458" s="36"/>
      <c r="G458" s="36"/>
      <c r="H458" s="37"/>
      <c r="I458" s="36"/>
      <c r="J458" s="38"/>
      <c r="K458" s="38"/>
      <c r="L458" s="39"/>
      <c r="M458" s="39"/>
      <c r="N458" s="39"/>
      <c r="O458" s="39"/>
      <c r="P458" s="39"/>
      <c r="Q458" s="39"/>
      <c r="R458" s="39"/>
      <c r="S458" s="39"/>
      <c r="T458" s="39"/>
      <c r="U458" s="39"/>
      <c r="V458" s="39"/>
      <c r="W458" s="39"/>
      <c r="X458" s="39"/>
      <c r="Y458" s="39"/>
      <c r="Z458" s="39"/>
      <c r="AA458" s="39"/>
      <c r="AB458" s="39"/>
    </row>
    <row r="459">
      <c r="A459" s="1"/>
      <c r="B459" s="36"/>
      <c r="C459" s="36"/>
      <c r="D459" s="36"/>
      <c r="E459" s="36"/>
      <c r="F459" s="36"/>
      <c r="G459" s="36"/>
      <c r="H459" s="37"/>
      <c r="I459" s="36"/>
      <c r="J459" s="38"/>
      <c r="K459" s="38"/>
      <c r="L459" s="39"/>
      <c r="M459" s="39"/>
      <c r="N459" s="39"/>
      <c r="O459" s="39"/>
      <c r="P459" s="39"/>
      <c r="Q459" s="39"/>
      <c r="R459" s="39"/>
      <c r="S459" s="39"/>
      <c r="T459" s="39"/>
      <c r="U459" s="39"/>
      <c r="V459" s="39"/>
      <c r="W459" s="39"/>
      <c r="X459" s="39"/>
      <c r="Y459" s="39"/>
      <c r="Z459" s="39"/>
      <c r="AA459" s="39"/>
      <c r="AB459" s="39"/>
    </row>
    <row r="460">
      <c r="A460" s="1"/>
      <c r="B460" s="36"/>
      <c r="C460" s="36"/>
      <c r="D460" s="36"/>
      <c r="E460" s="36"/>
      <c r="F460" s="36"/>
      <c r="G460" s="36"/>
      <c r="H460" s="37"/>
      <c r="I460" s="36"/>
      <c r="J460" s="38"/>
      <c r="K460" s="38"/>
      <c r="L460" s="39"/>
      <c r="M460" s="39"/>
      <c r="N460" s="39"/>
      <c r="O460" s="39"/>
      <c r="P460" s="39"/>
      <c r="Q460" s="39"/>
      <c r="R460" s="39"/>
      <c r="S460" s="39"/>
      <c r="T460" s="39"/>
      <c r="U460" s="39"/>
      <c r="V460" s="39"/>
      <c r="W460" s="39"/>
      <c r="X460" s="39"/>
      <c r="Y460" s="39"/>
      <c r="Z460" s="39"/>
      <c r="AA460" s="39"/>
      <c r="AB460" s="39"/>
    </row>
    <row r="461">
      <c r="A461" s="1"/>
      <c r="B461" s="36"/>
      <c r="C461" s="36"/>
      <c r="D461" s="36"/>
      <c r="E461" s="36"/>
      <c r="F461" s="36"/>
      <c r="G461" s="36"/>
      <c r="H461" s="37"/>
      <c r="I461" s="36"/>
      <c r="J461" s="38"/>
      <c r="K461" s="38"/>
      <c r="L461" s="39"/>
      <c r="M461" s="39"/>
      <c r="N461" s="39"/>
      <c r="O461" s="39"/>
      <c r="P461" s="39"/>
      <c r="Q461" s="39"/>
      <c r="R461" s="39"/>
      <c r="S461" s="39"/>
      <c r="T461" s="39"/>
      <c r="U461" s="39"/>
      <c r="V461" s="39"/>
      <c r="W461" s="39"/>
      <c r="X461" s="39"/>
      <c r="Y461" s="39"/>
      <c r="Z461" s="39"/>
      <c r="AA461" s="39"/>
      <c r="AB461" s="39"/>
    </row>
    <row r="462">
      <c r="A462" s="1"/>
      <c r="B462" s="36"/>
      <c r="C462" s="36"/>
      <c r="D462" s="36"/>
      <c r="E462" s="36"/>
      <c r="F462" s="36"/>
      <c r="G462" s="36"/>
      <c r="H462" s="37"/>
      <c r="I462" s="36"/>
      <c r="J462" s="38"/>
      <c r="K462" s="38"/>
      <c r="L462" s="39"/>
      <c r="M462" s="39"/>
      <c r="N462" s="39"/>
      <c r="O462" s="39"/>
      <c r="P462" s="39"/>
      <c r="Q462" s="39"/>
      <c r="R462" s="39"/>
      <c r="S462" s="39"/>
      <c r="T462" s="39"/>
      <c r="U462" s="39"/>
      <c r="V462" s="39"/>
      <c r="W462" s="39"/>
      <c r="X462" s="39"/>
      <c r="Y462" s="39"/>
      <c r="Z462" s="39"/>
      <c r="AA462" s="39"/>
      <c r="AB462" s="39"/>
    </row>
    <row r="463">
      <c r="A463" s="1"/>
      <c r="B463" s="36"/>
      <c r="C463" s="36"/>
      <c r="D463" s="36"/>
      <c r="E463" s="36"/>
      <c r="F463" s="36"/>
      <c r="G463" s="36"/>
      <c r="H463" s="37"/>
      <c r="I463" s="36"/>
      <c r="J463" s="38"/>
      <c r="K463" s="38"/>
      <c r="L463" s="39"/>
      <c r="M463" s="39"/>
      <c r="N463" s="39"/>
      <c r="O463" s="39"/>
      <c r="P463" s="39"/>
      <c r="Q463" s="39"/>
      <c r="R463" s="39"/>
      <c r="S463" s="39"/>
      <c r="T463" s="39"/>
      <c r="U463" s="39"/>
      <c r="V463" s="39"/>
      <c r="W463" s="39"/>
      <c r="X463" s="39"/>
      <c r="Y463" s="39"/>
      <c r="Z463" s="39"/>
      <c r="AA463" s="39"/>
      <c r="AB463" s="39"/>
    </row>
    <row r="464">
      <c r="A464" s="1"/>
      <c r="B464" s="36"/>
      <c r="C464" s="36"/>
      <c r="D464" s="36"/>
      <c r="E464" s="36"/>
      <c r="F464" s="36"/>
      <c r="G464" s="36"/>
      <c r="H464" s="37"/>
      <c r="I464" s="36"/>
      <c r="J464" s="38"/>
      <c r="K464" s="38"/>
      <c r="L464" s="39"/>
      <c r="M464" s="39"/>
      <c r="N464" s="39"/>
      <c r="O464" s="39"/>
      <c r="P464" s="39"/>
      <c r="Q464" s="39"/>
      <c r="R464" s="39"/>
      <c r="S464" s="39"/>
      <c r="T464" s="39"/>
      <c r="U464" s="39"/>
      <c r="V464" s="39"/>
      <c r="W464" s="39"/>
      <c r="X464" s="39"/>
      <c r="Y464" s="39"/>
      <c r="Z464" s="39"/>
      <c r="AA464" s="39"/>
      <c r="AB464" s="39"/>
    </row>
    <row r="465">
      <c r="A465" s="1"/>
      <c r="B465" s="36"/>
      <c r="C465" s="36"/>
      <c r="D465" s="36"/>
      <c r="E465" s="36"/>
      <c r="F465" s="36"/>
      <c r="G465" s="36"/>
      <c r="H465" s="37"/>
      <c r="I465" s="36"/>
      <c r="J465" s="38"/>
      <c r="K465" s="38"/>
      <c r="L465" s="39"/>
      <c r="M465" s="39"/>
      <c r="N465" s="39"/>
      <c r="O465" s="39"/>
      <c r="P465" s="39"/>
      <c r="Q465" s="39"/>
      <c r="R465" s="39"/>
      <c r="S465" s="39"/>
      <c r="T465" s="39"/>
      <c r="U465" s="39"/>
      <c r="V465" s="39"/>
      <c r="W465" s="39"/>
      <c r="X465" s="39"/>
      <c r="Y465" s="39"/>
      <c r="Z465" s="39"/>
      <c r="AA465" s="39"/>
      <c r="AB465" s="39"/>
    </row>
    <row r="466">
      <c r="A466" s="1"/>
      <c r="B466" s="36"/>
      <c r="C466" s="36"/>
      <c r="D466" s="36"/>
      <c r="E466" s="36"/>
      <c r="F466" s="36"/>
      <c r="G466" s="36"/>
      <c r="H466" s="37"/>
      <c r="I466" s="36"/>
      <c r="J466" s="38"/>
      <c r="K466" s="38"/>
      <c r="L466" s="39"/>
      <c r="M466" s="39"/>
      <c r="N466" s="39"/>
      <c r="O466" s="39"/>
      <c r="P466" s="39"/>
      <c r="Q466" s="39"/>
      <c r="R466" s="39"/>
      <c r="S466" s="39"/>
      <c r="T466" s="39"/>
      <c r="U466" s="39"/>
      <c r="V466" s="39"/>
      <c r="W466" s="39"/>
      <c r="X466" s="39"/>
      <c r="Y466" s="39"/>
      <c r="Z466" s="39"/>
      <c r="AA466" s="39"/>
      <c r="AB466" s="39"/>
    </row>
    <row r="467">
      <c r="A467" s="1"/>
      <c r="B467" s="36"/>
      <c r="C467" s="36"/>
      <c r="D467" s="36"/>
      <c r="E467" s="36"/>
      <c r="F467" s="36"/>
      <c r="G467" s="36"/>
      <c r="H467" s="37"/>
      <c r="I467" s="36"/>
      <c r="J467" s="38"/>
      <c r="K467" s="38"/>
      <c r="L467" s="39"/>
      <c r="M467" s="39"/>
      <c r="N467" s="39"/>
      <c r="O467" s="39"/>
      <c r="P467" s="39"/>
      <c r="Q467" s="39"/>
      <c r="R467" s="39"/>
      <c r="S467" s="39"/>
      <c r="T467" s="39"/>
      <c r="U467" s="39"/>
      <c r="V467" s="39"/>
      <c r="W467" s="39"/>
      <c r="X467" s="39"/>
      <c r="Y467" s="39"/>
      <c r="Z467" s="39"/>
      <c r="AA467" s="39"/>
      <c r="AB467" s="39"/>
    </row>
    <row r="468">
      <c r="A468" s="1"/>
      <c r="B468" s="36"/>
      <c r="C468" s="36"/>
      <c r="D468" s="36"/>
      <c r="E468" s="36"/>
      <c r="F468" s="36"/>
      <c r="G468" s="36"/>
      <c r="H468" s="37"/>
      <c r="I468" s="36"/>
      <c r="J468" s="38"/>
      <c r="K468" s="38"/>
      <c r="L468" s="39"/>
      <c r="M468" s="39"/>
      <c r="N468" s="39"/>
      <c r="O468" s="39"/>
      <c r="P468" s="39"/>
      <c r="Q468" s="39"/>
      <c r="R468" s="39"/>
      <c r="S468" s="39"/>
      <c r="T468" s="39"/>
      <c r="U468" s="39"/>
      <c r="V468" s="39"/>
      <c r="W468" s="39"/>
      <c r="X468" s="39"/>
      <c r="Y468" s="39"/>
      <c r="Z468" s="39"/>
      <c r="AA468" s="39"/>
      <c r="AB468" s="39"/>
    </row>
    <row r="469">
      <c r="A469" s="1"/>
      <c r="B469" s="36"/>
      <c r="C469" s="36"/>
      <c r="D469" s="36"/>
      <c r="E469" s="36"/>
      <c r="F469" s="36"/>
      <c r="G469" s="36"/>
      <c r="H469" s="37"/>
      <c r="I469" s="36"/>
      <c r="J469" s="38"/>
      <c r="K469" s="38"/>
      <c r="L469" s="39"/>
      <c r="M469" s="39"/>
      <c r="N469" s="39"/>
      <c r="O469" s="39"/>
      <c r="P469" s="39"/>
      <c r="Q469" s="39"/>
      <c r="R469" s="39"/>
      <c r="S469" s="39"/>
      <c r="T469" s="39"/>
      <c r="U469" s="39"/>
      <c r="V469" s="39"/>
      <c r="W469" s="39"/>
      <c r="X469" s="39"/>
      <c r="Y469" s="39"/>
      <c r="Z469" s="39"/>
      <c r="AA469" s="39"/>
      <c r="AB469" s="39"/>
    </row>
    <row r="470">
      <c r="A470" s="1"/>
      <c r="B470" s="36"/>
      <c r="C470" s="36"/>
      <c r="D470" s="36"/>
      <c r="E470" s="36"/>
      <c r="F470" s="36"/>
      <c r="G470" s="36"/>
      <c r="H470" s="37"/>
      <c r="I470" s="36"/>
      <c r="J470" s="38"/>
      <c r="K470" s="38"/>
      <c r="L470" s="39"/>
      <c r="M470" s="39"/>
      <c r="N470" s="39"/>
      <c r="O470" s="39"/>
      <c r="P470" s="39"/>
      <c r="Q470" s="39"/>
      <c r="R470" s="39"/>
      <c r="S470" s="39"/>
      <c r="T470" s="39"/>
      <c r="U470" s="39"/>
      <c r="V470" s="39"/>
      <c r="W470" s="39"/>
      <c r="X470" s="39"/>
      <c r="Y470" s="39"/>
      <c r="Z470" s="39"/>
      <c r="AA470" s="39"/>
      <c r="AB470" s="39"/>
    </row>
    <row r="471">
      <c r="A471" s="1"/>
      <c r="B471" s="36"/>
      <c r="C471" s="36"/>
      <c r="D471" s="36"/>
      <c r="E471" s="36"/>
      <c r="F471" s="36"/>
      <c r="G471" s="36"/>
      <c r="H471" s="37"/>
      <c r="I471" s="36"/>
      <c r="J471" s="38"/>
      <c r="K471" s="38"/>
      <c r="L471" s="39"/>
      <c r="M471" s="39"/>
      <c r="N471" s="39"/>
      <c r="O471" s="39"/>
      <c r="P471" s="39"/>
      <c r="Q471" s="39"/>
      <c r="R471" s="39"/>
      <c r="S471" s="39"/>
      <c r="T471" s="39"/>
      <c r="U471" s="39"/>
      <c r="V471" s="39"/>
      <c r="W471" s="39"/>
      <c r="X471" s="39"/>
      <c r="Y471" s="39"/>
      <c r="Z471" s="39"/>
      <c r="AA471" s="39"/>
      <c r="AB471" s="39"/>
    </row>
    <row r="472">
      <c r="A472" s="1"/>
      <c r="B472" s="36"/>
      <c r="C472" s="36"/>
      <c r="D472" s="36"/>
      <c r="E472" s="36"/>
      <c r="F472" s="36"/>
      <c r="G472" s="36"/>
      <c r="H472" s="37"/>
      <c r="I472" s="36"/>
      <c r="J472" s="38"/>
      <c r="K472" s="38"/>
      <c r="L472" s="39"/>
      <c r="M472" s="39"/>
      <c r="N472" s="39"/>
      <c r="O472" s="39"/>
      <c r="P472" s="39"/>
      <c r="Q472" s="39"/>
      <c r="R472" s="39"/>
      <c r="S472" s="39"/>
      <c r="T472" s="39"/>
      <c r="U472" s="39"/>
      <c r="V472" s="39"/>
      <c r="W472" s="39"/>
      <c r="X472" s="39"/>
      <c r="Y472" s="39"/>
      <c r="Z472" s="39"/>
      <c r="AA472" s="39"/>
      <c r="AB472" s="39"/>
    </row>
    <row r="473">
      <c r="A473" s="1"/>
      <c r="B473" s="36"/>
      <c r="C473" s="36"/>
      <c r="D473" s="36"/>
      <c r="E473" s="36"/>
      <c r="F473" s="36"/>
      <c r="G473" s="36"/>
      <c r="H473" s="37"/>
      <c r="I473" s="36"/>
      <c r="J473" s="38"/>
      <c r="K473" s="38"/>
      <c r="L473" s="39"/>
      <c r="M473" s="39"/>
      <c r="N473" s="39"/>
      <c r="O473" s="39"/>
      <c r="P473" s="39"/>
      <c r="Q473" s="39"/>
      <c r="R473" s="39"/>
      <c r="S473" s="39"/>
      <c r="T473" s="39"/>
      <c r="U473" s="39"/>
      <c r="V473" s="39"/>
      <c r="W473" s="39"/>
      <c r="X473" s="39"/>
      <c r="Y473" s="39"/>
      <c r="Z473" s="39"/>
      <c r="AA473" s="39"/>
      <c r="AB473" s="39"/>
    </row>
    <row r="474">
      <c r="A474" s="1"/>
      <c r="B474" s="36"/>
      <c r="C474" s="36"/>
      <c r="D474" s="36"/>
      <c r="E474" s="36"/>
      <c r="F474" s="36"/>
      <c r="G474" s="36"/>
      <c r="H474" s="37"/>
      <c r="I474" s="36"/>
      <c r="J474" s="38"/>
      <c r="K474" s="38"/>
      <c r="L474" s="39"/>
      <c r="M474" s="39"/>
      <c r="N474" s="39"/>
      <c r="O474" s="39"/>
      <c r="P474" s="39"/>
      <c r="Q474" s="39"/>
      <c r="R474" s="39"/>
      <c r="S474" s="39"/>
      <c r="T474" s="39"/>
      <c r="U474" s="39"/>
      <c r="V474" s="39"/>
      <c r="W474" s="39"/>
      <c r="X474" s="39"/>
      <c r="Y474" s="39"/>
      <c r="Z474" s="39"/>
      <c r="AA474" s="39"/>
      <c r="AB474" s="39"/>
    </row>
    <row r="475">
      <c r="A475" s="1"/>
      <c r="B475" s="36"/>
      <c r="C475" s="36"/>
      <c r="D475" s="36"/>
      <c r="E475" s="36"/>
      <c r="F475" s="36"/>
      <c r="G475" s="36"/>
      <c r="H475" s="37"/>
      <c r="I475" s="36"/>
      <c r="J475" s="38"/>
      <c r="K475" s="38"/>
      <c r="L475" s="39"/>
      <c r="M475" s="39"/>
      <c r="N475" s="39"/>
      <c r="O475" s="39"/>
      <c r="P475" s="39"/>
      <c r="Q475" s="39"/>
      <c r="R475" s="39"/>
      <c r="S475" s="39"/>
      <c r="T475" s="39"/>
      <c r="U475" s="39"/>
      <c r="V475" s="39"/>
      <c r="W475" s="39"/>
      <c r="X475" s="39"/>
      <c r="Y475" s="39"/>
      <c r="Z475" s="39"/>
      <c r="AA475" s="39"/>
      <c r="AB475" s="39"/>
    </row>
    <row r="476">
      <c r="A476" s="1"/>
      <c r="B476" s="36"/>
      <c r="C476" s="36"/>
      <c r="D476" s="36"/>
      <c r="E476" s="36"/>
      <c r="F476" s="36"/>
      <c r="G476" s="36"/>
      <c r="H476" s="37"/>
      <c r="I476" s="36"/>
      <c r="J476" s="38"/>
      <c r="K476" s="38"/>
      <c r="L476" s="39"/>
      <c r="M476" s="39"/>
      <c r="N476" s="39"/>
      <c r="O476" s="39"/>
      <c r="P476" s="39"/>
      <c r="Q476" s="39"/>
      <c r="R476" s="39"/>
      <c r="S476" s="39"/>
      <c r="T476" s="39"/>
      <c r="U476" s="39"/>
      <c r="V476" s="39"/>
      <c r="W476" s="39"/>
      <c r="X476" s="39"/>
      <c r="Y476" s="39"/>
      <c r="Z476" s="39"/>
      <c r="AA476" s="39"/>
      <c r="AB476" s="39"/>
    </row>
    <row r="477">
      <c r="A477" s="1"/>
      <c r="B477" s="36"/>
      <c r="C477" s="36"/>
      <c r="D477" s="36"/>
      <c r="E477" s="36"/>
      <c r="F477" s="36"/>
      <c r="G477" s="36"/>
      <c r="H477" s="37"/>
      <c r="I477" s="36"/>
      <c r="J477" s="38"/>
      <c r="K477" s="38"/>
      <c r="L477" s="39"/>
      <c r="M477" s="39"/>
      <c r="N477" s="39"/>
      <c r="O477" s="39"/>
      <c r="P477" s="39"/>
      <c r="Q477" s="39"/>
      <c r="R477" s="39"/>
      <c r="S477" s="39"/>
      <c r="T477" s="39"/>
      <c r="U477" s="39"/>
      <c r="V477" s="39"/>
      <c r="W477" s="39"/>
      <c r="X477" s="39"/>
      <c r="Y477" s="39"/>
      <c r="Z477" s="39"/>
      <c r="AA477" s="39"/>
      <c r="AB477" s="39"/>
    </row>
    <row r="478">
      <c r="A478" s="1"/>
      <c r="B478" s="36"/>
      <c r="C478" s="36"/>
      <c r="D478" s="36"/>
      <c r="E478" s="36"/>
      <c r="F478" s="36"/>
      <c r="G478" s="36"/>
      <c r="H478" s="37"/>
      <c r="I478" s="36"/>
      <c r="J478" s="38"/>
      <c r="K478" s="38"/>
      <c r="L478" s="39"/>
      <c r="M478" s="39"/>
      <c r="N478" s="39"/>
      <c r="O478" s="39"/>
      <c r="P478" s="39"/>
      <c r="Q478" s="39"/>
      <c r="R478" s="39"/>
      <c r="S478" s="39"/>
      <c r="T478" s="39"/>
      <c r="U478" s="39"/>
      <c r="V478" s="39"/>
      <c r="W478" s="39"/>
      <c r="X478" s="39"/>
      <c r="Y478" s="39"/>
      <c r="Z478" s="39"/>
      <c r="AA478" s="39"/>
      <c r="AB478" s="39"/>
    </row>
    <row r="479">
      <c r="A479" s="1"/>
      <c r="B479" s="36"/>
      <c r="C479" s="36"/>
      <c r="D479" s="36"/>
      <c r="E479" s="36"/>
      <c r="F479" s="36"/>
      <c r="G479" s="36"/>
      <c r="H479" s="37"/>
      <c r="I479" s="36"/>
      <c r="J479" s="38"/>
      <c r="K479" s="38"/>
      <c r="L479" s="39"/>
      <c r="M479" s="39"/>
      <c r="N479" s="39"/>
      <c r="O479" s="39"/>
      <c r="P479" s="39"/>
      <c r="Q479" s="39"/>
      <c r="R479" s="39"/>
      <c r="S479" s="39"/>
      <c r="T479" s="39"/>
      <c r="U479" s="39"/>
      <c r="V479" s="39"/>
      <c r="W479" s="39"/>
      <c r="X479" s="39"/>
      <c r="Y479" s="39"/>
      <c r="Z479" s="39"/>
      <c r="AA479" s="39"/>
      <c r="AB479" s="39"/>
    </row>
    <row r="480">
      <c r="A480" s="1"/>
      <c r="B480" s="36"/>
      <c r="C480" s="36"/>
      <c r="D480" s="36"/>
      <c r="E480" s="36"/>
      <c r="F480" s="36"/>
      <c r="G480" s="36"/>
      <c r="H480" s="37"/>
      <c r="I480" s="36"/>
      <c r="J480" s="38"/>
      <c r="K480" s="38"/>
      <c r="L480" s="39"/>
      <c r="M480" s="39"/>
      <c r="N480" s="39"/>
      <c r="O480" s="39"/>
      <c r="P480" s="39"/>
      <c r="Q480" s="39"/>
      <c r="R480" s="39"/>
      <c r="S480" s="39"/>
      <c r="T480" s="39"/>
      <c r="U480" s="39"/>
      <c r="V480" s="39"/>
      <c r="W480" s="39"/>
      <c r="X480" s="39"/>
      <c r="Y480" s="39"/>
      <c r="Z480" s="39"/>
      <c r="AA480" s="39"/>
      <c r="AB480" s="39"/>
    </row>
    <row r="481">
      <c r="A481" s="1"/>
      <c r="B481" s="36"/>
      <c r="C481" s="36"/>
      <c r="D481" s="36"/>
      <c r="E481" s="36"/>
      <c r="F481" s="36"/>
      <c r="G481" s="36"/>
      <c r="H481" s="37"/>
      <c r="I481" s="36"/>
      <c r="J481" s="38"/>
      <c r="K481" s="38"/>
      <c r="L481" s="39"/>
      <c r="M481" s="39"/>
      <c r="N481" s="39"/>
      <c r="O481" s="39"/>
      <c r="P481" s="39"/>
      <c r="Q481" s="39"/>
      <c r="R481" s="39"/>
      <c r="S481" s="39"/>
      <c r="T481" s="39"/>
      <c r="U481" s="39"/>
      <c r="V481" s="39"/>
      <c r="W481" s="39"/>
      <c r="X481" s="39"/>
      <c r="Y481" s="39"/>
      <c r="Z481" s="39"/>
      <c r="AA481" s="39"/>
      <c r="AB481" s="39"/>
    </row>
    <row r="482">
      <c r="A482" s="1"/>
      <c r="B482" s="36"/>
      <c r="C482" s="36"/>
      <c r="D482" s="36"/>
      <c r="E482" s="36"/>
      <c r="F482" s="36"/>
      <c r="G482" s="36"/>
      <c r="H482" s="37"/>
      <c r="I482" s="36"/>
      <c r="J482" s="38"/>
      <c r="K482" s="38"/>
      <c r="L482" s="39"/>
      <c r="M482" s="39"/>
      <c r="N482" s="39"/>
      <c r="O482" s="39"/>
      <c r="P482" s="39"/>
      <c r="Q482" s="39"/>
      <c r="R482" s="39"/>
      <c r="S482" s="39"/>
      <c r="T482" s="39"/>
      <c r="U482" s="39"/>
      <c r="V482" s="39"/>
      <c r="W482" s="39"/>
      <c r="X482" s="39"/>
      <c r="Y482" s="39"/>
      <c r="Z482" s="39"/>
      <c r="AA482" s="39"/>
      <c r="AB482" s="39"/>
    </row>
    <row r="483">
      <c r="A483" s="1"/>
      <c r="B483" s="36"/>
      <c r="C483" s="36"/>
      <c r="D483" s="36"/>
      <c r="E483" s="36"/>
      <c r="F483" s="36"/>
      <c r="G483" s="36"/>
      <c r="H483" s="37"/>
      <c r="I483" s="36"/>
      <c r="J483" s="38"/>
      <c r="K483" s="38"/>
      <c r="L483" s="39"/>
      <c r="M483" s="39"/>
      <c r="N483" s="39"/>
      <c r="O483" s="39"/>
      <c r="P483" s="39"/>
      <c r="Q483" s="39"/>
      <c r="R483" s="39"/>
      <c r="S483" s="39"/>
      <c r="T483" s="39"/>
      <c r="U483" s="39"/>
      <c r="V483" s="39"/>
      <c r="W483" s="39"/>
      <c r="X483" s="39"/>
      <c r="Y483" s="39"/>
      <c r="Z483" s="39"/>
      <c r="AA483" s="39"/>
      <c r="AB483" s="39"/>
    </row>
    <row r="484">
      <c r="A484" s="1"/>
      <c r="B484" s="36"/>
      <c r="C484" s="36"/>
      <c r="D484" s="36"/>
      <c r="E484" s="36"/>
      <c r="F484" s="36"/>
      <c r="G484" s="36"/>
      <c r="H484" s="37"/>
      <c r="I484" s="36"/>
      <c r="J484" s="38"/>
      <c r="K484" s="38"/>
      <c r="L484" s="39"/>
      <c r="M484" s="39"/>
      <c r="N484" s="39"/>
      <c r="O484" s="39"/>
      <c r="P484" s="39"/>
      <c r="Q484" s="39"/>
      <c r="R484" s="39"/>
      <c r="S484" s="39"/>
      <c r="T484" s="39"/>
      <c r="U484" s="39"/>
      <c r="V484" s="39"/>
      <c r="W484" s="39"/>
      <c r="X484" s="39"/>
      <c r="Y484" s="39"/>
      <c r="Z484" s="39"/>
      <c r="AA484" s="39"/>
      <c r="AB484" s="39"/>
    </row>
    <row r="485">
      <c r="A485" s="1"/>
      <c r="B485" s="36"/>
      <c r="C485" s="36"/>
      <c r="D485" s="36"/>
      <c r="E485" s="36"/>
      <c r="F485" s="36"/>
      <c r="G485" s="36"/>
      <c r="H485" s="37"/>
      <c r="I485" s="36"/>
      <c r="J485" s="38"/>
      <c r="K485" s="38"/>
      <c r="L485" s="39"/>
      <c r="M485" s="39"/>
      <c r="N485" s="39"/>
      <c r="O485" s="39"/>
      <c r="P485" s="39"/>
      <c r="Q485" s="39"/>
      <c r="R485" s="39"/>
      <c r="S485" s="39"/>
      <c r="T485" s="39"/>
      <c r="U485" s="39"/>
      <c r="V485" s="39"/>
      <c r="W485" s="39"/>
      <c r="X485" s="39"/>
      <c r="Y485" s="39"/>
      <c r="Z485" s="39"/>
      <c r="AA485" s="39"/>
      <c r="AB485" s="39"/>
    </row>
    <row r="486">
      <c r="A486" s="1"/>
      <c r="B486" s="36"/>
      <c r="C486" s="36"/>
      <c r="D486" s="36"/>
      <c r="E486" s="36"/>
      <c r="F486" s="36"/>
      <c r="G486" s="36"/>
      <c r="H486" s="37"/>
      <c r="I486" s="36"/>
      <c r="J486" s="38"/>
      <c r="K486" s="38"/>
      <c r="L486" s="39"/>
      <c r="M486" s="39"/>
      <c r="N486" s="39"/>
      <c r="O486" s="39"/>
      <c r="P486" s="39"/>
      <c r="Q486" s="39"/>
      <c r="R486" s="39"/>
      <c r="S486" s="39"/>
      <c r="T486" s="39"/>
      <c r="U486" s="39"/>
      <c r="V486" s="39"/>
      <c r="W486" s="39"/>
      <c r="X486" s="39"/>
      <c r="Y486" s="39"/>
      <c r="Z486" s="39"/>
      <c r="AA486" s="39"/>
      <c r="AB486" s="39"/>
    </row>
    <row r="487">
      <c r="A487" s="1"/>
      <c r="B487" s="36"/>
      <c r="C487" s="36"/>
      <c r="D487" s="36"/>
      <c r="E487" s="36"/>
      <c r="F487" s="36"/>
      <c r="G487" s="36"/>
      <c r="H487" s="37"/>
      <c r="I487" s="36"/>
      <c r="J487" s="38"/>
      <c r="K487" s="38"/>
      <c r="L487" s="39"/>
      <c r="M487" s="39"/>
      <c r="N487" s="39"/>
      <c r="O487" s="39"/>
      <c r="P487" s="39"/>
      <c r="Q487" s="39"/>
      <c r="R487" s="39"/>
      <c r="S487" s="39"/>
      <c r="T487" s="39"/>
      <c r="U487" s="39"/>
      <c r="V487" s="39"/>
      <c r="W487" s="39"/>
      <c r="X487" s="39"/>
      <c r="Y487" s="39"/>
      <c r="Z487" s="39"/>
      <c r="AA487" s="39"/>
      <c r="AB487" s="39"/>
    </row>
    <row r="488">
      <c r="A488" s="1"/>
      <c r="B488" s="36"/>
      <c r="C488" s="36"/>
      <c r="D488" s="36"/>
      <c r="E488" s="36"/>
      <c r="F488" s="36"/>
      <c r="G488" s="36"/>
      <c r="H488" s="37"/>
      <c r="I488" s="36"/>
      <c r="J488" s="38"/>
      <c r="K488" s="38"/>
      <c r="L488" s="39"/>
      <c r="M488" s="39"/>
      <c r="N488" s="39"/>
      <c r="O488" s="39"/>
      <c r="P488" s="39"/>
      <c r="Q488" s="39"/>
      <c r="R488" s="39"/>
      <c r="S488" s="39"/>
      <c r="T488" s="39"/>
      <c r="U488" s="39"/>
      <c r="V488" s="39"/>
      <c r="W488" s="39"/>
      <c r="X488" s="39"/>
      <c r="Y488" s="39"/>
      <c r="Z488" s="39"/>
      <c r="AA488" s="39"/>
      <c r="AB488" s="39"/>
    </row>
    <row r="489">
      <c r="A489" s="1"/>
      <c r="B489" s="36"/>
      <c r="C489" s="36"/>
      <c r="D489" s="36"/>
      <c r="E489" s="36"/>
      <c r="F489" s="36"/>
      <c r="G489" s="36"/>
      <c r="H489" s="37"/>
      <c r="I489" s="36"/>
      <c r="J489" s="38"/>
      <c r="K489" s="38"/>
      <c r="L489" s="39"/>
      <c r="M489" s="39"/>
      <c r="N489" s="39"/>
      <c r="O489" s="39"/>
      <c r="P489" s="39"/>
      <c r="Q489" s="39"/>
      <c r="R489" s="39"/>
      <c r="S489" s="39"/>
      <c r="T489" s="39"/>
      <c r="U489" s="39"/>
      <c r="V489" s="39"/>
      <c r="W489" s="39"/>
      <c r="X489" s="39"/>
      <c r="Y489" s="39"/>
      <c r="Z489" s="39"/>
      <c r="AA489" s="39"/>
      <c r="AB489" s="39"/>
    </row>
    <row r="490">
      <c r="A490" s="1"/>
      <c r="B490" s="36"/>
      <c r="C490" s="36"/>
      <c r="D490" s="36"/>
      <c r="E490" s="36"/>
      <c r="F490" s="36"/>
      <c r="G490" s="36"/>
      <c r="H490" s="37"/>
      <c r="I490" s="36"/>
      <c r="J490" s="38"/>
      <c r="K490" s="38"/>
      <c r="L490" s="39"/>
      <c r="M490" s="39"/>
      <c r="N490" s="39"/>
      <c r="O490" s="39"/>
      <c r="P490" s="39"/>
      <c r="Q490" s="39"/>
      <c r="R490" s="39"/>
      <c r="S490" s="39"/>
      <c r="T490" s="39"/>
      <c r="U490" s="39"/>
      <c r="V490" s="39"/>
      <c r="W490" s="39"/>
      <c r="X490" s="39"/>
      <c r="Y490" s="39"/>
      <c r="Z490" s="39"/>
      <c r="AA490" s="39"/>
      <c r="AB490" s="39"/>
    </row>
    <row r="491">
      <c r="A491" s="1"/>
      <c r="B491" s="36"/>
      <c r="C491" s="36"/>
      <c r="D491" s="36"/>
      <c r="E491" s="36"/>
      <c r="F491" s="36"/>
      <c r="G491" s="36"/>
      <c r="H491" s="37"/>
      <c r="I491" s="36"/>
      <c r="J491" s="38"/>
      <c r="K491" s="38"/>
      <c r="L491" s="39"/>
      <c r="M491" s="39"/>
      <c r="N491" s="39"/>
      <c r="O491" s="39"/>
      <c r="P491" s="39"/>
      <c r="Q491" s="39"/>
      <c r="R491" s="39"/>
      <c r="S491" s="39"/>
      <c r="T491" s="39"/>
      <c r="U491" s="39"/>
      <c r="V491" s="39"/>
      <c r="W491" s="39"/>
      <c r="X491" s="39"/>
      <c r="Y491" s="39"/>
      <c r="Z491" s="39"/>
      <c r="AA491" s="39"/>
      <c r="AB491" s="39"/>
    </row>
    <row r="492">
      <c r="A492" s="1"/>
      <c r="B492" s="36"/>
      <c r="C492" s="36"/>
      <c r="D492" s="36"/>
      <c r="E492" s="36"/>
      <c r="F492" s="36"/>
      <c r="G492" s="36"/>
      <c r="H492" s="37"/>
      <c r="I492" s="36"/>
      <c r="J492" s="38"/>
      <c r="K492" s="38"/>
      <c r="L492" s="39"/>
      <c r="M492" s="39"/>
      <c r="N492" s="39"/>
      <c r="O492" s="39"/>
      <c r="P492" s="39"/>
      <c r="Q492" s="39"/>
      <c r="R492" s="39"/>
      <c r="S492" s="39"/>
      <c r="T492" s="39"/>
      <c r="U492" s="39"/>
      <c r="V492" s="39"/>
      <c r="W492" s="39"/>
      <c r="X492" s="39"/>
      <c r="Y492" s="39"/>
      <c r="Z492" s="39"/>
      <c r="AA492" s="39"/>
      <c r="AB492" s="39"/>
    </row>
    <row r="493">
      <c r="A493" s="1"/>
      <c r="B493" s="36"/>
      <c r="C493" s="36"/>
      <c r="D493" s="36"/>
      <c r="E493" s="36"/>
      <c r="F493" s="36"/>
      <c r="G493" s="36"/>
      <c r="H493" s="37"/>
      <c r="I493" s="36"/>
      <c r="J493" s="38"/>
      <c r="K493" s="38"/>
      <c r="L493" s="39"/>
      <c r="M493" s="39"/>
      <c r="N493" s="39"/>
      <c r="O493" s="39"/>
      <c r="P493" s="39"/>
      <c r="Q493" s="39"/>
      <c r="R493" s="39"/>
      <c r="S493" s="39"/>
      <c r="T493" s="39"/>
      <c r="U493" s="39"/>
      <c r="V493" s="39"/>
      <c r="W493" s="39"/>
      <c r="X493" s="39"/>
      <c r="Y493" s="39"/>
      <c r="Z493" s="39"/>
      <c r="AA493" s="39"/>
      <c r="AB493" s="39"/>
    </row>
    <row r="494">
      <c r="A494" s="1"/>
      <c r="B494" s="36"/>
      <c r="C494" s="36"/>
      <c r="D494" s="36"/>
      <c r="E494" s="36"/>
      <c r="F494" s="36"/>
      <c r="G494" s="36"/>
      <c r="H494" s="37"/>
      <c r="I494" s="36"/>
      <c r="J494" s="38"/>
      <c r="K494" s="38"/>
      <c r="L494" s="39"/>
      <c r="M494" s="39"/>
      <c r="N494" s="39"/>
      <c r="O494" s="39"/>
      <c r="P494" s="39"/>
      <c r="Q494" s="39"/>
      <c r="R494" s="39"/>
      <c r="S494" s="39"/>
      <c r="T494" s="39"/>
      <c r="U494" s="39"/>
      <c r="V494" s="39"/>
      <c r="W494" s="39"/>
      <c r="X494" s="39"/>
      <c r="Y494" s="39"/>
      <c r="Z494" s="39"/>
      <c r="AA494" s="39"/>
      <c r="AB494" s="39"/>
    </row>
    <row r="495">
      <c r="A495" s="1"/>
      <c r="B495" s="36"/>
      <c r="C495" s="36"/>
      <c r="D495" s="36"/>
      <c r="E495" s="36"/>
      <c r="F495" s="36"/>
      <c r="G495" s="36"/>
      <c r="H495" s="37"/>
      <c r="I495" s="36"/>
      <c r="J495" s="38"/>
      <c r="K495" s="38"/>
      <c r="L495" s="39"/>
      <c r="M495" s="39"/>
      <c r="N495" s="39"/>
      <c r="O495" s="39"/>
      <c r="P495" s="39"/>
      <c r="Q495" s="39"/>
      <c r="R495" s="39"/>
      <c r="S495" s="39"/>
      <c r="T495" s="39"/>
      <c r="U495" s="39"/>
      <c r="V495" s="39"/>
      <c r="W495" s="39"/>
      <c r="X495" s="39"/>
      <c r="Y495" s="39"/>
      <c r="Z495" s="39"/>
      <c r="AA495" s="39"/>
      <c r="AB495" s="39"/>
    </row>
    <row r="496">
      <c r="A496" s="1"/>
      <c r="B496" s="36"/>
      <c r="C496" s="36"/>
      <c r="D496" s="36"/>
      <c r="E496" s="36"/>
      <c r="F496" s="36"/>
      <c r="G496" s="36"/>
      <c r="H496" s="37"/>
      <c r="I496" s="36"/>
      <c r="J496" s="38"/>
      <c r="K496" s="38"/>
      <c r="L496" s="39"/>
      <c r="M496" s="39"/>
      <c r="N496" s="39"/>
      <c r="O496" s="39"/>
      <c r="P496" s="39"/>
      <c r="Q496" s="39"/>
      <c r="R496" s="39"/>
      <c r="S496" s="39"/>
      <c r="T496" s="39"/>
      <c r="U496" s="39"/>
      <c r="V496" s="39"/>
      <c r="W496" s="39"/>
      <c r="X496" s="39"/>
      <c r="Y496" s="39"/>
      <c r="Z496" s="39"/>
      <c r="AA496" s="39"/>
      <c r="AB496" s="39"/>
    </row>
    <row r="497">
      <c r="A497" s="1"/>
      <c r="B497" s="36"/>
      <c r="C497" s="36"/>
      <c r="D497" s="36"/>
      <c r="E497" s="36"/>
      <c r="F497" s="36"/>
      <c r="G497" s="36"/>
      <c r="H497" s="37"/>
      <c r="I497" s="36"/>
      <c r="J497" s="38"/>
      <c r="K497" s="38"/>
      <c r="L497" s="39"/>
      <c r="M497" s="39"/>
      <c r="N497" s="39"/>
      <c r="O497" s="39"/>
      <c r="P497" s="39"/>
      <c r="Q497" s="39"/>
      <c r="R497" s="39"/>
      <c r="S497" s="39"/>
      <c r="T497" s="39"/>
      <c r="U497" s="39"/>
      <c r="V497" s="39"/>
      <c r="W497" s="39"/>
      <c r="X497" s="39"/>
      <c r="Y497" s="39"/>
      <c r="Z497" s="39"/>
      <c r="AA497" s="39"/>
      <c r="AB497" s="39"/>
    </row>
    <row r="498">
      <c r="A498" s="1"/>
      <c r="B498" s="36"/>
      <c r="C498" s="36"/>
      <c r="D498" s="36"/>
      <c r="E498" s="36"/>
      <c r="F498" s="36"/>
      <c r="G498" s="36"/>
      <c r="H498" s="37"/>
      <c r="I498" s="36"/>
      <c r="J498" s="38"/>
      <c r="K498" s="38"/>
      <c r="L498" s="39"/>
      <c r="M498" s="39"/>
      <c r="N498" s="39"/>
      <c r="O498" s="39"/>
      <c r="P498" s="39"/>
      <c r="Q498" s="39"/>
      <c r="R498" s="39"/>
      <c r="S498" s="39"/>
      <c r="T498" s="39"/>
      <c r="U498" s="39"/>
      <c r="V498" s="39"/>
      <c r="W498" s="39"/>
      <c r="X498" s="39"/>
      <c r="Y498" s="39"/>
      <c r="Z498" s="39"/>
      <c r="AA498" s="39"/>
      <c r="AB498" s="39"/>
    </row>
    <row r="499">
      <c r="A499" s="1"/>
      <c r="B499" s="36"/>
      <c r="C499" s="36"/>
      <c r="D499" s="36"/>
      <c r="E499" s="36"/>
      <c r="F499" s="36"/>
      <c r="G499" s="36"/>
      <c r="H499" s="37"/>
      <c r="I499" s="36"/>
      <c r="J499" s="38"/>
      <c r="K499" s="38"/>
      <c r="L499" s="39"/>
      <c r="M499" s="39"/>
      <c r="N499" s="39"/>
      <c r="O499" s="39"/>
      <c r="P499" s="39"/>
      <c r="Q499" s="39"/>
      <c r="R499" s="39"/>
      <c r="S499" s="39"/>
      <c r="T499" s="39"/>
      <c r="U499" s="39"/>
      <c r="V499" s="39"/>
      <c r="W499" s="39"/>
      <c r="X499" s="39"/>
      <c r="Y499" s="39"/>
      <c r="Z499" s="39"/>
      <c r="AA499" s="39"/>
      <c r="AB499" s="39"/>
    </row>
    <row r="500">
      <c r="A500" s="1"/>
      <c r="B500" s="36"/>
      <c r="C500" s="36"/>
      <c r="D500" s="36"/>
      <c r="E500" s="36"/>
      <c r="F500" s="36"/>
      <c r="G500" s="36"/>
      <c r="H500" s="37"/>
      <c r="I500" s="36"/>
      <c r="J500" s="38"/>
      <c r="K500" s="38"/>
      <c r="L500" s="39"/>
      <c r="M500" s="39"/>
      <c r="N500" s="39"/>
      <c r="O500" s="39"/>
      <c r="P500" s="39"/>
      <c r="Q500" s="39"/>
      <c r="R500" s="39"/>
      <c r="S500" s="39"/>
      <c r="T500" s="39"/>
      <c r="U500" s="39"/>
      <c r="V500" s="39"/>
      <c r="W500" s="39"/>
      <c r="X500" s="39"/>
      <c r="Y500" s="39"/>
      <c r="Z500" s="39"/>
      <c r="AA500" s="39"/>
      <c r="AB500" s="39"/>
    </row>
    <row r="501">
      <c r="A501" s="1"/>
      <c r="B501" s="36"/>
      <c r="C501" s="36"/>
      <c r="D501" s="36"/>
      <c r="E501" s="36"/>
      <c r="F501" s="36"/>
      <c r="G501" s="36"/>
      <c r="H501" s="37"/>
      <c r="I501" s="36"/>
      <c r="J501" s="38"/>
      <c r="K501" s="38"/>
      <c r="L501" s="39"/>
      <c r="M501" s="39"/>
      <c r="N501" s="39"/>
      <c r="O501" s="39"/>
      <c r="P501" s="39"/>
      <c r="Q501" s="39"/>
      <c r="R501" s="39"/>
      <c r="S501" s="39"/>
      <c r="T501" s="39"/>
      <c r="U501" s="39"/>
      <c r="V501" s="39"/>
      <c r="W501" s="39"/>
      <c r="X501" s="39"/>
      <c r="Y501" s="39"/>
      <c r="Z501" s="39"/>
      <c r="AA501" s="39"/>
      <c r="AB501" s="39"/>
    </row>
    <row r="502">
      <c r="A502" s="1"/>
      <c r="B502" s="36"/>
      <c r="C502" s="36"/>
      <c r="D502" s="36"/>
      <c r="E502" s="36"/>
      <c r="F502" s="36"/>
      <c r="G502" s="36"/>
      <c r="H502" s="37"/>
      <c r="I502" s="36"/>
      <c r="J502" s="38"/>
      <c r="K502" s="38"/>
      <c r="L502" s="39"/>
      <c r="M502" s="39"/>
      <c r="N502" s="39"/>
      <c r="O502" s="39"/>
      <c r="P502" s="39"/>
      <c r="Q502" s="39"/>
      <c r="R502" s="39"/>
      <c r="S502" s="39"/>
      <c r="T502" s="39"/>
      <c r="U502" s="39"/>
      <c r="V502" s="39"/>
      <c r="W502" s="39"/>
      <c r="X502" s="39"/>
      <c r="Y502" s="39"/>
      <c r="Z502" s="39"/>
      <c r="AA502" s="39"/>
      <c r="AB502" s="39"/>
    </row>
    <row r="503">
      <c r="A503" s="1"/>
      <c r="B503" s="36"/>
      <c r="C503" s="36"/>
      <c r="D503" s="36"/>
      <c r="E503" s="36"/>
      <c r="F503" s="36"/>
      <c r="G503" s="36"/>
      <c r="H503" s="37"/>
      <c r="I503" s="36"/>
      <c r="J503" s="38"/>
      <c r="K503" s="38"/>
      <c r="L503" s="39"/>
      <c r="M503" s="39"/>
      <c r="N503" s="39"/>
      <c r="O503" s="39"/>
      <c r="P503" s="39"/>
      <c r="Q503" s="39"/>
      <c r="R503" s="39"/>
      <c r="S503" s="39"/>
      <c r="T503" s="39"/>
      <c r="U503" s="39"/>
      <c r="V503" s="39"/>
      <c r="W503" s="39"/>
      <c r="X503" s="39"/>
      <c r="Y503" s="39"/>
      <c r="Z503" s="39"/>
      <c r="AA503" s="39"/>
      <c r="AB503" s="39"/>
    </row>
    <row r="504">
      <c r="A504" s="1"/>
      <c r="B504" s="36"/>
      <c r="C504" s="36"/>
      <c r="D504" s="36"/>
      <c r="E504" s="36"/>
      <c r="F504" s="36"/>
      <c r="G504" s="36"/>
      <c r="H504" s="37"/>
      <c r="I504" s="36"/>
      <c r="J504" s="38"/>
      <c r="K504" s="38"/>
      <c r="L504" s="39"/>
      <c r="M504" s="39"/>
      <c r="N504" s="39"/>
      <c r="O504" s="39"/>
      <c r="P504" s="39"/>
      <c r="Q504" s="39"/>
      <c r="R504" s="39"/>
      <c r="S504" s="39"/>
      <c r="T504" s="39"/>
      <c r="U504" s="39"/>
      <c r="V504" s="39"/>
      <c r="W504" s="39"/>
      <c r="X504" s="39"/>
      <c r="Y504" s="39"/>
      <c r="Z504" s="39"/>
      <c r="AA504" s="39"/>
      <c r="AB504" s="39"/>
    </row>
    <row r="505">
      <c r="A505" s="1"/>
      <c r="B505" s="36"/>
      <c r="C505" s="36"/>
      <c r="D505" s="36"/>
      <c r="E505" s="36"/>
      <c r="F505" s="36"/>
      <c r="G505" s="36"/>
      <c r="H505" s="37"/>
      <c r="I505" s="36"/>
      <c r="J505" s="38"/>
      <c r="K505" s="38"/>
      <c r="L505" s="39"/>
      <c r="M505" s="39"/>
      <c r="N505" s="39"/>
      <c r="O505" s="39"/>
      <c r="P505" s="39"/>
      <c r="Q505" s="39"/>
      <c r="R505" s="39"/>
      <c r="S505" s="39"/>
      <c r="T505" s="39"/>
      <c r="U505" s="39"/>
      <c r="V505" s="39"/>
      <c r="W505" s="39"/>
      <c r="X505" s="39"/>
      <c r="Y505" s="39"/>
      <c r="Z505" s="39"/>
      <c r="AA505" s="39"/>
      <c r="AB505" s="39"/>
    </row>
    <row r="506">
      <c r="A506" s="1"/>
      <c r="B506" s="36"/>
      <c r="C506" s="36"/>
      <c r="D506" s="36"/>
      <c r="E506" s="36"/>
      <c r="F506" s="36"/>
      <c r="G506" s="36"/>
      <c r="H506" s="37"/>
      <c r="I506" s="36"/>
      <c r="J506" s="38"/>
      <c r="K506" s="38"/>
      <c r="L506" s="39"/>
      <c r="M506" s="39"/>
      <c r="N506" s="39"/>
      <c r="O506" s="39"/>
      <c r="P506" s="39"/>
      <c r="Q506" s="39"/>
      <c r="R506" s="39"/>
      <c r="S506" s="39"/>
      <c r="T506" s="39"/>
      <c r="U506" s="39"/>
      <c r="V506" s="39"/>
      <c r="W506" s="39"/>
      <c r="X506" s="39"/>
      <c r="Y506" s="39"/>
      <c r="Z506" s="39"/>
      <c r="AA506" s="39"/>
      <c r="AB506" s="39"/>
    </row>
    <row r="507">
      <c r="A507" s="1"/>
      <c r="B507" s="36"/>
      <c r="C507" s="36"/>
      <c r="D507" s="36"/>
      <c r="E507" s="36"/>
      <c r="F507" s="36"/>
      <c r="G507" s="36"/>
      <c r="H507" s="37"/>
      <c r="I507" s="36"/>
      <c r="J507" s="38"/>
      <c r="K507" s="38"/>
      <c r="L507" s="39"/>
      <c r="M507" s="39"/>
      <c r="N507" s="39"/>
      <c r="O507" s="39"/>
      <c r="P507" s="39"/>
      <c r="Q507" s="39"/>
      <c r="R507" s="39"/>
      <c r="S507" s="39"/>
      <c r="T507" s="39"/>
      <c r="U507" s="39"/>
      <c r="V507" s="39"/>
      <c r="W507" s="39"/>
      <c r="X507" s="39"/>
      <c r="Y507" s="39"/>
      <c r="Z507" s="39"/>
      <c r="AA507" s="39"/>
      <c r="AB507" s="39"/>
    </row>
    <row r="508">
      <c r="A508" s="1"/>
      <c r="B508" s="36"/>
      <c r="C508" s="36"/>
      <c r="D508" s="36"/>
      <c r="E508" s="36"/>
      <c r="F508" s="36"/>
      <c r="G508" s="36"/>
      <c r="H508" s="37"/>
      <c r="I508" s="36"/>
      <c r="J508" s="38"/>
      <c r="K508" s="38"/>
      <c r="L508" s="39"/>
      <c r="M508" s="39"/>
      <c r="N508" s="39"/>
      <c r="O508" s="39"/>
      <c r="P508" s="39"/>
      <c r="Q508" s="39"/>
      <c r="R508" s="39"/>
      <c r="S508" s="39"/>
      <c r="T508" s="39"/>
      <c r="U508" s="39"/>
      <c r="V508" s="39"/>
      <c r="W508" s="39"/>
      <c r="X508" s="39"/>
      <c r="Y508" s="39"/>
      <c r="Z508" s="39"/>
      <c r="AA508" s="39"/>
      <c r="AB508" s="39"/>
    </row>
    <row r="509">
      <c r="A509" s="1"/>
      <c r="B509" s="36"/>
      <c r="C509" s="36"/>
      <c r="D509" s="36"/>
      <c r="E509" s="36"/>
      <c r="F509" s="36"/>
      <c r="G509" s="36"/>
      <c r="H509" s="37"/>
      <c r="I509" s="36"/>
      <c r="J509" s="38"/>
      <c r="K509" s="38"/>
      <c r="L509" s="39"/>
      <c r="M509" s="39"/>
      <c r="N509" s="39"/>
      <c r="O509" s="39"/>
      <c r="P509" s="39"/>
      <c r="Q509" s="39"/>
      <c r="R509" s="39"/>
      <c r="S509" s="39"/>
      <c r="T509" s="39"/>
      <c r="U509" s="39"/>
      <c r="V509" s="39"/>
      <c r="W509" s="39"/>
      <c r="X509" s="39"/>
      <c r="Y509" s="39"/>
      <c r="Z509" s="39"/>
      <c r="AA509" s="39"/>
      <c r="AB509" s="39"/>
    </row>
    <row r="510">
      <c r="A510" s="1"/>
      <c r="B510" s="36"/>
      <c r="C510" s="36"/>
      <c r="D510" s="36"/>
      <c r="E510" s="36"/>
      <c r="F510" s="36"/>
      <c r="G510" s="36"/>
      <c r="H510" s="37"/>
      <c r="I510" s="36"/>
      <c r="J510" s="38"/>
      <c r="K510" s="38"/>
      <c r="L510" s="39"/>
      <c r="M510" s="39"/>
      <c r="N510" s="39"/>
      <c r="O510" s="39"/>
      <c r="P510" s="39"/>
      <c r="Q510" s="39"/>
      <c r="R510" s="39"/>
      <c r="S510" s="39"/>
      <c r="T510" s="39"/>
      <c r="U510" s="39"/>
      <c r="V510" s="39"/>
      <c r="W510" s="39"/>
      <c r="X510" s="39"/>
      <c r="Y510" s="39"/>
      <c r="Z510" s="39"/>
      <c r="AA510" s="39"/>
      <c r="AB510" s="39"/>
    </row>
    <row r="511">
      <c r="A511" s="1"/>
      <c r="B511" s="36"/>
      <c r="C511" s="36"/>
      <c r="D511" s="36"/>
      <c r="E511" s="36"/>
      <c r="F511" s="36"/>
      <c r="G511" s="36"/>
      <c r="H511" s="37"/>
      <c r="I511" s="36"/>
      <c r="J511" s="38"/>
      <c r="K511" s="38"/>
      <c r="L511" s="39"/>
      <c r="M511" s="39"/>
      <c r="N511" s="39"/>
      <c r="O511" s="39"/>
      <c r="P511" s="39"/>
      <c r="Q511" s="39"/>
      <c r="R511" s="39"/>
      <c r="S511" s="39"/>
      <c r="T511" s="39"/>
      <c r="U511" s="39"/>
      <c r="V511" s="39"/>
      <c r="W511" s="39"/>
      <c r="X511" s="39"/>
      <c r="Y511" s="39"/>
      <c r="Z511" s="39"/>
      <c r="AA511" s="39"/>
      <c r="AB511" s="39"/>
    </row>
    <row r="512">
      <c r="A512" s="1"/>
      <c r="B512" s="36"/>
      <c r="C512" s="36"/>
      <c r="D512" s="36"/>
      <c r="E512" s="36"/>
      <c r="F512" s="36"/>
      <c r="G512" s="36"/>
      <c r="H512" s="37"/>
      <c r="I512" s="36"/>
      <c r="J512" s="38"/>
      <c r="K512" s="38"/>
      <c r="L512" s="39"/>
      <c r="M512" s="39"/>
      <c r="N512" s="39"/>
      <c r="O512" s="39"/>
      <c r="P512" s="39"/>
      <c r="Q512" s="39"/>
      <c r="R512" s="39"/>
      <c r="S512" s="39"/>
      <c r="T512" s="39"/>
      <c r="U512" s="39"/>
      <c r="V512" s="39"/>
      <c r="W512" s="39"/>
      <c r="X512" s="39"/>
      <c r="Y512" s="39"/>
      <c r="Z512" s="39"/>
      <c r="AA512" s="39"/>
      <c r="AB512" s="39"/>
    </row>
    <row r="513">
      <c r="A513" s="1"/>
      <c r="B513" s="36"/>
      <c r="C513" s="36"/>
      <c r="D513" s="36"/>
      <c r="E513" s="36"/>
      <c r="F513" s="36"/>
      <c r="G513" s="36"/>
      <c r="H513" s="37"/>
      <c r="I513" s="36"/>
      <c r="J513" s="38"/>
      <c r="K513" s="38"/>
      <c r="L513" s="39"/>
      <c r="M513" s="39"/>
      <c r="N513" s="39"/>
      <c r="O513" s="39"/>
      <c r="P513" s="39"/>
      <c r="Q513" s="39"/>
      <c r="R513" s="39"/>
      <c r="S513" s="39"/>
      <c r="T513" s="39"/>
      <c r="U513" s="39"/>
      <c r="V513" s="39"/>
      <c r="W513" s="39"/>
      <c r="X513" s="39"/>
      <c r="Y513" s="39"/>
      <c r="Z513" s="39"/>
      <c r="AA513" s="39"/>
      <c r="AB513" s="39"/>
    </row>
    <row r="514">
      <c r="A514" s="1"/>
      <c r="B514" s="36"/>
      <c r="C514" s="36"/>
      <c r="D514" s="36"/>
      <c r="E514" s="36"/>
      <c r="F514" s="36"/>
      <c r="G514" s="36"/>
      <c r="H514" s="37"/>
      <c r="I514" s="36"/>
      <c r="J514" s="38"/>
      <c r="K514" s="38"/>
      <c r="L514" s="39"/>
      <c r="M514" s="39"/>
      <c r="N514" s="39"/>
      <c r="O514" s="39"/>
      <c r="P514" s="39"/>
      <c r="Q514" s="39"/>
      <c r="R514" s="39"/>
      <c r="S514" s="39"/>
      <c r="T514" s="39"/>
      <c r="U514" s="39"/>
      <c r="V514" s="39"/>
      <c r="W514" s="39"/>
      <c r="X514" s="39"/>
      <c r="Y514" s="39"/>
      <c r="Z514" s="39"/>
      <c r="AA514" s="39"/>
      <c r="AB514" s="39"/>
    </row>
    <row r="515">
      <c r="A515" s="1"/>
      <c r="B515" s="36"/>
      <c r="C515" s="36"/>
      <c r="D515" s="36"/>
      <c r="E515" s="36"/>
      <c r="F515" s="36"/>
      <c r="G515" s="36"/>
      <c r="H515" s="37"/>
      <c r="I515" s="36"/>
      <c r="J515" s="38"/>
      <c r="K515" s="38"/>
      <c r="L515" s="39"/>
      <c r="M515" s="39"/>
      <c r="N515" s="39"/>
      <c r="O515" s="39"/>
      <c r="P515" s="39"/>
      <c r="Q515" s="39"/>
      <c r="R515" s="39"/>
      <c r="S515" s="39"/>
      <c r="T515" s="39"/>
      <c r="U515" s="39"/>
      <c r="V515" s="39"/>
      <c r="W515" s="39"/>
      <c r="X515" s="39"/>
      <c r="Y515" s="39"/>
      <c r="Z515" s="39"/>
      <c r="AA515" s="39"/>
      <c r="AB515" s="39"/>
    </row>
    <row r="516">
      <c r="A516" s="1"/>
      <c r="B516" s="36"/>
      <c r="C516" s="36"/>
      <c r="D516" s="36"/>
      <c r="E516" s="36"/>
      <c r="F516" s="36"/>
      <c r="G516" s="36"/>
      <c r="H516" s="37"/>
      <c r="I516" s="36"/>
      <c r="J516" s="38"/>
      <c r="K516" s="38"/>
      <c r="L516" s="39"/>
      <c r="M516" s="39"/>
      <c r="N516" s="39"/>
      <c r="O516" s="39"/>
      <c r="P516" s="39"/>
      <c r="Q516" s="39"/>
      <c r="R516" s="39"/>
      <c r="S516" s="39"/>
      <c r="T516" s="39"/>
      <c r="U516" s="39"/>
      <c r="V516" s="39"/>
      <c r="W516" s="39"/>
      <c r="X516" s="39"/>
      <c r="Y516" s="39"/>
      <c r="Z516" s="39"/>
      <c r="AA516" s="39"/>
      <c r="AB516" s="39"/>
    </row>
    <row r="517">
      <c r="A517" s="1"/>
      <c r="B517" s="36"/>
      <c r="C517" s="36"/>
      <c r="D517" s="36"/>
      <c r="E517" s="36"/>
      <c r="F517" s="36"/>
      <c r="G517" s="36"/>
      <c r="H517" s="37"/>
      <c r="I517" s="36"/>
      <c r="J517" s="38"/>
      <c r="K517" s="38"/>
      <c r="L517" s="39"/>
      <c r="M517" s="39"/>
      <c r="N517" s="39"/>
      <c r="O517" s="39"/>
      <c r="P517" s="39"/>
      <c r="Q517" s="39"/>
      <c r="R517" s="39"/>
      <c r="S517" s="39"/>
      <c r="T517" s="39"/>
      <c r="U517" s="39"/>
      <c r="V517" s="39"/>
      <c r="W517" s="39"/>
      <c r="X517" s="39"/>
      <c r="Y517" s="39"/>
      <c r="Z517" s="39"/>
      <c r="AA517" s="39"/>
      <c r="AB517" s="39"/>
    </row>
    <row r="518">
      <c r="A518" s="1"/>
      <c r="B518" s="36"/>
      <c r="C518" s="36"/>
      <c r="D518" s="36"/>
      <c r="E518" s="36"/>
      <c r="F518" s="36"/>
      <c r="G518" s="36"/>
      <c r="H518" s="37"/>
      <c r="I518" s="36"/>
      <c r="J518" s="38"/>
      <c r="K518" s="38"/>
      <c r="L518" s="39"/>
      <c r="M518" s="39"/>
      <c r="N518" s="39"/>
      <c r="O518" s="39"/>
      <c r="P518" s="39"/>
      <c r="Q518" s="39"/>
      <c r="R518" s="39"/>
      <c r="S518" s="39"/>
      <c r="T518" s="39"/>
      <c r="U518" s="39"/>
      <c r="V518" s="39"/>
      <c r="W518" s="39"/>
      <c r="X518" s="39"/>
      <c r="Y518" s="39"/>
      <c r="Z518" s="39"/>
      <c r="AA518" s="39"/>
      <c r="AB518" s="39"/>
    </row>
    <row r="519">
      <c r="A519" s="1"/>
      <c r="B519" s="36"/>
      <c r="C519" s="36"/>
      <c r="D519" s="36"/>
      <c r="E519" s="36"/>
      <c r="F519" s="36"/>
      <c r="G519" s="36"/>
      <c r="H519" s="37"/>
      <c r="I519" s="36"/>
      <c r="J519" s="38"/>
      <c r="K519" s="38"/>
      <c r="L519" s="39"/>
      <c r="M519" s="39"/>
      <c r="N519" s="39"/>
      <c r="O519" s="39"/>
      <c r="P519" s="39"/>
      <c r="Q519" s="39"/>
      <c r="R519" s="39"/>
      <c r="S519" s="39"/>
      <c r="T519" s="39"/>
      <c r="U519" s="39"/>
      <c r="V519" s="39"/>
      <c r="W519" s="39"/>
      <c r="X519" s="39"/>
      <c r="Y519" s="39"/>
      <c r="Z519" s="39"/>
      <c r="AA519" s="39"/>
      <c r="AB519" s="39"/>
    </row>
    <row r="520">
      <c r="A520" s="1"/>
      <c r="B520" s="36"/>
      <c r="C520" s="36"/>
      <c r="D520" s="36"/>
      <c r="E520" s="36"/>
      <c r="F520" s="36"/>
      <c r="G520" s="36"/>
      <c r="H520" s="37"/>
      <c r="I520" s="36"/>
      <c r="J520" s="38"/>
      <c r="K520" s="38"/>
      <c r="L520" s="39"/>
      <c r="M520" s="39"/>
      <c r="N520" s="39"/>
      <c r="O520" s="39"/>
      <c r="P520" s="39"/>
      <c r="Q520" s="39"/>
      <c r="R520" s="39"/>
      <c r="S520" s="39"/>
      <c r="T520" s="39"/>
      <c r="U520" s="39"/>
      <c r="V520" s="39"/>
      <c r="W520" s="39"/>
      <c r="X520" s="39"/>
      <c r="Y520" s="39"/>
      <c r="Z520" s="39"/>
      <c r="AA520" s="39"/>
      <c r="AB520" s="39"/>
    </row>
    <row r="521">
      <c r="A521" s="1"/>
      <c r="B521" s="36"/>
      <c r="C521" s="36"/>
      <c r="D521" s="36"/>
      <c r="E521" s="36"/>
      <c r="F521" s="36"/>
      <c r="G521" s="36"/>
      <c r="H521" s="37"/>
      <c r="I521" s="36"/>
      <c r="J521" s="38"/>
      <c r="K521" s="38"/>
      <c r="L521" s="39"/>
      <c r="M521" s="39"/>
      <c r="N521" s="39"/>
      <c r="O521" s="39"/>
      <c r="P521" s="39"/>
      <c r="Q521" s="39"/>
      <c r="R521" s="39"/>
      <c r="S521" s="39"/>
      <c r="T521" s="39"/>
      <c r="U521" s="39"/>
      <c r="V521" s="39"/>
      <c r="W521" s="39"/>
      <c r="X521" s="39"/>
      <c r="Y521" s="39"/>
      <c r="Z521" s="39"/>
      <c r="AA521" s="39"/>
      <c r="AB521" s="39"/>
    </row>
    <row r="522">
      <c r="A522" s="1"/>
      <c r="B522" s="36"/>
      <c r="C522" s="36"/>
      <c r="D522" s="36"/>
      <c r="E522" s="36"/>
      <c r="F522" s="36"/>
      <c r="G522" s="36"/>
      <c r="H522" s="37"/>
      <c r="I522" s="36"/>
      <c r="J522" s="38"/>
      <c r="K522" s="38"/>
      <c r="L522" s="39"/>
      <c r="M522" s="39"/>
      <c r="N522" s="39"/>
      <c r="O522" s="39"/>
      <c r="P522" s="39"/>
      <c r="Q522" s="39"/>
      <c r="R522" s="39"/>
      <c r="S522" s="39"/>
      <c r="T522" s="39"/>
      <c r="U522" s="39"/>
      <c r="V522" s="39"/>
      <c r="W522" s="39"/>
      <c r="X522" s="39"/>
      <c r="Y522" s="39"/>
      <c r="Z522" s="39"/>
      <c r="AA522" s="39"/>
      <c r="AB522" s="39"/>
    </row>
    <row r="523">
      <c r="A523" s="1"/>
      <c r="B523" s="36"/>
      <c r="C523" s="36"/>
      <c r="D523" s="36"/>
      <c r="E523" s="36"/>
      <c r="F523" s="36"/>
      <c r="G523" s="36"/>
      <c r="H523" s="37"/>
      <c r="I523" s="36"/>
      <c r="J523" s="38"/>
      <c r="K523" s="38"/>
      <c r="L523" s="39"/>
      <c r="M523" s="39"/>
      <c r="N523" s="39"/>
      <c r="O523" s="39"/>
      <c r="P523" s="39"/>
      <c r="Q523" s="39"/>
      <c r="R523" s="39"/>
      <c r="S523" s="39"/>
      <c r="T523" s="39"/>
      <c r="U523" s="39"/>
      <c r="V523" s="39"/>
      <c r="W523" s="39"/>
      <c r="X523" s="39"/>
      <c r="Y523" s="39"/>
      <c r="Z523" s="39"/>
      <c r="AA523" s="39"/>
      <c r="AB523" s="39"/>
    </row>
    <row r="524">
      <c r="A524" s="1"/>
      <c r="B524" s="36"/>
      <c r="C524" s="36"/>
      <c r="D524" s="36"/>
      <c r="E524" s="36"/>
      <c r="F524" s="36"/>
      <c r="G524" s="36"/>
      <c r="H524" s="37"/>
      <c r="I524" s="36"/>
      <c r="J524" s="38"/>
      <c r="K524" s="38"/>
      <c r="L524" s="39"/>
      <c r="M524" s="39"/>
      <c r="N524" s="39"/>
      <c r="O524" s="39"/>
      <c r="P524" s="39"/>
      <c r="Q524" s="39"/>
      <c r="R524" s="39"/>
      <c r="S524" s="39"/>
      <c r="T524" s="39"/>
      <c r="U524" s="39"/>
      <c r="V524" s="39"/>
      <c r="W524" s="39"/>
      <c r="X524" s="39"/>
      <c r="Y524" s="39"/>
      <c r="Z524" s="39"/>
      <c r="AA524" s="39"/>
      <c r="AB524" s="39"/>
    </row>
    <row r="525">
      <c r="A525" s="1"/>
      <c r="B525" s="36"/>
      <c r="C525" s="36"/>
      <c r="D525" s="36"/>
      <c r="E525" s="36"/>
      <c r="F525" s="36"/>
      <c r="G525" s="36"/>
      <c r="H525" s="37"/>
      <c r="I525" s="36"/>
      <c r="J525" s="38"/>
      <c r="K525" s="38"/>
      <c r="L525" s="39"/>
      <c r="M525" s="39"/>
      <c r="N525" s="39"/>
      <c r="O525" s="39"/>
      <c r="P525" s="39"/>
      <c r="Q525" s="39"/>
      <c r="R525" s="39"/>
      <c r="S525" s="39"/>
      <c r="T525" s="39"/>
      <c r="U525" s="39"/>
      <c r="V525" s="39"/>
      <c r="W525" s="39"/>
      <c r="X525" s="39"/>
      <c r="Y525" s="39"/>
      <c r="Z525" s="39"/>
      <c r="AA525" s="39"/>
      <c r="AB525" s="39"/>
    </row>
    <row r="526">
      <c r="A526" s="1"/>
      <c r="B526" s="36"/>
      <c r="C526" s="36"/>
      <c r="D526" s="36"/>
      <c r="E526" s="36"/>
      <c r="F526" s="36"/>
      <c r="G526" s="36"/>
      <c r="H526" s="37"/>
      <c r="I526" s="36"/>
      <c r="J526" s="38"/>
      <c r="K526" s="38"/>
      <c r="L526" s="39"/>
      <c r="M526" s="39"/>
      <c r="N526" s="39"/>
      <c r="O526" s="39"/>
      <c r="P526" s="39"/>
      <c r="Q526" s="39"/>
      <c r="R526" s="39"/>
      <c r="S526" s="39"/>
      <c r="T526" s="39"/>
      <c r="U526" s="39"/>
      <c r="V526" s="39"/>
      <c r="W526" s="39"/>
      <c r="X526" s="39"/>
      <c r="Y526" s="39"/>
      <c r="Z526" s="39"/>
      <c r="AA526" s="39"/>
      <c r="AB526" s="39"/>
    </row>
    <row r="527">
      <c r="A527" s="1"/>
      <c r="B527" s="36"/>
      <c r="C527" s="36"/>
      <c r="D527" s="36"/>
      <c r="E527" s="36"/>
      <c r="F527" s="36"/>
      <c r="G527" s="36"/>
      <c r="H527" s="37"/>
      <c r="I527" s="36"/>
      <c r="J527" s="38"/>
      <c r="K527" s="38"/>
      <c r="L527" s="39"/>
      <c r="M527" s="39"/>
      <c r="N527" s="39"/>
      <c r="O527" s="39"/>
      <c r="P527" s="39"/>
      <c r="Q527" s="39"/>
      <c r="R527" s="39"/>
      <c r="S527" s="39"/>
      <c r="T527" s="39"/>
      <c r="U527" s="39"/>
      <c r="V527" s="39"/>
      <c r="W527" s="39"/>
      <c r="X527" s="39"/>
      <c r="Y527" s="39"/>
      <c r="Z527" s="39"/>
      <c r="AA527" s="39"/>
      <c r="AB527" s="39"/>
    </row>
    <row r="528">
      <c r="A528" s="1"/>
      <c r="B528" s="36"/>
      <c r="C528" s="36"/>
      <c r="D528" s="36"/>
      <c r="E528" s="36"/>
      <c r="F528" s="36"/>
      <c r="G528" s="36"/>
      <c r="H528" s="37"/>
      <c r="I528" s="36"/>
      <c r="J528" s="38"/>
      <c r="K528" s="38"/>
      <c r="L528" s="39"/>
      <c r="M528" s="39"/>
      <c r="N528" s="39"/>
      <c r="O528" s="39"/>
      <c r="P528" s="39"/>
      <c r="Q528" s="39"/>
      <c r="R528" s="39"/>
      <c r="S528" s="39"/>
      <c r="T528" s="39"/>
      <c r="U528" s="39"/>
      <c r="V528" s="39"/>
      <c r="W528" s="39"/>
      <c r="X528" s="39"/>
      <c r="Y528" s="39"/>
      <c r="Z528" s="39"/>
      <c r="AA528" s="39"/>
      <c r="AB528" s="39"/>
    </row>
    <row r="529">
      <c r="A529" s="1"/>
      <c r="B529" s="36"/>
      <c r="C529" s="36"/>
      <c r="D529" s="36"/>
      <c r="E529" s="36"/>
      <c r="F529" s="36"/>
      <c r="G529" s="36"/>
      <c r="H529" s="37"/>
      <c r="I529" s="36"/>
      <c r="J529" s="38"/>
      <c r="K529" s="38"/>
      <c r="L529" s="39"/>
      <c r="M529" s="39"/>
      <c r="N529" s="39"/>
      <c r="O529" s="39"/>
      <c r="P529" s="39"/>
      <c r="Q529" s="39"/>
      <c r="R529" s="39"/>
      <c r="S529" s="39"/>
      <c r="T529" s="39"/>
      <c r="U529" s="39"/>
      <c r="V529" s="39"/>
      <c r="W529" s="39"/>
      <c r="X529" s="39"/>
      <c r="Y529" s="39"/>
      <c r="Z529" s="39"/>
      <c r="AA529" s="39"/>
      <c r="AB529" s="39"/>
    </row>
    <row r="530">
      <c r="A530" s="1"/>
      <c r="B530" s="36"/>
      <c r="C530" s="36"/>
      <c r="D530" s="36"/>
      <c r="E530" s="36"/>
      <c r="F530" s="36"/>
      <c r="G530" s="36"/>
      <c r="H530" s="37"/>
      <c r="I530" s="36"/>
      <c r="J530" s="38"/>
      <c r="K530" s="38"/>
      <c r="L530" s="39"/>
      <c r="M530" s="39"/>
      <c r="N530" s="39"/>
      <c r="O530" s="39"/>
      <c r="P530" s="39"/>
      <c r="Q530" s="39"/>
      <c r="R530" s="39"/>
      <c r="S530" s="39"/>
      <c r="T530" s="39"/>
      <c r="U530" s="39"/>
      <c r="V530" s="39"/>
      <c r="W530" s="39"/>
      <c r="X530" s="39"/>
      <c r="Y530" s="39"/>
      <c r="Z530" s="39"/>
      <c r="AA530" s="39"/>
      <c r="AB530" s="39"/>
    </row>
    <row r="531">
      <c r="A531" s="1"/>
      <c r="B531" s="36"/>
      <c r="C531" s="36"/>
      <c r="D531" s="36"/>
      <c r="E531" s="36"/>
      <c r="F531" s="36"/>
      <c r="G531" s="36"/>
      <c r="H531" s="37"/>
      <c r="I531" s="36"/>
      <c r="J531" s="38"/>
      <c r="K531" s="38"/>
      <c r="L531" s="39"/>
      <c r="M531" s="39"/>
      <c r="N531" s="39"/>
      <c r="O531" s="39"/>
      <c r="P531" s="39"/>
      <c r="Q531" s="39"/>
      <c r="R531" s="39"/>
      <c r="S531" s="39"/>
      <c r="T531" s="39"/>
      <c r="U531" s="39"/>
      <c r="V531" s="39"/>
      <c r="W531" s="39"/>
      <c r="X531" s="39"/>
      <c r="Y531" s="39"/>
      <c r="Z531" s="39"/>
      <c r="AA531" s="39"/>
      <c r="AB531" s="39"/>
    </row>
    <row r="532">
      <c r="A532" s="1"/>
      <c r="B532" s="36"/>
      <c r="C532" s="36"/>
      <c r="D532" s="36"/>
      <c r="E532" s="36"/>
      <c r="F532" s="36"/>
      <c r="G532" s="36"/>
      <c r="H532" s="37"/>
      <c r="I532" s="36"/>
      <c r="J532" s="38"/>
      <c r="K532" s="38"/>
      <c r="L532" s="39"/>
      <c r="M532" s="39"/>
      <c r="N532" s="39"/>
      <c r="O532" s="39"/>
      <c r="P532" s="39"/>
      <c r="Q532" s="39"/>
      <c r="R532" s="39"/>
      <c r="S532" s="39"/>
      <c r="T532" s="39"/>
      <c r="U532" s="39"/>
      <c r="V532" s="39"/>
      <c r="W532" s="39"/>
      <c r="X532" s="39"/>
      <c r="Y532" s="39"/>
      <c r="Z532" s="39"/>
      <c r="AA532" s="39"/>
      <c r="AB532" s="39"/>
    </row>
    <row r="533">
      <c r="A533" s="1"/>
      <c r="B533" s="36"/>
      <c r="C533" s="36"/>
      <c r="D533" s="36"/>
      <c r="E533" s="36"/>
      <c r="F533" s="36"/>
      <c r="G533" s="36"/>
      <c r="H533" s="37"/>
      <c r="I533" s="36"/>
      <c r="J533" s="38"/>
      <c r="K533" s="38"/>
      <c r="L533" s="39"/>
      <c r="M533" s="39"/>
      <c r="N533" s="39"/>
      <c r="O533" s="39"/>
      <c r="P533" s="39"/>
      <c r="Q533" s="39"/>
      <c r="R533" s="39"/>
      <c r="S533" s="39"/>
      <c r="T533" s="39"/>
      <c r="U533" s="39"/>
      <c r="V533" s="39"/>
      <c r="W533" s="39"/>
      <c r="X533" s="39"/>
      <c r="Y533" s="39"/>
      <c r="Z533" s="39"/>
      <c r="AA533" s="39"/>
      <c r="AB533" s="39"/>
    </row>
    <row r="534">
      <c r="A534" s="1"/>
      <c r="B534" s="36"/>
      <c r="C534" s="36"/>
      <c r="D534" s="36"/>
      <c r="E534" s="36"/>
      <c r="F534" s="36"/>
      <c r="G534" s="36"/>
      <c r="H534" s="37"/>
      <c r="I534" s="36"/>
      <c r="J534" s="38"/>
      <c r="K534" s="38"/>
      <c r="L534" s="39"/>
      <c r="M534" s="39"/>
      <c r="N534" s="39"/>
      <c r="O534" s="39"/>
      <c r="P534" s="39"/>
      <c r="Q534" s="39"/>
      <c r="R534" s="39"/>
      <c r="S534" s="39"/>
      <c r="T534" s="39"/>
      <c r="U534" s="39"/>
      <c r="V534" s="39"/>
      <c r="W534" s="39"/>
      <c r="X534" s="39"/>
      <c r="Y534" s="39"/>
      <c r="Z534" s="39"/>
      <c r="AA534" s="39"/>
      <c r="AB534" s="39"/>
    </row>
    <row r="535">
      <c r="A535" s="1"/>
      <c r="B535" s="36"/>
      <c r="C535" s="36"/>
      <c r="D535" s="36"/>
      <c r="E535" s="36"/>
      <c r="F535" s="36"/>
      <c r="G535" s="36"/>
      <c r="H535" s="37"/>
      <c r="I535" s="36"/>
      <c r="J535" s="38"/>
      <c r="K535" s="38"/>
      <c r="L535" s="39"/>
      <c r="M535" s="39"/>
      <c r="N535" s="39"/>
      <c r="O535" s="39"/>
      <c r="P535" s="39"/>
      <c r="Q535" s="39"/>
      <c r="R535" s="39"/>
      <c r="S535" s="39"/>
      <c r="T535" s="39"/>
      <c r="U535" s="39"/>
      <c r="V535" s="39"/>
      <c r="W535" s="39"/>
      <c r="X535" s="39"/>
      <c r="Y535" s="39"/>
      <c r="Z535" s="39"/>
      <c r="AA535" s="39"/>
      <c r="AB535" s="39"/>
    </row>
    <row r="536">
      <c r="A536" s="1"/>
      <c r="B536" s="36"/>
      <c r="C536" s="36"/>
      <c r="D536" s="36"/>
      <c r="E536" s="36"/>
      <c r="F536" s="36"/>
      <c r="G536" s="36"/>
      <c r="H536" s="37"/>
      <c r="I536" s="36"/>
      <c r="J536" s="38"/>
      <c r="K536" s="38"/>
      <c r="L536" s="39"/>
      <c r="M536" s="39"/>
      <c r="N536" s="39"/>
      <c r="O536" s="39"/>
      <c r="P536" s="39"/>
      <c r="Q536" s="39"/>
      <c r="R536" s="39"/>
      <c r="S536" s="39"/>
      <c r="T536" s="39"/>
      <c r="U536" s="39"/>
      <c r="V536" s="39"/>
      <c r="W536" s="39"/>
      <c r="X536" s="39"/>
      <c r="Y536" s="39"/>
      <c r="Z536" s="39"/>
      <c r="AA536" s="39"/>
      <c r="AB536" s="39"/>
    </row>
    <row r="537">
      <c r="A537" s="1"/>
      <c r="B537" s="36"/>
      <c r="C537" s="36"/>
      <c r="D537" s="36"/>
      <c r="E537" s="36"/>
      <c r="F537" s="36"/>
      <c r="G537" s="36"/>
      <c r="H537" s="37"/>
      <c r="I537" s="36"/>
      <c r="J537" s="38"/>
      <c r="K537" s="38"/>
      <c r="L537" s="39"/>
      <c r="M537" s="39"/>
      <c r="N537" s="39"/>
      <c r="O537" s="39"/>
      <c r="P537" s="39"/>
      <c r="Q537" s="39"/>
      <c r="R537" s="39"/>
      <c r="S537" s="39"/>
      <c r="T537" s="39"/>
      <c r="U537" s="39"/>
      <c r="V537" s="39"/>
      <c r="W537" s="39"/>
      <c r="X537" s="39"/>
      <c r="Y537" s="39"/>
      <c r="Z537" s="39"/>
      <c r="AA537" s="39"/>
      <c r="AB537" s="39"/>
    </row>
    <row r="538">
      <c r="A538" s="1"/>
      <c r="B538" s="36"/>
      <c r="C538" s="36"/>
      <c r="D538" s="36"/>
      <c r="E538" s="36"/>
      <c r="F538" s="36"/>
      <c r="G538" s="36"/>
      <c r="H538" s="37"/>
      <c r="I538" s="36"/>
      <c r="J538" s="38"/>
      <c r="K538" s="38"/>
      <c r="L538" s="39"/>
      <c r="M538" s="39"/>
      <c r="N538" s="39"/>
      <c r="O538" s="39"/>
      <c r="P538" s="39"/>
      <c r="Q538" s="39"/>
      <c r="R538" s="39"/>
      <c r="S538" s="39"/>
      <c r="T538" s="39"/>
      <c r="U538" s="39"/>
      <c r="V538" s="39"/>
      <c r="W538" s="39"/>
      <c r="X538" s="39"/>
      <c r="Y538" s="39"/>
      <c r="Z538" s="39"/>
      <c r="AA538" s="39"/>
      <c r="AB538" s="39"/>
    </row>
    <row r="539">
      <c r="A539" s="1"/>
      <c r="B539" s="36"/>
      <c r="C539" s="36"/>
      <c r="D539" s="36"/>
      <c r="E539" s="36"/>
      <c r="F539" s="36"/>
      <c r="G539" s="36"/>
      <c r="H539" s="37"/>
      <c r="I539" s="36"/>
      <c r="J539" s="38"/>
      <c r="K539" s="38"/>
      <c r="L539" s="39"/>
      <c r="M539" s="39"/>
      <c r="N539" s="39"/>
      <c r="O539" s="39"/>
      <c r="P539" s="39"/>
      <c r="Q539" s="39"/>
      <c r="R539" s="39"/>
      <c r="S539" s="39"/>
      <c r="T539" s="39"/>
      <c r="U539" s="39"/>
      <c r="V539" s="39"/>
      <c r="W539" s="39"/>
      <c r="X539" s="39"/>
      <c r="Y539" s="39"/>
      <c r="Z539" s="39"/>
      <c r="AA539" s="39"/>
      <c r="AB539" s="39"/>
    </row>
    <row r="540">
      <c r="A540" s="1"/>
      <c r="B540" s="36"/>
      <c r="C540" s="36"/>
      <c r="D540" s="36"/>
      <c r="E540" s="36"/>
      <c r="F540" s="36"/>
      <c r="G540" s="36"/>
      <c r="H540" s="37"/>
      <c r="I540" s="36"/>
      <c r="J540" s="38"/>
      <c r="K540" s="38"/>
      <c r="L540" s="39"/>
      <c r="M540" s="39"/>
      <c r="N540" s="39"/>
      <c r="O540" s="39"/>
      <c r="P540" s="39"/>
      <c r="Q540" s="39"/>
      <c r="R540" s="39"/>
      <c r="S540" s="39"/>
      <c r="T540" s="39"/>
      <c r="U540" s="39"/>
      <c r="V540" s="39"/>
      <c r="W540" s="39"/>
      <c r="X540" s="39"/>
      <c r="Y540" s="39"/>
      <c r="Z540" s="39"/>
      <c r="AA540" s="39"/>
      <c r="AB540" s="39"/>
    </row>
    <row r="541">
      <c r="A541" s="1"/>
      <c r="B541" s="36"/>
      <c r="C541" s="36"/>
      <c r="D541" s="36"/>
      <c r="E541" s="36"/>
      <c r="F541" s="36"/>
      <c r="G541" s="36"/>
      <c r="H541" s="37"/>
      <c r="I541" s="36"/>
      <c r="J541" s="38"/>
      <c r="K541" s="38"/>
      <c r="L541" s="39"/>
      <c r="M541" s="39"/>
      <c r="N541" s="39"/>
      <c r="O541" s="39"/>
      <c r="P541" s="39"/>
      <c r="Q541" s="39"/>
      <c r="R541" s="39"/>
      <c r="S541" s="39"/>
      <c r="T541" s="39"/>
      <c r="U541" s="39"/>
      <c r="V541" s="39"/>
      <c r="W541" s="39"/>
      <c r="X541" s="39"/>
      <c r="Y541" s="39"/>
      <c r="Z541" s="39"/>
      <c r="AA541" s="39"/>
      <c r="AB541" s="39"/>
    </row>
    <row r="542">
      <c r="A542" s="1"/>
      <c r="B542" s="36"/>
      <c r="C542" s="36"/>
      <c r="D542" s="36"/>
      <c r="E542" s="36"/>
      <c r="F542" s="36"/>
      <c r="G542" s="36"/>
      <c r="H542" s="37"/>
      <c r="I542" s="36"/>
      <c r="J542" s="38"/>
      <c r="K542" s="38"/>
      <c r="L542" s="39"/>
      <c r="M542" s="39"/>
      <c r="N542" s="39"/>
      <c r="O542" s="39"/>
      <c r="P542" s="39"/>
      <c r="Q542" s="39"/>
      <c r="R542" s="39"/>
      <c r="S542" s="39"/>
      <c r="T542" s="39"/>
      <c r="U542" s="39"/>
      <c r="V542" s="39"/>
      <c r="W542" s="39"/>
      <c r="X542" s="39"/>
      <c r="Y542" s="39"/>
      <c r="Z542" s="39"/>
      <c r="AA542" s="39"/>
      <c r="AB542" s="39"/>
    </row>
    <row r="543">
      <c r="A543" s="1"/>
      <c r="B543" s="36"/>
      <c r="C543" s="36"/>
      <c r="D543" s="36"/>
      <c r="E543" s="36"/>
      <c r="F543" s="36"/>
      <c r="G543" s="36"/>
      <c r="H543" s="37"/>
      <c r="I543" s="36"/>
      <c r="J543" s="38"/>
      <c r="K543" s="38"/>
      <c r="L543" s="39"/>
      <c r="M543" s="39"/>
      <c r="N543" s="39"/>
      <c r="O543" s="39"/>
      <c r="P543" s="39"/>
      <c r="Q543" s="39"/>
      <c r="R543" s="39"/>
      <c r="S543" s="39"/>
      <c r="T543" s="39"/>
      <c r="U543" s="39"/>
      <c r="V543" s="39"/>
      <c r="W543" s="39"/>
      <c r="X543" s="39"/>
      <c r="Y543" s="39"/>
      <c r="Z543" s="39"/>
      <c r="AA543" s="39"/>
      <c r="AB543" s="39"/>
    </row>
    <row r="544">
      <c r="A544" s="1"/>
      <c r="B544" s="36"/>
      <c r="C544" s="36"/>
      <c r="D544" s="36"/>
      <c r="E544" s="36"/>
      <c r="F544" s="36"/>
      <c r="G544" s="36"/>
      <c r="H544" s="37"/>
      <c r="I544" s="36"/>
      <c r="J544" s="38"/>
      <c r="K544" s="38"/>
      <c r="L544" s="39"/>
      <c r="M544" s="39"/>
      <c r="N544" s="39"/>
      <c r="O544" s="39"/>
      <c r="P544" s="39"/>
      <c r="Q544" s="39"/>
      <c r="R544" s="39"/>
      <c r="S544" s="39"/>
      <c r="T544" s="39"/>
      <c r="U544" s="39"/>
      <c r="V544" s="39"/>
      <c r="W544" s="39"/>
      <c r="X544" s="39"/>
      <c r="Y544" s="39"/>
      <c r="Z544" s="39"/>
      <c r="AA544" s="39"/>
      <c r="AB544" s="39"/>
    </row>
    <row r="545">
      <c r="A545" s="1"/>
      <c r="B545" s="36"/>
      <c r="C545" s="36"/>
      <c r="D545" s="36"/>
      <c r="E545" s="36"/>
      <c r="F545" s="36"/>
      <c r="G545" s="36"/>
      <c r="H545" s="37"/>
      <c r="I545" s="36"/>
      <c r="J545" s="38"/>
      <c r="K545" s="38"/>
      <c r="L545" s="39"/>
      <c r="M545" s="39"/>
      <c r="N545" s="39"/>
      <c r="O545" s="39"/>
      <c r="P545" s="39"/>
      <c r="Q545" s="39"/>
      <c r="R545" s="39"/>
      <c r="S545" s="39"/>
      <c r="T545" s="39"/>
      <c r="U545" s="39"/>
      <c r="V545" s="39"/>
      <c r="W545" s="39"/>
      <c r="X545" s="39"/>
      <c r="Y545" s="39"/>
      <c r="Z545" s="39"/>
      <c r="AA545" s="39"/>
      <c r="AB545" s="39"/>
    </row>
    <row r="546">
      <c r="A546" s="1"/>
      <c r="B546" s="36"/>
      <c r="C546" s="36"/>
      <c r="D546" s="36"/>
      <c r="E546" s="36"/>
      <c r="F546" s="36"/>
      <c r="G546" s="36"/>
      <c r="H546" s="37"/>
      <c r="I546" s="36"/>
      <c r="J546" s="38"/>
      <c r="K546" s="38"/>
      <c r="L546" s="39"/>
      <c r="M546" s="39"/>
      <c r="N546" s="39"/>
      <c r="O546" s="39"/>
      <c r="P546" s="39"/>
      <c r="Q546" s="39"/>
      <c r="R546" s="39"/>
      <c r="S546" s="39"/>
      <c r="T546" s="39"/>
      <c r="U546" s="39"/>
      <c r="V546" s="39"/>
      <c r="W546" s="39"/>
      <c r="X546" s="39"/>
      <c r="Y546" s="39"/>
      <c r="Z546" s="39"/>
      <c r="AA546" s="39"/>
      <c r="AB546" s="39"/>
    </row>
    <row r="547">
      <c r="A547" s="1"/>
      <c r="B547" s="36"/>
      <c r="C547" s="36"/>
      <c r="D547" s="36"/>
      <c r="E547" s="36"/>
      <c r="F547" s="36"/>
      <c r="G547" s="36"/>
      <c r="H547" s="37"/>
      <c r="I547" s="36"/>
      <c r="J547" s="38"/>
      <c r="K547" s="38"/>
      <c r="L547" s="39"/>
      <c r="M547" s="39"/>
      <c r="N547" s="39"/>
      <c r="O547" s="39"/>
      <c r="P547" s="39"/>
      <c r="Q547" s="39"/>
      <c r="R547" s="39"/>
      <c r="S547" s="39"/>
      <c r="T547" s="39"/>
      <c r="U547" s="39"/>
      <c r="V547" s="39"/>
      <c r="W547" s="39"/>
      <c r="X547" s="39"/>
      <c r="Y547" s="39"/>
      <c r="Z547" s="39"/>
      <c r="AA547" s="39"/>
      <c r="AB547" s="39"/>
    </row>
    <row r="548">
      <c r="A548" s="1"/>
      <c r="B548" s="36"/>
      <c r="C548" s="36"/>
      <c r="D548" s="36"/>
      <c r="E548" s="36"/>
      <c r="F548" s="36"/>
      <c r="G548" s="36"/>
      <c r="H548" s="37"/>
      <c r="I548" s="36"/>
      <c r="J548" s="38"/>
      <c r="K548" s="38"/>
      <c r="L548" s="39"/>
      <c r="M548" s="39"/>
      <c r="N548" s="39"/>
      <c r="O548" s="39"/>
      <c r="P548" s="39"/>
      <c r="Q548" s="39"/>
      <c r="R548" s="39"/>
      <c r="S548" s="39"/>
      <c r="T548" s="39"/>
      <c r="U548" s="39"/>
      <c r="V548" s="39"/>
      <c r="W548" s="39"/>
      <c r="X548" s="39"/>
      <c r="Y548" s="39"/>
      <c r="Z548" s="39"/>
      <c r="AA548" s="39"/>
      <c r="AB548" s="39"/>
    </row>
    <row r="549">
      <c r="A549" s="1"/>
      <c r="B549" s="36"/>
      <c r="C549" s="36"/>
      <c r="D549" s="36"/>
      <c r="E549" s="36"/>
      <c r="F549" s="36"/>
      <c r="G549" s="36"/>
      <c r="H549" s="37"/>
      <c r="I549" s="36"/>
      <c r="J549" s="38"/>
      <c r="K549" s="38"/>
      <c r="L549" s="39"/>
      <c r="M549" s="39"/>
      <c r="N549" s="39"/>
      <c r="O549" s="39"/>
      <c r="P549" s="39"/>
      <c r="Q549" s="39"/>
      <c r="R549" s="39"/>
      <c r="S549" s="39"/>
      <c r="T549" s="39"/>
      <c r="U549" s="39"/>
      <c r="V549" s="39"/>
      <c r="W549" s="39"/>
      <c r="X549" s="39"/>
      <c r="Y549" s="39"/>
      <c r="Z549" s="39"/>
      <c r="AA549" s="39"/>
      <c r="AB549" s="39"/>
    </row>
    <row r="550">
      <c r="A550" s="1"/>
      <c r="B550" s="36"/>
      <c r="C550" s="36"/>
      <c r="D550" s="36"/>
      <c r="E550" s="36"/>
      <c r="F550" s="36"/>
      <c r="G550" s="36"/>
      <c r="H550" s="37"/>
      <c r="I550" s="36"/>
      <c r="J550" s="38"/>
      <c r="K550" s="38"/>
      <c r="L550" s="39"/>
      <c r="M550" s="39"/>
      <c r="N550" s="39"/>
      <c r="O550" s="39"/>
      <c r="P550" s="39"/>
      <c r="Q550" s="39"/>
      <c r="R550" s="39"/>
      <c r="S550" s="39"/>
      <c r="T550" s="39"/>
      <c r="U550" s="39"/>
      <c r="V550" s="39"/>
      <c r="W550" s="39"/>
      <c r="X550" s="39"/>
      <c r="Y550" s="39"/>
      <c r="Z550" s="39"/>
      <c r="AA550" s="39"/>
      <c r="AB550" s="39"/>
    </row>
    <row r="551">
      <c r="A551" s="1"/>
      <c r="B551" s="36"/>
      <c r="C551" s="36"/>
      <c r="D551" s="36"/>
      <c r="E551" s="36"/>
      <c r="F551" s="36"/>
      <c r="G551" s="36"/>
      <c r="H551" s="37"/>
      <c r="I551" s="36"/>
      <c r="J551" s="38"/>
      <c r="K551" s="38"/>
      <c r="L551" s="39"/>
      <c r="M551" s="39"/>
      <c r="N551" s="39"/>
      <c r="O551" s="39"/>
      <c r="P551" s="39"/>
      <c r="Q551" s="39"/>
      <c r="R551" s="39"/>
      <c r="S551" s="39"/>
      <c r="T551" s="39"/>
      <c r="U551" s="39"/>
      <c r="V551" s="39"/>
      <c r="W551" s="39"/>
      <c r="X551" s="39"/>
      <c r="Y551" s="39"/>
      <c r="Z551" s="39"/>
      <c r="AA551" s="39"/>
      <c r="AB551" s="39"/>
    </row>
    <row r="552">
      <c r="A552" s="1"/>
      <c r="B552" s="36"/>
      <c r="C552" s="36"/>
      <c r="D552" s="36"/>
      <c r="E552" s="36"/>
      <c r="F552" s="36"/>
      <c r="G552" s="36"/>
      <c r="H552" s="37"/>
      <c r="I552" s="36"/>
      <c r="J552" s="38"/>
      <c r="K552" s="38"/>
      <c r="L552" s="39"/>
      <c r="M552" s="39"/>
      <c r="N552" s="39"/>
      <c r="O552" s="39"/>
      <c r="P552" s="39"/>
      <c r="Q552" s="39"/>
      <c r="R552" s="39"/>
      <c r="S552" s="39"/>
      <c r="T552" s="39"/>
      <c r="U552" s="39"/>
      <c r="V552" s="39"/>
      <c r="W552" s="39"/>
      <c r="X552" s="39"/>
      <c r="Y552" s="39"/>
      <c r="Z552" s="39"/>
      <c r="AA552" s="39"/>
      <c r="AB552" s="39"/>
    </row>
    <row r="553">
      <c r="A553" s="1"/>
      <c r="B553" s="36"/>
      <c r="C553" s="36"/>
      <c r="D553" s="36"/>
      <c r="E553" s="36"/>
      <c r="F553" s="36"/>
      <c r="G553" s="36"/>
      <c r="H553" s="37"/>
      <c r="I553" s="36"/>
      <c r="J553" s="38"/>
      <c r="K553" s="38"/>
      <c r="L553" s="39"/>
      <c r="M553" s="39"/>
      <c r="N553" s="39"/>
      <c r="O553" s="39"/>
      <c r="P553" s="39"/>
      <c r="Q553" s="39"/>
      <c r="R553" s="39"/>
      <c r="S553" s="39"/>
      <c r="T553" s="39"/>
      <c r="U553" s="39"/>
      <c r="V553" s="39"/>
      <c r="W553" s="39"/>
      <c r="X553" s="39"/>
      <c r="Y553" s="39"/>
      <c r="Z553" s="39"/>
      <c r="AA553" s="39"/>
      <c r="AB553" s="39"/>
    </row>
    <row r="554">
      <c r="A554" s="1"/>
      <c r="B554" s="36"/>
      <c r="C554" s="36"/>
      <c r="D554" s="36"/>
      <c r="E554" s="36"/>
      <c r="F554" s="36"/>
      <c r="G554" s="36"/>
      <c r="H554" s="37"/>
      <c r="I554" s="36"/>
      <c r="J554" s="38"/>
      <c r="K554" s="38"/>
      <c r="L554" s="39"/>
      <c r="M554" s="39"/>
      <c r="N554" s="39"/>
      <c r="O554" s="39"/>
      <c r="P554" s="39"/>
      <c r="Q554" s="39"/>
      <c r="R554" s="39"/>
      <c r="S554" s="39"/>
      <c r="T554" s="39"/>
      <c r="U554" s="39"/>
      <c r="V554" s="39"/>
      <c r="W554" s="39"/>
      <c r="X554" s="39"/>
      <c r="Y554" s="39"/>
      <c r="Z554" s="39"/>
      <c r="AA554" s="39"/>
      <c r="AB554" s="39"/>
    </row>
    <row r="555">
      <c r="A555" s="1"/>
      <c r="B555" s="36"/>
      <c r="C555" s="36"/>
      <c r="D555" s="36"/>
      <c r="E555" s="36"/>
      <c r="F555" s="36"/>
      <c r="G555" s="36"/>
      <c r="H555" s="37"/>
      <c r="I555" s="36"/>
      <c r="J555" s="38"/>
      <c r="K555" s="38"/>
      <c r="L555" s="39"/>
      <c r="M555" s="39"/>
      <c r="N555" s="39"/>
      <c r="O555" s="39"/>
      <c r="P555" s="39"/>
      <c r="Q555" s="39"/>
      <c r="R555" s="39"/>
      <c r="S555" s="39"/>
      <c r="T555" s="39"/>
      <c r="U555" s="39"/>
      <c r="V555" s="39"/>
      <c r="W555" s="39"/>
      <c r="X555" s="39"/>
      <c r="Y555" s="39"/>
      <c r="Z555" s="39"/>
      <c r="AA555" s="39"/>
      <c r="AB555" s="39"/>
    </row>
    <row r="556">
      <c r="A556" s="1"/>
      <c r="B556" s="36"/>
      <c r="C556" s="36"/>
      <c r="D556" s="36"/>
      <c r="E556" s="36"/>
      <c r="F556" s="36"/>
      <c r="G556" s="36"/>
      <c r="H556" s="37"/>
      <c r="I556" s="36"/>
      <c r="J556" s="38"/>
      <c r="K556" s="38"/>
      <c r="L556" s="39"/>
      <c r="M556" s="39"/>
      <c r="N556" s="39"/>
      <c r="O556" s="39"/>
      <c r="P556" s="39"/>
      <c r="Q556" s="39"/>
      <c r="R556" s="39"/>
      <c r="S556" s="39"/>
      <c r="T556" s="39"/>
      <c r="U556" s="39"/>
      <c r="V556" s="39"/>
      <c r="W556" s="39"/>
      <c r="X556" s="39"/>
      <c r="Y556" s="39"/>
      <c r="Z556" s="39"/>
      <c r="AA556" s="39"/>
      <c r="AB556" s="39"/>
    </row>
    <row r="557">
      <c r="A557" s="1"/>
      <c r="B557" s="36"/>
      <c r="C557" s="36"/>
      <c r="D557" s="36"/>
      <c r="E557" s="36"/>
      <c r="F557" s="36"/>
      <c r="G557" s="36"/>
      <c r="H557" s="37"/>
      <c r="I557" s="36"/>
      <c r="J557" s="38"/>
      <c r="K557" s="38"/>
      <c r="L557" s="39"/>
      <c r="M557" s="39"/>
      <c r="N557" s="39"/>
      <c r="O557" s="39"/>
      <c r="P557" s="39"/>
      <c r="Q557" s="39"/>
      <c r="R557" s="39"/>
      <c r="S557" s="39"/>
      <c r="T557" s="39"/>
      <c r="U557" s="39"/>
      <c r="V557" s="39"/>
      <c r="W557" s="39"/>
      <c r="X557" s="39"/>
      <c r="Y557" s="39"/>
      <c r="Z557" s="39"/>
      <c r="AA557" s="39"/>
      <c r="AB557" s="39"/>
    </row>
    <row r="558">
      <c r="A558" s="1"/>
      <c r="B558" s="36"/>
      <c r="C558" s="36"/>
      <c r="D558" s="36"/>
      <c r="E558" s="36"/>
      <c r="F558" s="36"/>
      <c r="G558" s="36"/>
      <c r="H558" s="37"/>
      <c r="I558" s="36"/>
      <c r="J558" s="38"/>
      <c r="K558" s="38"/>
      <c r="L558" s="39"/>
      <c r="M558" s="39"/>
      <c r="N558" s="39"/>
      <c r="O558" s="39"/>
      <c r="P558" s="39"/>
      <c r="Q558" s="39"/>
      <c r="R558" s="39"/>
      <c r="S558" s="39"/>
      <c r="T558" s="39"/>
      <c r="U558" s="39"/>
      <c r="V558" s="39"/>
      <c r="W558" s="39"/>
      <c r="X558" s="39"/>
      <c r="Y558" s="39"/>
      <c r="Z558" s="39"/>
      <c r="AA558" s="39"/>
      <c r="AB558" s="39"/>
    </row>
    <row r="559">
      <c r="A559" s="1"/>
      <c r="B559" s="36"/>
      <c r="C559" s="36"/>
      <c r="D559" s="36"/>
      <c r="E559" s="36"/>
      <c r="F559" s="36"/>
      <c r="G559" s="36"/>
      <c r="H559" s="37"/>
      <c r="I559" s="36"/>
      <c r="J559" s="38"/>
      <c r="K559" s="38"/>
      <c r="L559" s="39"/>
      <c r="M559" s="39"/>
      <c r="N559" s="39"/>
      <c r="O559" s="39"/>
      <c r="P559" s="39"/>
      <c r="Q559" s="39"/>
      <c r="R559" s="39"/>
      <c r="S559" s="39"/>
      <c r="T559" s="39"/>
      <c r="U559" s="39"/>
      <c r="V559" s="39"/>
      <c r="W559" s="39"/>
      <c r="X559" s="39"/>
      <c r="Y559" s="39"/>
      <c r="Z559" s="39"/>
      <c r="AA559" s="39"/>
      <c r="AB559" s="39"/>
    </row>
    <row r="560">
      <c r="A560" s="1"/>
      <c r="B560" s="36"/>
      <c r="C560" s="36"/>
      <c r="D560" s="36"/>
      <c r="E560" s="36"/>
      <c r="F560" s="36"/>
      <c r="G560" s="36"/>
      <c r="H560" s="37"/>
      <c r="I560" s="36"/>
      <c r="J560" s="38"/>
      <c r="K560" s="38"/>
      <c r="L560" s="39"/>
      <c r="M560" s="39"/>
      <c r="N560" s="39"/>
      <c r="O560" s="39"/>
      <c r="P560" s="39"/>
      <c r="Q560" s="39"/>
      <c r="R560" s="39"/>
      <c r="S560" s="39"/>
      <c r="T560" s="39"/>
      <c r="U560" s="39"/>
      <c r="V560" s="39"/>
      <c r="W560" s="39"/>
      <c r="X560" s="39"/>
      <c r="Y560" s="39"/>
      <c r="Z560" s="39"/>
      <c r="AA560" s="39"/>
      <c r="AB560" s="39"/>
    </row>
    <row r="561">
      <c r="A561" s="1"/>
      <c r="B561" s="36"/>
      <c r="C561" s="36"/>
      <c r="D561" s="36"/>
      <c r="E561" s="36"/>
      <c r="F561" s="36"/>
      <c r="G561" s="36"/>
      <c r="H561" s="37"/>
      <c r="I561" s="36"/>
      <c r="J561" s="38"/>
      <c r="K561" s="38"/>
      <c r="L561" s="39"/>
      <c r="M561" s="39"/>
      <c r="N561" s="39"/>
      <c r="O561" s="39"/>
      <c r="P561" s="39"/>
      <c r="Q561" s="39"/>
      <c r="R561" s="39"/>
      <c r="S561" s="39"/>
      <c r="T561" s="39"/>
      <c r="U561" s="39"/>
      <c r="V561" s="39"/>
      <c r="W561" s="39"/>
      <c r="X561" s="39"/>
      <c r="Y561" s="39"/>
      <c r="Z561" s="39"/>
      <c r="AA561" s="39"/>
      <c r="AB561" s="39"/>
    </row>
    <row r="562">
      <c r="A562" s="1"/>
      <c r="B562" s="36"/>
      <c r="C562" s="36"/>
      <c r="D562" s="36"/>
      <c r="E562" s="36"/>
      <c r="F562" s="36"/>
      <c r="G562" s="36"/>
      <c r="H562" s="37"/>
      <c r="I562" s="36"/>
      <c r="J562" s="38"/>
      <c r="K562" s="38"/>
      <c r="L562" s="39"/>
      <c r="M562" s="39"/>
      <c r="N562" s="39"/>
      <c r="O562" s="39"/>
      <c r="P562" s="39"/>
      <c r="Q562" s="39"/>
      <c r="R562" s="39"/>
      <c r="S562" s="39"/>
      <c r="T562" s="39"/>
      <c r="U562" s="39"/>
      <c r="V562" s="39"/>
      <c r="W562" s="39"/>
      <c r="X562" s="39"/>
      <c r="Y562" s="39"/>
      <c r="Z562" s="39"/>
      <c r="AA562" s="39"/>
      <c r="AB562" s="39"/>
    </row>
    <row r="563">
      <c r="A563" s="1"/>
      <c r="B563" s="36"/>
      <c r="C563" s="36"/>
      <c r="D563" s="36"/>
      <c r="E563" s="36"/>
      <c r="F563" s="36"/>
      <c r="G563" s="36"/>
      <c r="H563" s="37"/>
      <c r="I563" s="36"/>
      <c r="J563" s="38"/>
      <c r="K563" s="38"/>
      <c r="L563" s="39"/>
      <c r="M563" s="39"/>
      <c r="N563" s="39"/>
      <c r="O563" s="39"/>
      <c r="P563" s="39"/>
      <c r="Q563" s="39"/>
      <c r="R563" s="39"/>
      <c r="S563" s="39"/>
      <c r="T563" s="39"/>
      <c r="U563" s="39"/>
      <c r="V563" s="39"/>
      <c r="W563" s="39"/>
      <c r="X563" s="39"/>
      <c r="Y563" s="39"/>
      <c r="Z563" s="39"/>
      <c r="AA563" s="39"/>
      <c r="AB563" s="39"/>
    </row>
    <row r="564">
      <c r="A564" s="1"/>
      <c r="B564" s="36"/>
      <c r="C564" s="36"/>
      <c r="D564" s="36"/>
      <c r="E564" s="36"/>
      <c r="F564" s="36"/>
      <c r="G564" s="36"/>
      <c r="H564" s="37"/>
      <c r="I564" s="36"/>
      <c r="J564" s="38"/>
      <c r="K564" s="38"/>
      <c r="L564" s="39"/>
      <c r="M564" s="39"/>
      <c r="N564" s="39"/>
      <c r="O564" s="39"/>
      <c r="P564" s="39"/>
      <c r="Q564" s="39"/>
      <c r="R564" s="39"/>
      <c r="S564" s="39"/>
      <c r="T564" s="39"/>
      <c r="U564" s="39"/>
      <c r="V564" s="39"/>
      <c r="W564" s="39"/>
      <c r="X564" s="39"/>
      <c r="Y564" s="39"/>
      <c r="Z564" s="39"/>
      <c r="AA564" s="39"/>
      <c r="AB564" s="39"/>
    </row>
    <row r="565">
      <c r="A565" s="1"/>
      <c r="B565" s="36"/>
      <c r="C565" s="36"/>
      <c r="D565" s="36"/>
      <c r="E565" s="36"/>
      <c r="F565" s="36"/>
      <c r="G565" s="36"/>
      <c r="H565" s="37"/>
      <c r="I565" s="36"/>
      <c r="J565" s="38"/>
      <c r="K565" s="38"/>
      <c r="L565" s="39"/>
      <c r="M565" s="39"/>
      <c r="N565" s="39"/>
      <c r="O565" s="39"/>
      <c r="P565" s="39"/>
      <c r="Q565" s="39"/>
      <c r="R565" s="39"/>
      <c r="S565" s="39"/>
      <c r="T565" s="39"/>
      <c r="U565" s="39"/>
      <c r="V565" s="39"/>
      <c r="W565" s="39"/>
      <c r="X565" s="39"/>
      <c r="Y565" s="39"/>
      <c r="Z565" s="39"/>
      <c r="AA565" s="39"/>
      <c r="AB565" s="39"/>
    </row>
    <row r="566">
      <c r="A566" s="1"/>
      <c r="B566" s="36"/>
      <c r="C566" s="36"/>
      <c r="D566" s="36"/>
      <c r="E566" s="36"/>
      <c r="F566" s="36"/>
      <c r="G566" s="36"/>
      <c r="H566" s="37"/>
      <c r="I566" s="36"/>
      <c r="J566" s="38"/>
      <c r="K566" s="38"/>
      <c r="L566" s="39"/>
      <c r="M566" s="39"/>
      <c r="N566" s="39"/>
      <c r="O566" s="39"/>
      <c r="P566" s="39"/>
      <c r="Q566" s="39"/>
      <c r="R566" s="39"/>
      <c r="S566" s="39"/>
      <c r="T566" s="39"/>
      <c r="U566" s="39"/>
      <c r="V566" s="39"/>
      <c r="W566" s="39"/>
      <c r="X566" s="39"/>
      <c r="Y566" s="39"/>
      <c r="Z566" s="39"/>
      <c r="AA566" s="39"/>
      <c r="AB566" s="39"/>
    </row>
    <row r="567">
      <c r="A567" s="1"/>
      <c r="B567" s="36"/>
      <c r="C567" s="36"/>
      <c r="D567" s="36"/>
      <c r="E567" s="36"/>
      <c r="F567" s="36"/>
      <c r="G567" s="36"/>
      <c r="H567" s="37"/>
      <c r="I567" s="36"/>
      <c r="J567" s="38"/>
      <c r="K567" s="38"/>
      <c r="L567" s="39"/>
      <c r="M567" s="39"/>
      <c r="N567" s="39"/>
      <c r="O567" s="39"/>
      <c r="P567" s="39"/>
      <c r="Q567" s="39"/>
      <c r="R567" s="39"/>
      <c r="S567" s="39"/>
      <c r="T567" s="39"/>
      <c r="U567" s="39"/>
      <c r="V567" s="39"/>
      <c r="W567" s="39"/>
      <c r="X567" s="39"/>
      <c r="Y567" s="39"/>
      <c r="Z567" s="39"/>
      <c r="AA567" s="39"/>
      <c r="AB567" s="39"/>
    </row>
    <row r="568">
      <c r="A568" s="1"/>
      <c r="B568" s="36"/>
      <c r="C568" s="36"/>
      <c r="D568" s="36"/>
      <c r="E568" s="36"/>
      <c r="F568" s="36"/>
      <c r="G568" s="36"/>
      <c r="H568" s="37"/>
      <c r="I568" s="36"/>
      <c r="J568" s="38"/>
      <c r="K568" s="38"/>
      <c r="L568" s="39"/>
      <c r="M568" s="39"/>
      <c r="N568" s="39"/>
      <c r="O568" s="39"/>
      <c r="P568" s="39"/>
      <c r="Q568" s="39"/>
      <c r="R568" s="39"/>
      <c r="S568" s="39"/>
      <c r="T568" s="39"/>
      <c r="U568" s="39"/>
      <c r="V568" s="39"/>
      <c r="W568" s="39"/>
      <c r="X568" s="39"/>
      <c r="Y568" s="39"/>
      <c r="Z568" s="39"/>
      <c r="AA568" s="39"/>
      <c r="AB568" s="39"/>
    </row>
    <row r="569">
      <c r="A569" s="1"/>
      <c r="B569" s="36"/>
      <c r="C569" s="36"/>
      <c r="D569" s="36"/>
      <c r="E569" s="36"/>
      <c r="F569" s="36"/>
      <c r="G569" s="36"/>
      <c r="H569" s="37"/>
      <c r="I569" s="36"/>
      <c r="J569" s="38"/>
      <c r="K569" s="38"/>
      <c r="L569" s="39"/>
      <c r="M569" s="39"/>
      <c r="N569" s="39"/>
      <c r="O569" s="39"/>
      <c r="P569" s="39"/>
      <c r="Q569" s="39"/>
      <c r="R569" s="39"/>
      <c r="S569" s="39"/>
      <c r="T569" s="39"/>
      <c r="U569" s="39"/>
      <c r="V569" s="39"/>
      <c r="W569" s="39"/>
      <c r="X569" s="39"/>
      <c r="Y569" s="39"/>
      <c r="Z569" s="39"/>
      <c r="AA569" s="39"/>
      <c r="AB569" s="39"/>
    </row>
    <row r="570">
      <c r="A570" s="1"/>
      <c r="B570" s="36"/>
      <c r="C570" s="36"/>
      <c r="D570" s="36"/>
      <c r="E570" s="36"/>
      <c r="F570" s="36"/>
      <c r="G570" s="36"/>
      <c r="H570" s="37"/>
      <c r="I570" s="36"/>
      <c r="J570" s="38"/>
      <c r="K570" s="38"/>
      <c r="L570" s="39"/>
      <c r="M570" s="39"/>
      <c r="N570" s="39"/>
      <c r="O570" s="39"/>
      <c r="P570" s="39"/>
      <c r="Q570" s="39"/>
      <c r="R570" s="39"/>
      <c r="S570" s="39"/>
      <c r="T570" s="39"/>
      <c r="U570" s="39"/>
      <c r="V570" s="39"/>
      <c r="W570" s="39"/>
      <c r="X570" s="39"/>
      <c r="Y570" s="39"/>
      <c r="Z570" s="39"/>
      <c r="AA570" s="39"/>
      <c r="AB570" s="39"/>
    </row>
    <row r="571">
      <c r="A571" s="1"/>
      <c r="B571" s="36"/>
      <c r="C571" s="36"/>
      <c r="D571" s="36"/>
      <c r="E571" s="36"/>
      <c r="F571" s="36"/>
      <c r="G571" s="36"/>
      <c r="H571" s="37"/>
      <c r="I571" s="36"/>
      <c r="J571" s="38"/>
      <c r="K571" s="38"/>
      <c r="L571" s="39"/>
      <c r="M571" s="39"/>
      <c r="N571" s="39"/>
      <c r="O571" s="39"/>
      <c r="P571" s="39"/>
      <c r="Q571" s="39"/>
      <c r="R571" s="39"/>
      <c r="S571" s="39"/>
      <c r="T571" s="39"/>
      <c r="U571" s="39"/>
      <c r="V571" s="39"/>
      <c r="W571" s="39"/>
      <c r="X571" s="39"/>
      <c r="Y571" s="39"/>
      <c r="Z571" s="39"/>
      <c r="AA571" s="39"/>
      <c r="AB571" s="39"/>
    </row>
    <row r="572">
      <c r="A572" s="1"/>
      <c r="B572" s="36"/>
      <c r="C572" s="36"/>
      <c r="D572" s="36"/>
      <c r="E572" s="36"/>
      <c r="F572" s="36"/>
      <c r="G572" s="36"/>
      <c r="H572" s="37"/>
      <c r="I572" s="36"/>
      <c r="J572" s="38"/>
      <c r="K572" s="38"/>
      <c r="L572" s="39"/>
      <c r="M572" s="39"/>
      <c r="N572" s="39"/>
      <c r="O572" s="39"/>
      <c r="P572" s="39"/>
      <c r="Q572" s="39"/>
      <c r="R572" s="39"/>
      <c r="S572" s="39"/>
      <c r="T572" s="39"/>
      <c r="U572" s="39"/>
      <c r="V572" s="39"/>
      <c r="W572" s="39"/>
      <c r="X572" s="39"/>
      <c r="Y572" s="39"/>
      <c r="Z572" s="39"/>
      <c r="AA572" s="39"/>
      <c r="AB572" s="39"/>
    </row>
    <row r="573">
      <c r="A573" s="1"/>
      <c r="B573" s="36"/>
      <c r="C573" s="36"/>
      <c r="D573" s="36"/>
      <c r="E573" s="36"/>
      <c r="F573" s="36"/>
      <c r="G573" s="36"/>
      <c r="H573" s="37"/>
      <c r="I573" s="36"/>
      <c r="J573" s="38"/>
      <c r="K573" s="38"/>
      <c r="L573" s="39"/>
      <c r="M573" s="39"/>
      <c r="N573" s="39"/>
      <c r="O573" s="39"/>
      <c r="P573" s="39"/>
      <c r="Q573" s="39"/>
      <c r="R573" s="39"/>
      <c r="S573" s="39"/>
      <c r="T573" s="39"/>
      <c r="U573" s="39"/>
      <c r="V573" s="39"/>
      <c r="W573" s="39"/>
      <c r="X573" s="39"/>
      <c r="Y573" s="39"/>
      <c r="Z573" s="39"/>
      <c r="AA573" s="39"/>
      <c r="AB573" s="39"/>
    </row>
    <row r="574">
      <c r="A574" s="1"/>
      <c r="B574" s="36"/>
      <c r="C574" s="36"/>
      <c r="D574" s="36"/>
      <c r="E574" s="36"/>
      <c r="F574" s="36"/>
      <c r="G574" s="36"/>
      <c r="H574" s="37"/>
      <c r="I574" s="36"/>
      <c r="J574" s="38"/>
      <c r="K574" s="38"/>
      <c r="L574" s="39"/>
      <c r="M574" s="39"/>
      <c r="N574" s="39"/>
      <c r="O574" s="39"/>
      <c r="P574" s="39"/>
      <c r="Q574" s="39"/>
      <c r="R574" s="39"/>
      <c r="S574" s="39"/>
      <c r="T574" s="39"/>
      <c r="U574" s="39"/>
      <c r="V574" s="39"/>
      <c r="W574" s="39"/>
      <c r="X574" s="39"/>
      <c r="Y574" s="39"/>
      <c r="Z574" s="39"/>
      <c r="AA574" s="39"/>
      <c r="AB574" s="39"/>
    </row>
    <row r="575">
      <c r="A575" s="1"/>
      <c r="B575" s="36"/>
      <c r="C575" s="36"/>
      <c r="D575" s="36"/>
      <c r="E575" s="36"/>
      <c r="F575" s="36"/>
      <c r="G575" s="36"/>
      <c r="H575" s="37"/>
      <c r="I575" s="36"/>
      <c r="J575" s="38"/>
      <c r="K575" s="38"/>
      <c r="L575" s="39"/>
      <c r="M575" s="39"/>
      <c r="N575" s="39"/>
      <c r="O575" s="39"/>
      <c r="P575" s="39"/>
      <c r="Q575" s="39"/>
      <c r="R575" s="39"/>
      <c r="S575" s="39"/>
      <c r="T575" s="39"/>
      <c r="U575" s="39"/>
      <c r="V575" s="39"/>
      <c r="W575" s="39"/>
      <c r="X575" s="39"/>
      <c r="Y575" s="39"/>
      <c r="Z575" s="39"/>
      <c r="AA575" s="39"/>
      <c r="AB575" s="39"/>
    </row>
    <row r="576">
      <c r="A576" s="1"/>
      <c r="B576" s="36"/>
      <c r="C576" s="36"/>
      <c r="D576" s="36"/>
      <c r="E576" s="36"/>
      <c r="F576" s="36"/>
      <c r="G576" s="36"/>
      <c r="H576" s="37"/>
      <c r="I576" s="36"/>
      <c r="J576" s="38"/>
      <c r="K576" s="38"/>
      <c r="L576" s="39"/>
      <c r="M576" s="39"/>
      <c r="N576" s="39"/>
      <c r="O576" s="39"/>
      <c r="P576" s="39"/>
      <c r="Q576" s="39"/>
      <c r="R576" s="39"/>
      <c r="S576" s="39"/>
      <c r="T576" s="39"/>
      <c r="U576" s="39"/>
      <c r="V576" s="39"/>
      <c r="W576" s="39"/>
      <c r="X576" s="39"/>
      <c r="Y576" s="39"/>
      <c r="Z576" s="39"/>
      <c r="AA576" s="39"/>
      <c r="AB576" s="39"/>
    </row>
    <row r="577">
      <c r="A577" s="1"/>
      <c r="B577" s="36"/>
      <c r="C577" s="36"/>
      <c r="D577" s="36"/>
      <c r="E577" s="36"/>
      <c r="F577" s="36"/>
      <c r="G577" s="36"/>
      <c r="H577" s="37"/>
      <c r="I577" s="36"/>
      <c r="J577" s="38"/>
      <c r="K577" s="38"/>
      <c r="L577" s="39"/>
      <c r="M577" s="39"/>
      <c r="N577" s="39"/>
      <c r="O577" s="39"/>
      <c r="P577" s="39"/>
      <c r="Q577" s="39"/>
      <c r="R577" s="39"/>
      <c r="S577" s="39"/>
      <c r="T577" s="39"/>
      <c r="U577" s="39"/>
      <c r="V577" s="39"/>
      <c r="W577" s="39"/>
      <c r="X577" s="39"/>
      <c r="Y577" s="39"/>
      <c r="Z577" s="39"/>
      <c r="AA577" s="39"/>
      <c r="AB577" s="39"/>
    </row>
    <row r="578">
      <c r="A578" s="1"/>
      <c r="B578" s="36"/>
      <c r="C578" s="36"/>
      <c r="D578" s="36"/>
      <c r="E578" s="36"/>
      <c r="F578" s="36"/>
      <c r="G578" s="36"/>
      <c r="H578" s="37"/>
      <c r="I578" s="36"/>
      <c r="J578" s="38"/>
      <c r="K578" s="38"/>
      <c r="L578" s="39"/>
      <c r="M578" s="39"/>
      <c r="N578" s="39"/>
      <c r="O578" s="39"/>
      <c r="P578" s="39"/>
      <c r="Q578" s="39"/>
      <c r="R578" s="39"/>
      <c r="S578" s="39"/>
      <c r="T578" s="39"/>
      <c r="U578" s="39"/>
      <c r="V578" s="39"/>
      <c r="W578" s="39"/>
      <c r="X578" s="39"/>
      <c r="Y578" s="39"/>
      <c r="Z578" s="39"/>
      <c r="AA578" s="39"/>
      <c r="AB578" s="39"/>
    </row>
    <row r="579">
      <c r="A579" s="1"/>
      <c r="B579" s="36"/>
      <c r="C579" s="36"/>
      <c r="D579" s="36"/>
      <c r="E579" s="36"/>
      <c r="F579" s="36"/>
      <c r="G579" s="36"/>
      <c r="H579" s="37"/>
      <c r="I579" s="36"/>
      <c r="J579" s="38"/>
      <c r="K579" s="38"/>
      <c r="L579" s="39"/>
      <c r="M579" s="39"/>
      <c r="N579" s="39"/>
      <c r="O579" s="39"/>
      <c r="P579" s="39"/>
      <c r="Q579" s="39"/>
      <c r="R579" s="39"/>
      <c r="S579" s="39"/>
      <c r="T579" s="39"/>
      <c r="U579" s="39"/>
      <c r="V579" s="39"/>
      <c r="W579" s="39"/>
      <c r="X579" s="39"/>
      <c r="Y579" s="39"/>
      <c r="Z579" s="39"/>
      <c r="AA579" s="39"/>
      <c r="AB579" s="39"/>
    </row>
    <row r="580">
      <c r="A580" s="1"/>
      <c r="B580" s="36"/>
      <c r="C580" s="36"/>
      <c r="D580" s="36"/>
      <c r="E580" s="36"/>
      <c r="F580" s="36"/>
      <c r="G580" s="36"/>
      <c r="H580" s="37"/>
      <c r="I580" s="36"/>
      <c r="J580" s="38"/>
      <c r="K580" s="38"/>
      <c r="L580" s="39"/>
      <c r="M580" s="39"/>
      <c r="N580" s="39"/>
      <c r="O580" s="39"/>
      <c r="P580" s="39"/>
      <c r="Q580" s="39"/>
      <c r="R580" s="39"/>
      <c r="S580" s="39"/>
      <c r="T580" s="39"/>
      <c r="U580" s="39"/>
      <c r="V580" s="39"/>
      <c r="W580" s="39"/>
      <c r="X580" s="39"/>
      <c r="Y580" s="39"/>
      <c r="Z580" s="39"/>
      <c r="AA580" s="39"/>
      <c r="AB580" s="39"/>
    </row>
    <row r="581">
      <c r="A581" s="1"/>
      <c r="B581" s="36"/>
      <c r="C581" s="36"/>
      <c r="D581" s="36"/>
      <c r="E581" s="36"/>
      <c r="F581" s="36"/>
      <c r="G581" s="36"/>
      <c r="H581" s="37"/>
      <c r="I581" s="36"/>
      <c r="J581" s="38"/>
      <c r="K581" s="38"/>
      <c r="L581" s="39"/>
      <c r="M581" s="39"/>
      <c r="N581" s="39"/>
      <c r="O581" s="39"/>
      <c r="P581" s="39"/>
      <c r="Q581" s="39"/>
      <c r="R581" s="39"/>
      <c r="S581" s="39"/>
      <c r="T581" s="39"/>
      <c r="U581" s="39"/>
      <c r="V581" s="39"/>
      <c r="W581" s="39"/>
      <c r="X581" s="39"/>
      <c r="Y581" s="39"/>
      <c r="Z581" s="39"/>
      <c r="AA581" s="39"/>
      <c r="AB581" s="39"/>
    </row>
    <row r="582">
      <c r="A582" s="1"/>
      <c r="B582" s="36"/>
      <c r="C582" s="36"/>
      <c r="D582" s="36"/>
      <c r="E582" s="36"/>
      <c r="F582" s="36"/>
      <c r="G582" s="36"/>
      <c r="H582" s="37"/>
      <c r="I582" s="36"/>
      <c r="J582" s="38"/>
      <c r="K582" s="38"/>
      <c r="L582" s="39"/>
      <c r="M582" s="39"/>
      <c r="N582" s="39"/>
      <c r="O582" s="39"/>
      <c r="P582" s="39"/>
      <c r="Q582" s="39"/>
      <c r="R582" s="39"/>
      <c r="S582" s="39"/>
      <c r="T582" s="39"/>
      <c r="U582" s="39"/>
      <c r="V582" s="39"/>
      <c r="W582" s="39"/>
      <c r="X582" s="39"/>
      <c r="Y582" s="39"/>
      <c r="Z582" s="39"/>
      <c r="AA582" s="39"/>
      <c r="AB582" s="39"/>
    </row>
    <row r="583">
      <c r="A583" s="1"/>
      <c r="B583" s="36"/>
      <c r="C583" s="36"/>
      <c r="D583" s="36"/>
      <c r="E583" s="36"/>
      <c r="F583" s="36"/>
      <c r="G583" s="36"/>
      <c r="H583" s="37"/>
      <c r="I583" s="36"/>
      <c r="J583" s="38"/>
      <c r="K583" s="38"/>
      <c r="L583" s="39"/>
      <c r="M583" s="39"/>
      <c r="N583" s="39"/>
      <c r="O583" s="39"/>
      <c r="P583" s="39"/>
      <c r="Q583" s="39"/>
      <c r="R583" s="39"/>
      <c r="S583" s="39"/>
      <c r="T583" s="39"/>
      <c r="U583" s="39"/>
      <c r="V583" s="39"/>
      <c r="W583" s="39"/>
      <c r="X583" s="39"/>
      <c r="Y583" s="39"/>
      <c r="Z583" s="39"/>
      <c r="AA583" s="39"/>
      <c r="AB583" s="39"/>
    </row>
    <row r="584">
      <c r="A584" s="1"/>
      <c r="B584" s="36"/>
      <c r="C584" s="36"/>
      <c r="D584" s="36"/>
      <c r="E584" s="36"/>
      <c r="F584" s="36"/>
      <c r="G584" s="36"/>
      <c r="H584" s="37"/>
      <c r="I584" s="36"/>
      <c r="J584" s="38"/>
      <c r="K584" s="38"/>
      <c r="L584" s="39"/>
      <c r="M584" s="39"/>
      <c r="N584" s="39"/>
      <c r="O584" s="39"/>
      <c r="P584" s="39"/>
      <c r="Q584" s="39"/>
      <c r="R584" s="39"/>
      <c r="S584" s="39"/>
      <c r="T584" s="39"/>
      <c r="U584" s="39"/>
      <c r="V584" s="39"/>
      <c r="W584" s="39"/>
      <c r="X584" s="39"/>
      <c r="Y584" s="39"/>
      <c r="Z584" s="39"/>
      <c r="AA584" s="39"/>
      <c r="AB584" s="39"/>
    </row>
    <row r="585">
      <c r="A585" s="1"/>
      <c r="B585" s="36"/>
      <c r="C585" s="36"/>
      <c r="D585" s="36"/>
      <c r="E585" s="36"/>
      <c r="F585" s="36"/>
      <c r="G585" s="36"/>
      <c r="H585" s="37"/>
      <c r="I585" s="36"/>
      <c r="J585" s="38"/>
      <c r="K585" s="38"/>
      <c r="L585" s="39"/>
      <c r="M585" s="39"/>
      <c r="N585" s="39"/>
      <c r="O585" s="39"/>
      <c r="P585" s="39"/>
      <c r="Q585" s="39"/>
      <c r="R585" s="39"/>
      <c r="S585" s="39"/>
      <c r="T585" s="39"/>
      <c r="U585" s="39"/>
      <c r="V585" s="39"/>
      <c r="W585" s="39"/>
      <c r="X585" s="39"/>
      <c r="Y585" s="39"/>
      <c r="Z585" s="39"/>
      <c r="AA585" s="39"/>
      <c r="AB585" s="39"/>
    </row>
    <row r="586">
      <c r="A586" s="1"/>
      <c r="B586" s="36"/>
      <c r="C586" s="36"/>
      <c r="D586" s="36"/>
      <c r="E586" s="36"/>
      <c r="F586" s="36"/>
      <c r="G586" s="36"/>
      <c r="H586" s="37"/>
      <c r="I586" s="36"/>
      <c r="J586" s="38"/>
      <c r="K586" s="38"/>
      <c r="L586" s="39"/>
      <c r="M586" s="39"/>
      <c r="N586" s="39"/>
      <c r="O586" s="39"/>
      <c r="P586" s="39"/>
      <c r="Q586" s="39"/>
      <c r="R586" s="39"/>
      <c r="S586" s="39"/>
      <c r="T586" s="39"/>
      <c r="U586" s="39"/>
      <c r="V586" s="39"/>
      <c r="W586" s="39"/>
      <c r="X586" s="39"/>
      <c r="Y586" s="39"/>
      <c r="Z586" s="39"/>
      <c r="AA586" s="39"/>
      <c r="AB586" s="39"/>
    </row>
    <row r="587">
      <c r="A587" s="1"/>
      <c r="B587" s="36"/>
      <c r="C587" s="36"/>
      <c r="D587" s="36"/>
      <c r="E587" s="36"/>
      <c r="F587" s="36"/>
      <c r="G587" s="36"/>
      <c r="H587" s="37"/>
      <c r="I587" s="36"/>
      <c r="J587" s="38"/>
      <c r="K587" s="38"/>
      <c r="L587" s="39"/>
      <c r="M587" s="39"/>
      <c r="N587" s="39"/>
      <c r="O587" s="39"/>
      <c r="P587" s="39"/>
      <c r="Q587" s="39"/>
      <c r="R587" s="39"/>
      <c r="S587" s="39"/>
      <c r="T587" s="39"/>
      <c r="U587" s="39"/>
      <c r="V587" s="39"/>
      <c r="W587" s="39"/>
      <c r="X587" s="39"/>
      <c r="Y587" s="39"/>
      <c r="Z587" s="39"/>
      <c r="AA587" s="39"/>
      <c r="AB587" s="39"/>
    </row>
    <row r="588">
      <c r="A588" s="1"/>
      <c r="B588" s="36"/>
      <c r="C588" s="36"/>
      <c r="D588" s="36"/>
      <c r="E588" s="36"/>
      <c r="F588" s="36"/>
      <c r="G588" s="36"/>
      <c r="H588" s="37"/>
      <c r="I588" s="36"/>
      <c r="J588" s="38"/>
      <c r="K588" s="38"/>
      <c r="L588" s="39"/>
      <c r="M588" s="39"/>
      <c r="N588" s="39"/>
      <c r="O588" s="39"/>
      <c r="P588" s="39"/>
      <c r="Q588" s="39"/>
      <c r="R588" s="39"/>
      <c r="S588" s="39"/>
      <c r="T588" s="39"/>
      <c r="U588" s="39"/>
      <c r="V588" s="39"/>
      <c r="W588" s="39"/>
      <c r="X588" s="39"/>
      <c r="Y588" s="39"/>
      <c r="Z588" s="39"/>
      <c r="AA588" s="39"/>
      <c r="AB588" s="39"/>
    </row>
    <row r="589">
      <c r="A589" s="1"/>
      <c r="B589" s="36"/>
      <c r="C589" s="36"/>
      <c r="D589" s="36"/>
      <c r="E589" s="36"/>
      <c r="F589" s="36"/>
      <c r="G589" s="36"/>
      <c r="H589" s="37"/>
      <c r="I589" s="36"/>
      <c r="J589" s="38"/>
      <c r="K589" s="38"/>
      <c r="L589" s="39"/>
      <c r="M589" s="39"/>
      <c r="N589" s="39"/>
      <c r="O589" s="39"/>
      <c r="P589" s="39"/>
      <c r="Q589" s="39"/>
      <c r="R589" s="39"/>
      <c r="S589" s="39"/>
      <c r="T589" s="39"/>
      <c r="U589" s="39"/>
      <c r="V589" s="39"/>
      <c r="W589" s="39"/>
      <c r="X589" s="39"/>
      <c r="Y589" s="39"/>
      <c r="Z589" s="39"/>
      <c r="AA589" s="39"/>
      <c r="AB589" s="39"/>
    </row>
    <row r="590">
      <c r="A590" s="1"/>
      <c r="B590" s="36"/>
      <c r="C590" s="36"/>
      <c r="D590" s="36"/>
      <c r="E590" s="36"/>
      <c r="F590" s="36"/>
      <c r="G590" s="36"/>
      <c r="H590" s="37"/>
      <c r="I590" s="36"/>
      <c r="J590" s="38"/>
      <c r="K590" s="38"/>
      <c r="L590" s="39"/>
      <c r="M590" s="39"/>
      <c r="N590" s="39"/>
      <c r="O590" s="39"/>
      <c r="P590" s="39"/>
      <c r="Q590" s="39"/>
      <c r="R590" s="39"/>
      <c r="S590" s="39"/>
      <c r="T590" s="39"/>
      <c r="U590" s="39"/>
      <c r="V590" s="39"/>
      <c r="W590" s="39"/>
      <c r="X590" s="39"/>
      <c r="Y590" s="39"/>
      <c r="Z590" s="39"/>
      <c r="AA590" s="39"/>
      <c r="AB590" s="39"/>
    </row>
    <row r="591">
      <c r="A591" s="1"/>
      <c r="B591" s="36"/>
      <c r="C591" s="36"/>
      <c r="D591" s="36"/>
      <c r="E591" s="36"/>
      <c r="F591" s="36"/>
      <c r="G591" s="36"/>
      <c r="H591" s="37"/>
      <c r="I591" s="36"/>
      <c r="J591" s="38"/>
      <c r="K591" s="38"/>
      <c r="L591" s="39"/>
      <c r="M591" s="39"/>
      <c r="N591" s="39"/>
      <c r="O591" s="39"/>
      <c r="P591" s="39"/>
      <c r="Q591" s="39"/>
      <c r="R591" s="39"/>
      <c r="S591" s="39"/>
      <c r="T591" s="39"/>
      <c r="U591" s="39"/>
      <c r="V591" s="39"/>
      <c r="W591" s="39"/>
      <c r="X591" s="39"/>
      <c r="Y591" s="39"/>
      <c r="Z591" s="39"/>
      <c r="AA591" s="39"/>
      <c r="AB591" s="39"/>
    </row>
    <row r="592">
      <c r="A592" s="1"/>
      <c r="B592" s="36"/>
      <c r="C592" s="36"/>
      <c r="D592" s="36"/>
      <c r="E592" s="36"/>
      <c r="F592" s="36"/>
      <c r="G592" s="36"/>
      <c r="H592" s="37"/>
      <c r="I592" s="36"/>
      <c r="J592" s="38"/>
      <c r="K592" s="38"/>
      <c r="L592" s="39"/>
      <c r="M592" s="39"/>
      <c r="N592" s="39"/>
      <c r="O592" s="39"/>
      <c r="P592" s="39"/>
      <c r="Q592" s="39"/>
      <c r="R592" s="39"/>
      <c r="S592" s="39"/>
      <c r="T592" s="39"/>
      <c r="U592" s="39"/>
      <c r="V592" s="39"/>
      <c r="W592" s="39"/>
      <c r="X592" s="39"/>
      <c r="Y592" s="39"/>
      <c r="Z592" s="39"/>
      <c r="AA592" s="39"/>
      <c r="AB592" s="39"/>
    </row>
    <row r="593">
      <c r="A593" s="1"/>
      <c r="B593" s="36"/>
      <c r="C593" s="36"/>
      <c r="D593" s="36"/>
      <c r="E593" s="36"/>
      <c r="F593" s="36"/>
      <c r="G593" s="36"/>
      <c r="H593" s="37"/>
      <c r="I593" s="36"/>
      <c r="J593" s="38"/>
      <c r="K593" s="38"/>
      <c r="L593" s="39"/>
      <c r="M593" s="39"/>
      <c r="N593" s="39"/>
      <c r="O593" s="39"/>
      <c r="P593" s="39"/>
      <c r="Q593" s="39"/>
      <c r="R593" s="39"/>
      <c r="S593" s="39"/>
      <c r="T593" s="39"/>
      <c r="U593" s="39"/>
      <c r="V593" s="39"/>
      <c r="W593" s="39"/>
      <c r="X593" s="39"/>
      <c r="Y593" s="39"/>
      <c r="Z593" s="39"/>
      <c r="AA593" s="39"/>
      <c r="AB593" s="39"/>
    </row>
    <row r="594">
      <c r="A594" s="1"/>
      <c r="B594" s="36"/>
      <c r="C594" s="36"/>
      <c r="D594" s="36"/>
      <c r="E594" s="36"/>
      <c r="F594" s="36"/>
      <c r="G594" s="36"/>
      <c r="H594" s="37"/>
      <c r="I594" s="36"/>
      <c r="J594" s="38"/>
      <c r="K594" s="38"/>
      <c r="L594" s="39"/>
      <c r="M594" s="39"/>
      <c r="N594" s="39"/>
      <c r="O594" s="39"/>
      <c r="P594" s="39"/>
      <c r="Q594" s="39"/>
      <c r="R594" s="39"/>
      <c r="S594" s="39"/>
      <c r="T594" s="39"/>
      <c r="U594" s="39"/>
      <c r="V594" s="39"/>
      <c r="W594" s="39"/>
      <c r="X594" s="39"/>
      <c r="Y594" s="39"/>
      <c r="Z594" s="39"/>
      <c r="AA594" s="39"/>
      <c r="AB594" s="39"/>
    </row>
    <row r="595">
      <c r="A595" s="1"/>
      <c r="B595" s="36"/>
      <c r="C595" s="36"/>
      <c r="D595" s="36"/>
      <c r="E595" s="36"/>
      <c r="F595" s="36"/>
      <c r="G595" s="36"/>
      <c r="H595" s="37"/>
      <c r="I595" s="36"/>
      <c r="J595" s="38"/>
      <c r="K595" s="38"/>
      <c r="L595" s="39"/>
      <c r="M595" s="39"/>
      <c r="N595" s="39"/>
      <c r="O595" s="39"/>
      <c r="P595" s="39"/>
      <c r="Q595" s="39"/>
      <c r="R595" s="39"/>
      <c r="S595" s="39"/>
      <c r="T595" s="39"/>
      <c r="U595" s="39"/>
      <c r="V595" s="39"/>
      <c r="W595" s="39"/>
      <c r="X595" s="39"/>
      <c r="Y595" s="39"/>
      <c r="Z595" s="39"/>
      <c r="AA595" s="39"/>
      <c r="AB595" s="39"/>
    </row>
    <row r="596">
      <c r="A596" s="1"/>
      <c r="B596" s="36"/>
      <c r="C596" s="36"/>
      <c r="D596" s="36"/>
      <c r="E596" s="36"/>
      <c r="F596" s="36"/>
      <c r="G596" s="36"/>
      <c r="H596" s="37"/>
      <c r="I596" s="36"/>
      <c r="J596" s="38"/>
      <c r="K596" s="38"/>
      <c r="L596" s="39"/>
      <c r="M596" s="39"/>
      <c r="N596" s="39"/>
      <c r="O596" s="39"/>
      <c r="P596" s="39"/>
      <c r="Q596" s="39"/>
      <c r="R596" s="39"/>
      <c r="S596" s="39"/>
      <c r="T596" s="39"/>
      <c r="U596" s="39"/>
      <c r="V596" s="39"/>
      <c r="W596" s="39"/>
      <c r="X596" s="39"/>
      <c r="Y596" s="39"/>
      <c r="Z596" s="39"/>
      <c r="AA596" s="39"/>
      <c r="AB596" s="39"/>
    </row>
    <row r="597">
      <c r="A597" s="1"/>
      <c r="B597" s="36"/>
      <c r="C597" s="36"/>
      <c r="D597" s="36"/>
      <c r="E597" s="36"/>
      <c r="F597" s="36"/>
      <c r="G597" s="36"/>
      <c r="H597" s="37"/>
      <c r="I597" s="36"/>
      <c r="J597" s="38"/>
      <c r="K597" s="38"/>
      <c r="L597" s="39"/>
      <c r="M597" s="39"/>
      <c r="N597" s="39"/>
      <c r="O597" s="39"/>
      <c r="P597" s="39"/>
      <c r="Q597" s="39"/>
      <c r="R597" s="39"/>
      <c r="S597" s="39"/>
      <c r="T597" s="39"/>
      <c r="U597" s="39"/>
      <c r="V597" s="39"/>
      <c r="W597" s="39"/>
      <c r="X597" s="39"/>
      <c r="Y597" s="39"/>
      <c r="Z597" s="39"/>
      <c r="AA597" s="39"/>
      <c r="AB597" s="39"/>
    </row>
    <row r="598">
      <c r="A598" s="1"/>
      <c r="B598" s="36"/>
      <c r="C598" s="36"/>
      <c r="D598" s="36"/>
      <c r="E598" s="36"/>
      <c r="F598" s="36"/>
      <c r="G598" s="36"/>
      <c r="H598" s="37"/>
      <c r="I598" s="36"/>
      <c r="J598" s="38"/>
      <c r="K598" s="38"/>
      <c r="L598" s="39"/>
      <c r="M598" s="39"/>
      <c r="N598" s="39"/>
      <c r="O598" s="39"/>
      <c r="P598" s="39"/>
      <c r="Q598" s="39"/>
      <c r="R598" s="39"/>
      <c r="S598" s="39"/>
      <c r="T598" s="39"/>
      <c r="U598" s="39"/>
      <c r="V598" s="39"/>
      <c r="W598" s="39"/>
      <c r="X598" s="39"/>
      <c r="Y598" s="39"/>
      <c r="Z598" s="39"/>
      <c r="AA598" s="39"/>
      <c r="AB598" s="39"/>
    </row>
    <row r="599">
      <c r="A599" s="1"/>
      <c r="B599" s="36"/>
      <c r="C599" s="36"/>
      <c r="D599" s="36"/>
      <c r="E599" s="36"/>
      <c r="F599" s="36"/>
      <c r="G599" s="36"/>
      <c r="H599" s="37"/>
      <c r="I599" s="36"/>
      <c r="J599" s="38"/>
      <c r="K599" s="38"/>
      <c r="L599" s="39"/>
      <c r="M599" s="39"/>
      <c r="N599" s="39"/>
      <c r="O599" s="39"/>
      <c r="P599" s="39"/>
      <c r="Q599" s="39"/>
      <c r="R599" s="39"/>
      <c r="S599" s="39"/>
      <c r="T599" s="39"/>
      <c r="U599" s="39"/>
      <c r="V599" s="39"/>
      <c r="W599" s="39"/>
      <c r="X599" s="39"/>
      <c r="Y599" s="39"/>
      <c r="Z599" s="39"/>
      <c r="AA599" s="39"/>
      <c r="AB599" s="39"/>
    </row>
    <row r="600">
      <c r="A600" s="1"/>
      <c r="B600" s="36"/>
      <c r="C600" s="36"/>
      <c r="D600" s="36"/>
      <c r="E600" s="36"/>
      <c r="F600" s="36"/>
      <c r="G600" s="36"/>
      <c r="H600" s="37"/>
      <c r="I600" s="36"/>
      <c r="J600" s="38"/>
      <c r="K600" s="38"/>
      <c r="L600" s="39"/>
      <c r="M600" s="39"/>
      <c r="N600" s="39"/>
      <c r="O600" s="39"/>
      <c r="P600" s="39"/>
      <c r="Q600" s="39"/>
      <c r="R600" s="39"/>
      <c r="S600" s="39"/>
      <c r="T600" s="39"/>
      <c r="U600" s="39"/>
      <c r="V600" s="39"/>
      <c r="W600" s="39"/>
      <c r="X600" s="39"/>
      <c r="Y600" s="39"/>
      <c r="Z600" s="39"/>
      <c r="AA600" s="39"/>
      <c r="AB600" s="39"/>
    </row>
    <row r="601">
      <c r="A601" s="1"/>
      <c r="B601" s="36"/>
      <c r="C601" s="36"/>
      <c r="D601" s="36"/>
      <c r="E601" s="36"/>
      <c r="F601" s="36"/>
      <c r="G601" s="36"/>
      <c r="H601" s="37"/>
      <c r="I601" s="36"/>
      <c r="J601" s="38"/>
      <c r="K601" s="38"/>
      <c r="L601" s="39"/>
      <c r="M601" s="39"/>
      <c r="N601" s="39"/>
      <c r="O601" s="39"/>
      <c r="P601" s="39"/>
      <c r="Q601" s="39"/>
      <c r="R601" s="39"/>
      <c r="S601" s="39"/>
      <c r="T601" s="39"/>
      <c r="U601" s="39"/>
      <c r="V601" s="39"/>
      <c r="W601" s="39"/>
      <c r="X601" s="39"/>
      <c r="Y601" s="39"/>
      <c r="Z601" s="39"/>
      <c r="AA601" s="39"/>
      <c r="AB601" s="39"/>
    </row>
    <row r="602">
      <c r="A602" s="1"/>
      <c r="B602" s="36"/>
      <c r="C602" s="36"/>
      <c r="D602" s="36"/>
      <c r="E602" s="36"/>
      <c r="F602" s="36"/>
      <c r="G602" s="36"/>
      <c r="H602" s="37"/>
      <c r="I602" s="36"/>
      <c r="J602" s="38"/>
      <c r="K602" s="38"/>
      <c r="L602" s="39"/>
      <c r="M602" s="39"/>
      <c r="N602" s="39"/>
      <c r="O602" s="39"/>
      <c r="P602" s="39"/>
      <c r="Q602" s="39"/>
      <c r="R602" s="39"/>
      <c r="S602" s="39"/>
      <c r="T602" s="39"/>
      <c r="U602" s="39"/>
      <c r="V602" s="39"/>
      <c r="W602" s="39"/>
      <c r="X602" s="39"/>
      <c r="Y602" s="39"/>
      <c r="Z602" s="39"/>
      <c r="AA602" s="39"/>
      <c r="AB602" s="39"/>
    </row>
    <row r="603">
      <c r="A603" s="1"/>
      <c r="B603" s="36"/>
      <c r="C603" s="36"/>
      <c r="D603" s="36"/>
      <c r="E603" s="36"/>
      <c r="F603" s="36"/>
      <c r="G603" s="36"/>
      <c r="H603" s="37"/>
      <c r="I603" s="36"/>
      <c r="J603" s="38"/>
      <c r="K603" s="38"/>
      <c r="L603" s="39"/>
      <c r="M603" s="39"/>
      <c r="N603" s="39"/>
      <c r="O603" s="39"/>
      <c r="P603" s="39"/>
      <c r="Q603" s="39"/>
      <c r="R603" s="39"/>
      <c r="S603" s="39"/>
      <c r="T603" s="39"/>
      <c r="U603" s="39"/>
      <c r="V603" s="39"/>
      <c r="W603" s="39"/>
      <c r="X603" s="39"/>
      <c r="Y603" s="39"/>
      <c r="Z603" s="39"/>
      <c r="AA603" s="39"/>
      <c r="AB603" s="39"/>
    </row>
    <row r="604">
      <c r="A604" s="1"/>
      <c r="B604" s="36"/>
      <c r="C604" s="36"/>
      <c r="D604" s="36"/>
      <c r="E604" s="36"/>
      <c r="F604" s="36"/>
      <c r="G604" s="36"/>
      <c r="H604" s="37"/>
      <c r="I604" s="36"/>
      <c r="J604" s="38"/>
      <c r="K604" s="38"/>
      <c r="L604" s="39"/>
      <c r="M604" s="39"/>
      <c r="N604" s="39"/>
      <c r="O604" s="39"/>
      <c r="P604" s="39"/>
      <c r="Q604" s="39"/>
      <c r="R604" s="39"/>
      <c r="S604" s="39"/>
      <c r="T604" s="39"/>
      <c r="U604" s="39"/>
      <c r="V604" s="39"/>
      <c r="W604" s="39"/>
      <c r="X604" s="39"/>
      <c r="Y604" s="39"/>
      <c r="Z604" s="39"/>
      <c r="AA604" s="39"/>
      <c r="AB604" s="39"/>
    </row>
    <row r="605">
      <c r="A605" s="1"/>
      <c r="B605" s="36"/>
      <c r="C605" s="36"/>
      <c r="D605" s="36"/>
      <c r="E605" s="36"/>
      <c r="F605" s="36"/>
      <c r="G605" s="36"/>
      <c r="H605" s="37"/>
      <c r="I605" s="36"/>
      <c r="J605" s="38"/>
      <c r="K605" s="38"/>
      <c r="L605" s="39"/>
      <c r="M605" s="39"/>
      <c r="N605" s="39"/>
      <c r="O605" s="39"/>
      <c r="P605" s="39"/>
      <c r="Q605" s="39"/>
      <c r="R605" s="39"/>
      <c r="S605" s="39"/>
      <c r="T605" s="39"/>
      <c r="U605" s="39"/>
      <c r="V605" s="39"/>
      <c r="W605" s="39"/>
      <c r="X605" s="39"/>
      <c r="Y605" s="39"/>
      <c r="Z605" s="39"/>
      <c r="AA605" s="39"/>
      <c r="AB605" s="39"/>
    </row>
    <row r="606">
      <c r="A606" s="1"/>
      <c r="B606" s="36"/>
      <c r="C606" s="36"/>
      <c r="D606" s="36"/>
      <c r="E606" s="36"/>
      <c r="F606" s="36"/>
      <c r="G606" s="36"/>
      <c r="H606" s="37"/>
      <c r="I606" s="36"/>
      <c r="J606" s="38"/>
      <c r="K606" s="38"/>
      <c r="L606" s="39"/>
      <c r="M606" s="39"/>
      <c r="N606" s="39"/>
      <c r="O606" s="39"/>
      <c r="P606" s="39"/>
      <c r="Q606" s="39"/>
      <c r="R606" s="39"/>
      <c r="S606" s="39"/>
      <c r="T606" s="39"/>
      <c r="U606" s="39"/>
      <c r="V606" s="39"/>
      <c r="W606" s="39"/>
      <c r="X606" s="39"/>
      <c r="Y606" s="39"/>
      <c r="Z606" s="39"/>
      <c r="AA606" s="39"/>
      <c r="AB606" s="39"/>
    </row>
    <row r="607">
      <c r="A607" s="1"/>
      <c r="B607" s="36"/>
      <c r="C607" s="36"/>
      <c r="D607" s="36"/>
      <c r="E607" s="36"/>
      <c r="F607" s="36"/>
      <c r="G607" s="36"/>
      <c r="H607" s="37"/>
      <c r="I607" s="36"/>
      <c r="J607" s="38"/>
      <c r="K607" s="38"/>
      <c r="L607" s="39"/>
      <c r="M607" s="39"/>
      <c r="N607" s="39"/>
      <c r="O607" s="39"/>
      <c r="P607" s="39"/>
      <c r="Q607" s="39"/>
      <c r="R607" s="39"/>
      <c r="S607" s="39"/>
      <c r="T607" s="39"/>
      <c r="U607" s="39"/>
      <c r="V607" s="39"/>
      <c r="W607" s="39"/>
      <c r="X607" s="39"/>
      <c r="Y607" s="39"/>
      <c r="Z607" s="39"/>
      <c r="AA607" s="39"/>
      <c r="AB607" s="39"/>
    </row>
    <row r="608">
      <c r="A608" s="1"/>
      <c r="B608" s="36"/>
      <c r="C608" s="36"/>
      <c r="D608" s="36"/>
      <c r="E608" s="36"/>
      <c r="F608" s="36"/>
      <c r="G608" s="36"/>
      <c r="H608" s="37"/>
      <c r="I608" s="36"/>
      <c r="J608" s="38"/>
      <c r="K608" s="38"/>
      <c r="L608" s="39"/>
      <c r="M608" s="39"/>
      <c r="N608" s="39"/>
      <c r="O608" s="39"/>
      <c r="P608" s="39"/>
      <c r="Q608" s="39"/>
      <c r="R608" s="39"/>
      <c r="S608" s="39"/>
      <c r="T608" s="39"/>
      <c r="U608" s="39"/>
      <c r="V608" s="39"/>
      <c r="W608" s="39"/>
      <c r="X608" s="39"/>
      <c r="Y608" s="39"/>
      <c r="Z608" s="39"/>
      <c r="AA608" s="39"/>
      <c r="AB608" s="39"/>
    </row>
    <row r="609">
      <c r="A609" s="1"/>
      <c r="B609" s="36"/>
      <c r="C609" s="36"/>
      <c r="D609" s="36"/>
      <c r="E609" s="36"/>
      <c r="F609" s="36"/>
      <c r="G609" s="36"/>
      <c r="H609" s="37"/>
      <c r="I609" s="36"/>
      <c r="J609" s="38"/>
      <c r="K609" s="38"/>
      <c r="L609" s="39"/>
      <c r="M609" s="39"/>
      <c r="N609" s="39"/>
      <c r="O609" s="39"/>
      <c r="P609" s="39"/>
      <c r="Q609" s="39"/>
      <c r="R609" s="39"/>
      <c r="S609" s="39"/>
      <c r="T609" s="39"/>
      <c r="U609" s="39"/>
      <c r="V609" s="39"/>
      <c r="W609" s="39"/>
      <c r="X609" s="39"/>
      <c r="Y609" s="39"/>
      <c r="Z609" s="39"/>
      <c r="AA609" s="39"/>
      <c r="AB609" s="39"/>
    </row>
    <row r="610">
      <c r="A610" s="1"/>
      <c r="B610" s="36"/>
      <c r="C610" s="36"/>
      <c r="D610" s="36"/>
      <c r="E610" s="36"/>
      <c r="F610" s="36"/>
      <c r="G610" s="36"/>
      <c r="H610" s="37"/>
      <c r="I610" s="36"/>
      <c r="J610" s="38"/>
      <c r="K610" s="38"/>
      <c r="L610" s="39"/>
      <c r="M610" s="39"/>
      <c r="N610" s="39"/>
      <c r="O610" s="39"/>
      <c r="P610" s="39"/>
      <c r="Q610" s="39"/>
      <c r="R610" s="39"/>
      <c r="S610" s="39"/>
      <c r="T610" s="39"/>
      <c r="U610" s="39"/>
      <c r="V610" s="39"/>
      <c r="W610" s="39"/>
      <c r="X610" s="39"/>
      <c r="Y610" s="39"/>
      <c r="Z610" s="39"/>
      <c r="AA610" s="39"/>
      <c r="AB610" s="39"/>
    </row>
    <row r="611">
      <c r="A611" s="1"/>
      <c r="B611" s="36"/>
      <c r="C611" s="36"/>
      <c r="D611" s="36"/>
      <c r="E611" s="36"/>
      <c r="F611" s="36"/>
      <c r="G611" s="36"/>
      <c r="H611" s="37"/>
      <c r="I611" s="36"/>
      <c r="J611" s="38"/>
      <c r="K611" s="38"/>
      <c r="L611" s="39"/>
      <c r="M611" s="39"/>
      <c r="N611" s="39"/>
      <c r="O611" s="39"/>
      <c r="P611" s="39"/>
      <c r="Q611" s="39"/>
      <c r="R611" s="39"/>
      <c r="S611" s="39"/>
      <c r="T611" s="39"/>
      <c r="U611" s="39"/>
      <c r="V611" s="39"/>
      <c r="W611" s="39"/>
      <c r="X611" s="39"/>
      <c r="Y611" s="39"/>
      <c r="Z611" s="39"/>
      <c r="AA611" s="39"/>
      <c r="AB611" s="39"/>
    </row>
    <row r="612">
      <c r="A612" s="1"/>
      <c r="B612" s="36"/>
      <c r="C612" s="36"/>
      <c r="D612" s="36"/>
      <c r="E612" s="36"/>
      <c r="F612" s="36"/>
      <c r="G612" s="36"/>
      <c r="H612" s="37"/>
      <c r="I612" s="36"/>
      <c r="J612" s="38"/>
      <c r="K612" s="38"/>
      <c r="L612" s="39"/>
      <c r="M612" s="39"/>
      <c r="N612" s="39"/>
      <c r="O612" s="39"/>
      <c r="P612" s="39"/>
      <c r="Q612" s="39"/>
      <c r="R612" s="39"/>
      <c r="S612" s="39"/>
      <c r="T612" s="39"/>
      <c r="U612" s="39"/>
      <c r="V612" s="39"/>
      <c r="W612" s="39"/>
      <c r="X612" s="39"/>
      <c r="Y612" s="39"/>
      <c r="Z612" s="39"/>
      <c r="AA612" s="39"/>
      <c r="AB612" s="39"/>
    </row>
    <row r="613">
      <c r="A613" s="1"/>
      <c r="B613" s="36"/>
      <c r="C613" s="36"/>
      <c r="D613" s="36"/>
      <c r="E613" s="36"/>
      <c r="F613" s="36"/>
      <c r="G613" s="36"/>
      <c r="H613" s="37"/>
      <c r="I613" s="36"/>
      <c r="J613" s="38"/>
      <c r="K613" s="38"/>
      <c r="L613" s="39"/>
      <c r="M613" s="39"/>
      <c r="N613" s="39"/>
      <c r="O613" s="39"/>
      <c r="P613" s="39"/>
      <c r="Q613" s="39"/>
      <c r="R613" s="39"/>
      <c r="S613" s="39"/>
      <c r="T613" s="39"/>
      <c r="U613" s="39"/>
      <c r="V613" s="39"/>
      <c r="W613" s="39"/>
      <c r="X613" s="39"/>
      <c r="Y613" s="39"/>
      <c r="Z613" s="39"/>
      <c r="AA613" s="39"/>
      <c r="AB613" s="39"/>
    </row>
    <row r="614">
      <c r="A614" s="1"/>
      <c r="B614" s="36"/>
      <c r="C614" s="36"/>
      <c r="D614" s="36"/>
      <c r="E614" s="36"/>
      <c r="F614" s="36"/>
      <c r="G614" s="36"/>
      <c r="H614" s="37"/>
      <c r="I614" s="36"/>
      <c r="J614" s="38"/>
      <c r="K614" s="38"/>
      <c r="L614" s="39"/>
      <c r="M614" s="39"/>
      <c r="N614" s="39"/>
      <c r="O614" s="39"/>
      <c r="P614" s="39"/>
      <c r="Q614" s="39"/>
      <c r="R614" s="39"/>
      <c r="S614" s="39"/>
      <c r="T614" s="39"/>
      <c r="U614" s="39"/>
      <c r="V614" s="39"/>
      <c r="W614" s="39"/>
      <c r="X614" s="39"/>
      <c r="Y614" s="39"/>
      <c r="Z614" s="39"/>
      <c r="AA614" s="39"/>
      <c r="AB614" s="39"/>
    </row>
    <row r="615">
      <c r="A615" s="1"/>
      <c r="B615" s="36"/>
      <c r="C615" s="36"/>
      <c r="D615" s="36"/>
      <c r="E615" s="36"/>
      <c r="F615" s="36"/>
      <c r="G615" s="36"/>
      <c r="H615" s="37"/>
      <c r="I615" s="36"/>
      <c r="J615" s="38"/>
      <c r="K615" s="38"/>
      <c r="L615" s="39"/>
      <c r="M615" s="39"/>
      <c r="N615" s="39"/>
      <c r="O615" s="39"/>
      <c r="P615" s="39"/>
      <c r="Q615" s="39"/>
      <c r="R615" s="39"/>
      <c r="S615" s="39"/>
      <c r="T615" s="39"/>
      <c r="U615" s="39"/>
      <c r="V615" s="39"/>
      <c r="W615" s="39"/>
      <c r="X615" s="39"/>
      <c r="Y615" s="39"/>
      <c r="Z615" s="39"/>
      <c r="AA615" s="39"/>
      <c r="AB615" s="39"/>
    </row>
    <row r="616">
      <c r="A616" s="1"/>
      <c r="B616" s="36"/>
      <c r="C616" s="36"/>
      <c r="D616" s="36"/>
      <c r="E616" s="36"/>
      <c r="F616" s="36"/>
      <c r="G616" s="36"/>
      <c r="H616" s="37"/>
      <c r="I616" s="36"/>
      <c r="J616" s="38"/>
      <c r="K616" s="38"/>
      <c r="L616" s="39"/>
      <c r="M616" s="39"/>
      <c r="N616" s="39"/>
      <c r="O616" s="39"/>
      <c r="P616" s="39"/>
      <c r="Q616" s="39"/>
      <c r="R616" s="39"/>
      <c r="S616" s="39"/>
      <c r="T616" s="39"/>
      <c r="U616" s="39"/>
      <c r="V616" s="39"/>
      <c r="W616" s="39"/>
      <c r="X616" s="39"/>
      <c r="Y616" s="39"/>
      <c r="Z616" s="39"/>
      <c r="AA616" s="39"/>
      <c r="AB616" s="39"/>
    </row>
    <row r="617">
      <c r="A617" s="1"/>
      <c r="B617" s="36"/>
      <c r="C617" s="36"/>
      <c r="D617" s="36"/>
      <c r="E617" s="36"/>
      <c r="F617" s="36"/>
      <c r="G617" s="36"/>
      <c r="H617" s="37"/>
      <c r="I617" s="36"/>
      <c r="J617" s="38"/>
      <c r="K617" s="38"/>
      <c r="L617" s="39"/>
      <c r="M617" s="39"/>
      <c r="N617" s="39"/>
      <c r="O617" s="39"/>
      <c r="P617" s="39"/>
      <c r="Q617" s="39"/>
      <c r="R617" s="39"/>
      <c r="S617" s="39"/>
      <c r="T617" s="39"/>
      <c r="U617" s="39"/>
      <c r="V617" s="39"/>
      <c r="W617" s="39"/>
      <c r="X617" s="39"/>
      <c r="Y617" s="39"/>
      <c r="Z617" s="39"/>
      <c r="AA617" s="39"/>
      <c r="AB617" s="39"/>
    </row>
    <row r="618">
      <c r="A618" s="1"/>
      <c r="B618" s="36"/>
      <c r="C618" s="36"/>
      <c r="D618" s="36"/>
      <c r="E618" s="36"/>
      <c r="F618" s="36"/>
      <c r="G618" s="36"/>
      <c r="H618" s="37"/>
      <c r="I618" s="36"/>
      <c r="J618" s="38"/>
      <c r="K618" s="38"/>
      <c r="L618" s="39"/>
      <c r="M618" s="39"/>
      <c r="N618" s="39"/>
      <c r="O618" s="39"/>
      <c r="P618" s="39"/>
      <c r="Q618" s="39"/>
      <c r="R618" s="39"/>
      <c r="S618" s="39"/>
      <c r="T618" s="39"/>
      <c r="U618" s="39"/>
      <c r="V618" s="39"/>
      <c r="W618" s="39"/>
      <c r="X618" s="39"/>
      <c r="Y618" s="39"/>
      <c r="Z618" s="39"/>
      <c r="AA618" s="39"/>
      <c r="AB618" s="39"/>
    </row>
    <row r="619">
      <c r="A619" s="1"/>
      <c r="B619" s="36"/>
      <c r="C619" s="36"/>
      <c r="D619" s="36"/>
      <c r="E619" s="36"/>
      <c r="F619" s="36"/>
      <c r="G619" s="36"/>
      <c r="H619" s="37"/>
      <c r="I619" s="36"/>
      <c r="J619" s="38"/>
      <c r="K619" s="38"/>
      <c r="L619" s="39"/>
      <c r="M619" s="39"/>
      <c r="N619" s="39"/>
      <c r="O619" s="39"/>
      <c r="P619" s="39"/>
      <c r="Q619" s="39"/>
      <c r="R619" s="39"/>
      <c r="S619" s="39"/>
      <c r="T619" s="39"/>
      <c r="U619" s="39"/>
      <c r="V619" s="39"/>
      <c r="W619" s="39"/>
      <c r="X619" s="39"/>
      <c r="Y619" s="39"/>
      <c r="Z619" s="39"/>
      <c r="AA619" s="39"/>
      <c r="AB619" s="39"/>
    </row>
    <row r="620">
      <c r="A620" s="1"/>
      <c r="B620" s="36"/>
      <c r="C620" s="36"/>
      <c r="D620" s="36"/>
      <c r="E620" s="36"/>
      <c r="F620" s="36"/>
      <c r="G620" s="36"/>
      <c r="H620" s="37"/>
      <c r="I620" s="36"/>
      <c r="J620" s="38"/>
      <c r="K620" s="38"/>
      <c r="L620" s="39"/>
      <c r="M620" s="39"/>
      <c r="N620" s="39"/>
      <c r="O620" s="39"/>
      <c r="P620" s="39"/>
      <c r="Q620" s="39"/>
      <c r="R620" s="39"/>
      <c r="S620" s="39"/>
      <c r="T620" s="39"/>
      <c r="U620" s="39"/>
      <c r="V620" s="39"/>
      <c r="W620" s="39"/>
      <c r="X620" s="39"/>
      <c r="Y620" s="39"/>
      <c r="Z620" s="39"/>
      <c r="AA620" s="39"/>
      <c r="AB620" s="39"/>
    </row>
    <row r="621">
      <c r="A621" s="1"/>
      <c r="B621" s="36"/>
      <c r="C621" s="36"/>
      <c r="D621" s="36"/>
      <c r="E621" s="36"/>
      <c r="F621" s="36"/>
      <c r="G621" s="36"/>
      <c r="H621" s="37"/>
      <c r="I621" s="36"/>
      <c r="J621" s="38"/>
      <c r="K621" s="38"/>
      <c r="L621" s="39"/>
      <c r="M621" s="39"/>
      <c r="N621" s="39"/>
      <c r="O621" s="39"/>
      <c r="P621" s="39"/>
      <c r="Q621" s="39"/>
      <c r="R621" s="39"/>
      <c r="S621" s="39"/>
      <c r="T621" s="39"/>
      <c r="U621" s="39"/>
      <c r="V621" s="39"/>
      <c r="W621" s="39"/>
      <c r="X621" s="39"/>
      <c r="Y621" s="39"/>
      <c r="Z621" s="39"/>
      <c r="AA621" s="39"/>
      <c r="AB621" s="39"/>
    </row>
    <row r="622">
      <c r="A622" s="1"/>
      <c r="B622" s="36"/>
      <c r="C622" s="36"/>
      <c r="D622" s="36"/>
      <c r="E622" s="36"/>
      <c r="F622" s="36"/>
      <c r="G622" s="36"/>
      <c r="H622" s="37"/>
      <c r="I622" s="36"/>
      <c r="J622" s="38"/>
      <c r="K622" s="38"/>
      <c r="L622" s="39"/>
      <c r="M622" s="39"/>
      <c r="N622" s="39"/>
      <c r="O622" s="39"/>
      <c r="P622" s="39"/>
      <c r="Q622" s="39"/>
      <c r="R622" s="39"/>
      <c r="S622" s="39"/>
      <c r="T622" s="39"/>
      <c r="U622" s="39"/>
      <c r="V622" s="39"/>
      <c r="W622" s="39"/>
      <c r="X622" s="39"/>
      <c r="Y622" s="39"/>
      <c r="Z622" s="39"/>
      <c r="AA622" s="39"/>
      <c r="AB622" s="39"/>
    </row>
    <row r="623">
      <c r="A623" s="1"/>
      <c r="B623" s="36"/>
      <c r="C623" s="36"/>
      <c r="D623" s="36"/>
      <c r="E623" s="36"/>
      <c r="F623" s="36"/>
      <c r="G623" s="36"/>
      <c r="H623" s="37"/>
      <c r="I623" s="36"/>
      <c r="J623" s="38"/>
      <c r="K623" s="38"/>
      <c r="L623" s="39"/>
      <c r="M623" s="39"/>
      <c r="N623" s="39"/>
      <c r="O623" s="39"/>
      <c r="P623" s="39"/>
      <c r="Q623" s="39"/>
      <c r="R623" s="39"/>
      <c r="S623" s="39"/>
      <c r="T623" s="39"/>
      <c r="U623" s="39"/>
      <c r="V623" s="39"/>
      <c r="W623" s="39"/>
      <c r="X623" s="39"/>
      <c r="Y623" s="39"/>
      <c r="Z623" s="39"/>
      <c r="AA623" s="39"/>
      <c r="AB623" s="39"/>
    </row>
    <row r="624">
      <c r="A624" s="1"/>
      <c r="B624" s="36"/>
      <c r="C624" s="36"/>
      <c r="D624" s="36"/>
      <c r="E624" s="36"/>
      <c r="F624" s="36"/>
      <c r="G624" s="36"/>
      <c r="H624" s="37"/>
      <c r="I624" s="36"/>
      <c r="J624" s="38"/>
      <c r="K624" s="38"/>
      <c r="L624" s="39"/>
      <c r="M624" s="39"/>
      <c r="N624" s="39"/>
      <c r="O624" s="39"/>
      <c r="P624" s="39"/>
      <c r="Q624" s="39"/>
      <c r="R624" s="39"/>
      <c r="S624" s="39"/>
      <c r="T624" s="39"/>
      <c r="U624" s="39"/>
      <c r="V624" s="39"/>
      <c r="W624" s="39"/>
      <c r="X624" s="39"/>
      <c r="Y624" s="39"/>
      <c r="Z624" s="39"/>
      <c r="AA624" s="39"/>
      <c r="AB624" s="39"/>
    </row>
    <row r="625">
      <c r="A625" s="1"/>
      <c r="B625" s="36"/>
      <c r="C625" s="36"/>
      <c r="D625" s="36"/>
      <c r="E625" s="36"/>
      <c r="F625" s="36"/>
      <c r="G625" s="36"/>
      <c r="H625" s="37"/>
      <c r="I625" s="36"/>
      <c r="J625" s="38"/>
      <c r="K625" s="38"/>
      <c r="L625" s="39"/>
      <c r="M625" s="39"/>
      <c r="N625" s="39"/>
      <c r="O625" s="39"/>
      <c r="P625" s="39"/>
      <c r="Q625" s="39"/>
      <c r="R625" s="39"/>
      <c r="S625" s="39"/>
      <c r="T625" s="39"/>
      <c r="U625" s="39"/>
      <c r="V625" s="39"/>
      <c r="W625" s="39"/>
      <c r="X625" s="39"/>
      <c r="Y625" s="39"/>
      <c r="Z625" s="39"/>
      <c r="AA625" s="39"/>
      <c r="AB625" s="39"/>
    </row>
    <row r="626">
      <c r="A626" s="1"/>
      <c r="B626" s="36"/>
      <c r="C626" s="36"/>
      <c r="D626" s="36"/>
      <c r="E626" s="36"/>
      <c r="F626" s="36"/>
      <c r="G626" s="36"/>
      <c r="H626" s="37"/>
      <c r="I626" s="36"/>
      <c r="J626" s="38"/>
      <c r="K626" s="38"/>
      <c r="L626" s="39"/>
      <c r="M626" s="39"/>
      <c r="N626" s="39"/>
      <c r="O626" s="39"/>
      <c r="P626" s="39"/>
      <c r="Q626" s="39"/>
      <c r="R626" s="39"/>
      <c r="S626" s="39"/>
      <c r="T626" s="39"/>
      <c r="U626" s="39"/>
      <c r="V626" s="39"/>
      <c r="W626" s="39"/>
      <c r="X626" s="39"/>
      <c r="Y626" s="39"/>
      <c r="Z626" s="39"/>
      <c r="AA626" s="39"/>
      <c r="AB626" s="39"/>
    </row>
    <row r="627">
      <c r="A627" s="1"/>
      <c r="B627" s="36"/>
      <c r="C627" s="36"/>
      <c r="D627" s="36"/>
      <c r="E627" s="36"/>
      <c r="F627" s="36"/>
      <c r="G627" s="36"/>
      <c r="H627" s="37"/>
      <c r="I627" s="36"/>
      <c r="J627" s="38"/>
      <c r="K627" s="38"/>
      <c r="L627" s="39"/>
      <c r="M627" s="39"/>
      <c r="N627" s="39"/>
      <c r="O627" s="39"/>
      <c r="P627" s="39"/>
      <c r="Q627" s="39"/>
      <c r="R627" s="39"/>
      <c r="S627" s="39"/>
      <c r="T627" s="39"/>
      <c r="U627" s="39"/>
      <c r="V627" s="39"/>
      <c r="W627" s="39"/>
      <c r="X627" s="39"/>
      <c r="Y627" s="39"/>
      <c r="Z627" s="39"/>
      <c r="AA627" s="39"/>
      <c r="AB627" s="39"/>
    </row>
    <row r="628">
      <c r="A628" s="1"/>
      <c r="B628" s="36"/>
      <c r="C628" s="36"/>
      <c r="D628" s="36"/>
      <c r="E628" s="36"/>
      <c r="F628" s="36"/>
      <c r="G628" s="36"/>
      <c r="H628" s="37"/>
      <c r="I628" s="36"/>
      <c r="J628" s="38"/>
      <c r="K628" s="38"/>
      <c r="L628" s="39"/>
      <c r="M628" s="39"/>
      <c r="N628" s="39"/>
      <c r="O628" s="39"/>
      <c r="P628" s="39"/>
      <c r="Q628" s="39"/>
      <c r="R628" s="39"/>
      <c r="S628" s="39"/>
      <c r="T628" s="39"/>
      <c r="U628" s="39"/>
      <c r="V628" s="39"/>
      <c r="W628" s="39"/>
      <c r="X628" s="39"/>
      <c r="Y628" s="39"/>
      <c r="Z628" s="39"/>
      <c r="AA628" s="39"/>
      <c r="AB628" s="39"/>
    </row>
    <row r="629">
      <c r="A629" s="1"/>
      <c r="B629" s="36"/>
      <c r="C629" s="36"/>
      <c r="D629" s="36"/>
      <c r="E629" s="36"/>
      <c r="F629" s="36"/>
      <c r="G629" s="36"/>
      <c r="H629" s="37"/>
      <c r="I629" s="36"/>
      <c r="J629" s="38"/>
      <c r="K629" s="38"/>
      <c r="L629" s="39"/>
      <c r="M629" s="39"/>
      <c r="N629" s="39"/>
      <c r="O629" s="39"/>
      <c r="P629" s="39"/>
      <c r="Q629" s="39"/>
      <c r="R629" s="39"/>
      <c r="S629" s="39"/>
      <c r="T629" s="39"/>
      <c r="U629" s="39"/>
      <c r="V629" s="39"/>
      <c r="W629" s="39"/>
      <c r="X629" s="39"/>
      <c r="Y629" s="39"/>
      <c r="Z629" s="39"/>
      <c r="AA629" s="39"/>
      <c r="AB629" s="39"/>
    </row>
    <row r="630">
      <c r="A630" s="1"/>
      <c r="B630" s="36"/>
      <c r="C630" s="36"/>
      <c r="D630" s="36"/>
      <c r="E630" s="36"/>
      <c r="F630" s="36"/>
      <c r="G630" s="36"/>
      <c r="H630" s="37"/>
      <c r="I630" s="36"/>
      <c r="J630" s="38"/>
      <c r="K630" s="38"/>
      <c r="L630" s="39"/>
      <c r="M630" s="39"/>
      <c r="N630" s="39"/>
      <c r="O630" s="39"/>
      <c r="P630" s="39"/>
      <c r="Q630" s="39"/>
      <c r="R630" s="39"/>
      <c r="S630" s="39"/>
      <c r="T630" s="39"/>
      <c r="U630" s="39"/>
      <c r="V630" s="39"/>
      <c r="W630" s="39"/>
      <c r="X630" s="39"/>
      <c r="Y630" s="39"/>
      <c r="Z630" s="39"/>
      <c r="AA630" s="39"/>
      <c r="AB630" s="39"/>
    </row>
    <row r="631">
      <c r="A631" s="1"/>
      <c r="B631" s="36"/>
      <c r="C631" s="36"/>
      <c r="D631" s="36"/>
      <c r="E631" s="36"/>
      <c r="F631" s="36"/>
      <c r="G631" s="36"/>
      <c r="H631" s="37"/>
      <c r="I631" s="36"/>
      <c r="J631" s="38"/>
      <c r="K631" s="38"/>
      <c r="L631" s="39"/>
      <c r="M631" s="39"/>
      <c r="N631" s="39"/>
      <c r="O631" s="39"/>
      <c r="P631" s="39"/>
      <c r="Q631" s="39"/>
      <c r="R631" s="39"/>
      <c r="S631" s="39"/>
      <c r="T631" s="39"/>
      <c r="U631" s="39"/>
      <c r="V631" s="39"/>
      <c r="W631" s="39"/>
      <c r="X631" s="39"/>
      <c r="Y631" s="39"/>
      <c r="Z631" s="39"/>
      <c r="AA631" s="39"/>
      <c r="AB631" s="39"/>
    </row>
    <row r="632">
      <c r="A632" s="1"/>
      <c r="B632" s="36"/>
      <c r="C632" s="36"/>
      <c r="D632" s="36"/>
      <c r="E632" s="36"/>
      <c r="F632" s="36"/>
      <c r="G632" s="36"/>
      <c r="H632" s="37"/>
      <c r="I632" s="36"/>
      <c r="J632" s="38"/>
      <c r="K632" s="38"/>
      <c r="L632" s="39"/>
      <c r="M632" s="39"/>
      <c r="N632" s="39"/>
      <c r="O632" s="39"/>
      <c r="P632" s="39"/>
      <c r="Q632" s="39"/>
      <c r="R632" s="39"/>
      <c r="S632" s="39"/>
      <c r="T632" s="39"/>
      <c r="U632" s="39"/>
      <c r="V632" s="39"/>
      <c r="W632" s="39"/>
      <c r="X632" s="39"/>
      <c r="Y632" s="39"/>
      <c r="Z632" s="39"/>
      <c r="AA632" s="39"/>
      <c r="AB632" s="39"/>
    </row>
    <row r="633">
      <c r="A633" s="1"/>
      <c r="B633" s="36"/>
      <c r="C633" s="36"/>
      <c r="D633" s="36"/>
      <c r="E633" s="36"/>
      <c r="F633" s="36"/>
      <c r="G633" s="36"/>
      <c r="H633" s="37"/>
      <c r="I633" s="36"/>
      <c r="J633" s="38"/>
      <c r="K633" s="38"/>
      <c r="L633" s="39"/>
      <c r="M633" s="39"/>
      <c r="N633" s="39"/>
      <c r="O633" s="39"/>
      <c r="P633" s="39"/>
      <c r="Q633" s="39"/>
      <c r="R633" s="39"/>
      <c r="S633" s="39"/>
      <c r="T633" s="39"/>
      <c r="U633" s="39"/>
      <c r="V633" s="39"/>
      <c r="W633" s="39"/>
      <c r="X633" s="39"/>
      <c r="Y633" s="39"/>
      <c r="Z633" s="39"/>
      <c r="AA633" s="39"/>
      <c r="AB633" s="39"/>
    </row>
    <row r="634">
      <c r="A634" s="1"/>
      <c r="B634" s="36"/>
      <c r="C634" s="36"/>
      <c r="D634" s="36"/>
      <c r="E634" s="36"/>
      <c r="F634" s="36"/>
      <c r="G634" s="36"/>
      <c r="H634" s="37"/>
      <c r="I634" s="36"/>
      <c r="J634" s="38"/>
      <c r="K634" s="38"/>
      <c r="L634" s="39"/>
      <c r="M634" s="39"/>
      <c r="N634" s="39"/>
      <c r="O634" s="39"/>
      <c r="P634" s="39"/>
      <c r="Q634" s="39"/>
      <c r="R634" s="39"/>
      <c r="S634" s="39"/>
      <c r="T634" s="39"/>
      <c r="U634" s="39"/>
      <c r="V634" s="39"/>
      <c r="W634" s="39"/>
      <c r="X634" s="39"/>
      <c r="Y634" s="39"/>
      <c r="Z634" s="39"/>
      <c r="AA634" s="39"/>
      <c r="AB634" s="39"/>
    </row>
    <row r="635">
      <c r="A635" s="1"/>
      <c r="B635" s="36"/>
      <c r="C635" s="36"/>
      <c r="D635" s="36"/>
      <c r="E635" s="36"/>
      <c r="F635" s="36"/>
      <c r="G635" s="36"/>
      <c r="H635" s="37"/>
      <c r="I635" s="36"/>
      <c r="J635" s="38"/>
      <c r="K635" s="38"/>
      <c r="L635" s="39"/>
      <c r="M635" s="39"/>
      <c r="N635" s="39"/>
      <c r="O635" s="39"/>
      <c r="P635" s="39"/>
      <c r="Q635" s="39"/>
      <c r="R635" s="39"/>
      <c r="S635" s="39"/>
      <c r="T635" s="39"/>
      <c r="U635" s="39"/>
      <c r="V635" s="39"/>
      <c r="W635" s="39"/>
      <c r="X635" s="39"/>
      <c r="Y635" s="39"/>
      <c r="Z635" s="39"/>
      <c r="AA635" s="39"/>
      <c r="AB635" s="39"/>
    </row>
    <row r="636">
      <c r="A636" s="1"/>
      <c r="B636" s="36"/>
      <c r="C636" s="36"/>
      <c r="D636" s="36"/>
      <c r="E636" s="36"/>
      <c r="F636" s="36"/>
      <c r="G636" s="36"/>
      <c r="H636" s="37"/>
      <c r="I636" s="36"/>
      <c r="J636" s="38"/>
      <c r="K636" s="38"/>
      <c r="L636" s="39"/>
      <c r="M636" s="39"/>
      <c r="N636" s="39"/>
      <c r="O636" s="39"/>
      <c r="P636" s="39"/>
      <c r="Q636" s="39"/>
      <c r="R636" s="39"/>
      <c r="S636" s="39"/>
      <c r="T636" s="39"/>
      <c r="U636" s="39"/>
      <c r="V636" s="39"/>
      <c r="W636" s="39"/>
      <c r="X636" s="39"/>
      <c r="Y636" s="39"/>
      <c r="Z636" s="39"/>
      <c r="AA636" s="39"/>
      <c r="AB636" s="39"/>
    </row>
    <row r="637">
      <c r="A637" s="1"/>
      <c r="B637" s="36"/>
      <c r="C637" s="36"/>
      <c r="D637" s="36"/>
      <c r="E637" s="36"/>
      <c r="F637" s="36"/>
      <c r="G637" s="36"/>
      <c r="H637" s="37"/>
      <c r="I637" s="36"/>
      <c r="J637" s="38"/>
      <c r="K637" s="38"/>
      <c r="L637" s="39"/>
      <c r="M637" s="39"/>
      <c r="N637" s="39"/>
      <c r="O637" s="39"/>
      <c r="P637" s="39"/>
      <c r="Q637" s="39"/>
      <c r="R637" s="39"/>
      <c r="S637" s="39"/>
      <c r="T637" s="39"/>
      <c r="U637" s="39"/>
      <c r="V637" s="39"/>
      <c r="W637" s="39"/>
      <c r="X637" s="39"/>
      <c r="Y637" s="39"/>
      <c r="Z637" s="39"/>
      <c r="AA637" s="39"/>
      <c r="AB637" s="39"/>
    </row>
    <row r="638">
      <c r="A638" s="1"/>
      <c r="B638" s="36"/>
      <c r="C638" s="36"/>
      <c r="D638" s="36"/>
      <c r="E638" s="36"/>
      <c r="F638" s="36"/>
      <c r="G638" s="36"/>
      <c r="H638" s="37"/>
      <c r="I638" s="36"/>
      <c r="J638" s="38"/>
      <c r="K638" s="38"/>
      <c r="L638" s="39"/>
      <c r="M638" s="39"/>
      <c r="N638" s="39"/>
      <c r="O638" s="39"/>
      <c r="P638" s="39"/>
      <c r="Q638" s="39"/>
      <c r="R638" s="39"/>
      <c r="S638" s="39"/>
      <c r="T638" s="39"/>
      <c r="U638" s="39"/>
      <c r="V638" s="39"/>
      <c r="W638" s="39"/>
      <c r="X638" s="39"/>
      <c r="Y638" s="39"/>
      <c r="Z638" s="39"/>
      <c r="AA638" s="39"/>
      <c r="AB638" s="39"/>
    </row>
    <row r="639">
      <c r="A639" s="1"/>
      <c r="B639" s="36"/>
      <c r="C639" s="36"/>
      <c r="D639" s="36"/>
      <c r="E639" s="36"/>
      <c r="F639" s="36"/>
      <c r="G639" s="36"/>
      <c r="H639" s="37"/>
      <c r="I639" s="36"/>
      <c r="J639" s="38"/>
      <c r="K639" s="38"/>
      <c r="L639" s="39"/>
      <c r="M639" s="39"/>
      <c r="N639" s="39"/>
      <c r="O639" s="39"/>
      <c r="P639" s="39"/>
      <c r="Q639" s="39"/>
      <c r="R639" s="39"/>
      <c r="S639" s="39"/>
      <c r="T639" s="39"/>
      <c r="U639" s="39"/>
      <c r="V639" s="39"/>
      <c r="W639" s="39"/>
      <c r="X639" s="39"/>
      <c r="Y639" s="39"/>
      <c r="Z639" s="39"/>
      <c r="AA639" s="39"/>
      <c r="AB639" s="39"/>
    </row>
    <row r="640">
      <c r="A640" s="1"/>
      <c r="B640" s="36"/>
      <c r="C640" s="36"/>
      <c r="D640" s="36"/>
      <c r="E640" s="36"/>
      <c r="F640" s="36"/>
      <c r="G640" s="36"/>
      <c r="H640" s="37"/>
      <c r="I640" s="36"/>
      <c r="J640" s="38"/>
      <c r="K640" s="38"/>
      <c r="L640" s="39"/>
      <c r="M640" s="39"/>
      <c r="N640" s="39"/>
      <c r="O640" s="39"/>
      <c r="P640" s="39"/>
      <c r="Q640" s="39"/>
      <c r="R640" s="39"/>
      <c r="S640" s="39"/>
      <c r="T640" s="39"/>
      <c r="U640" s="39"/>
      <c r="V640" s="39"/>
      <c r="W640" s="39"/>
      <c r="X640" s="39"/>
      <c r="Y640" s="39"/>
      <c r="Z640" s="39"/>
      <c r="AA640" s="39"/>
      <c r="AB640" s="39"/>
    </row>
    <row r="641">
      <c r="A641" s="1"/>
      <c r="B641" s="36"/>
      <c r="C641" s="36"/>
      <c r="D641" s="36"/>
      <c r="E641" s="36"/>
      <c r="F641" s="36"/>
      <c r="G641" s="36"/>
      <c r="H641" s="37"/>
      <c r="I641" s="36"/>
      <c r="J641" s="38"/>
      <c r="K641" s="38"/>
      <c r="L641" s="39"/>
      <c r="M641" s="39"/>
      <c r="N641" s="39"/>
      <c r="O641" s="39"/>
      <c r="P641" s="39"/>
      <c r="Q641" s="39"/>
      <c r="R641" s="39"/>
      <c r="S641" s="39"/>
      <c r="T641" s="39"/>
      <c r="U641" s="39"/>
      <c r="V641" s="39"/>
      <c r="W641" s="39"/>
      <c r="X641" s="39"/>
      <c r="Y641" s="39"/>
      <c r="Z641" s="39"/>
      <c r="AA641" s="39"/>
      <c r="AB641" s="39"/>
    </row>
    <row r="642">
      <c r="A642" s="1"/>
      <c r="B642" s="36"/>
      <c r="C642" s="36"/>
      <c r="D642" s="36"/>
      <c r="E642" s="36"/>
      <c r="F642" s="36"/>
      <c r="G642" s="36"/>
      <c r="H642" s="37"/>
      <c r="I642" s="36"/>
      <c r="J642" s="38"/>
      <c r="K642" s="38"/>
      <c r="L642" s="39"/>
      <c r="M642" s="39"/>
      <c r="N642" s="39"/>
      <c r="O642" s="39"/>
      <c r="P642" s="39"/>
      <c r="Q642" s="39"/>
      <c r="R642" s="39"/>
      <c r="S642" s="39"/>
      <c r="T642" s="39"/>
      <c r="U642" s="39"/>
      <c r="V642" s="39"/>
      <c r="W642" s="39"/>
      <c r="X642" s="39"/>
      <c r="Y642" s="39"/>
      <c r="Z642" s="39"/>
      <c r="AA642" s="39"/>
      <c r="AB642" s="39"/>
    </row>
    <row r="643">
      <c r="A643" s="1"/>
      <c r="B643" s="36"/>
      <c r="C643" s="36"/>
      <c r="D643" s="36"/>
      <c r="E643" s="36"/>
      <c r="F643" s="36"/>
      <c r="G643" s="36"/>
      <c r="H643" s="37"/>
      <c r="I643" s="36"/>
      <c r="J643" s="38"/>
      <c r="K643" s="38"/>
      <c r="L643" s="39"/>
      <c r="M643" s="39"/>
      <c r="N643" s="39"/>
      <c r="O643" s="39"/>
      <c r="P643" s="39"/>
      <c r="Q643" s="39"/>
      <c r="R643" s="39"/>
      <c r="S643" s="39"/>
      <c r="T643" s="39"/>
      <c r="U643" s="39"/>
      <c r="V643" s="39"/>
      <c r="W643" s="39"/>
      <c r="X643" s="39"/>
      <c r="Y643" s="39"/>
      <c r="Z643" s="39"/>
      <c r="AA643" s="39"/>
      <c r="AB643" s="39"/>
    </row>
    <row r="644">
      <c r="A644" s="1"/>
      <c r="B644" s="36"/>
      <c r="C644" s="36"/>
      <c r="D644" s="36"/>
      <c r="E644" s="36"/>
      <c r="F644" s="36"/>
      <c r="G644" s="36"/>
      <c r="H644" s="37"/>
      <c r="I644" s="36"/>
      <c r="J644" s="38"/>
      <c r="K644" s="38"/>
      <c r="L644" s="39"/>
      <c r="M644" s="39"/>
      <c r="N644" s="39"/>
      <c r="O644" s="39"/>
      <c r="P644" s="39"/>
      <c r="Q644" s="39"/>
      <c r="R644" s="39"/>
      <c r="S644" s="39"/>
      <c r="T644" s="39"/>
      <c r="U644" s="39"/>
      <c r="V644" s="39"/>
      <c r="W644" s="39"/>
      <c r="X644" s="39"/>
      <c r="Y644" s="39"/>
      <c r="Z644" s="39"/>
      <c r="AA644" s="39"/>
      <c r="AB644" s="39"/>
    </row>
    <row r="645">
      <c r="A645" s="1"/>
      <c r="B645" s="36"/>
      <c r="C645" s="36"/>
      <c r="D645" s="36"/>
      <c r="E645" s="36"/>
      <c r="F645" s="36"/>
      <c r="G645" s="36"/>
      <c r="H645" s="37"/>
      <c r="I645" s="36"/>
      <c r="J645" s="38"/>
      <c r="K645" s="38"/>
      <c r="L645" s="39"/>
      <c r="M645" s="39"/>
      <c r="N645" s="39"/>
      <c r="O645" s="39"/>
      <c r="P645" s="39"/>
      <c r="Q645" s="39"/>
      <c r="R645" s="39"/>
      <c r="S645" s="39"/>
      <c r="T645" s="39"/>
      <c r="U645" s="39"/>
      <c r="V645" s="39"/>
      <c r="W645" s="39"/>
      <c r="X645" s="39"/>
      <c r="Y645" s="39"/>
      <c r="Z645" s="39"/>
      <c r="AA645" s="39"/>
      <c r="AB645" s="39"/>
    </row>
    <row r="646">
      <c r="A646" s="1"/>
      <c r="B646" s="36"/>
      <c r="C646" s="36"/>
      <c r="D646" s="36"/>
      <c r="E646" s="36"/>
      <c r="F646" s="36"/>
      <c r="G646" s="36"/>
      <c r="H646" s="37"/>
      <c r="I646" s="36"/>
      <c r="J646" s="38"/>
      <c r="K646" s="38"/>
      <c r="L646" s="39"/>
      <c r="M646" s="39"/>
      <c r="N646" s="39"/>
      <c r="O646" s="39"/>
      <c r="P646" s="39"/>
      <c r="Q646" s="39"/>
      <c r="R646" s="39"/>
      <c r="S646" s="39"/>
      <c r="T646" s="39"/>
      <c r="U646" s="39"/>
      <c r="V646" s="39"/>
      <c r="W646" s="39"/>
      <c r="X646" s="39"/>
      <c r="Y646" s="39"/>
      <c r="Z646" s="39"/>
      <c r="AA646" s="39"/>
      <c r="AB646" s="39"/>
    </row>
    <row r="647">
      <c r="A647" s="1"/>
      <c r="B647" s="36"/>
      <c r="C647" s="36"/>
      <c r="D647" s="36"/>
      <c r="E647" s="36"/>
      <c r="F647" s="36"/>
      <c r="G647" s="36"/>
      <c r="H647" s="37"/>
      <c r="I647" s="36"/>
      <c r="J647" s="38"/>
      <c r="K647" s="38"/>
      <c r="L647" s="39"/>
      <c r="M647" s="39"/>
      <c r="N647" s="39"/>
      <c r="O647" s="39"/>
      <c r="P647" s="39"/>
      <c r="Q647" s="39"/>
      <c r="R647" s="39"/>
      <c r="S647" s="39"/>
      <c r="T647" s="39"/>
      <c r="U647" s="39"/>
      <c r="V647" s="39"/>
      <c r="W647" s="39"/>
      <c r="X647" s="39"/>
      <c r="Y647" s="39"/>
      <c r="Z647" s="39"/>
      <c r="AA647" s="39"/>
      <c r="AB647" s="39"/>
    </row>
    <row r="648">
      <c r="A648" s="1"/>
      <c r="B648" s="36"/>
      <c r="C648" s="36"/>
      <c r="D648" s="36"/>
      <c r="E648" s="36"/>
      <c r="F648" s="36"/>
      <c r="G648" s="36"/>
      <c r="H648" s="37"/>
      <c r="I648" s="36"/>
      <c r="J648" s="38"/>
      <c r="K648" s="38"/>
      <c r="L648" s="39"/>
      <c r="M648" s="39"/>
      <c r="N648" s="39"/>
      <c r="O648" s="39"/>
      <c r="P648" s="39"/>
      <c r="Q648" s="39"/>
      <c r="R648" s="39"/>
      <c r="S648" s="39"/>
      <c r="T648" s="39"/>
      <c r="U648" s="39"/>
      <c r="V648" s="39"/>
      <c r="W648" s="39"/>
      <c r="X648" s="39"/>
      <c r="Y648" s="39"/>
      <c r="Z648" s="39"/>
      <c r="AA648" s="39"/>
      <c r="AB648" s="39"/>
    </row>
    <row r="649">
      <c r="A649" s="1"/>
      <c r="B649" s="36"/>
      <c r="C649" s="36"/>
      <c r="D649" s="36"/>
      <c r="E649" s="36"/>
      <c r="F649" s="36"/>
      <c r="G649" s="36"/>
      <c r="H649" s="37"/>
      <c r="I649" s="36"/>
      <c r="J649" s="38"/>
      <c r="K649" s="38"/>
      <c r="L649" s="39"/>
      <c r="M649" s="39"/>
      <c r="N649" s="39"/>
      <c r="O649" s="39"/>
      <c r="P649" s="39"/>
      <c r="Q649" s="39"/>
      <c r="R649" s="39"/>
      <c r="S649" s="39"/>
      <c r="T649" s="39"/>
      <c r="U649" s="39"/>
      <c r="V649" s="39"/>
      <c r="W649" s="39"/>
      <c r="X649" s="39"/>
      <c r="Y649" s="39"/>
      <c r="Z649" s="39"/>
      <c r="AA649" s="39"/>
      <c r="AB649" s="39"/>
    </row>
    <row r="650">
      <c r="A650" s="1"/>
      <c r="B650" s="36"/>
      <c r="C650" s="36"/>
      <c r="D650" s="36"/>
      <c r="E650" s="36"/>
      <c r="F650" s="36"/>
      <c r="G650" s="36"/>
      <c r="H650" s="37"/>
      <c r="I650" s="36"/>
      <c r="J650" s="38"/>
      <c r="K650" s="38"/>
      <c r="L650" s="39"/>
      <c r="M650" s="39"/>
      <c r="N650" s="39"/>
      <c r="O650" s="39"/>
      <c r="P650" s="39"/>
      <c r="Q650" s="39"/>
      <c r="R650" s="39"/>
      <c r="S650" s="39"/>
      <c r="T650" s="39"/>
      <c r="U650" s="39"/>
      <c r="V650" s="39"/>
      <c r="W650" s="39"/>
      <c r="X650" s="39"/>
      <c r="Y650" s="39"/>
      <c r="Z650" s="39"/>
      <c r="AA650" s="39"/>
      <c r="AB650" s="39"/>
    </row>
    <row r="651">
      <c r="A651" s="1"/>
      <c r="B651" s="36"/>
      <c r="C651" s="36"/>
      <c r="D651" s="36"/>
      <c r="E651" s="36"/>
      <c r="F651" s="36"/>
      <c r="G651" s="36"/>
      <c r="H651" s="37"/>
      <c r="I651" s="36"/>
      <c r="J651" s="38"/>
      <c r="K651" s="38"/>
      <c r="L651" s="39"/>
      <c r="M651" s="39"/>
      <c r="N651" s="39"/>
      <c r="O651" s="39"/>
      <c r="P651" s="39"/>
      <c r="Q651" s="39"/>
      <c r="R651" s="39"/>
      <c r="S651" s="39"/>
      <c r="T651" s="39"/>
      <c r="U651" s="39"/>
      <c r="V651" s="39"/>
      <c r="W651" s="39"/>
      <c r="X651" s="39"/>
      <c r="Y651" s="39"/>
      <c r="Z651" s="39"/>
      <c r="AA651" s="39"/>
      <c r="AB651" s="39"/>
    </row>
    <row r="652">
      <c r="A652" s="1"/>
      <c r="B652" s="36"/>
      <c r="C652" s="36"/>
      <c r="D652" s="36"/>
      <c r="E652" s="36"/>
      <c r="F652" s="36"/>
      <c r="G652" s="36"/>
      <c r="H652" s="37"/>
      <c r="I652" s="36"/>
      <c r="J652" s="38"/>
      <c r="K652" s="38"/>
      <c r="L652" s="39"/>
      <c r="M652" s="39"/>
      <c r="N652" s="39"/>
      <c r="O652" s="39"/>
      <c r="P652" s="39"/>
      <c r="Q652" s="39"/>
      <c r="R652" s="39"/>
      <c r="S652" s="39"/>
      <c r="T652" s="39"/>
      <c r="U652" s="39"/>
      <c r="V652" s="39"/>
      <c r="W652" s="39"/>
      <c r="X652" s="39"/>
      <c r="Y652" s="39"/>
      <c r="Z652" s="39"/>
      <c r="AA652" s="39"/>
      <c r="AB652" s="39"/>
    </row>
    <row r="653">
      <c r="A653" s="1"/>
      <c r="B653" s="36"/>
      <c r="C653" s="36"/>
      <c r="D653" s="36"/>
      <c r="E653" s="36"/>
      <c r="F653" s="36"/>
      <c r="G653" s="36"/>
      <c r="H653" s="37"/>
      <c r="I653" s="36"/>
      <c r="J653" s="38"/>
      <c r="K653" s="38"/>
      <c r="L653" s="39"/>
      <c r="M653" s="39"/>
      <c r="N653" s="39"/>
      <c r="O653" s="39"/>
      <c r="P653" s="39"/>
      <c r="Q653" s="39"/>
      <c r="R653" s="39"/>
      <c r="S653" s="39"/>
      <c r="T653" s="39"/>
      <c r="U653" s="39"/>
      <c r="V653" s="39"/>
      <c r="W653" s="39"/>
      <c r="X653" s="39"/>
      <c r="Y653" s="39"/>
      <c r="Z653" s="39"/>
      <c r="AA653" s="39"/>
      <c r="AB653" s="39"/>
    </row>
    <row r="654">
      <c r="A654" s="1"/>
      <c r="B654" s="36"/>
      <c r="C654" s="36"/>
      <c r="D654" s="36"/>
      <c r="E654" s="36"/>
      <c r="F654" s="36"/>
      <c r="G654" s="36"/>
      <c r="H654" s="37"/>
      <c r="I654" s="36"/>
      <c r="J654" s="38"/>
      <c r="K654" s="38"/>
      <c r="L654" s="39"/>
      <c r="M654" s="39"/>
      <c r="N654" s="39"/>
      <c r="O654" s="39"/>
      <c r="P654" s="39"/>
      <c r="Q654" s="39"/>
      <c r="R654" s="39"/>
      <c r="S654" s="39"/>
      <c r="T654" s="39"/>
      <c r="U654" s="39"/>
      <c r="V654" s="39"/>
      <c r="W654" s="39"/>
      <c r="X654" s="39"/>
      <c r="Y654" s="39"/>
      <c r="Z654" s="39"/>
      <c r="AA654" s="39"/>
      <c r="AB654" s="39"/>
    </row>
    <row r="655">
      <c r="A655" s="1"/>
      <c r="B655" s="36"/>
      <c r="C655" s="36"/>
      <c r="D655" s="36"/>
      <c r="E655" s="36"/>
      <c r="F655" s="36"/>
      <c r="G655" s="36"/>
      <c r="H655" s="37"/>
      <c r="I655" s="36"/>
      <c r="J655" s="38"/>
      <c r="K655" s="38"/>
      <c r="L655" s="39"/>
      <c r="M655" s="39"/>
      <c r="N655" s="39"/>
      <c r="O655" s="39"/>
      <c r="P655" s="39"/>
      <c r="Q655" s="39"/>
      <c r="R655" s="39"/>
      <c r="S655" s="39"/>
      <c r="T655" s="39"/>
      <c r="U655" s="39"/>
      <c r="V655" s="39"/>
      <c r="W655" s="39"/>
      <c r="X655" s="39"/>
      <c r="Y655" s="39"/>
      <c r="Z655" s="39"/>
      <c r="AA655" s="39"/>
      <c r="AB655" s="39"/>
    </row>
    <row r="656">
      <c r="A656" s="1"/>
      <c r="B656" s="36"/>
      <c r="C656" s="36"/>
      <c r="D656" s="36"/>
      <c r="E656" s="36"/>
      <c r="F656" s="36"/>
      <c r="G656" s="36"/>
      <c r="H656" s="37"/>
      <c r="I656" s="36"/>
      <c r="J656" s="38"/>
      <c r="K656" s="38"/>
      <c r="L656" s="39"/>
      <c r="M656" s="39"/>
      <c r="N656" s="39"/>
      <c r="O656" s="39"/>
      <c r="P656" s="39"/>
      <c r="Q656" s="39"/>
      <c r="R656" s="39"/>
      <c r="S656" s="39"/>
      <c r="T656" s="39"/>
      <c r="U656" s="39"/>
      <c r="V656" s="39"/>
      <c r="W656" s="39"/>
      <c r="X656" s="39"/>
      <c r="Y656" s="39"/>
      <c r="Z656" s="39"/>
      <c r="AA656" s="39"/>
      <c r="AB656" s="39"/>
    </row>
    <row r="657">
      <c r="A657" s="1"/>
      <c r="B657" s="36"/>
      <c r="C657" s="36"/>
      <c r="D657" s="36"/>
      <c r="E657" s="36"/>
      <c r="F657" s="36"/>
      <c r="G657" s="36"/>
      <c r="H657" s="37"/>
      <c r="I657" s="36"/>
      <c r="J657" s="38"/>
      <c r="K657" s="38"/>
      <c r="L657" s="39"/>
      <c r="M657" s="39"/>
      <c r="N657" s="39"/>
      <c r="O657" s="39"/>
      <c r="P657" s="39"/>
      <c r="Q657" s="39"/>
      <c r="R657" s="39"/>
      <c r="S657" s="39"/>
      <c r="T657" s="39"/>
      <c r="U657" s="39"/>
      <c r="V657" s="39"/>
      <c r="W657" s="39"/>
      <c r="X657" s="39"/>
      <c r="Y657" s="39"/>
      <c r="Z657" s="39"/>
      <c r="AA657" s="39"/>
      <c r="AB657" s="39"/>
    </row>
    <row r="658">
      <c r="A658" s="1"/>
      <c r="B658" s="36"/>
      <c r="C658" s="36"/>
      <c r="D658" s="36"/>
      <c r="E658" s="36"/>
      <c r="F658" s="36"/>
      <c r="G658" s="36"/>
      <c r="H658" s="37"/>
      <c r="I658" s="36"/>
      <c r="J658" s="38"/>
      <c r="K658" s="38"/>
      <c r="L658" s="39"/>
      <c r="M658" s="39"/>
      <c r="N658" s="39"/>
      <c r="O658" s="39"/>
      <c r="P658" s="39"/>
      <c r="Q658" s="39"/>
      <c r="R658" s="39"/>
      <c r="S658" s="39"/>
      <c r="T658" s="39"/>
      <c r="U658" s="39"/>
      <c r="V658" s="39"/>
      <c r="W658" s="39"/>
      <c r="X658" s="39"/>
      <c r="Y658" s="39"/>
      <c r="Z658" s="39"/>
      <c r="AA658" s="39"/>
      <c r="AB658" s="39"/>
    </row>
    <row r="659">
      <c r="A659" s="1"/>
      <c r="B659" s="36"/>
      <c r="C659" s="36"/>
      <c r="D659" s="36"/>
      <c r="E659" s="36"/>
      <c r="F659" s="36"/>
      <c r="G659" s="36"/>
      <c r="H659" s="37"/>
      <c r="I659" s="36"/>
      <c r="J659" s="38"/>
      <c r="K659" s="38"/>
      <c r="L659" s="39"/>
      <c r="M659" s="39"/>
      <c r="N659" s="39"/>
      <c r="O659" s="39"/>
      <c r="P659" s="39"/>
      <c r="Q659" s="39"/>
      <c r="R659" s="39"/>
      <c r="S659" s="39"/>
      <c r="T659" s="39"/>
      <c r="U659" s="39"/>
      <c r="V659" s="39"/>
      <c r="W659" s="39"/>
      <c r="X659" s="39"/>
      <c r="Y659" s="39"/>
      <c r="Z659" s="39"/>
      <c r="AA659" s="39"/>
      <c r="AB659" s="39"/>
    </row>
    <row r="660">
      <c r="A660" s="1"/>
      <c r="B660" s="36"/>
      <c r="C660" s="36"/>
      <c r="D660" s="36"/>
      <c r="E660" s="36"/>
      <c r="F660" s="36"/>
      <c r="G660" s="36"/>
      <c r="H660" s="37"/>
      <c r="I660" s="36"/>
      <c r="J660" s="38"/>
      <c r="K660" s="38"/>
      <c r="L660" s="39"/>
      <c r="M660" s="39"/>
      <c r="N660" s="39"/>
      <c r="O660" s="39"/>
      <c r="P660" s="39"/>
      <c r="Q660" s="39"/>
      <c r="R660" s="39"/>
      <c r="S660" s="39"/>
      <c r="T660" s="39"/>
      <c r="U660" s="39"/>
      <c r="V660" s="39"/>
      <c r="W660" s="39"/>
      <c r="X660" s="39"/>
      <c r="Y660" s="39"/>
      <c r="Z660" s="39"/>
      <c r="AA660" s="39"/>
      <c r="AB660" s="39"/>
    </row>
    <row r="661">
      <c r="A661" s="1"/>
      <c r="B661" s="36"/>
      <c r="C661" s="36"/>
      <c r="D661" s="36"/>
      <c r="E661" s="36"/>
      <c r="F661" s="36"/>
      <c r="G661" s="36"/>
      <c r="H661" s="37"/>
      <c r="I661" s="36"/>
      <c r="J661" s="38"/>
      <c r="K661" s="38"/>
      <c r="L661" s="39"/>
      <c r="M661" s="39"/>
      <c r="N661" s="39"/>
      <c r="O661" s="39"/>
      <c r="P661" s="39"/>
      <c r="Q661" s="39"/>
      <c r="R661" s="39"/>
      <c r="S661" s="39"/>
      <c r="T661" s="39"/>
      <c r="U661" s="39"/>
      <c r="V661" s="39"/>
      <c r="W661" s="39"/>
      <c r="X661" s="39"/>
      <c r="Y661" s="39"/>
      <c r="Z661" s="39"/>
      <c r="AA661" s="39"/>
      <c r="AB661" s="39"/>
    </row>
    <row r="662">
      <c r="A662" s="1"/>
      <c r="B662" s="36"/>
      <c r="C662" s="36"/>
      <c r="D662" s="36"/>
      <c r="E662" s="36"/>
      <c r="F662" s="36"/>
      <c r="G662" s="36"/>
      <c r="H662" s="37"/>
      <c r="I662" s="36"/>
      <c r="J662" s="38"/>
      <c r="K662" s="38"/>
      <c r="L662" s="39"/>
      <c r="M662" s="39"/>
      <c r="N662" s="39"/>
      <c r="O662" s="39"/>
      <c r="P662" s="39"/>
      <c r="Q662" s="39"/>
      <c r="R662" s="39"/>
      <c r="S662" s="39"/>
      <c r="T662" s="39"/>
      <c r="U662" s="39"/>
      <c r="V662" s="39"/>
      <c r="W662" s="39"/>
      <c r="X662" s="39"/>
      <c r="Y662" s="39"/>
      <c r="Z662" s="39"/>
      <c r="AA662" s="39"/>
      <c r="AB662" s="39"/>
    </row>
    <row r="663">
      <c r="A663" s="1"/>
      <c r="B663" s="36"/>
      <c r="C663" s="36"/>
      <c r="D663" s="36"/>
      <c r="E663" s="36"/>
      <c r="F663" s="36"/>
      <c r="G663" s="36"/>
      <c r="H663" s="37"/>
      <c r="I663" s="36"/>
      <c r="J663" s="38"/>
      <c r="K663" s="38"/>
      <c r="L663" s="39"/>
      <c r="M663" s="39"/>
      <c r="N663" s="39"/>
      <c r="O663" s="39"/>
      <c r="P663" s="39"/>
      <c r="Q663" s="39"/>
      <c r="R663" s="39"/>
      <c r="S663" s="39"/>
      <c r="T663" s="39"/>
      <c r="U663" s="39"/>
      <c r="V663" s="39"/>
      <c r="W663" s="39"/>
      <c r="X663" s="39"/>
      <c r="Y663" s="39"/>
      <c r="Z663" s="39"/>
      <c r="AA663" s="39"/>
      <c r="AB663" s="39"/>
    </row>
    <row r="664">
      <c r="A664" s="1"/>
      <c r="B664" s="36"/>
      <c r="C664" s="36"/>
      <c r="D664" s="36"/>
      <c r="E664" s="36"/>
      <c r="F664" s="36"/>
      <c r="G664" s="36"/>
      <c r="H664" s="37"/>
      <c r="I664" s="36"/>
      <c r="J664" s="38"/>
      <c r="K664" s="38"/>
      <c r="L664" s="39"/>
      <c r="M664" s="39"/>
      <c r="N664" s="39"/>
      <c r="O664" s="39"/>
      <c r="P664" s="39"/>
      <c r="Q664" s="39"/>
      <c r="R664" s="39"/>
      <c r="S664" s="39"/>
      <c r="T664" s="39"/>
      <c r="U664" s="39"/>
      <c r="V664" s="39"/>
      <c r="W664" s="39"/>
      <c r="X664" s="39"/>
      <c r="Y664" s="39"/>
      <c r="Z664" s="39"/>
      <c r="AA664" s="39"/>
      <c r="AB664" s="39"/>
    </row>
    <row r="665">
      <c r="A665" s="1"/>
      <c r="B665" s="36"/>
      <c r="C665" s="36"/>
      <c r="D665" s="36"/>
      <c r="E665" s="36"/>
      <c r="F665" s="36"/>
      <c r="G665" s="36"/>
      <c r="H665" s="37"/>
      <c r="I665" s="36"/>
      <c r="J665" s="38"/>
      <c r="K665" s="38"/>
      <c r="L665" s="39"/>
      <c r="M665" s="39"/>
      <c r="N665" s="39"/>
      <c r="O665" s="39"/>
      <c r="P665" s="39"/>
      <c r="Q665" s="39"/>
      <c r="R665" s="39"/>
      <c r="S665" s="39"/>
      <c r="T665" s="39"/>
      <c r="U665" s="39"/>
      <c r="V665" s="39"/>
      <c r="W665" s="39"/>
      <c r="X665" s="39"/>
      <c r="Y665" s="39"/>
      <c r="Z665" s="39"/>
      <c r="AA665" s="39"/>
      <c r="AB665" s="39"/>
    </row>
    <row r="666">
      <c r="A666" s="1"/>
      <c r="B666" s="36"/>
      <c r="C666" s="36"/>
      <c r="D666" s="36"/>
      <c r="E666" s="36"/>
      <c r="F666" s="36"/>
      <c r="G666" s="36"/>
      <c r="H666" s="37"/>
      <c r="I666" s="36"/>
      <c r="J666" s="38"/>
      <c r="K666" s="38"/>
      <c r="L666" s="39"/>
      <c r="M666" s="39"/>
      <c r="N666" s="39"/>
      <c r="O666" s="39"/>
      <c r="P666" s="39"/>
      <c r="Q666" s="39"/>
      <c r="R666" s="39"/>
      <c r="S666" s="39"/>
      <c r="T666" s="39"/>
      <c r="U666" s="39"/>
      <c r="V666" s="39"/>
      <c r="W666" s="39"/>
      <c r="X666" s="39"/>
      <c r="Y666" s="39"/>
      <c r="Z666" s="39"/>
      <c r="AA666" s="39"/>
      <c r="AB666" s="39"/>
    </row>
    <row r="667">
      <c r="A667" s="1"/>
      <c r="B667" s="36"/>
      <c r="C667" s="36"/>
      <c r="D667" s="36"/>
      <c r="E667" s="36"/>
      <c r="F667" s="36"/>
      <c r="G667" s="36"/>
      <c r="H667" s="37"/>
      <c r="I667" s="36"/>
      <c r="J667" s="38"/>
      <c r="K667" s="38"/>
      <c r="L667" s="39"/>
      <c r="M667" s="39"/>
      <c r="N667" s="39"/>
      <c r="O667" s="39"/>
      <c r="P667" s="39"/>
      <c r="Q667" s="39"/>
      <c r="R667" s="39"/>
      <c r="S667" s="39"/>
      <c r="T667" s="39"/>
      <c r="U667" s="39"/>
      <c r="V667" s="39"/>
      <c r="W667" s="39"/>
      <c r="X667" s="39"/>
      <c r="Y667" s="39"/>
      <c r="Z667" s="39"/>
      <c r="AA667" s="39"/>
      <c r="AB667" s="39"/>
    </row>
    <row r="668">
      <c r="A668" s="1"/>
      <c r="B668" s="36"/>
      <c r="C668" s="36"/>
      <c r="D668" s="36"/>
      <c r="E668" s="36"/>
      <c r="F668" s="36"/>
      <c r="G668" s="36"/>
      <c r="H668" s="37"/>
      <c r="I668" s="36"/>
      <c r="J668" s="38"/>
      <c r="K668" s="38"/>
      <c r="L668" s="39"/>
      <c r="M668" s="39"/>
      <c r="N668" s="39"/>
      <c r="O668" s="39"/>
      <c r="P668" s="39"/>
      <c r="Q668" s="39"/>
      <c r="R668" s="39"/>
      <c r="S668" s="39"/>
      <c r="T668" s="39"/>
      <c r="U668" s="39"/>
      <c r="V668" s="39"/>
      <c r="W668" s="39"/>
      <c r="X668" s="39"/>
      <c r="Y668" s="39"/>
      <c r="Z668" s="39"/>
      <c r="AA668" s="39"/>
      <c r="AB668" s="39"/>
    </row>
    <row r="669">
      <c r="A669" s="1"/>
      <c r="B669" s="36"/>
      <c r="C669" s="36"/>
      <c r="D669" s="36"/>
      <c r="E669" s="36"/>
      <c r="F669" s="36"/>
      <c r="G669" s="36"/>
      <c r="H669" s="37"/>
      <c r="I669" s="36"/>
      <c r="J669" s="38"/>
      <c r="K669" s="38"/>
      <c r="L669" s="39"/>
      <c r="M669" s="39"/>
      <c r="N669" s="39"/>
      <c r="O669" s="39"/>
      <c r="P669" s="39"/>
      <c r="Q669" s="39"/>
      <c r="R669" s="39"/>
      <c r="S669" s="39"/>
      <c r="T669" s="39"/>
      <c r="U669" s="39"/>
      <c r="V669" s="39"/>
      <c r="W669" s="39"/>
      <c r="X669" s="39"/>
      <c r="Y669" s="39"/>
      <c r="Z669" s="39"/>
      <c r="AA669" s="39"/>
      <c r="AB669" s="39"/>
    </row>
    <row r="670">
      <c r="A670" s="1"/>
      <c r="B670" s="36"/>
      <c r="C670" s="36"/>
      <c r="D670" s="36"/>
      <c r="E670" s="36"/>
      <c r="F670" s="36"/>
      <c r="G670" s="36"/>
      <c r="H670" s="37"/>
      <c r="I670" s="36"/>
      <c r="J670" s="38"/>
      <c r="K670" s="38"/>
      <c r="L670" s="39"/>
      <c r="M670" s="39"/>
      <c r="N670" s="39"/>
      <c r="O670" s="39"/>
      <c r="P670" s="39"/>
      <c r="Q670" s="39"/>
      <c r="R670" s="39"/>
      <c r="S670" s="39"/>
      <c r="T670" s="39"/>
      <c r="U670" s="39"/>
      <c r="V670" s="39"/>
      <c r="W670" s="39"/>
      <c r="X670" s="39"/>
      <c r="Y670" s="39"/>
      <c r="Z670" s="39"/>
      <c r="AA670" s="39"/>
      <c r="AB670" s="39"/>
    </row>
    <row r="671">
      <c r="A671" s="1"/>
      <c r="B671" s="36"/>
      <c r="C671" s="36"/>
      <c r="D671" s="36"/>
      <c r="E671" s="36"/>
      <c r="F671" s="36"/>
      <c r="G671" s="36"/>
      <c r="H671" s="37"/>
      <c r="I671" s="36"/>
      <c r="J671" s="38"/>
      <c r="K671" s="38"/>
      <c r="L671" s="39"/>
      <c r="M671" s="39"/>
      <c r="N671" s="39"/>
      <c r="O671" s="39"/>
      <c r="P671" s="39"/>
      <c r="Q671" s="39"/>
      <c r="R671" s="39"/>
      <c r="S671" s="39"/>
      <c r="T671" s="39"/>
      <c r="U671" s="39"/>
      <c r="V671" s="39"/>
      <c r="W671" s="39"/>
      <c r="X671" s="39"/>
      <c r="Y671" s="39"/>
      <c r="Z671" s="39"/>
      <c r="AA671" s="39"/>
      <c r="AB671" s="39"/>
    </row>
    <row r="672">
      <c r="A672" s="1"/>
      <c r="B672" s="36"/>
      <c r="C672" s="36"/>
      <c r="D672" s="36"/>
      <c r="E672" s="36"/>
      <c r="F672" s="36"/>
      <c r="G672" s="36"/>
      <c r="H672" s="37"/>
      <c r="I672" s="36"/>
      <c r="J672" s="38"/>
      <c r="K672" s="38"/>
      <c r="L672" s="39"/>
      <c r="M672" s="39"/>
      <c r="N672" s="39"/>
      <c r="O672" s="39"/>
      <c r="P672" s="39"/>
      <c r="Q672" s="39"/>
      <c r="R672" s="39"/>
      <c r="S672" s="39"/>
      <c r="T672" s="39"/>
      <c r="U672" s="39"/>
      <c r="V672" s="39"/>
      <c r="W672" s="39"/>
      <c r="X672" s="39"/>
      <c r="Y672" s="39"/>
      <c r="Z672" s="39"/>
      <c r="AA672" s="39"/>
      <c r="AB672" s="39"/>
    </row>
    <row r="673">
      <c r="A673" s="1"/>
      <c r="B673" s="36"/>
      <c r="C673" s="36"/>
      <c r="D673" s="36"/>
      <c r="E673" s="36"/>
      <c r="F673" s="36"/>
      <c r="G673" s="36"/>
      <c r="H673" s="37"/>
      <c r="I673" s="36"/>
      <c r="J673" s="38"/>
      <c r="K673" s="38"/>
      <c r="L673" s="39"/>
      <c r="M673" s="39"/>
      <c r="N673" s="39"/>
      <c r="O673" s="39"/>
      <c r="P673" s="39"/>
      <c r="Q673" s="39"/>
      <c r="R673" s="39"/>
      <c r="S673" s="39"/>
      <c r="T673" s="39"/>
      <c r="U673" s="39"/>
      <c r="V673" s="39"/>
      <c r="W673" s="39"/>
      <c r="X673" s="39"/>
      <c r="Y673" s="39"/>
      <c r="Z673" s="39"/>
      <c r="AA673" s="39"/>
      <c r="AB673" s="39"/>
    </row>
    <row r="674">
      <c r="A674" s="1"/>
      <c r="B674" s="36"/>
      <c r="C674" s="36"/>
      <c r="D674" s="36"/>
      <c r="E674" s="36"/>
      <c r="F674" s="36"/>
      <c r="G674" s="36"/>
      <c r="H674" s="37"/>
      <c r="I674" s="36"/>
      <c r="J674" s="38"/>
      <c r="K674" s="38"/>
      <c r="L674" s="39"/>
      <c r="M674" s="39"/>
      <c r="N674" s="39"/>
      <c r="O674" s="39"/>
      <c r="P674" s="39"/>
      <c r="Q674" s="39"/>
      <c r="R674" s="39"/>
      <c r="S674" s="39"/>
      <c r="T674" s="39"/>
      <c r="U674" s="39"/>
      <c r="V674" s="39"/>
      <c r="W674" s="39"/>
      <c r="X674" s="39"/>
      <c r="Y674" s="39"/>
      <c r="Z674" s="39"/>
      <c r="AA674" s="39"/>
      <c r="AB674" s="39"/>
    </row>
    <row r="675">
      <c r="A675" s="1"/>
      <c r="B675" s="36"/>
      <c r="C675" s="36"/>
      <c r="D675" s="36"/>
      <c r="E675" s="36"/>
      <c r="F675" s="36"/>
      <c r="G675" s="36"/>
      <c r="H675" s="37"/>
      <c r="I675" s="36"/>
      <c r="J675" s="38"/>
      <c r="K675" s="38"/>
      <c r="L675" s="39"/>
      <c r="M675" s="39"/>
      <c r="N675" s="39"/>
      <c r="O675" s="39"/>
      <c r="P675" s="39"/>
      <c r="Q675" s="39"/>
      <c r="R675" s="39"/>
      <c r="S675" s="39"/>
      <c r="T675" s="39"/>
      <c r="U675" s="39"/>
      <c r="V675" s="39"/>
      <c r="W675" s="39"/>
      <c r="X675" s="39"/>
      <c r="Y675" s="39"/>
      <c r="Z675" s="39"/>
      <c r="AA675" s="39"/>
      <c r="AB675" s="39"/>
    </row>
    <row r="676">
      <c r="A676" s="1"/>
      <c r="B676" s="36"/>
      <c r="C676" s="36"/>
      <c r="D676" s="36"/>
      <c r="E676" s="36"/>
      <c r="F676" s="36"/>
      <c r="G676" s="36"/>
      <c r="H676" s="37"/>
      <c r="I676" s="36"/>
      <c r="J676" s="38"/>
      <c r="K676" s="38"/>
      <c r="L676" s="39"/>
      <c r="M676" s="39"/>
      <c r="N676" s="39"/>
      <c r="O676" s="39"/>
      <c r="P676" s="39"/>
      <c r="Q676" s="39"/>
      <c r="R676" s="39"/>
      <c r="S676" s="39"/>
      <c r="T676" s="39"/>
      <c r="U676" s="39"/>
      <c r="V676" s="39"/>
      <c r="W676" s="39"/>
      <c r="X676" s="39"/>
      <c r="Y676" s="39"/>
      <c r="Z676" s="39"/>
      <c r="AA676" s="39"/>
      <c r="AB676" s="39"/>
    </row>
    <row r="677">
      <c r="A677" s="1"/>
      <c r="B677" s="36"/>
      <c r="C677" s="36"/>
      <c r="D677" s="36"/>
      <c r="E677" s="36"/>
      <c r="F677" s="36"/>
      <c r="G677" s="36"/>
      <c r="H677" s="37"/>
      <c r="I677" s="36"/>
      <c r="J677" s="38"/>
      <c r="K677" s="38"/>
      <c r="L677" s="39"/>
      <c r="M677" s="39"/>
      <c r="N677" s="39"/>
      <c r="O677" s="39"/>
      <c r="P677" s="39"/>
      <c r="Q677" s="39"/>
      <c r="R677" s="39"/>
      <c r="S677" s="39"/>
      <c r="T677" s="39"/>
      <c r="U677" s="39"/>
      <c r="V677" s="39"/>
      <c r="W677" s="39"/>
      <c r="X677" s="39"/>
      <c r="Y677" s="39"/>
      <c r="Z677" s="39"/>
      <c r="AA677" s="39"/>
      <c r="AB677" s="39"/>
    </row>
    <row r="678">
      <c r="A678" s="1"/>
      <c r="B678" s="36"/>
      <c r="C678" s="36"/>
      <c r="D678" s="36"/>
      <c r="E678" s="36"/>
      <c r="F678" s="36"/>
      <c r="G678" s="36"/>
      <c r="H678" s="37"/>
      <c r="I678" s="36"/>
      <c r="J678" s="38"/>
      <c r="K678" s="38"/>
      <c r="L678" s="39"/>
      <c r="M678" s="39"/>
      <c r="N678" s="39"/>
      <c r="O678" s="39"/>
      <c r="P678" s="39"/>
      <c r="Q678" s="39"/>
      <c r="R678" s="39"/>
      <c r="S678" s="39"/>
      <c r="T678" s="39"/>
      <c r="U678" s="39"/>
      <c r="V678" s="39"/>
      <c r="W678" s="39"/>
      <c r="X678" s="39"/>
      <c r="Y678" s="39"/>
      <c r="Z678" s="39"/>
      <c r="AA678" s="39"/>
      <c r="AB678" s="39"/>
    </row>
    <row r="679">
      <c r="A679" s="1"/>
      <c r="B679" s="36"/>
      <c r="C679" s="36"/>
      <c r="D679" s="36"/>
      <c r="E679" s="36"/>
      <c r="F679" s="36"/>
      <c r="G679" s="36"/>
      <c r="H679" s="37"/>
      <c r="I679" s="36"/>
      <c r="J679" s="38"/>
      <c r="K679" s="38"/>
      <c r="L679" s="39"/>
      <c r="M679" s="39"/>
      <c r="N679" s="39"/>
      <c r="O679" s="39"/>
      <c r="P679" s="39"/>
      <c r="Q679" s="39"/>
      <c r="R679" s="39"/>
      <c r="S679" s="39"/>
      <c r="T679" s="39"/>
      <c r="U679" s="39"/>
      <c r="V679" s="39"/>
      <c r="W679" s="39"/>
      <c r="X679" s="39"/>
      <c r="Y679" s="39"/>
      <c r="Z679" s="39"/>
      <c r="AA679" s="39"/>
      <c r="AB679" s="39"/>
    </row>
    <row r="680">
      <c r="A680" s="1"/>
      <c r="B680" s="36"/>
      <c r="C680" s="36"/>
      <c r="D680" s="36"/>
      <c r="E680" s="36"/>
      <c r="F680" s="36"/>
      <c r="G680" s="36"/>
      <c r="H680" s="37"/>
      <c r="I680" s="36"/>
      <c r="J680" s="38"/>
      <c r="K680" s="38"/>
      <c r="L680" s="39"/>
      <c r="M680" s="39"/>
      <c r="N680" s="39"/>
      <c r="O680" s="39"/>
      <c r="P680" s="39"/>
      <c r="Q680" s="39"/>
      <c r="R680" s="39"/>
      <c r="S680" s="39"/>
      <c r="T680" s="39"/>
      <c r="U680" s="39"/>
      <c r="V680" s="39"/>
      <c r="W680" s="39"/>
      <c r="X680" s="39"/>
      <c r="Y680" s="39"/>
      <c r="Z680" s="39"/>
      <c r="AA680" s="39"/>
      <c r="AB680" s="39"/>
    </row>
    <row r="681">
      <c r="A681" s="1"/>
      <c r="B681" s="36"/>
      <c r="C681" s="36"/>
      <c r="D681" s="36"/>
      <c r="E681" s="36"/>
      <c r="F681" s="36"/>
      <c r="G681" s="36"/>
      <c r="H681" s="37"/>
      <c r="I681" s="36"/>
      <c r="J681" s="38"/>
      <c r="K681" s="38"/>
      <c r="L681" s="39"/>
      <c r="M681" s="39"/>
      <c r="N681" s="39"/>
      <c r="O681" s="39"/>
      <c r="P681" s="39"/>
      <c r="Q681" s="39"/>
      <c r="R681" s="39"/>
      <c r="S681" s="39"/>
      <c r="T681" s="39"/>
      <c r="U681" s="39"/>
      <c r="V681" s="39"/>
      <c r="W681" s="39"/>
      <c r="X681" s="39"/>
      <c r="Y681" s="39"/>
      <c r="Z681" s="39"/>
      <c r="AA681" s="39"/>
      <c r="AB681" s="39"/>
    </row>
    <row r="682">
      <c r="A682" s="1"/>
      <c r="B682" s="36"/>
      <c r="C682" s="36"/>
      <c r="D682" s="36"/>
      <c r="E682" s="36"/>
      <c r="F682" s="36"/>
      <c r="G682" s="36"/>
      <c r="H682" s="37"/>
      <c r="I682" s="36"/>
      <c r="J682" s="38"/>
      <c r="K682" s="38"/>
      <c r="L682" s="39"/>
      <c r="M682" s="39"/>
      <c r="N682" s="39"/>
      <c r="O682" s="39"/>
      <c r="P682" s="39"/>
      <c r="Q682" s="39"/>
      <c r="R682" s="39"/>
      <c r="S682" s="39"/>
      <c r="T682" s="39"/>
      <c r="U682" s="39"/>
      <c r="V682" s="39"/>
      <c r="W682" s="39"/>
      <c r="X682" s="39"/>
      <c r="Y682" s="39"/>
      <c r="Z682" s="39"/>
      <c r="AA682" s="39"/>
      <c r="AB682" s="39"/>
    </row>
    <row r="683">
      <c r="A683" s="1"/>
      <c r="B683" s="36"/>
      <c r="C683" s="36"/>
      <c r="D683" s="36"/>
      <c r="E683" s="36"/>
      <c r="F683" s="36"/>
      <c r="G683" s="36"/>
      <c r="H683" s="37"/>
      <c r="I683" s="36"/>
      <c r="J683" s="38"/>
      <c r="K683" s="38"/>
      <c r="L683" s="39"/>
      <c r="M683" s="39"/>
      <c r="N683" s="39"/>
      <c r="O683" s="39"/>
      <c r="P683" s="39"/>
      <c r="Q683" s="39"/>
      <c r="R683" s="39"/>
      <c r="S683" s="39"/>
      <c r="T683" s="39"/>
      <c r="U683" s="39"/>
      <c r="V683" s="39"/>
      <c r="W683" s="39"/>
      <c r="X683" s="39"/>
      <c r="Y683" s="39"/>
      <c r="Z683" s="39"/>
      <c r="AA683" s="39"/>
      <c r="AB683" s="39"/>
    </row>
    <row r="684">
      <c r="A684" s="1"/>
      <c r="B684" s="36"/>
      <c r="C684" s="36"/>
      <c r="D684" s="36"/>
      <c r="E684" s="36"/>
      <c r="F684" s="36"/>
      <c r="G684" s="36"/>
      <c r="H684" s="37"/>
      <c r="I684" s="36"/>
      <c r="J684" s="38"/>
      <c r="K684" s="38"/>
      <c r="L684" s="39"/>
      <c r="M684" s="39"/>
      <c r="N684" s="39"/>
      <c r="O684" s="39"/>
      <c r="P684" s="39"/>
      <c r="Q684" s="39"/>
      <c r="R684" s="39"/>
      <c r="S684" s="39"/>
      <c r="T684" s="39"/>
      <c r="U684" s="39"/>
      <c r="V684" s="39"/>
      <c r="W684" s="39"/>
      <c r="X684" s="39"/>
      <c r="Y684" s="39"/>
      <c r="Z684" s="39"/>
      <c r="AA684" s="39"/>
      <c r="AB684" s="39"/>
    </row>
    <row r="685">
      <c r="A685" s="1"/>
      <c r="B685" s="36"/>
      <c r="C685" s="36"/>
      <c r="D685" s="36"/>
      <c r="E685" s="36"/>
      <c r="F685" s="36"/>
      <c r="G685" s="36"/>
      <c r="H685" s="37"/>
      <c r="I685" s="36"/>
      <c r="J685" s="38"/>
      <c r="K685" s="38"/>
      <c r="L685" s="39"/>
      <c r="M685" s="39"/>
      <c r="N685" s="39"/>
      <c r="O685" s="39"/>
      <c r="P685" s="39"/>
      <c r="Q685" s="39"/>
      <c r="R685" s="39"/>
      <c r="S685" s="39"/>
      <c r="T685" s="39"/>
      <c r="U685" s="39"/>
      <c r="V685" s="39"/>
      <c r="W685" s="39"/>
      <c r="X685" s="39"/>
      <c r="Y685" s="39"/>
      <c r="Z685" s="39"/>
      <c r="AA685" s="39"/>
      <c r="AB685" s="39"/>
    </row>
    <row r="686">
      <c r="A686" s="1"/>
      <c r="B686" s="36"/>
      <c r="C686" s="36"/>
      <c r="D686" s="36"/>
      <c r="E686" s="36"/>
      <c r="F686" s="36"/>
      <c r="G686" s="36"/>
      <c r="H686" s="37"/>
      <c r="I686" s="36"/>
      <c r="J686" s="38"/>
      <c r="K686" s="38"/>
      <c r="L686" s="39"/>
      <c r="M686" s="39"/>
      <c r="N686" s="39"/>
      <c r="O686" s="39"/>
      <c r="P686" s="39"/>
      <c r="Q686" s="39"/>
      <c r="R686" s="39"/>
      <c r="S686" s="39"/>
      <c r="T686" s="39"/>
      <c r="U686" s="39"/>
      <c r="V686" s="39"/>
      <c r="W686" s="39"/>
      <c r="X686" s="39"/>
      <c r="Y686" s="39"/>
      <c r="Z686" s="39"/>
      <c r="AA686" s="39"/>
      <c r="AB686" s="39"/>
    </row>
    <row r="687">
      <c r="A687" s="1"/>
      <c r="B687" s="36"/>
      <c r="C687" s="36"/>
      <c r="D687" s="36"/>
      <c r="E687" s="36"/>
      <c r="F687" s="36"/>
      <c r="G687" s="36"/>
      <c r="H687" s="37"/>
      <c r="I687" s="36"/>
      <c r="J687" s="38"/>
      <c r="K687" s="38"/>
      <c r="L687" s="39"/>
      <c r="M687" s="39"/>
      <c r="N687" s="39"/>
      <c r="O687" s="39"/>
      <c r="P687" s="39"/>
      <c r="Q687" s="39"/>
      <c r="R687" s="39"/>
      <c r="S687" s="39"/>
      <c r="T687" s="39"/>
      <c r="U687" s="39"/>
      <c r="V687" s="39"/>
      <c r="W687" s="39"/>
      <c r="X687" s="39"/>
      <c r="Y687" s="39"/>
      <c r="Z687" s="39"/>
      <c r="AA687" s="39"/>
      <c r="AB687" s="39"/>
    </row>
    <row r="688">
      <c r="A688" s="1"/>
      <c r="B688" s="36"/>
      <c r="C688" s="36"/>
      <c r="D688" s="36"/>
      <c r="E688" s="36"/>
      <c r="F688" s="36"/>
      <c r="G688" s="36"/>
      <c r="H688" s="37"/>
      <c r="I688" s="36"/>
      <c r="J688" s="38"/>
      <c r="K688" s="38"/>
      <c r="L688" s="39"/>
      <c r="M688" s="39"/>
      <c r="N688" s="39"/>
      <c r="O688" s="39"/>
      <c r="P688" s="39"/>
      <c r="Q688" s="39"/>
      <c r="R688" s="39"/>
      <c r="S688" s="39"/>
      <c r="T688" s="39"/>
      <c r="U688" s="39"/>
      <c r="V688" s="39"/>
      <c r="W688" s="39"/>
      <c r="X688" s="39"/>
      <c r="Y688" s="39"/>
      <c r="Z688" s="39"/>
      <c r="AA688" s="39"/>
      <c r="AB688" s="39"/>
    </row>
    <row r="689">
      <c r="A689" s="1"/>
      <c r="B689" s="36"/>
      <c r="C689" s="36"/>
      <c r="D689" s="36"/>
      <c r="E689" s="36"/>
      <c r="F689" s="36"/>
      <c r="G689" s="36"/>
      <c r="H689" s="37"/>
      <c r="I689" s="36"/>
      <c r="J689" s="38"/>
      <c r="K689" s="38"/>
      <c r="L689" s="39"/>
      <c r="M689" s="39"/>
      <c r="N689" s="39"/>
      <c r="O689" s="39"/>
      <c r="P689" s="39"/>
      <c r="Q689" s="39"/>
      <c r="R689" s="39"/>
      <c r="S689" s="39"/>
      <c r="T689" s="39"/>
      <c r="U689" s="39"/>
      <c r="V689" s="39"/>
      <c r="W689" s="39"/>
      <c r="X689" s="39"/>
      <c r="Y689" s="39"/>
      <c r="Z689" s="39"/>
      <c r="AA689" s="39"/>
      <c r="AB689" s="39"/>
    </row>
    <row r="690">
      <c r="A690" s="1"/>
      <c r="B690" s="36"/>
      <c r="C690" s="36"/>
      <c r="D690" s="36"/>
      <c r="E690" s="36"/>
      <c r="F690" s="36"/>
      <c r="G690" s="36"/>
      <c r="H690" s="37"/>
      <c r="I690" s="36"/>
      <c r="J690" s="38"/>
      <c r="K690" s="38"/>
      <c r="L690" s="39"/>
      <c r="M690" s="39"/>
      <c r="N690" s="39"/>
      <c r="O690" s="39"/>
      <c r="P690" s="39"/>
      <c r="Q690" s="39"/>
      <c r="R690" s="39"/>
      <c r="S690" s="39"/>
      <c r="T690" s="39"/>
      <c r="U690" s="39"/>
      <c r="V690" s="39"/>
      <c r="W690" s="39"/>
      <c r="X690" s="39"/>
      <c r="Y690" s="39"/>
      <c r="Z690" s="39"/>
      <c r="AA690" s="39"/>
      <c r="AB690" s="39"/>
    </row>
    <row r="691">
      <c r="A691" s="1"/>
      <c r="B691" s="36"/>
      <c r="C691" s="36"/>
      <c r="D691" s="36"/>
      <c r="E691" s="36"/>
      <c r="F691" s="36"/>
      <c r="G691" s="36"/>
      <c r="H691" s="37"/>
      <c r="I691" s="36"/>
      <c r="J691" s="38"/>
      <c r="K691" s="38"/>
      <c r="L691" s="39"/>
      <c r="M691" s="39"/>
      <c r="N691" s="39"/>
      <c r="O691" s="39"/>
      <c r="P691" s="39"/>
      <c r="Q691" s="39"/>
      <c r="R691" s="39"/>
      <c r="S691" s="39"/>
      <c r="T691" s="39"/>
      <c r="U691" s="39"/>
      <c r="V691" s="39"/>
      <c r="W691" s="39"/>
      <c r="X691" s="39"/>
      <c r="Y691" s="39"/>
      <c r="Z691" s="39"/>
      <c r="AA691" s="39"/>
      <c r="AB691" s="39"/>
    </row>
    <row r="692">
      <c r="A692" s="1"/>
      <c r="B692" s="36"/>
      <c r="C692" s="36"/>
      <c r="D692" s="36"/>
      <c r="E692" s="36"/>
      <c r="F692" s="36"/>
      <c r="G692" s="36"/>
      <c r="H692" s="37"/>
      <c r="I692" s="36"/>
      <c r="J692" s="38"/>
      <c r="K692" s="38"/>
      <c r="L692" s="39"/>
      <c r="M692" s="39"/>
      <c r="N692" s="39"/>
      <c r="O692" s="39"/>
      <c r="P692" s="39"/>
      <c r="Q692" s="39"/>
      <c r="R692" s="39"/>
      <c r="S692" s="39"/>
      <c r="T692" s="39"/>
      <c r="U692" s="39"/>
      <c r="V692" s="39"/>
      <c r="W692" s="39"/>
      <c r="X692" s="39"/>
      <c r="Y692" s="39"/>
      <c r="Z692" s="39"/>
      <c r="AA692" s="39"/>
      <c r="AB692" s="39"/>
    </row>
    <row r="693">
      <c r="A693" s="1"/>
      <c r="B693" s="36"/>
      <c r="C693" s="36"/>
      <c r="D693" s="36"/>
      <c r="E693" s="36"/>
      <c r="F693" s="36"/>
      <c r="G693" s="36"/>
      <c r="H693" s="37"/>
      <c r="I693" s="36"/>
      <c r="J693" s="38"/>
      <c r="K693" s="38"/>
      <c r="L693" s="39"/>
      <c r="M693" s="39"/>
      <c r="N693" s="39"/>
      <c r="O693" s="39"/>
      <c r="P693" s="39"/>
      <c r="Q693" s="39"/>
      <c r="R693" s="39"/>
      <c r="S693" s="39"/>
      <c r="T693" s="39"/>
      <c r="U693" s="39"/>
      <c r="V693" s="39"/>
      <c r="W693" s="39"/>
      <c r="X693" s="39"/>
      <c r="Y693" s="39"/>
      <c r="Z693" s="39"/>
      <c r="AA693" s="39"/>
      <c r="AB693" s="39"/>
    </row>
    <row r="694">
      <c r="A694" s="1"/>
      <c r="B694" s="36"/>
      <c r="C694" s="36"/>
      <c r="D694" s="36"/>
      <c r="E694" s="36"/>
      <c r="F694" s="36"/>
      <c r="G694" s="36"/>
      <c r="H694" s="37"/>
      <c r="I694" s="36"/>
      <c r="J694" s="38"/>
      <c r="K694" s="38"/>
      <c r="L694" s="39"/>
      <c r="M694" s="39"/>
      <c r="N694" s="39"/>
      <c r="O694" s="39"/>
      <c r="P694" s="39"/>
      <c r="Q694" s="39"/>
      <c r="R694" s="39"/>
      <c r="S694" s="39"/>
      <c r="T694" s="39"/>
      <c r="U694" s="39"/>
      <c r="V694" s="39"/>
      <c r="W694" s="39"/>
      <c r="X694" s="39"/>
      <c r="Y694" s="39"/>
      <c r="Z694" s="39"/>
      <c r="AA694" s="39"/>
      <c r="AB694" s="39"/>
    </row>
    <row r="695">
      <c r="A695" s="1"/>
      <c r="B695" s="36"/>
      <c r="C695" s="36"/>
      <c r="D695" s="36"/>
      <c r="E695" s="36"/>
      <c r="F695" s="36"/>
      <c r="G695" s="36"/>
      <c r="H695" s="37"/>
      <c r="I695" s="36"/>
      <c r="J695" s="38"/>
      <c r="K695" s="38"/>
      <c r="L695" s="39"/>
      <c r="M695" s="39"/>
      <c r="N695" s="39"/>
      <c r="O695" s="39"/>
      <c r="P695" s="39"/>
      <c r="Q695" s="39"/>
      <c r="R695" s="39"/>
      <c r="S695" s="39"/>
      <c r="T695" s="39"/>
      <c r="U695" s="39"/>
      <c r="V695" s="39"/>
      <c r="W695" s="39"/>
      <c r="X695" s="39"/>
      <c r="Y695" s="39"/>
      <c r="Z695" s="39"/>
      <c r="AA695" s="39"/>
      <c r="AB695" s="39"/>
    </row>
    <row r="696">
      <c r="A696" s="1"/>
      <c r="B696" s="36"/>
      <c r="C696" s="36"/>
      <c r="D696" s="36"/>
      <c r="E696" s="36"/>
      <c r="F696" s="36"/>
      <c r="G696" s="36"/>
      <c r="H696" s="37"/>
      <c r="I696" s="36"/>
      <c r="J696" s="38"/>
      <c r="K696" s="38"/>
      <c r="L696" s="39"/>
      <c r="M696" s="39"/>
      <c r="N696" s="39"/>
      <c r="O696" s="39"/>
      <c r="P696" s="39"/>
      <c r="Q696" s="39"/>
      <c r="R696" s="39"/>
      <c r="S696" s="39"/>
      <c r="T696" s="39"/>
      <c r="U696" s="39"/>
      <c r="V696" s="39"/>
      <c r="W696" s="39"/>
      <c r="X696" s="39"/>
      <c r="Y696" s="39"/>
      <c r="Z696" s="39"/>
      <c r="AA696" s="39"/>
      <c r="AB696" s="39"/>
    </row>
    <row r="697">
      <c r="A697" s="1"/>
      <c r="B697" s="36"/>
      <c r="C697" s="36"/>
      <c r="D697" s="36"/>
      <c r="E697" s="36"/>
      <c r="F697" s="36"/>
      <c r="G697" s="36"/>
      <c r="H697" s="37"/>
      <c r="I697" s="36"/>
      <c r="J697" s="38"/>
      <c r="K697" s="38"/>
      <c r="L697" s="39"/>
      <c r="M697" s="39"/>
      <c r="N697" s="39"/>
      <c r="O697" s="39"/>
      <c r="P697" s="39"/>
      <c r="Q697" s="39"/>
      <c r="R697" s="39"/>
      <c r="S697" s="39"/>
      <c r="T697" s="39"/>
      <c r="U697" s="39"/>
      <c r="V697" s="39"/>
      <c r="W697" s="39"/>
      <c r="X697" s="39"/>
      <c r="Y697" s="39"/>
      <c r="Z697" s="39"/>
      <c r="AA697" s="39"/>
      <c r="AB697" s="39"/>
    </row>
    <row r="698">
      <c r="A698" s="1"/>
      <c r="B698" s="36"/>
      <c r="C698" s="36"/>
      <c r="D698" s="36"/>
      <c r="E698" s="36"/>
      <c r="F698" s="36"/>
      <c r="G698" s="36"/>
      <c r="H698" s="37"/>
      <c r="I698" s="36"/>
      <c r="J698" s="38"/>
      <c r="K698" s="38"/>
      <c r="L698" s="39"/>
      <c r="M698" s="39"/>
      <c r="N698" s="39"/>
      <c r="O698" s="39"/>
      <c r="P698" s="39"/>
      <c r="Q698" s="39"/>
      <c r="R698" s="39"/>
      <c r="S698" s="39"/>
      <c r="T698" s="39"/>
      <c r="U698" s="39"/>
      <c r="V698" s="39"/>
      <c r="W698" s="39"/>
      <c r="X698" s="39"/>
      <c r="Y698" s="39"/>
      <c r="Z698" s="39"/>
      <c r="AA698" s="39"/>
      <c r="AB698" s="39"/>
    </row>
    <row r="699">
      <c r="A699" s="1"/>
      <c r="B699" s="36"/>
      <c r="C699" s="36"/>
      <c r="D699" s="36"/>
      <c r="E699" s="36"/>
      <c r="F699" s="36"/>
      <c r="G699" s="36"/>
      <c r="H699" s="37"/>
      <c r="I699" s="36"/>
      <c r="J699" s="38"/>
      <c r="K699" s="38"/>
      <c r="L699" s="39"/>
      <c r="M699" s="39"/>
      <c r="N699" s="39"/>
      <c r="O699" s="39"/>
      <c r="P699" s="39"/>
      <c r="Q699" s="39"/>
      <c r="R699" s="39"/>
      <c r="S699" s="39"/>
      <c r="T699" s="39"/>
      <c r="U699" s="39"/>
      <c r="V699" s="39"/>
      <c r="W699" s="39"/>
      <c r="X699" s="39"/>
      <c r="Y699" s="39"/>
      <c r="Z699" s="39"/>
      <c r="AA699" s="39"/>
      <c r="AB699" s="39"/>
    </row>
    <row r="700">
      <c r="A700" s="1"/>
      <c r="B700" s="36"/>
      <c r="C700" s="36"/>
      <c r="D700" s="36"/>
      <c r="E700" s="36"/>
      <c r="F700" s="36"/>
      <c r="G700" s="36"/>
      <c r="H700" s="37"/>
      <c r="I700" s="36"/>
      <c r="J700" s="38"/>
      <c r="K700" s="38"/>
      <c r="L700" s="39"/>
      <c r="M700" s="39"/>
      <c r="N700" s="39"/>
      <c r="O700" s="39"/>
      <c r="P700" s="39"/>
      <c r="Q700" s="39"/>
      <c r="R700" s="39"/>
      <c r="S700" s="39"/>
      <c r="T700" s="39"/>
      <c r="U700" s="39"/>
      <c r="V700" s="39"/>
      <c r="W700" s="39"/>
      <c r="X700" s="39"/>
      <c r="Y700" s="39"/>
      <c r="Z700" s="39"/>
      <c r="AA700" s="39"/>
      <c r="AB700" s="39"/>
    </row>
    <row r="701">
      <c r="A701" s="1"/>
      <c r="B701" s="36"/>
      <c r="C701" s="36"/>
      <c r="D701" s="36"/>
      <c r="E701" s="36"/>
      <c r="F701" s="36"/>
      <c r="G701" s="36"/>
      <c r="H701" s="37"/>
      <c r="I701" s="36"/>
      <c r="J701" s="38"/>
      <c r="K701" s="38"/>
      <c r="L701" s="39"/>
      <c r="M701" s="39"/>
      <c r="N701" s="39"/>
      <c r="O701" s="39"/>
      <c r="P701" s="39"/>
      <c r="Q701" s="39"/>
      <c r="R701" s="39"/>
      <c r="S701" s="39"/>
      <c r="T701" s="39"/>
      <c r="U701" s="39"/>
      <c r="V701" s="39"/>
      <c r="W701" s="39"/>
      <c r="X701" s="39"/>
      <c r="Y701" s="39"/>
      <c r="Z701" s="39"/>
      <c r="AA701" s="39"/>
      <c r="AB701" s="39"/>
    </row>
    <row r="702">
      <c r="A702" s="1"/>
      <c r="B702" s="36"/>
      <c r="C702" s="36"/>
      <c r="D702" s="36"/>
      <c r="E702" s="36"/>
      <c r="F702" s="36"/>
      <c r="G702" s="36"/>
      <c r="H702" s="37"/>
      <c r="I702" s="36"/>
      <c r="J702" s="38"/>
      <c r="K702" s="38"/>
      <c r="L702" s="39"/>
      <c r="M702" s="39"/>
      <c r="N702" s="39"/>
      <c r="O702" s="39"/>
      <c r="P702" s="39"/>
      <c r="Q702" s="39"/>
      <c r="R702" s="39"/>
      <c r="S702" s="39"/>
      <c r="T702" s="39"/>
      <c r="U702" s="39"/>
      <c r="V702" s="39"/>
      <c r="W702" s="39"/>
      <c r="X702" s="39"/>
      <c r="Y702" s="39"/>
      <c r="Z702" s="39"/>
      <c r="AA702" s="39"/>
      <c r="AB702" s="39"/>
    </row>
    <row r="703">
      <c r="A703" s="1"/>
      <c r="B703" s="36"/>
      <c r="C703" s="36"/>
      <c r="D703" s="36"/>
      <c r="E703" s="36"/>
      <c r="F703" s="36"/>
      <c r="G703" s="36"/>
      <c r="H703" s="37"/>
      <c r="I703" s="36"/>
      <c r="J703" s="38"/>
      <c r="K703" s="38"/>
      <c r="L703" s="39"/>
      <c r="M703" s="39"/>
      <c r="N703" s="39"/>
      <c r="O703" s="39"/>
      <c r="P703" s="39"/>
      <c r="Q703" s="39"/>
      <c r="R703" s="39"/>
      <c r="S703" s="39"/>
      <c r="T703" s="39"/>
      <c r="U703" s="39"/>
      <c r="V703" s="39"/>
      <c r="W703" s="39"/>
      <c r="X703" s="39"/>
      <c r="Y703" s="39"/>
      <c r="Z703" s="39"/>
      <c r="AA703" s="39"/>
      <c r="AB703" s="39"/>
    </row>
    <row r="704">
      <c r="A704" s="1"/>
      <c r="B704" s="36"/>
      <c r="C704" s="36"/>
      <c r="D704" s="36"/>
      <c r="E704" s="36"/>
      <c r="F704" s="36"/>
      <c r="G704" s="36"/>
      <c r="H704" s="37"/>
      <c r="I704" s="36"/>
      <c r="J704" s="38"/>
      <c r="K704" s="38"/>
      <c r="L704" s="39"/>
      <c r="M704" s="39"/>
      <c r="N704" s="39"/>
      <c r="O704" s="39"/>
      <c r="P704" s="39"/>
      <c r="Q704" s="39"/>
      <c r="R704" s="39"/>
      <c r="S704" s="39"/>
      <c r="T704" s="39"/>
      <c r="U704" s="39"/>
      <c r="V704" s="39"/>
      <c r="W704" s="39"/>
      <c r="X704" s="39"/>
      <c r="Y704" s="39"/>
      <c r="Z704" s="39"/>
      <c r="AA704" s="39"/>
      <c r="AB704" s="39"/>
    </row>
    <row r="705">
      <c r="A705" s="1"/>
      <c r="B705" s="36"/>
      <c r="C705" s="36"/>
      <c r="D705" s="36"/>
      <c r="E705" s="36"/>
      <c r="F705" s="36"/>
      <c r="G705" s="36"/>
      <c r="H705" s="37"/>
      <c r="I705" s="36"/>
      <c r="J705" s="38"/>
      <c r="K705" s="38"/>
      <c r="L705" s="39"/>
      <c r="M705" s="39"/>
      <c r="N705" s="39"/>
      <c r="O705" s="39"/>
      <c r="P705" s="39"/>
      <c r="Q705" s="39"/>
      <c r="R705" s="39"/>
      <c r="S705" s="39"/>
      <c r="T705" s="39"/>
      <c r="U705" s="39"/>
      <c r="V705" s="39"/>
      <c r="W705" s="39"/>
      <c r="X705" s="39"/>
      <c r="Y705" s="39"/>
      <c r="Z705" s="39"/>
      <c r="AA705" s="39"/>
      <c r="AB705" s="39"/>
    </row>
    <row r="706">
      <c r="A706" s="1"/>
      <c r="B706" s="36"/>
      <c r="C706" s="36"/>
      <c r="D706" s="36"/>
      <c r="E706" s="36"/>
      <c r="F706" s="36"/>
      <c r="G706" s="36"/>
      <c r="H706" s="37"/>
      <c r="I706" s="36"/>
      <c r="J706" s="38"/>
      <c r="K706" s="38"/>
      <c r="L706" s="39"/>
      <c r="M706" s="39"/>
      <c r="N706" s="39"/>
      <c r="O706" s="39"/>
      <c r="P706" s="39"/>
      <c r="Q706" s="39"/>
      <c r="R706" s="39"/>
      <c r="S706" s="39"/>
      <c r="T706" s="39"/>
      <c r="U706" s="39"/>
      <c r="V706" s="39"/>
      <c r="W706" s="39"/>
      <c r="X706" s="39"/>
      <c r="Y706" s="39"/>
      <c r="Z706" s="39"/>
      <c r="AA706" s="39"/>
      <c r="AB706" s="39"/>
    </row>
    <row r="707">
      <c r="A707" s="1"/>
      <c r="B707" s="36"/>
      <c r="C707" s="36"/>
      <c r="D707" s="36"/>
      <c r="E707" s="36"/>
      <c r="F707" s="36"/>
      <c r="G707" s="36"/>
      <c r="H707" s="37"/>
      <c r="I707" s="36"/>
      <c r="J707" s="38"/>
      <c r="K707" s="38"/>
      <c r="L707" s="39"/>
      <c r="M707" s="39"/>
      <c r="N707" s="39"/>
      <c r="O707" s="39"/>
      <c r="P707" s="39"/>
      <c r="Q707" s="39"/>
      <c r="R707" s="39"/>
      <c r="S707" s="39"/>
      <c r="T707" s="39"/>
      <c r="U707" s="39"/>
      <c r="V707" s="39"/>
      <c r="W707" s="39"/>
      <c r="X707" s="39"/>
      <c r="Y707" s="39"/>
      <c r="Z707" s="39"/>
      <c r="AA707" s="39"/>
      <c r="AB707" s="39"/>
    </row>
    <row r="708">
      <c r="A708" s="1"/>
      <c r="B708" s="36"/>
      <c r="C708" s="36"/>
      <c r="D708" s="36"/>
      <c r="E708" s="36"/>
      <c r="F708" s="36"/>
      <c r="G708" s="36"/>
      <c r="H708" s="37"/>
      <c r="I708" s="36"/>
      <c r="J708" s="38"/>
      <c r="K708" s="38"/>
      <c r="L708" s="39"/>
      <c r="M708" s="39"/>
      <c r="N708" s="39"/>
      <c r="O708" s="39"/>
      <c r="P708" s="39"/>
      <c r="Q708" s="39"/>
      <c r="R708" s="39"/>
      <c r="S708" s="39"/>
      <c r="T708" s="39"/>
      <c r="U708" s="39"/>
      <c r="V708" s="39"/>
      <c r="W708" s="39"/>
      <c r="X708" s="39"/>
      <c r="Y708" s="39"/>
      <c r="Z708" s="39"/>
      <c r="AA708" s="39"/>
      <c r="AB708" s="39"/>
    </row>
    <row r="709">
      <c r="A709" s="1"/>
      <c r="B709" s="36"/>
      <c r="C709" s="36"/>
      <c r="D709" s="36"/>
      <c r="E709" s="36"/>
      <c r="F709" s="36"/>
      <c r="G709" s="36"/>
      <c r="H709" s="37"/>
      <c r="I709" s="36"/>
      <c r="J709" s="38"/>
      <c r="K709" s="38"/>
      <c r="L709" s="39"/>
      <c r="M709" s="39"/>
      <c r="N709" s="39"/>
      <c r="O709" s="39"/>
      <c r="P709" s="39"/>
      <c r="Q709" s="39"/>
      <c r="R709" s="39"/>
      <c r="S709" s="39"/>
      <c r="T709" s="39"/>
      <c r="U709" s="39"/>
      <c r="V709" s="39"/>
      <c r="W709" s="39"/>
      <c r="X709" s="39"/>
      <c r="Y709" s="39"/>
      <c r="Z709" s="39"/>
      <c r="AA709" s="39"/>
      <c r="AB709" s="39"/>
    </row>
    <row r="710">
      <c r="A710" s="1"/>
      <c r="B710" s="36"/>
      <c r="C710" s="36"/>
      <c r="D710" s="36"/>
      <c r="E710" s="36"/>
      <c r="F710" s="36"/>
      <c r="G710" s="36"/>
      <c r="H710" s="37"/>
      <c r="I710" s="36"/>
      <c r="J710" s="38"/>
      <c r="K710" s="38"/>
      <c r="L710" s="39"/>
      <c r="M710" s="39"/>
      <c r="N710" s="39"/>
      <c r="O710" s="39"/>
      <c r="P710" s="39"/>
      <c r="Q710" s="39"/>
      <c r="R710" s="39"/>
      <c r="S710" s="39"/>
      <c r="T710" s="39"/>
      <c r="U710" s="39"/>
      <c r="V710" s="39"/>
      <c r="W710" s="39"/>
      <c r="X710" s="39"/>
      <c r="Y710" s="39"/>
      <c r="Z710" s="39"/>
      <c r="AA710" s="39"/>
      <c r="AB710" s="39"/>
    </row>
    <row r="711">
      <c r="A711" s="1"/>
      <c r="B711" s="36"/>
      <c r="C711" s="36"/>
      <c r="D711" s="36"/>
      <c r="E711" s="36"/>
      <c r="F711" s="36"/>
      <c r="G711" s="36"/>
      <c r="H711" s="37"/>
      <c r="I711" s="36"/>
      <c r="J711" s="38"/>
      <c r="K711" s="38"/>
      <c r="L711" s="39"/>
      <c r="M711" s="39"/>
      <c r="N711" s="39"/>
      <c r="O711" s="39"/>
      <c r="P711" s="39"/>
      <c r="Q711" s="39"/>
      <c r="R711" s="39"/>
      <c r="S711" s="39"/>
      <c r="T711" s="39"/>
      <c r="U711" s="39"/>
      <c r="V711" s="39"/>
      <c r="W711" s="39"/>
      <c r="X711" s="39"/>
      <c r="Y711" s="39"/>
      <c r="Z711" s="39"/>
      <c r="AA711" s="39"/>
      <c r="AB711" s="39"/>
    </row>
    <row r="712">
      <c r="A712" s="1"/>
      <c r="B712" s="36"/>
      <c r="C712" s="36"/>
      <c r="D712" s="36"/>
      <c r="E712" s="36"/>
      <c r="F712" s="36"/>
      <c r="G712" s="36"/>
      <c r="H712" s="37"/>
      <c r="I712" s="36"/>
      <c r="J712" s="38"/>
      <c r="K712" s="38"/>
      <c r="L712" s="39"/>
      <c r="M712" s="39"/>
      <c r="N712" s="39"/>
      <c r="O712" s="39"/>
      <c r="P712" s="39"/>
      <c r="Q712" s="39"/>
      <c r="R712" s="39"/>
      <c r="S712" s="39"/>
      <c r="T712" s="39"/>
      <c r="U712" s="39"/>
      <c r="V712" s="39"/>
      <c r="W712" s="39"/>
      <c r="X712" s="39"/>
      <c r="Y712" s="39"/>
      <c r="Z712" s="39"/>
      <c r="AA712" s="39"/>
      <c r="AB712" s="39"/>
    </row>
    <row r="713">
      <c r="A713" s="1"/>
      <c r="B713" s="36"/>
      <c r="C713" s="36"/>
      <c r="D713" s="36"/>
      <c r="E713" s="36"/>
      <c r="F713" s="36"/>
      <c r="G713" s="36"/>
      <c r="H713" s="37"/>
      <c r="I713" s="36"/>
      <c r="J713" s="38"/>
      <c r="K713" s="38"/>
      <c r="L713" s="39"/>
      <c r="M713" s="39"/>
      <c r="N713" s="39"/>
      <c r="O713" s="39"/>
      <c r="P713" s="39"/>
      <c r="Q713" s="39"/>
      <c r="R713" s="39"/>
      <c r="S713" s="39"/>
      <c r="T713" s="39"/>
      <c r="U713" s="39"/>
      <c r="V713" s="39"/>
      <c r="W713" s="39"/>
      <c r="X713" s="39"/>
      <c r="Y713" s="39"/>
      <c r="Z713" s="39"/>
      <c r="AA713" s="39"/>
      <c r="AB713" s="39"/>
    </row>
    <row r="714">
      <c r="A714" s="1"/>
      <c r="B714" s="36"/>
      <c r="C714" s="36"/>
      <c r="D714" s="36"/>
      <c r="E714" s="36"/>
      <c r="F714" s="36"/>
      <c r="G714" s="36"/>
      <c r="H714" s="37"/>
      <c r="I714" s="36"/>
      <c r="J714" s="38"/>
      <c r="K714" s="38"/>
      <c r="L714" s="39"/>
      <c r="M714" s="39"/>
      <c r="N714" s="39"/>
      <c r="O714" s="39"/>
      <c r="P714" s="39"/>
      <c r="Q714" s="39"/>
      <c r="R714" s="39"/>
      <c r="S714" s="39"/>
      <c r="T714" s="39"/>
      <c r="U714" s="39"/>
      <c r="V714" s="39"/>
      <c r="W714" s="39"/>
      <c r="X714" s="39"/>
      <c r="Y714" s="39"/>
      <c r="Z714" s="39"/>
      <c r="AA714" s="39"/>
      <c r="AB714" s="39"/>
    </row>
    <row r="715">
      <c r="A715" s="1"/>
      <c r="B715" s="36"/>
      <c r="C715" s="36"/>
      <c r="D715" s="36"/>
      <c r="E715" s="36"/>
      <c r="F715" s="36"/>
      <c r="G715" s="36"/>
      <c r="H715" s="37"/>
      <c r="I715" s="36"/>
      <c r="J715" s="38"/>
      <c r="K715" s="38"/>
      <c r="L715" s="39"/>
      <c r="M715" s="39"/>
      <c r="N715" s="39"/>
      <c r="O715" s="39"/>
      <c r="P715" s="39"/>
      <c r="Q715" s="39"/>
      <c r="R715" s="39"/>
      <c r="S715" s="39"/>
      <c r="T715" s="39"/>
      <c r="U715" s="39"/>
      <c r="V715" s="39"/>
      <c r="W715" s="39"/>
      <c r="X715" s="39"/>
      <c r="Y715" s="39"/>
      <c r="Z715" s="39"/>
      <c r="AA715" s="39"/>
      <c r="AB715" s="39"/>
    </row>
    <row r="716">
      <c r="A716" s="1"/>
      <c r="B716" s="36"/>
      <c r="C716" s="36"/>
      <c r="D716" s="36"/>
      <c r="E716" s="36"/>
      <c r="F716" s="36"/>
      <c r="G716" s="36"/>
      <c r="H716" s="37"/>
      <c r="I716" s="36"/>
      <c r="J716" s="38"/>
      <c r="K716" s="38"/>
      <c r="L716" s="39"/>
      <c r="M716" s="39"/>
      <c r="N716" s="39"/>
      <c r="O716" s="39"/>
      <c r="P716" s="39"/>
      <c r="Q716" s="39"/>
      <c r="R716" s="39"/>
      <c r="S716" s="39"/>
      <c r="T716" s="39"/>
      <c r="U716" s="39"/>
      <c r="V716" s="39"/>
      <c r="W716" s="39"/>
      <c r="X716" s="39"/>
      <c r="Y716" s="39"/>
      <c r="Z716" s="39"/>
      <c r="AA716" s="39"/>
      <c r="AB716" s="39"/>
    </row>
    <row r="717">
      <c r="A717" s="1"/>
      <c r="B717" s="36"/>
      <c r="C717" s="36"/>
      <c r="D717" s="36"/>
      <c r="E717" s="36"/>
      <c r="F717" s="36"/>
      <c r="G717" s="36"/>
      <c r="H717" s="37"/>
      <c r="I717" s="36"/>
      <c r="J717" s="38"/>
      <c r="K717" s="38"/>
      <c r="L717" s="39"/>
      <c r="M717" s="39"/>
      <c r="N717" s="39"/>
      <c r="O717" s="39"/>
      <c r="P717" s="39"/>
      <c r="Q717" s="39"/>
      <c r="R717" s="39"/>
      <c r="S717" s="39"/>
      <c r="T717" s="39"/>
      <c r="U717" s="39"/>
      <c r="V717" s="39"/>
      <c r="W717" s="39"/>
      <c r="X717" s="39"/>
      <c r="Y717" s="39"/>
      <c r="Z717" s="39"/>
      <c r="AA717" s="39"/>
      <c r="AB717" s="39"/>
    </row>
    <row r="718">
      <c r="A718" s="1"/>
      <c r="B718" s="36"/>
      <c r="C718" s="36"/>
      <c r="D718" s="36"/>
      <c r="E718" s="36"/>
      <c r="F718" s="36"/>
      <c r="G718" s="36"/>
      <c r="H718" s="37"/>
      <c r="I718" s="36"/>
      <c r="J718" s="38"/>
      <c r="K718" s="38"/>
      <c r="L718" s="39"/>
      <c r="M718" s="39"/>
      <c r="N718" s="39"/>
      <c r="O718" s="39"/>
      <c r="P718" s="39"/>
      <c r="Q718" s="39"/>
      <c r="R718" s="39"/>
      <c r="S718" s="39"/>
      <c r="T718" s="39"/>
      <c r="U718" s="39"/>
      <c r="V718" s="39"/>
      <c r="W718" s="39"/>
      <c r="X718" s="39"/>
      <c r="Y718" s="39"/>
      <c r="Z718" s="39"/>
      <c r="AA718" s="39"/>
      <c r="AB718" s="39"/>
    </row>
    <row r="719">
      <c r="A719" s="1"/>
      <c r="B719" s="36"/>
      <c r="C719" s="36"/>
      <c r="D719" s="36"/>
      <c r="E719" s="36"/>
      <c r="F719" s="36"/>
      <c r="G719" s="36"/>
      <c r="H719" s="37"/>
      <c r="I719" s="36"/>
      <c r="J719" s="38"/>
      <c r="K719" s="38"/>
      <c r="L719" s="39"/>
      <c r="M719" s="39"/>
      <c r="N719" s="39"/>
      <c r="O719" s="39"/>
      <c r="P719" s="39"/>
      <c r="Q719" s="39"/>
      <c r="R719" s="39"/>
      <c r="S719" s="39"/>
      <c r="T719" s="39"/>
      <c r="U719" s="39"/>
      <c r="V719" s="39"/>
      <c r="W719" s="39"/>
      <c r="X719" s="39"/>
      <c r="Y719" s="39"/>
      <c r="Z719" s="39"/>
      <c r="AA719" s="39"/>
      <c r="AB719" s="39"/>
    </row>
    <row r="720">
      <c r="A720" s="1"/>
      <c r="B720" s="36"/>
      <c r="C720" s="36"/>
      <c r="D720" s="36"/>
      <c r="E720" s="36"/>
      <c r="F720" s="36"/>
      <c r="G720" s="36"/>
      <c r="H720" s="37"/>
      <c r="I720" s="36"/>
      <c r="J720" s="38"/>
      <c r="K720" s="38"/>
      <c r="L720" s="39"/>
      <c r="M720" s="39"/>
      <c r="N720" s="39"/>
      <c r="O720" s="39"/>
      <c r="P720" s="39"/>
      <c r="Q720" s="39"/>
      <c r="R720" s="39"/>
      <c r="S720" s="39"/>
      <c r="T720" s="39"/>
      <c r="U720" s="39"/>
      <c r="V720" s="39"/>
      <c r="W720" s="39"/>
      <c r="X720" s="39"/>
      <c r="Y720" s="39"/>
      <c r="Z720" s="39"/>
      <c r="AA720" s="39"/>
      <c r="AB720" s="39"/>
    </row>
    <row r="721">
      <c r="A721" s="1"/>
      <c r="B721" s="36"/>
      <c r="C721" s="36"/>
      <c r="D721" s="36"/>
      <c r="E721" s="36"/>
      <c r="F721" s="36"/>
      <c r="G721" s="36"/>
      <c r="H721" s="37"/>
      <c r="I721" s="36"/>
      <c r="J721" s="38"/>
      <c r="K721" s="38"/>
      <c r="L721" s="39"/>
      <c r="M721" s="39"/>
      <c r="N721" s="39"/>
      <c r="O721" s="39"/>
      <c r="P721" s="39"/>
      <c r="Q721" s="39"/>
      <c r="R721" s="39"/>
      <c r="S721" s="39"/>
      <c r="T721" s="39"/>
      <c r="U721" s="39"/>
      <c r="V721" s="39"/>
      <c r="W721" s="39"/>
      <c r="X721" s="39"/>
      <c r="Y721" s="39"/>
      <c r="Z721" s="39"/>
      <c r="AA721" s="39"/>
      <c r="AB721" s="39"/>
    </row>
    <row r="722">
      <c r="A722" s="1"/>
      <c r="B722" s="36"/>
      <c r="C722" s="36"/>
      <c r="D722" s="36"/>
      <c r="E722" s="36"/>
      <c r="F722" s="36"/>
      <c r="G722" s="36"/>
      <c r="H722" s="37"/>
      <c r="I722" s="36"/>
      <c r="J722" s="38"/>
      <c r="K722" s="38"/>
      <c r="L722" s="39"/>
      <c r="M722" s="39"/>
      <c r="N722" s="39"/>
      <c r="O722" s="39"/>
      <c r="P722" s="39"/>
      <c r="Q722" s="39"/>
      <c r="R722" s="39"/>
      <c r="S722" s="39"/>
      <c r="T722" s="39"/>
      <c r="U722" s="39"/>
      <c r="V722" s="39"/>
      <c r="W722" s="39"/>
      <c r="X722" s="39"/>
      <c r="Y722" s="39"/>
      <c r="Z722" s="39"/>
      <c r="AA722" s="39"/>
      <c r="AB722" s="39"/>
    </row>
    <row r="723">
      <c r="A723" s="1"/>
      <c r="B723" s="36"/>
      <c r="C723" s="36"/>
      <c r="D723" s="36"/>
      <c r="E723" s="36"/>
      <c r="F723" s="36"/>
      <c r="G723" s="36"/>
      <c r="H723" s="37"/>
      <c r="I723" s="36"/>
      <c r="J723" s="38"/>
      <c r="K723" s="38"/>
      <c r="L723" s="39"/>
      <c r="M723" s="39"/>
      <c r="N723" s="39"/>
      <c r="O723" s="39"/>
      <c r="P723" s="39"/>
      <c r="Q723" s="39"/>
      <c r="R723" s="39"/>
      <c r="S723" s="39"/>
      <c r="T723" s="39"/>
      <c r="U723" s="39"/>
      <c r="V723" s="39"/>
      <c r="W723" s="39"/>
      <c r="X723" s="39"/>
      <c r="Y723" s="39"/>
      <c r="Z723" s="39"/>
      <c r="AA723" s="39"/>
      <c r="AB723" s="39"/>
    </row>
    <row r="724">
      <c r="A724" s="1"/>
      <c r="B724" s="36"/>
      <c r="C724" s="36"/>
      <c r="D724" s="36"/>
      <c r="E724" s="36"/>
      <c r="F724" s="36"/>
      <c r="G724" s="36"/>
      <c r="H724" s="37"/>
      <c r="I724" s="36"/>
      <c r="J724" s="38"/>
      <c r="K724" s="38"/>
      <c r="L724" s="39"/>
      <c r="M724" s="39"/>
      <c r="N724" s="39"/>
      <c r="O724" s="39"/>
      <c r="P724" s="39"/>
      <c r="Q724" s="39"/>
      <c r="R724" s="39"/>
      <c r="S724" s="39"/>
      <c r="T724" s="39"/>
      <c r="U724" s="39"/>
      <c r="V724" s="39"/>
      <c r="W724" s="39"/>
      <c r="X724" s="39"/>
      <c r="Y724" s="39"/>
      <c r="Z724" s="39"/>
      <c r="AA724" s="39"/>
      <c r="AB724" s="39"/>
    </row>
    <row r="725">
      <c r="A725" s="1"/>
      <c r="B725" s="36"/>
      <c r="C725" s="36"/>
      <c r="D725" s="36"/>
      <c r="E725" s="36"/>
      <c r="F725" s="36"/>
      <c r="G725" s="36"/>
      <c r="H725" s="37"/>
      <c r="I725" s="36"/>
      <c r="J725" s="38"/>
      <c r="K725" s="38"/>
      <c r="L725" s="39"/>
      <c r="M725" s="39"/>
      <c r="N725" s="39"/>
      <c r="O725" s="39"/>
      <c r="P725" s="39"/>
      <c r="Q725" s="39"/>
      <c r="R725" s="39"/>
      <c r="S725" s="39"/>
      <c r="T725" s="39"/>
      <c r="U725" s="39"/>
      <c r="V725" s="39"/>
      <c r="W725" s="39"/>
      <c r="X725" s="39"/>
      <c r="Y725" s="39"/>
      <c r="Z725" s="39"/>
      <c r="AA725" s="39"/>
      <c r="AB725" s="39"/>
    </row>
    <row r="726">
      <c r="A726" s="1"/>
      <c r="B726" s="36"/>
      <c r="C726" s="36"/>
      <c r="D726" s="36"/>
      <c r="E726" s="36"/>
      <c r="F726" s="36"/>
      <c r="G726" s="36"/>
      <c r="H726" s="37"/>
      <c r="I726" s="36"/>
      <c r="J726" s="38"/>
      <c r="K726" s="38"/>
      <c r="L726" s="39"/>
      <c r="M726" s="39"/>
      <c r="N726" s="39"/>
      <c r="O726" s="39"/>
      <c r="P726" s="39"/>
      <c r="Q726" s="39"/>
      <c r="R726" s="39"/>
      <c r="S726" s="39"/>
      <c r="T726" s="39"/>
      <c r="U726" s="39"/>
      <c r="V726" s="39"/>
      <c r="W726" s="39"/>
      <c r="X726" s="39"/>
      <c r="Y726" s="39"/>
      <c r="Z726" s="39"/>
      <c r="AA726" s="39"/>
      <c r="AB726" s="39"/>
    </row>
    <row r="727">
      <c r="A727" s="1"/>
      <c r="B727" s="36"/>
      <c r="C727" s="36"/>
      <c r="D727" s="36"/>
      <c r="E727" s="36"/>
      <c r="F727" s="36"/>
      <c r="G727" s="36"/>
      <c r="H727" s="37"/>
      <c r="I727" s="36"/>
      <c r="J727" s="38"/>
      <c r="K727" s="38"/>
      <c r="L727" s="39"/>
      <c r="M727" s="39"/>
      <c r="N727" s="39"/>
      <c r="O727" s="39"/>
      <c r="P727" s="39"/>
      <c r="Q727" s="39"/>
      <c r="R727" s="39"/>
      <c r="S727" s="39"/>
      <c r="T727" s="39"/>
      <c r="U727" s="39"/>
      <c r="V727" s="39"/>
      <c r="W727" s="39"/>
      <c r="X727" s="39"/>
      <c r="Y727" s="39"/>
      <c r="Z727" s="39"/>
      <c r="AA727" s="39"/>
      <c r="AB727" s="39"/>
    </row>
    <row r="728">
      <c r="A728" s="1"/>
      <c r="B728" s="36"/>
      <c r="C728" s="36"/>
      <c r="D728" s="36"/>
      <c r="E728" s="36"/>
      <c r="F728" s="36"/>
      <c r="G728" s="36"/>
      <c r="H728" s="37"/>
      <c r="I728" s="36"/>
      <c r="J728" s="38"/>
      <c r="K728" s="38"/>
      <c r="L728" s="39"/>
      <c r="M728" s="39"/>
      <c r="N728" s="39"/>
      <c r="O728" s="39"/>
      <c r="P728" s="39"/>
      <c r="Q728" s="39"/>
      <c r="R728" s="39"/>
      <c r="S728" s="39"/>
      <c r="T728" s="39"/>
      <c r="U728" s="39"/>
      <c r="V728" s="39"/>
      <c r="W728" s="39"/>
      <c r="X728" s="39"/>
      <c r="Y728" s="39"/>
      <c r="Z728" s="39"/>
      <c r="AA728" s="39"/>
      <c r="AB728" s="39"/>
    </row>
    <row r="729">
      <c r="A729" s="1"/>
      <c r="B729" s="36"/>
      <c r="C729" s="36"/>
      <c r="D729" s="36"/>
      <c r="E729" s="36"/>
      <c r="F729" s="36"/>
      <c r="G729" s="36"/>
      <c r="H729" s="37"/>
      <c r="I729" s="36"/>
      <c r="J729" s="38"/>
      <c r="K729" s="38"/>
      <c r="L729" s="39"/>
      <c r="M729" s="39"/>
      <c r="N729" s="39"/>
      <c r="O729" s="39"/>
      <c r="P729" s="39"/>
      <c r="Q729" s="39"/>
      <c r="R729" s="39"/>
      <c r="S729" s="39"/>
      <c r="T729" s="39"/>
      <c r="U729" s="39"/>
      <c r="V729" s="39"/>
      <c r="W729" s="39"/>
      <c r="X729" s="39"/>
      <c r="Y729" s="39"/>
      <c r="Z729" s="39"/>
      <c r="AA729" s="39"/>
      <c r="AB729" s="39"/>
    </row>
    <row r="730">
      <c r="A730" s="1"/>
      <c r="B730" s="36"/>
      <c r="C730" s="36"/>
      <c r="D730" s="36"/>
      <c r="E730" s="36"/>
      <c r="F730" s="36"/>
      <c r="G730" s="36"/>
      <c r="H730" s="37"/>
      <c r="I730" s="36"/>
      <c r="J730" s="38"/>
      <c r="K730" s="38"/>
      <c r="L730" s="39"/>
      <c r="M730" s="39"/>
      <c r="N730" s="39"/>
      <c r="O730" s="39"/>
      <c r="P730" s="39"/>
      <c r="Q730" s="39"/>
      <c r="R730" s="39"/>
      <c r="S730" s="39"/>
      <c r="T730" s="39"/>
      <c r="U730" s="39"/>
      <c r="V730" s="39"/>
      <c r="W730" s="39"/>
      <c r="X730" s="39"/>
      <c r="Y730" s="39"/>
      <c r="Z730" s="39"/>
      <c r="AA730" s="39"/>
      <c r="AB730" s="39"/>
    </row>
    <row r="731">
      <c r="A731" s="1"/>
      <c r="B731" s="36"/>
      <c r="C731" s="36"/>
      <c r="D731" s="36"/>
      <c r="E731" s="36"/>
      <c r="F731" s="36"/>
      <c r="G731" s="36"/>
      <c r="H731" s="37"/>
      <c r="I731" s="36"/>
      <c r="J731" s="38"/>
      <c r="K731" s="38"/>
      <c r="L731" s="39"/>
      <c r="M731" s="39"/>
      <c r="N731" s="39"/>
      <c r="O731" s="39"/>
      <c r="P731" s="39"/>
      <c r="Q731" s="39"/>
      <c r="R731" s="39"/>
      <c r="S731" s="39"/>
      <c r="T731" s="39"/>
      <c r="U731" s="39"/>
      <c r="V731" s="39"/>
      <c r="W731" s="39"/>
      <c r="X731" s="39"/>
      <c r="Y731" s="39"/>
      <c r="Z731" s="39"/>
      <c r="AA731" s="39"/>
      <c r="AB731" s="39"/>
    </row>
    <row r="732">
      <c r="A732" s="1"/>
      <c r="B732" s="36"/>
      <c r="C732" s="36"/>
      <c r="D732" s="36"/>
      <c r="E732" s="36"/>
      <c r="F732" s="36"/>
      <c r="G732" s="36"/>
      <c r="H732" s="37"/>
      <c r="I732" s="36"/>
      <c r="J732" s="38"/>
      <c r="K732" s="38"/>
      <c r="L732" s="39"/>
      <c r="M732" s="39"/>
      <c r="N732" s="39"/>
      <c r="O732" s="39"/>
      <c r="P732" s="39"/>
      <c r="Q732" s="39"/>
      <c r="R732" s="39"/>
      <c r="S732" s="39"/>
      <c r="T732" s="39"/>
      <c r="U732" s="39"/>
      <c r="V732" s="39"/>
      <c r="W732" s="39"/>
      <c r="X732" s="39"/>
      <c r="Y732" s="39"/>
      <c r="Z732" s="39"/>
      <c r="AA732" s="39"/>
      <c r="AB732" s="39"/>
    </row>
    <row r="733">
      <c r="A733" s="1"/>
      <c r="B733" s="36"/>
      <c r="C733" s="36"/>
      <c r="D733" s="36"/>
      <c r="E733" s="36"/>
      <c r="F733" s="36"/>
      <c r="G733" s="36"/>
      <c r="H733" s="37"/>
      <c r="I733" s="36"/>
      <c r="J733" s="38"/>
      <c r="K733" s="38"/>
      <c r="L733" s="39"/>
      <c r="M733" s="39"/>
      <c r="N733" s="39"/>
      <c r="O733" s="39"/>
      <c r="P733" s="39"/>
      <c r="Q733" s="39"/>
      <c r="R733" s="39"/>
      <c r="S733" s="39"/>
      <c r="T733" s="39"/>
      <c r="U733" s="39"/>
      <c r="V733" s="39"/>
      <c r="W733" s="39"/>
      <c r="X733" s="39"/>
      <c r="Y733" s="39"/>
      <c r="Z733" s="39"/>
      <c r="AA733" s="39"/>
      <c r="AB733" s="39"/>
    </row>
    <row r="734">
      <c r="A734" s="1"/>
      <c r="B734" s="36"/>
      <c r="C734" s="36"/>
      <c r="D734" s="36"/>
      <c r="E734" s="36"/>
      <c r="F734" s="36"/>
      <c r="G734" s="36"/>
      <c r="H734" s="37"/>
      <c r="I734" s="36"/>
      <c r="J734" s="38"/>
      <c r="K734" s="38"/>
      <c r="L734" s="39"/>
      <c r="M734" s="39"/>
      <c r="N734" s="39"/>
      <c r="O734" s="39"/>
      <c r="P734" s="39"/>
      <c r="Q734" s="39"/>
      <c r="R734" s="39"/>
      <c r="S734" s="39"/>
      <c r="T734" s="39"/>
      <c r="U734" s="39"/>
      <c r="V734" s="39"/>
      <c r="W734" s="39"/>
      <c r="X734" s="39"/>
      <c r="Y734" s="39"/>
      <c r="Z734" s="39"/>
      <c r="AA734" s="39"/>
      <c r="AB734" s="39"/>
    </row>
    <row r="735">
      <c r="A735" s="1"/>
      <c r="B735" s="36"/>
      <c r="C735" s="36"/>
      <c r="D735" s="36"/>
      <c r="E735" s="36"/>
      <c r="F735" s="36"/>
      <c r="G735" s="36"/>
      <c r="H735" s="37"/>
      <c r="I735" s="36"/>
      <c r="J735" s="38"/>
      <c r="K735" s="38"/>
      <c r="L735" s="39"/>
      <c r="M735" s="39"/>
      <c r="N735" s="39"/>
      <c r="O735" s="39"/>
      <c r="P735" s="39"/>
      <c r="Q735" s="39"/>
      <c r="R735" s="39"/>
      <c r="S735" s="39"/>
      <c r="T735" s="39"/>
      <c r="U735" s="39"/>
      <c r="V735" s="39"/>
      <c r="W735" s="39"/>
      <c r="X735" s="39"/>
      <c r="Y735" s="39"/>
      <c r="Z735" s="39"/>
      <c r="AA735" s="39"/>
      <c r="AB735" s="39"/>
    </row>
    <row r="736">
      <c r="A736" s="1"/>
      <c r="B736" s="36"/>
      <c r="C736" s="36"/>
      <c r="D736" s="36"/>
      <c r="E736" s="36"/>
      <c r="F736" s="36"/>
      <c r="G736" s="36"/>
      <c r="H736" s="37"/>
      <c r="I736" s="36"/>
      <c r="J736" s="38"/>
      <c r="K736" s="38"/>
      <c r="L736" s="39"/>
      <c r="M736" s="39"/>
      <c r="N736" s="39"/>
      <c r="O736" s="39"/>
      <c r="P736" s="39"/>
      <c r="Q736" s="39"/>
      <c r="R736" s="39"/>
      <c r="S736" s="39"/>
      <c r="T736" s="39"/>
      <c r="U736" s="39"/>
      <c r="V736" s="39"/>
      <c r="W736" s="39"/>
      <c r="X736" s="39"/>
      <c r="Y736" s="39"/>
      <c r="Z736" s="39"/>
      <c r="AA736" s="39"/>
      <c r="AB736" s="39"/>
    </row>
    <row r="737">
      <c r="A737" s="1"/>
      <c r="B737" s="36"/>
      <c r="C737" s="36"/>
      <c r="D737" s="36"/>
      <c r="E737" s="36"/>
      <c r="F737" s="36"/>
      <c r="G737" s="36"/>
      <c r="H737" s="37"/>
      <c r="I737" s="36"/>
      <c r="J737" s="38"/>
      <c r="K737" s="38"/>
      <c r="L737" s="39"/>
      <c r="M737" s="39"/>
      <c r="N737" s="39"/>
      <c r="O737" s="39"/>
      <c r="P737" s="39"/>
      <c r="Q737" s="39"/>
      <c r="R737" s="39"/>
      <c r="S737" s="39"/>
      <c r="T737" s="39"/>
      <c r="U737" s="39"/>
      <c r="V737" s="39"/>
      <c r="W737" s="39"/>
      <c r="X737" s="39"/>
      <c r="Y737" s="39"/>
      <c r="Z737" s="39"/>
      <c r="AA737" s="39"/>
      <c r="AB737" s="39"/>
    </row>
    <row r="738">
      <c r="A738" s="1"/>
      <c r="B738" s="36"/>
      <c r="C738" s="36"/>
      <c r="D738" s="36"/>
      <c r="E738" s="36"/>
      <c r="F738" s="36"/>
      <c r="G738" s="36"/>
      <c r="H738" s="37"/>
      <c r="I738" s="36"/>
      <c r="J738" s="38"/>
      <c r="K738" s="38"/>
      <c r="L738" s="39"/>
      <c r="M738" s="39"/>
      <c r="N738" s="39"/>
      <c r="O738" s="39"/>
      <c r="P738" s="39"/>
      <c r="Q738" s="39"/>
      <c r="R738" s="39"/>
      <c r="S738" s="39"/>
      <c r="T738" s="39"/>
      <c r="U738" s="39"/>
      <c r="V738" s="39"/>
      <c r="W738" s="39"/>
      <c r="X738" s="39"/>
      <c r="Y738" s="39"/>
      <c r="Z738" s="39"/>
      <c r="AA738" s="39"/>
      <c r="AB738" s="39"/>
    </row>
    <row r="739">
      <c r="A739" s="1"/>
      <c r="B739" s="36"/>
      <c r="C739" s="36"/>
      <c r="D739" s="36"/>
      <c r="E739" s="36"/>
      <c r="F739" s="36"/>
      <c r="G739" s="36"/>
      <c r="H739" s="37"/>
      <c r="I739" s="36"/>
      <c r="J739" s="38"/>
      <c r="K739" s="38"/>
      <c r="L739" s="39"/>
      <c r="M739" s="39"/>
      <c r="N739" s="39"/>
      <c r="O739" s="39"/>
      <c r="P739" s="39"/>
      <c r="Q739" s="39"/>
      <c r="R739" s="39"/>
      <c r="S739" s="39"/>
      <c r="T739" s="39"/>
      <c r="U739" s="39"/>
      <c r="V739" s="39"/>
      <c r="W739" s="39"/>
      <c r="X739" s="39"/>
      <c r="Y739" s="39"/>
      <c r="Z739" s="39"/>
      <c r="AA739" s="39"/>
      <c r="AB739" s="39"/>
    </row>
    <row r="740">
      <c r="A740" s="1"/>
      <c r="B740" s="36"/>
      <c r="C740" s="36"/>
      <c r="D740" s="36"/>
      <c r="E740" s="36"/>
      <c r="F740" s="36"/>
      <c r="G740" s="36"/>
      <c r="H740" s="37"/>
      <c r="I740" s="36"/>
      <c r="J740" s="38"/>
      <c r="K740" s="38"/>
      <c r="L740" s="39"/>
      <c r="M740" s="39"/>
      <c r="N740" s="39"/>
      <c r="O740" s="39"/>
      <c r="P740" s="39"/>
      <c r="Q740" s="39"/>
      <c r="R740" s="39"/>
      <c r="S740" s="39"/>
      <c r="T740" s="39"/>
      <c r="U740" s="39"/>
      <c r="V740" s="39"/>
      <c r="W740" s="39"/>
      <c r="X740" s="39"/>
      <c r="Y740" s="39"/>
      <c r="Z740" s="39"/>
      <c r="AA740" s="39"/>
      <c r="AB740" s="39"/>
    </row>
    <row r="741">
      <c r="A741" s="1"/>
      <c r="B741" s="36"/>
      <c r="C741" s="36"/>
      <c r="D741" s="36"/>
      <c r="E741" s="36"/>
      <c r="F741" s="36"/>
      <c r="G741" s="36"/>
      <c r="H741" s="37"/>
      <c r="I741" s="36"/>
      <c r="J741" s="38"/>
      <c r="K741" s="38"/>
      <c r="L741" s="39"/>
      <c r="M741" s="39"/>
      <c r="N741" s="39"/>
      <c r="O741" s="39"/>
      <c r="P741" s="39"/>
      <c r="Q741" s="39"/>
      <c r="R741" s="39"/>
      <c r="S741" s="39"/>
      <c r="T741" s="39"/>
      <c r="U741" s="39"/>
      <c r="V741" s="39"/>
      <c r="W741" s="39"/>
      <c r="X741" s="39"/>
      <c r="Y741" s="39"/>
      <c r="Z741" s="39"/>
      <c r="AA741" s="39"/>
      <c r="AB741" s="39"/>
    </row>
    <row r="742">
      <c r="A742" s="1"/>
      <c r="B742" s="36"/>
      <c r="C742" s="36"/>
      <c r="D742" s="36"/>
      <c r="E742" s="36"/>
      <c r="F742" s="36"/>
      <c r="G742" s="36"/>
      <c r="H742" s="37"/>
      <c r="I742" s="36"/>
      <c r="J742" s="38"/>
      <c r="K742" s="38"/>
      <c r="L742" s="39"/>
      <c r="M742" s="39"/>
      <c r="N742" s="39"/>
      <c r="O742" s="39"/>
      <c r="P742" s="39"/>
      <c r="Q742" s="39"/>
      <c r="R742" s="39"/>
      <c r="S742" s="39"/>
      <c r="T742" s="39"/>
      <c r="U742" s="39"/>
      <c r="V742" s="39"/>
      <c r="W742" s="39"/>
      <c r="X742" s="39"/>
      <c r="Y742" s="39"/>
      <c r="Z742" s="39"/>
      <c r="AA742" s="39"/>
      <c r="AB742" s="39"/>
    </row>
    <row r="743">
      <c r="A743" s="1"/>
      <c r="B743" s="36"/>
      <c r="C743" s="36"/>
      <c r="D743" s="36"/>
      <c r="E743" s="36"/>
      <c r="F743" s="36"/>
      <c r="G743" s="36"/>
      <c r="H743" s="37"/>
      <c r="I743" s="36"/>
      <c r="J743" s="38"/>
      <c r="K743" s="38"/>
      <c r="L743" s="39"/>
      <c r="M743" s="39"/>
      <c r="N743" s="39"/>
      <c r="O743" s="39"/>
      <c r="P743" s="39"/>
      <c r="Q743" s="39"/>
      <c r="R743" s="39"/>
      <c r="S743" s="39"/>
      <c r="T743" s="39"/>
      <c r="U743" s="39"/>
      <c r="V743" s="39"/>
      <c r="W743" s="39"/>
      <c r="X743" s="39"/>
      <c r="Y743" s="39"/>
      <c r="Z743" s="39"/>
      <c r="AA743" s="39"/>
      <c r="AB743" s="39"/>
    </row>
    <row r="744">
      <c r="A744" s="1"/>
      <c r="B744" s="36"/>
      <c r="C744" s="36"/>
      <c r="D744" s="36"/>
      <c r="E744" s="36"/>
      <c r="F744" s="36"/>
      <c r="G744" s="36"/>
      <c r="H744" s="37"/>
      <c r="I744" s="36"/>
      <c r="J744" s="38"/>
      <c r="K744" s="38"/>
      <c r="L744" s="39"/>
      <c r="M744" s="39"/>
      <c r="N744" s="39"/>
      <c r="O744" s="39"/>
      <c r="P744" s="39"/>
      <c r="Q744" s="39"/>
      <c r="R744" s="39"/>
      <c r="S744" s="39"/>
      <c r="T744" s="39"/>
      <c r="U744" s="39"/>
      <c r="V744" s="39"/>
      <c r="W744" s="39"/>
      <c r="X744" s="39"/>
      <c r="Y744" s="39"/>
      <c r="Z744" s="39"/>
      <c r="AA744" s="39"/>
      <c r="AB744" s="39"/>
    </row>
    <row r="745">
      <c r="A745" s="1"/>
      <c r="B745" s="36"/>
      <c r="C745" s="36"/>
      <c r="D745" s="36"/>
      <c r="E745" s="36"/>
      <c r="F745" s="36"/>
      <c r="G745" s="36"/>
      <c r="H745" s="37"/>
      <c r="I745" s="36"/>
      <c r="J745" s="38"/>
      <c r="K745" s="38"/>
      <c r="L745" s="39"/>
      <c r="M745" s="39"/>
      <c r="N745" s="39"/>
      <c r="O745" s="39"/>
      <c r="P745" s="39"/>
      <c r="Q745" s="39"/>
      <c r="R745" s="39"/>
      <c r="S745" s="39"/>
      <c r="T745" s="39"/>
      <c r="U745" s="39"/>
      <c r="V745" s="39"/>
      <c r="W745" s="39"/>
      <c r="X745" s="39"/>
      <c r="Y745" s="39"/>
      <c r="Z745" s="39"/>
      <c r="AA745" s="39"/>
      <c r="AB745" s="39"/>
    </row>
    <row r="746">
      <c r="A746" s="1"/>
      <c r="B746" s="36"/>
      <c r="C746" s="36"/>
      <c r="D746" s="36"/>
      <c r="E746" s="36"/>
      <c r="F746" s="36"/>
      <c r="G746" s="36"/>
      <c r="H746" s="37"/>
      <c r="I746" s="36"/>
      <c r="J746" s="38"/>
      <c r="K746" s="38"/>
      <c r="L746" s="39"/>
      <c r="M746" s="39"/>
      <c r="N746" s="39"/>
      <c r="O746" s="39"/>
      <c r="P746" s="39"/>
      <c r="Q746" s="39"/>
      <c r="R746" s="39"/>
      <c r="S746" s="39"/>
      <c r="T746" s="39"/>
      <c r="U746" s="39"/>
      <c r="V746" s="39"/>
      <c r="W746" s="39"/>
      <c r="X746" s="39"/>
      <c r="Y746" s="39"/>
      <c r="Z746" s="39"/>
      <c r="AA746" s="39"/>
      <c r="AB746" s="39"/>
    </row>
    <row r="747">
      <c r="A747" s="1"/>
      <c r="B747" s="36"/>
      <c r="C747" s="36"/>
      <c r="D747" s="36"/>
      <c r="E747" s="36"/>
      <c r="F747" s="36"/>
      <c r="G747" s="36"/>
      <c r="H747" s="37"/>
      <c r="I747" s="36"/>
      <c r="J747" s="38"/>
      <c r="K747" s="38"/>
      <c r="L747" s="39"/>
      <c r="M747" s="39"/>
      <c r="N747" s="39"/>
      <c r="O747" s="39"/>
      <c r="P747" s="39"/>
      <c r="Q747" s="39"/>
      <c r="R747" s="39"/>
      <c r="S747" s="39"/>
      <c r="T747" s="39"/>
      <c r="U747" s="39"/>
      <c r="V747" s="39"/>
      <c r="W747" s="39"/>
      <c r="X747" s="39"/>
      <c r="Y747" s="39"/>
      <c r="Z747" s="39"/>
      <c r="AA747" s="39"/>
      <c r="AB747" s="39"/>
    </row>
    <row r="748">
      <c r="A748" s="1"/>
      <c r="B748" s="36"/>
      <c r="C748" s="36"/>
      <c r="D748" s="36"/>
      <c r="E748" s="36"/>
      <c r="F748" s="36"/>
      <c r="G748" s="36"/>
      <c r="H748" s="37"/>
      <c r="I748" s="36"/>
      <c r="J748" s="38"/>
      <c r="K748" s="38"/>
      <c r="L748" s="39"/>
      <c r="M748" s="39"/>
      <c r="N748" s="39"/>
      <c r="O748" s="39"/>
      <c r="P748" s="39"/>
      <c r="Q748" s="39"/>
      <c r="R748" s="39"/>
      <c r="S748" s="39"/>
      <c r="T748" s="39"/>
      <c r="U748" s="39"/>
      <c r="V748" s="39"/>
      <c r="W748" s="39"/>
      <c r="X748" s="39"/>
      <c r="Y748" s="39"/>
      <c r="Z748" s="39"/>
      <c r="AA748" s="39"/>
      <c r="AB748" s="39"/>
    </row>
    <row r="749">
      <c r="A749" s="1"/>
      <c r="B749" s="36"/>
      <c r="C749" s="36"/>
      <c r="D749" s="36"/>
      <c r="E749" s="36"/>
      <c r="F749" s="36"/>
      <c r="G749" s="36"/>
      <c r="H749" s="37"/>
      <c r="I749" s="36"/>
      <c r="J749" s="38"/>
      <c r="K749" s="38"/>
      <c r="L749" s="39"/>
      <c r="M749" s="39"/>
      <c r="N749" s="39"/>
      <c r="O749" s="39"/>
      <c r="P749" s="39"/>
      <c r="Q749" s="39"/>
      <c r="R749" s="39"/>
      <c r="S749" s="39"/>
      <c r="T749" s="39"/>
      <c r="U749" s="39"/>
      <c r="V749" s="39"/>
      <c r="W749" s="39"/>
      <c r="X749" s="39"/>
      <c r="Y749" s="39"/>
      <c r="Z749" s="39"/>
      <c r="AA749" s="39"/>
      <c r="AB749" s="39"/>
    </row>
    <row r="750">
      <c r="A750" s="1"/>
      <c r="B750" s="36"/>
      <c r="C750" s="36"/>
      <c r="D750" s="36"/>
      <c r="E750" s="36"/>
      <c r="F750" s="36"/>
      <c r="G750" s="36"/>
      <c r="H750" s="37"/>
      <c r="I750" s="36"/>
      <c r="J750" s="38"/>
      <c r="K750" s="38"/>
      <c r="L750" s="39"/>
      <c r="M750" s="39"/>
      <c r="N750" s="39"/>
      <c r="O750" s="39"/>
      <c r="P750" s="39"/>
      <c r="Q750" s="39"/>
      <c r="R750" s="39"/>
      <c r="S750" s="39"/>
      <c r="T750" s="39"/>
      <c r="U750" s="39"/>
      <c r="V750" s="39"/>
      <c r="W750" s="39"/>
      <c r="X750" s="39"/>
      <c r="Y750" s="39"/>
      <c r="Z750" s="39"/>
      <c r="AA750" s="39"/>
      <c r="AB750" s="39"/>
    </row>
    <row r="751">
      <c r="A751" s="1"/>
      <c r="B751" s="36"/>
      <c r="C751" s="36"/>
      <c r="D751" s="36"/>
      <c r="E751" s="36"/>
      <c r="F751" s="36"/>
      <c r="G751" s="36"/>
      <c r="H751" s="37"/>
      <c r="I751" s="36"/>
      <c r="J751" s="38"/>
      <c r="K751" s="38"/>
      <c r="L751" s="39"/>
      <c r="M751" s="39"/>
      <c r="N751" s="39"/>
      <c r="O751" s="39"/>
      <c r="P751" s="39"/>
      <c r="Q751" s="39"/>
      <c r="R751" s="39"/>
      <c r="S751" s="39"/>
      <c r="T751" s="39"/>
      <c r="U751" s="39"/>
      <c r="V751" s="39"/>
      <c r="W751" s="39"/>
      <c r="X751" s="39"/>
      <c r="Y751" s="39"/>
      <c r="Z751" s="39"/>
      <c r="AA751" s="39"/>
      <c r="AB751" s="39"/>
    </row>
    <row r="752">
      <c r="A752" s="1"/>
      <c r="B752" s="36"/>
      <c r="C752" s="36"/>
      <c r="D752" s="36"/>
      <c r="E752" s="36"/>
      <c r="F752" s="36"/>
      <c r="G752" s="36"/>
      <c r="H752" s="37"/>
      <c r="I752" s="36"/>
      <c r="J752" s="38"/>
      <c r="K752" s="38"/>
      <c r="L752" s="39"/>
      <c r="M752" s="39"/>
      <c r="N752" s="39"/>
      <c r="O752" s="39"/>
      <c r="P752" s="39"/>
      <c r="Q752" s="39"/>
      <c r="R752" s="39"/>
      <c r="S752" s="39"/>
      <c r="T752" s="39"/>
      <c r="U752" s="39"/>
      <c r="V752" s="39"/>
      <c r="W752" s="39"/>
      <c r="X752" s="39"/>
      <c r="Y752" s="39"/>
      <c r="Z752" s="39"/>
      <c r="AA752" s="39"/>
      <c r="AB752" s="39"/>
    </row>
    <row r="753">
      <c r="A753" s="1"/>
      <c r="B753" s="36"/>
      <c r="C753" s="36"/>
      <c r="D753" s="36"/>
      <c r="E753" s="36"/>
      <c r="F753" s="36"/>
      <c r="G753" s="36"/>
      <c r="H753" s="37"/>
      <c r="I753" s="36"/>
      <c r="J753" s="38"/>
      <c r="K753" s="38"/>
      <c r="L753" s="39"/>
      <c r="M753" s="39"/>
      <c r="N753" s="39"/>
      <c r="O753" s="39"/>
      <c r="P753" s="39"/>
      <c r="Q753" s="39"/>
      <c r="R753" s="39"/>
      <c r="S753" s="39"/>
      <c r="T753" s="39"/>
      <c r="U753" s="39"/>
      <c r="V753" s="39"/>
      <c r="W753" s="39"/>
      <c r="X753" s="39"/>
      <c r="Y753" s="39"/>
      <c r="Z753" s="39"/>
      <c r="AA753" s="39"/>
      <c r="AB753" s="39"/>
    </row>
    <row r="754">
      <c r="A754" s="1"/>
      <c r="B754" s="36"/>
      <c r="C754" s="36"/>
      <c r="D754" s="36"/>
      <c r="E754" s="36"/>
      <c r="F754" s="36"/>
      <c r="G754" s="36"/>
      <c r="H754" s="37"/>
      <c r="I754" s="36"/>
      <c r="J754" s="38"/>
      <c r="K754" s="38"/>
      <c r="L754" s="39"/>
      <c r="M754" s="39"/>
      <c r="N754" s="39"/>
      <c r="O754" s="39"/>
      <c r="P754" s="39"/>
      <c r="Q754" s="39"/>
      <c r="R754" s="39"/>
      <c r="S754" s="39"/>
      <c r="T754" s="39"/>
      <c r="U754" s="39"/>
      <c r="V754" s="39"/>
      <c r="W754" s="39"/>
      <c r="X754" s="39"/>
      <c r="Y754" s="39"/>
      <c r="Z754" s="39"/>
      <c r="AA754" s="39"/>
      <c r="AB754" s="39"/>
    </row>
    <row r="755">
      <c r="A755" s="1"/>
      <c r="B755" s="36"/>
      <c r="C755" s="36"/>
      <c r="D755" s="36"/>
      <c r="E755" s="36"/>
      <c r="F755" s="36"/>
      <c r="G755" s="36"/>
      <c r="H755" s="37"/>
      <c r="I755" s="36"/>
      <c r="J755" s="38"/>
      <c r="K755" s="38"/>
      <c r="L755" s="39"/>
      <c r="M755" s="39"/>
      <c r="N755" s="39"/>
      <c r="O755" s="39"/>
      <c r="P755" s="39"/>
      <c r="Q755" s="39"/>
      <c r="R755" s="39"/>
      <c r="S755" s="39"/>
      <c r="T755" s="39"/>
      <c r="U755" s="39"/>
      <c r="V755" s="39"/>
      <c r="W755" s="39"/>
      <c r="X755" s="39"/>
      <c r="Y755" s="39"/>
      <c r="Z755" s="39"/>
      <c r="AA755" s="39"/>
      <c r="AB755" s="39"/>
    </row>
    <row r="756">
      <c r="A756" s="1"/>
      <c r="B756" s="36"/>
      <c r="C756" s="36"/>
      <c r="D756" s="36"/>
      <c r="E756" s="36"/>
      <c r="F756" s="36"/>
      <c r="G756" s="36"/>
      <c r="H756" s="37"/>
      <c r="I756" s="36"/>
      <c r="J756" s="38"/>
      <c r="K756" s="38"/>
      <c r="L756" s="39"/>
      <c r="M756" s="39"/>
      <c r="N756" s="39"/>
      <c r="O756" s="39"/>
      <c r="P756" s="39"/>
      <c r="Q756" s="39"/>
      <c r="R756" s="39"/>
      <c r="S756" s="39"/>
      <c r="T756" s="39"/>
      <c r="U756" s="39"/>
      <c r="V756" s="39"/>
      <c r="W756" s="39"/>
      <c r="X756" s="39"/>
      <c r="Y756" s="39"/>
      <c r="Z756" s="39"/>
      <c r="AA756" s="39"/>
      <c r="AB756" s="39"/>
    </row>
    <row r="757">
      <c r="A757" s="1"/>
      <c r="B757" s="36"/>
      <c r="C757" s="36"/>
      <c r="D757" s="36"/>
      <c r="E757" s="36"/>
      <c r="F757" s="36"/>
      <c r="G757" s="36"/>
      <c r="H757" s="37"/>
      <c r="I757" s="36"/>
      <c r="J757" s="38"/>
      <c r="K757" s="38"/>
      <c r="L757" s="39"/>
      <c r="M757" s="39"/>
      <c r="N757" s="39"/>
      <c r="O757" s="39"/>
      <c r="P757" s="39"/>
      <c r="Q757" s="39"/>
      <c r="R757" s="39"/>
      <c r="S757" s="39"/>
      <c r="T757" s="39"/>
      <c r="U757" s="39"/>
      <c r="V757" s="39"/>
      <c r="W757" s="39"/>
      <c r="X757" s="39"/>
      <c r="Y757" s="39"/>
      <c r="Z757" s="39"/>
      <c r="AA757" s="39"/>
      <c r="AB757" s="39"/>
    </row>
    <row r="758">
      <c r="A758" s="1"/>
      <c r="B758" s="36"/>
      <c r="C758" s="36"/>
      <c r="D758" s="36"/>
      <c r="E758" s="36"/>
      <c r="F758" s="36"/>
      <c r="G758" s="36"/>
      <c r="H758" s="37"/>
      <c r="I758" s="36"/>
      <c r="J758" s="38"/>
      <c r="K758" s="38"/>
      <c r="L758" s="39"/>
      <c r="M758" s="39"/>
      <c r="N758" s="39"/>
      <c r="O758" s="39"/>
      <c r="P758" s="39"/>
      <c r="Q758" s="39"/>
      <c r="R758" s="39"/>
      <c r="S758" s="39"/>
      <c r="T758" s="39"/>
      <c r="U758" s="39"/>
      <c r="V758" s="39"/>
      <c r="W758" s="39"/>
      <c r="X758" s="39"/>
      <c r="Y758" s="39"/>
      <c r="Z758" s="39"/>
      <c r="AA758" s="39"/>
      <c r="AB758" s="39"/>
    </row>
    <row r="759">
      <c r="A759" s="1"/>
      <c r="B759" s="36"/>
      <c r="C759" s="36"/>
      <c r="D759" s="36"/>
      <c r="E759" s="36"/>
      <c r="F759" s="36"/>
      <c r="G759" s="36"/>
      <c r="H759" s="37"/>
      <c r="I759" s="36"/>
      <c r="J759" s="38"/>
      <c r="K759" s="38"/>
      <c r="L759" s="39"/>
      <c r="M759" s="39"/>
      <c r="N759" s="39"/>
      <c r="O759" s="39"/>
      <c r="P759" s="39"/>
      <c r="Q759" s="39"/>
      <c r="R759" s="39"/>
      <c r="S759" s="39"/>
      <c r="T759" s="39"/>
      <c r="U759" s="39"/>
      <c r="V759" s="39"/>
      <c r="W759" s="39"/>
      <c r="X759" s="39"/>
      <c r="Y759" s="39"/>
      <c r="Z759" s="39"/>
      <c r="AA759" s="39"/>
      <c r="AB759" s="39"/>
    </row>
    <row r="760">
      <c r="A760" s="1"/>
      <c r="B760" s="36"/>
      <c r="C760" s="36"/>
      <c r="D760" s="36"/>
      <c r="E760" s="36"/>
      <c r="F760" s="36"/>
      <c r="G760" s="36"/>
      <c r="H760" s="37"/>
      <c r="I760" s="36"/>
      <c r="J760" s="38"/>
      <c r="K760" s="38"/>
      <c r="L760" s="39"/>
      <c r="M760" s="39"/>
      <c r="N760" s="39"/>
      <c r="O760" s="39"/>
      <c r="P760" s="39"/>
      <c r="Q760" s="39"/>
      <c r="R760" s="39"/>
      <c r="S760" s="39"/>
      <c r="T760" s="39"/>
      <c r="U760" s="39"/>
      <c r="V760" s="39"/>
      <c r="W760" s="39"/>
      <c r="X760" s="39"/>
      <c r="Y760" s="39"/>
      <c r="Z760" s="39"/>
      <c r="AA760" s="39"/>
      <c r="AB760" s="39"/>
    </row>
    <row r="761">
      <c r="A761" s="1"/>
      <c r="B761" s="36"/>
      <c r="C761" s="36"/>
      <c r="D761" s="36"/>
      <c r="E761" s="36"/>
      <c r="F761" s="36"/>
      <c r="G761" s="36"/>
      <c r="H761" s="37"/>
      <c r="I761" s="36"/>
      <c r="J761" s="38"/>
      <c r="K761" s="38"/>
      <c r="L761" s="39"/>
      <c r="M761" s="39"/>
      <c r="N761" s="39"/>
      <c r="O761" s="39"/>
      <c r="P761" s="39"/>
      <c r="Q761" s="39"/>
      <c r="R761" s="39"/>
      <c r="S761" s="39"/>
      <c r="T761" s="39"/>
      <c r="U761" s="39"/>
      <c r="V761" s="39"/>
      <c r="W761" s="39"/>
      <c r="X761" s="39"/>
      <c r="Y761" s="39"/>
      <c r="Z761" s="39"/>
      <c r="AA761" s="39"/>
      <c r="AB761" s="39"/>
    </row>
    <row r="762">
      <c r="A762" s="1"/>
      <c r="B762" s="36"/>
      <c r="C762" s="36"/>
      <c r="D762" s="36"/>
      <c r="E762" s="36"/>
      <c r="F762" s="36"/>
      <c r="G762" s="36"/>
      <c r="H762" s="37"/>
      <c r="I762" s="36"/>
      <c r="J762" s="38"/>
      <c r="K762" s="38"/>
      <c r="L762" s="39"/>
      <c r="M762" s="39"/>
      <c r="N762" s="39"/>
      <c r="O762" s="39"/>
      <c r="P762" s="39"/>
      <c r="Q762" s="39"/>
      <c r="R762" s="39"/>
      <c r="S762" s="39"/>
      <c r="T762" s="39"/>
      <c r="U762" s="39"/>
      <c r="V762" s="39"/>
      <c r="W762" s="39"/>
      <c r="X762" s="39"/>
      <c r="Y762" s="39"/>
      <c r="Z762" s="39"/>
      <c r="AA762" s="39"/>
      <c r="AB762" s="39"/>
    </row>
    <row r="763">
      <c r="A763" s="1"/>
      <c r="B763" s="36"/>
      <c r="C763" s="36"/>
      <c r="D763" s="36"/>
      <c r="E763" s="36"/>
      <c r="F763" s="36"/>
      <c r="G763" s="36"/>
      <c r="H763" s="37"/>
      <c r="I763" s="36"/>
      <c r="J763" s="38"/>
      <c r="K763" s="38"/>
      <c r="L763" s="39"/>
      <c r="M763" s="39"/>
      <c r="N763" s="39"/>
      <c r="O763" s="39"/>
      <c r="P763" s="39"/>
      <c r="Q763" s="39"/>
      <c r="R763" s="39"/>
      <c r="S763" s="39"/>
      <c r="T763" s="39"/>
      <c r="U763" s="39"/>
      <c r="V763" s="39"/>
      <c r="W763" s="39"/>
      <c r="X763" s="39"/>
      <c r="Y763" s="39"/>
      <c r="Z763" s="39"/>
      <c r="AA763" s="39"/>
      <c r="AB763" s="39"/>
    </row>
    <row r="764">
      <c r="A764" s="1"/>
      <c r="B764" s="36"/>
      <c r="C764" s="36"/>
      <c r="D764" s="36"/>
      <c r="E764" s="36"/>
      <c r="F764" s="36"/>
      <c r="G764" s="36"/>
      <c r="H764" s="37"/>
      <c r="I764" s="36"/>
      <c r="J764" s="38"/>
      <c r="K764" s="38"/>
      <c r="L764" s="39"/>
      <c r="M764" s="39"/>
      <c r="N764" s="39"/>
      <c r="O764" s="39"/>
      <c r="P764" s="39"/>
      <c r="Q764" s="39"/>
      <c r="R764" s="39"/>
      <c r="S764" s="39"/>
      <c r="T764" s="39"/>
      <c r="U764" s="39"/>
      <c r="V764" s="39"/>
      <c r="W764" s="39"/>
      <c r="X764" s="39"/>
      <c r="Y764" s="39"/>
      <c r="Z764" s="39"/>
      <c r="AA764" s="39"/>
      <c r="AB764" s="39"/>
    </row>
    <row r="765">
      <c r="A765" s="1"/>
      <c r="B765" s="36"/>
      <c r="C765" s="36"/>
      <c r="D765" s="36"/>
      <c r="E765" s="36"/>
      <c r="F765" s="36"/>
      <c r="G765" s="36"/>
      <c r="H765" s="37"/>
      <c r="I765" s="36"/>
      <c r="J765" s="38"/>
      <c r="K765" s="38"/>
      <c r="L765" s="39"/>
      <c r="M765" s="39"/>
      <c r="N765" s="39"/>
      <c r="O765" s="39"/>
      <c r="P765" s="39"/>
      <c r="Q765" s="39"/>
      <c r="R765" s="39"/>
      <c r="S765" s="39"/>
      <c r="T765" s="39"/>
      <c r="U765" s="39"/>
      <c r="V765" s="39"/>
      <c r="W765" s="39"/>
      <c r="X765" s="39"/>
      <c r="Y765" s="39"/>
      <c r="Z765" s="39"/>
      <c r="AA765" s="39"/>
      <c r="AB765" s="39"/>
    </row>
    <row r="766">
      <c r="A766" s="1"/>
      <c r="B766" s="36"/>
      <c r="C766" s="36"/>
      <c r="D766" s="36"/>
      <c r="E766" s="36"/>
      <c r="F766" s="36"/>
      <c r="G766" s="36"/>
      <c r="H766" s="37"/>
      <c r="I766" s="36"/>
      <c r="J766" s="38"/>
      <c r="K766" s="38"/>
      <c r="L766" s="39"/>
      <c r="M766" s="39"/>
      <c r="N766" s="39"/>
      <c r="O766" s="39"/>
      <c r="P766" s="39"/>
      <c r="Q766" s="39"/>
      <c r="R766" s="39"/>
      <c r="S766" s="39"/>
      <c r="T766" s="39"/>
      <c r="U766" s="39"/>
      <c r="V766" s="39"/>
      <c r="W766" s="39"/>
      <c r="X766" s="39"/>
      <c r="Y766" s="39"/>
      <c r="Z766" s="39"/>
      <c r="AA766" s="39"/>
      <c r="AB766" s="39"/>
    </row>
    <row r="767">
      <c r="A767" s="1"/>
      <c r="B767" s="36"/>
      <c r="C767" s="36"/>
      <c r="D767" s="36"/>
      <c r="E767" s="36"/>
      <c r="F767" s="36"/>
      <c r="G767" s="36"/>
      <c r="H767" s="37"/>
      <c r="I767" s="36"/>
      <c r="J767" s="38"/>
      <c r="K767" s="38"/>
      <c r="L767" s="39"/>
      <c r="M767" s="39"/>
      <c r="N767" s="39"/>
      <c r="O767" s="39"/>
      <c r="P767" s="39"/>
      <c r="Q767" s="39"/>
      <c r="R767" s="39"/>
      <c r="S767" s="39"/>
      <c r="T767" s="39"/>
      <c r="U767" s="39"/>
      <c r="V767" s="39"/>
      <c r="W767" s="39"/>
      <c r="X767" s="39"/>
      <c r="Y767" s="39"/>
      <c r="Z767" s="39"/>
      <c r="AA767" s="39"/>
      <c r="AB767" s="39"/>
    </row>
    <row r="768">
      <c r="A768" s="1"/>
      <c r="B768" s="36"/>
      <c r="C768" s="36"/>
      <c r="D768" s="36"/>
      <c r="E768" s="36"/>
      <c r="F768" s="36"/>
      <c r="G768" s="36"/>
      <c r="H768" s="37"/>
      <c r="I768" s="36"/>
      <c r="J768" s="38"/>
      <c r="K768" s="38"/>
      <c r="L768" s="39"/>
      <c r="M768" s="39"/>
      <c r="N768" s="39"/>
      <c r="O768" s="39"/>
      <c r="P768" s="39"/>
      <c r="Q768" s="39"/>
      <c r="R768" s="39"/>
      <c r="S768" s="39"/>
      <c r="T768" s="39"/>
      <c r="U768" s="39"/>
      <c r="V768" s="39"/>
      <c r="W768" s="39"/>
      <c r="X768" s="39"/>
      <c r="Y768" s="39"/>
      <c r="Z768" s="39"/>
      <c r="AA768" s="39"/>
      <c r="AB768" s="39"/>
    </row>
    <row r="769">
      <c r="A769" s="1"/>
      <c r="B769" s="36"/>
      <c r="C769" s="36"/>
      <c r="D769" s="36"/>
      <c r="E769" s="36"/>
      <c r="F769" s="36"/>
      <c r="G769" s="36"/>
      <c r="H769" s="37"/>
      <c r="I769" s="36"/>
      <c r="J769" s="38"/>
      <c r="K769" s="38"/>
      <c r="L769" s="39"/>
      <c r="M769" s="39"/>
      <c r="N769" s="39"/>
      <c r="O769" s="39"/>
      <c r="P769" s="39"/>
      <c r="Q769" s="39"/>
      <c r="R769" s="39"/>
      <c r="S769" s="39"/>
      <c r="T769" s="39"/>
      <c r="U769" s="39"/>
      <c r="V769" s="39"/>
      <c r="W769" s="39"/>
      <c r="X769" s="39"/>
      <c r="Y769" s="39"/>
      <c r="Z769" s="39"/>
      <c r="AA769" s="39"/>
      <c r="AB769" s="39"/>
    </row>
    <row r="770">
      <c r="A770" s="1"/>
      <c r="B770" s="36"/>
      <c r="C770" s="36"/>
      <c r="D770" s="36"/>
      <c r="E770" s="36"/>
      <c r="F770" s="36"/>
      <c r="G770" s="36"/>
      <c r="H770" s="37"/>
      <c r="I770" s="36"/>
      <c r="J770" s="38"/>
      <c r="K770" s="38"/>
      <c r="L770" s="39"/>
      <c r="M770" s="39"/>
      <c r="N770" s="39"/>
      <c r="O770" s="39"/>
      <c r="P770" s="39"/>
      <c r="Q770" s="39"/>
      <c r="R770" s="39"/>
      <c r="S770" s="39"/>
      <c r="T770" s="39"/>
      <c r="U770" s="39"/>
      <c r="V770" s="39"/>
      <c r="W770" s="39"/>
      <c r="X770" s="39"/>
      <c r="Y770" s="39"/>
      <c r="Z770" s="39"/>
      <c r="AA770" s="39"/>
      <c r="AB770" s="39"/>
    </row>
    <row r="771">
      <c r="A771" s="1"/>
      <c r="B771" s="36"/>
      <c r="C771" s="36"/>
      <c r="D771" s="36"/>
      <c r="E771" s="36"/>
      <c r="F771" s="36"/>
      <c r="G771" s="36"/>
      <c r="H771" s="37"/>
      <c r="I771" s="36"/>
      <c r="J771" s="38"/>
      <c r="K771" s="38"/>
      <c r="L771" s="39"/>
      <c r="M771" s="39"/>
      <c r="N771" s="39"/>
      <c r="O771" s="39"/>
      <c r="P771" s="39"/>
      <c r="Q771" s="39"/>
      <c r="R771" s="39"/>
      <c r="S771" s="39"/>
      <c r="T771" s="39"/>
      <c r="U771" s="39"/>
      <c r="V771" s="39"/>
      <c r="W771" s="39"/>
      <c r="X771" s="39"/>
      <c r="Y771" s="39"/>
      <c r="Z771" s="39"/>
      <c r="AA771" s="39"/>
      <c r="AB771" s="39"/>
    </row>
    <row r="772">
      <c r="A772" s="1"/>
      <c r="B772" s="36"/>
      <c r="C772" s="36"/>
      <c r="D772" s="36"/>
      <c r="E772" s="36"/>
      <c r="F772" s="36"/>
      <c r="G772" s="36"/>
      <c r="H772" s="37"/>
      <c r="I772" s="36"/>
      <c r="J772" s="38"/>
      <c r="K772" s="38"/>
      <c r="L772" s="39"/>
      <c r="M772" s="39"/>
      <c r="N772" s="39"/>
      <c r="O772" s="39"/>
      <c r="P772" s="39"/>
      <c r="Q772" s="39"/>
      <c r="R772" s="39"/>
      <c r="S772" s="39"/>
      <c r="T772" s="39"/>
      <c r="U772" s="39"/>
      <c r="V772" s="39"/>
      <c r="W772" s="39"/>
      <c r="X772" s="39"/>
      <c r="Y772" s="39"/>
      <c r="Z772" s="39"/>
      <c r="AA772" s="39"/>
      <c r="AB772" s="39"/>
    </row>
    <row r="773">
      <c r="A773" s="1"/>
      <c r="B773" s="36"/>
      <c r="C773" s="36"/>
      <c r="D773" s="36"/>
      <c r="E773" s="36"/>
      <c r="F773" s="36"/>
      <c r="G773" s="36"/>
      <c r="H773" s="37"/>
      <c r="I773" s="36"/>
      <c r="J773" s="38"/>
      <c r="K773" s="38"/>
      <c r="L773" s="39"/>
      <c r="M773" s="39"/>
      <c r="N773" s="39"/>
      <c r="O773" s="39"/>
      <c r="P773" s="39"/>
      <c r="Q773" s="39"/>
      <c r="R773" s="39"/>
      <c r="S773" s="39"/>
      <c r="T773" s="39"/>
      <c r="U773" s="39"/>
      <c r="V773" s="39"/>
      <c r="W773" s="39"/>
      <c r="X773" s="39"/>
      <c r="Y773" s="39"/>
      <c r="Z773" s="39"/>
      <c r="AA773" s="39"/>
      <c r="AB773" s="39"/>
    </row>
    <row r="774">
      <c r="A774" s="1"/>
      <c r="B774" s="36"/>
      <c r="C774" s="36"/>
      <c r="D774" s="36"/>
      <c r="E774" s="36"/>
      <c r="F774" s="36"/>
      <c r="G774" s="36"/>
      <c r="H774" s="37"/>
      <c r="I774" s="36"/>
      <c r="J774" s="38"/>
      <c r="K774" s="38"/>
      <c r="L774" s="39"/>
      <c r="M774" s="39"/>
      <c r="N774" s="39"/>
      <c r="O774" s="39"/>
      <c r="P774" s="39"/>
      <c r="Q774" s="39"/>
      <c r="R774" s="39"/>
      <c r="S774" s="39"/>
      <c r="T774" s="39"/>
      <c r="U774" s="39"/>
      <c r="V774" s="39"/>
      <c r="W774" s="39"/>
      <c r="X774" s="39"/>
      <c r="Y774" s="39"/>
      <c r="Z774" s="39"/>
      <c r="AA774" s="39"/>
      <c r="AB774" s="39"/>
    </row>
    <row r="775">
      <c r="A775" s="1"/>
      <c r="B775" s="36"/>
      <c r="C775" s="36"/>
      <c r="D775" s="36"/>
      <c r="E775" s="36"/>
      <c r="F775" s="36"/>
      <c r="G775" s="36"/>
      <c r="H775" s="37"/>
      <c r="I775" s="36"/>
      <c r="J775" s="38"/>
      <c r="K775" s="38"/>
      <c r="L775" s="39"/>
      <c r="M775" s="39"/>
      <c r="N775" s="39"/>
      <c r="O775" s="39"/>
      <c r="P775" s="39"/>
      <c r="Q775" s="39"/>
      <c r="R775" s="39"/>
      <c r="S775" s="39"/>
      <c r="T775" s="39"/>
      <c r="U775" s="39"/>
      <c r="V775" s="39"/>
      <c r="W775" s="39"/>
      <c r="X775" s="39"/>
      <c r="Y775" s="39"/>
      <c r="Z775" s="39"/>
      <c r="AA775" s="39"/>
      <c r="AB775" s="39"/>
    </row>
    <row r="776">
      <c r="A776" s="1"/>
      <c r="B776" s="36"/>
      <c r="C776" s="36"/>
      <c r="D776" s="36"/>
      <c r="E776" s="36"/>
      <c r="F776" s="36"/>
      <c r="G776" s="36"/>
      <c r="H776" s="37"/>
      <c r="I776" s="36"/>
      <c r="J776" s="38"/>
      <c r="K776" s="38"/>
      <c r="L776" s="39"/>
      <c r="M776" s="39"/>
      <c r="N776" s="39"/>
      <c r="O776" s="39"/>
      <c r="P776" s="39"/>
      <c r="Q776" s="39"/>
      <c r="R776" s="39"/>
      <c r="S776" s="39"/>
      <c r="T776" s="39"/>
      <c r="U776" s="39"/>
      <c r="V776" s="39"/>
      <c r="W776" s="39"/>
      <c r="X776" s="39"/>
      <c r="Y776" s="39"/>
      <c r="Z776" s="39"/>
      <c r="AA776" s="39"/>
      <c r="AB776" s="39"/>
    </row>
    <row r="777">
      <c r="A777" s="1"/>
      <c r="B777" s="36"/>
      <c r="C777" s="36"/>
      <c r="D777" s="36"/>
      <c r="E777" s="36"/>
      <c r="F777" s="36"/>
      <c r="G777" s="36"/>
      <c r="H777" s="37"/>
      <c r="I777" s="36"/>
      <c r="J777" s="38"/>
      <c r="K777" s="38"/>
      <c r="L777" s="39"/>
      <c r="M777" s="39"/>
      <c r="N777" s="39"/>
      <c r="O777" s="39"/>
      <c r="P777" s="39"/>
      <c r="Q777" s="39"/>
      <c r="R777" s="39"/>
      <c r="S777" s="39"/>
      <c r="T777" s="39"/>
      <c r="U777" s="39"/>
      <c r="V777" s="39"/>
      <c r="W777" s="39"/>
      <c r="X777" s="39"/>
      <c r="Y777" s="39"/>
      <c r="Z777" s="39"/>
      <c r="AA777" s="39"/>
      <c r="AB777" s="39"/>
    </row>
    <row r="778">
      <c r="A778" s="1"/>
      <c r="B778" s="36"/>
      <c r="C778" s="36"/>
      <c r="D778" s="36"/>
      <c r="E778" s="36"/>
      <c r="F778" s="36"/>
      <c r="G778" s="36"/>
      <c r="H778" s="37"/>
      <c r="I778" s="36"/>
      <c r="J778" s="38"/>
      <c r="K778" s="38"/>
      <c r="L778" s="39"/>
      <c r="M778" s="39"/>
      <c r="N778" s="39"/>
      <c r="O778" s="39"/>
      <c r="P778" s="39"/>
      <c r="Q778" s="39"/>
      <c r="R778" s="39"/>
      <c r="S778" s="39"/>
      <c r="T778" s="39"/>
      <c r="U778" s="39"/>
      <c r="V778" s="39"/>
      <c r="W778" s="39"/>
      <c r="X778" s="39"/>
      <c r="Y778" s="39"/>
      <c r="Z778" s="39"/>
      <c r="AA778" s="39"/>
      <c r="AB778" s="39"/>
    </row>
    <row r="779">
      <c r="A779" s="1"/>
      <c r="B779" s="36"/>
      <c r="C779" s="36"/>
      <c r="D779" s="36"/>
      <c r="E779" s="36"/>
      <c r="F779" s="36"/>
      <c r="G779" s="36"/>
      <c r="H779" s="37"/>
      <c r="I779" s="36"/>
      <c r="J779" s="38"/>
      <c r="K779" s="38"/>
      <c r="L779" s="39"/>
      <c r="M779" s="39"/>
      <c r="N779" s="39"/>
      <c r="O779" s="39"/>
      <c r="P779" s="39"/>
      <c r="Q779" s="39"/>
      <c r="R779" s="39"/>
      <c r="S779" s="39"/>
      <c r="T779" s="39"/>
      <c r="U779" s="39"/>
      <c r="V779" s="39"/>
      <c r="W779" s="39"/>
      <c r="X779" s="39"/>
      <c r="Y779" s="39"/>
      <c r="Z779" s="39"/>
      <c r="AA779" s="39"/>
      <c r="AB779" s="39"/>
    </row>
    <row r="780">
      <c r="A780" s="1"/>
      <c r="B780" s="36"/>
      <c r="C780" s="36"/>
      <c r="D780" s="36"/>
      <c r="E780" s="36"/>
      <c r="F780" s="36"/>
      <c r="G780" s="36"/>
      <c r="H780" s="37"/>
      <c r="I780" s="36"/>
      <c r="J780" s="38"/>
      <c r="K780" s="38"/>
      <c r="L780" s="39"/>
      <c r="M780" s="39"/>
      <c r="N780" s="39"/>
      <c r="O780" s="39"/>
      <c r="P780" s="39"/>
      <c r="Q780" s="39"/>
      <c r="R780" s="39"/>
      <c r="S780" s="39"/>
      <c r="T780" s="39"/>
      <c r="U780" s="39"/>
      <c r="V780" s="39"/>
      <c r="W780" s="39"/>
      <c r="X780" s="39"/>
      <c r="Y780" s="39"/>
      <c r="Z780" s="39"/>
      <c r="AA780" s="39"/>
      <c r="AB780" s="39"/>
    </row>
    <row r="781">
      <c r="A781" s="1"/>
      <c r="B781" s="36"/>
      <c r="C781" s="36"/>
      <c r="D781" s="36"/>
      <c r="E781" s="36"/>
      <c r="F781" s="36"/>
      <c r="G781" s="36"/>
      <c r="H781" s="37"/>
      <c r="I781" s="36"/>
      <c r="J781" s="38"/>
      <c r="K781" s="38"/>
      <c r="L781" s="39"/>
      <c r="M781" s="39"/>
      <c r="N781" s="39"/>
      <c r="O781" s="39"/>
      <c r="P781" s="39"/>
      <c r="Q781" s="39"/>
      <c r="R781" s="39"/>
      <c r="S781" s="39"/>
      <c r="T781" s="39"/>
      <c r="U781" s="39"/>
      <c r="V781" s="39"/>
      <c r="W781" s="39"/>
      <c r="X781" s="39"/>
      <c r="Y781" s="39"/>
      <c r="Z781" s="39"/>
      <c r="AA781" s="39"/>
      <c r="AB781" s="39"/>
    </row>
    <row r="782">
      <c r="A782" s="1"/>
      <c r="B782" s="36"/>
      <c r="C782" s="36"/>
      <c r="D782" s="36"/>
      <c r="E782" s="36"/>
      <c r="F782" s="36"/>
      <c r="G782" s="36"/>
      <c r="H782" s="37"/>
      <c r="I782" s="36"/>
      <c r="J782" s="38"/>
      <c r="K782" s="38"/>
      <c r="L782" s="39"/>
      <c r="M782" s="39"/>
      <c r="N782" s="39"/>
      <c r="O782" s="39"/>
      <c r="P782" s="39"/>
      <c r="Q782" s="39"/>
      <c r="R782" s="39"/>
      <c r="S782" s="39"/>
      <c r="T782" s="39"/>
      <c r="U782" s="39"/>
      <c r="V782" s="39"/>
      <c r="W782" s="39"/>
      <c r="X782" s="39"/>
      <c r="Y782" s="39"/>
      <c r="Z782" s="39"/>
      <c r="AA782" s="39"/>
      <c r="AB782" s="39"/>
    </row>
    <row r="783">
      <c r="A783" s="1"/>
      <c r="B783" s="36"/>
      <c r="C783" s="36"/>
      <c r="D783" s="36"/>
      <c r="E783" s="36"/>
      <c r="F783" s="36"/>
      <c r="G783" s="36"/>
      <c r="H783" s="37"/>
      <c r="I783" s="36"/>
      <c r="J783" s="38"/>
      <c r="K783" s="38"/>
      <c r="L783" s="39"/>
      <c r="M783" s="39"/>
      <c r="N783" s="39"/>
      <c r="O783" s="39"/>
      <c r="P783" s="39"/>
      <c r="Q783" s="39"/>
      <c r="R783" s="39"/>
      <c r="S783" s="39"/>
      <c r="T783" s="39"/>
      <c r="U783" s="39"/>
      <c r="V783" s="39"/>
      <c r="W783" s="39"/>
      <c r="X783" s="39"/>
      <c r="Y783" s="39"/>
      <c r="Z783" s="39"/>
      <c r="AA783" s="39"/>
      <c r="AB783" s="39"/>
    </row>
    <row r="784">
      <c r="A784" s="1"/>
      <c r="B784" s="36"/>
      <c r="C784" s="36"/>
      <c r="D784" s="36"/>
      <c r="E784" s="36"/>
      <c r="F784" s="36"/>
      <c r="G784" s="36"/>
      <c r="H784" s="37"/>
      <c r="I784" s="36"/>
      <c r="J784" s="38"/>
      <c r="K784" s="38"/>
      <c r="L784" s="39"/>
      <c r="M784" s="39"/>
      <c r="N784" s="39"/>
      <c r="O784" s="39"/>
      <c r="P784" s="39"/>
      <c r="Q784" s="39"/>
      <c r="R784" s="39"/>
      <c r="S784" s="39"/>
      <c r="T784" s="39"/>
      <c r="U784" s="39"/>
      <c r="V784" s="39"/>
      <c r="W784" s="39"/>
      <c r="X784" s="39"/>
      <c r="Y784" s="39"/>
      <c r="Z784" s="39"/>
      <c r="AA784" s="39"/>
      <c r="AB784" s="39"/>
    </row>
    <row r="785">
      <c r="A785" s="1"/>
      <c r="B785" s="36"/>
      <c r="C785" s="36"/>
      <c r="D785" s="36"/>
      <c r="E785" s="36"/>
      <c r="F785" s="36"/>
      <c r="G785" s="36"/>
      <c r="H785" s="37"/>
      <c r="I785" s="36"/>
      <c r="J785" s="38"/>
      <c r="K785" s="38"/>
      <c r="L785" s="39"/>
      <c r="M785" s="39"/>
      <c r="N785" s="39"/>
      <c r="O785" s="39"/>
      <c r="P785" s="39"/>
      <c r="Q785" s="39"/>
      <c r="R785" s="39"/>
      <c r="S785" s="39"/>
      <c r="T785" s="39"/>
      <c r="U785" s="39"/>
      <c r="V785" s="39"/>
      <c r="W785" s="39"/>
      <c r="X785" s="39"/>
      <c r="Y785" s="39"/>
      <c r="Z785" s="39"/>
      <c r="AA785" s="39"/>
      <c r="AB785" s="39"/>
    </row>
    <row r="786">
      <c r="A786" s="1"/>
      <c r="B786" s="36"/>
      <c r="C786" s="36"/>
      <c r="D786" s="36"/>
      <c r="E786" s="36"/>
      <c r="F786" s="36"/>
      <c r="G786" s="36"/>
      <c r="H786" s="37"/>
      <c r="I786" s="36"/>
      <c r="J786" s="38"/>
      <c r="K786" s="38"/>
      <c r="L786" s="39"/>
      <c r="M786" s="39"/>
      <c r="N786" s="39"/>
      <c r="O786" s="39"/>
      <c r="P786" s="39"/>
      <c r="Q786" s="39"/>
      <c r="R786" s="39"/>
      <c r="S786" s="39"/>
      <c r="T786" s="39"/>
      <c r="U786" s="39"/>
      <c r="V786" s="39"/>
      <c r="W786" s="39"/>
      <c r="X786" s="39"/>
      <c r="Y786" s="39"/>
      <c r="Z786" s="39"/>
      <c r="AA786" s="39"/>
      <c r="AB786" s="39"/>
    </row>
    <row r="787">
      <c r="A787" s="1"/>
      <c r="B787" s="36"/>
      <c r="C787" s="36"/>
      <c r="D787" s="36"/>
      <c r="E787" s="36"/>
      <c r="F787" s="36"/>
      <c r="G787" s="36"/>
      <c r="H787" s="37"/>
      <c r="I787" s="36"/>
      <c r="J787" s="38"/>
      <c r="K787" s="38"/>
      <c r="L787" s="39"/>
      <c r="M787" s="39"/>
      <c r="N787" s="39"/>
      <c r="O787" s="39"/>
      <c r="P787" s="39"/>
      <c r="Q787" s="39"/>
      <c r="R787" s="39"/>
      <c r="S787" s="39"/>
      <c r="T787" s="39"/>
      <c r="U787" s="39"/>
      <c r="V787" s="39"/>
      <c r="W787" s="39"/>
      <c r="X787" s="39"/>
      <c r="Y787" s="39"/>
      <c r="Z787" s="39"/>
      <c r="AA787" s="39"/>
      <c r="AB787" s="39"/>
    </row>
    <row r="788">
      <c r="A788" s="1"/>
      <c r="B788" s="36"/>
      <c r="C788" s="36"/>
      <c r="D788" s="36"/>
      <c r="E788" s="36"/>
      <c r="F788" s="36"/>
      <c r="G788" s="36"/>
      <c r="H788" s="37"/>
      <c r="I788" s="36"/>
      <c r="J788" s="38"/>
      <c r="K788" s="38"/>
      <c r="L788" s="39"/>
      <c r="M788" s="39"/>
      <c r="N788" s="39"/>
      <c r="O788" s="39"/>
      <c r="P788" s="39"/>
      <c r="Q788" s="39"/>
      <c r="R788" s="39"/>
      <c r="S788" s="39"/>
      <c r="T788" s="39"/>
      <c r="U788" s="39"/>
      <c r="V788" s="39"/>
      <c r="W788" s="39"/>
      <c r="X788" s="39"/>
      <c r="Y788" s="39"/>
      <c r="Z788" s="39"/>
      <c r="AA788" s="39"/>
      <c r="AB788" s="39"/>
    </row>
    <row r="789">
      <c r="A789" s="1"/>
      <c r="B789" s="36"/>
      <c r="C789" s="36"/>
      <c r="D789" s="36"/>
      <c r="E789" s="36"/>
      <c r="F789" s="36"/>
      <c r="G789" s="36"/>
      <c r="H789" s="37"/>
      <c r="I789" s="36"/>
      <c r="J789" s="38"/>
      <c r="K789" s="38"/>
      <c r="L789" s="39"/>
      <c r="M789" s="39"/>
      <c r="N789" s="39"/>
      <c r="O789" s="39"/>
      <c r="P789" s="39"/>
      <c r="Q789" s="39"/>
      <c r="R789" s="39"/>
      <c r="S789" s="39"/>
      <c r="T789" s="39"/>
      <c r="U789" s="39"/>
      <c r="V789" s="39"/>
      <c r="W789" s="39"/>
      <c r="X789" s="39"/>
      <c r="Y789" s="39"/>
      <c r="Z789" s="39"/>
      <c r="AA789" s="39"/>
      <c r="AB789" s="39"/>
    </row>
    <row r="790">
      <c r="A790" s="1"/>
      <c r="B790" s="36"/>
      <c r="C790" s="36"/>
      <c r="D790" s="36"/>
      <c r="E790" s="36"/>
      <c r="F790" s="36"/>
      <c r="G790" s="36"/>
      <c r="H790" s="37"/>
      <c r="I790" s="36"/>
      <c r="J790" s="38"/>
      <c r="K790" s="38"/>
      <c r="L790" s="39"/>
      <c r="M790" s="39"/>
      <c r="N790" s="39"/>
      <c r="O790" s="39"/>
      <c r="P790" s="39"/>
      <c r="Q790" s="39"/>
      <c r="R790" s="39"/>
      <c r="S790" s="39"/>
      <c r="T790" s="39"/>
      <c r="U790" s="39"/>
      <c r="V790" s="39"/>
      <c r="W790" s="39"/>
      <c r="X790" s="39"/>
      <c r="Y790" s="39"/>
      <c r="Z790" s="39"/>
      <c r="AA790" s="39"/>
      <c r="AB790" s="39"/>
    </row>
    <row r="791">
      <c r="A791" s="1"/>
      <c r="B791" s="36"/>
      <c r="C791" s="36"/>
      <c r="D791" s="36"/>
      <c r="E791" s="36"/>
      <c r="F791" s="36"/>
      <c r="G791" s="36"/>
      <c r="H791" s="37"/>
      <c r="I791" s="36"/>
      <c r="J791" s="38"/>
      <c r="K791" s="38"/>
      <c r="L791" s="39"/>
      <c r="M791" s="39"/>
      <c r="N791" s="39"/>
      <c r="O791" s="39"/>
      <c r="P791" s="39"/>
      <c r="Q791" s="39"/>
      <c r="R791" s="39"/>
      <c r="S791" s="39"/>
      <c r="T791" s="39"/>
      <c r="U791" s="39"/>
      <c r="V791" s="39"/>
      <c r="W791" s="39"/>
      <c r="X791" s="39"/>
      <c r="Y791" s="39"/>
      <c r="Z791" s="39"/>
      <c r="AA791" s="39"/>
      <c r="AB791" s="39"/>
    </row>
    <row r="792">
      <c r="A792" s="1"/>
      <c r="B792" s="36"/>
      <c r="C792" s="36"/>
      <c r="D792" s="36"/>
      <c r="E792" s="36"/>
      <c r="F792" s="36"/>
      <c r="G792" s="36"/>
      <c r="H792" s="37"/>
      <c r="I792" s="36"/>
      <c r="J792" s="38"/>
      <c r="K792" s="38"/>
      <c r="L792" s="39"/>
      <c r="M792" s="39"/>
      <c r="N792" s="39"/>
      <c r="O792" s="39"/>
      <c r="P792" s="39"/>
      <c r="Q792" s="39"/>
      <c r="R792" s="39"/>
      <c r="S792" s="39"/>
      <c r="T792" s="39"/>
      <c r="U792" s="39"/>
      <c r="V792" s="39"/>
      <c r="W792" s="39"/>
      <c r="X792" s="39"/>
      <c r="Y792" s="39"/>
      <c r="Z792" s="39"/>
      <c r="AA792" s="39"/>
      <c r="AB792" s="39"/>
    </row>
    <row r="793">
      <c r="A793" s="1"/>
      <c r="B793" s="36"/>
      <c r="C793" s="36"/>
      <c r="D793" s="36"/>
      <c r="E793" s="36"/>
      <c r="F793" s="36"/>
      <c r="G793" s="36"/>
      <c r="H793" s="37"/>
      <c r="I793" s="36"/>
      <c r="J793" s="38"/>
      <c r="K793" s="38"/>
      <c r="L793" s="39"/>
      <c r="M793" s="39"/>
      <c r="N793" s="39"/>
      <c r="O793" s="39"/>
      <c r="P793" s="39"/>
      <c r="Q793" s="39"/>
      <c r="R793" s="39"/>
      <c r="S793" s="39"/>
      <c r="T793" s="39"/>
      <c r="U793" s="39"/>
      <c r="V793" s="39"/>
      <c r="W793" s="39"/>
      <c r="X793" s="39"/>
      <c r="Y793" s="39"/>
      <c r="Z793" s="39"/>
      <c r="AA793" s="39"/>
      <c r="AB793" s="39"/>
    </row>
    <row r="794">
      <c r="A794" s="1"/>
      <c r="B794" s="36"/>
      <c r="C794" s="36"/>
      <c r="D794" s="36"/>
      <c r="E794" s="36"/>
      <c r="F794" s="36"/>
      <c r="G794" s="36"/>
      <c r="H794" s="37"/>
      <c r="I794" s="36"/>
      <c r="J794" s="38"/>
      <c r="K794" s="38"/>
      <c r="L794" s="39"/>
      <c r="M794" s="39"/>
      <c r="N794" s="39"/>
      <c r="O794" s="39"/>
      <c r="P794" s="39"/>
      <c r="Q794" s="39"/>
      <c r="R794" s="39"/>
      <c r="S794" s="39"/>
      <c r="T794" s="39"/>
      <c r="U794" s="39"/>
      <c r="V794" s="39"/>
      <c r="W794" s="39"/>
      <c r="X794" s="39"/>
      <c r="Y794" s="39"/>
      <c r="Z794" s="39"/>
      <c r="AA794" s="39"/>
      <c r="AB794" s="39"/>
    </row>
    <row r="795">
      <c r="A795" s="1"/>
      <c r="B795" s="36"/>
      <c r="C795" s="36"/>
      <c r="D795" s="36"/>
      <c r="E795" s="36"/>
      <c r="F795" s="36"/>
      <c r="G795" s="36"/>
      <c r="H795" s="37"/>
      <c r="I795" s="36"/>
      <c r="J795" s="38"/>
      <c r="K795" s="38"/>
      <c r="L795" s="39"/>
      <c r="M795" s="39"/>
      <c r="N795" s="39"/>
      <c r="O795" s="39"/>
      <c r="P795" s="39"/>
      <c r="Q795" s="39"/>
      <c r="R795" s="39"/>
      <c r="S795" s="39"/>
      <c r="T795" s="39"/>
      <c r="U795" s="39"/>
      <c r="V795" s="39"/>
      <c r="W795" s="39"/>
      <c r="X795" s="39"/>
      <c r="Y795" s="39"/>
      <c r="Z795" s="39"/>
      <c r="AA795" s="39"/>
      <c r="AB795" s="39"/>
    </row>
    <row r="796">
      <c r="A796" s="1"/>
      <c r="B796" s="36"/>
      <c r="C796" s="36"/>
      <c r="D796" s="36"/>
      <c r="E796" s="36"/>
      <c r="F796" s="36"/>
      <c r="G796" s="36"/>
      <c r="H796" s="37"/>
      <c r="I796" s="36"/>
      <c r="J796" s="38"/>
      <c r="K796" s="38"/>
      <c r="L796" s="39"/>
      <c r="M796" s="39"/>
      <c r="N796" s="39"/>
      <c r="O796" s="39"/>
      <c r="P796" s="39"/>
      <c r="Q796" s="39"/>
      <c r="R796" s="39"/>
      <c r="S796" s="39"/>
      <c r="T796" s="39"/>
      <c r="U796" s="39"/>
      <c r="V796" s="39"/>
      <c r="W796" s="39"/>
      <c r="X796" s="39"/>
      <c r="Y796" s="39"/>
      <c r="Z796" s="39"/>
      <c r="AA796" s="39"/>
      <c r="AB796" s="39"/>
    </row>
    <row r="797">
      <c r="A797" s="1"/>
      <c r="B797" s="36"/>
      <c r="C797" s="36"/>
      <c r="D797" s="36"/>
      <c r="E797" s="36"/>
      <c r="F797" s="36"/>
      <c r="G797" s="36"/>
      <c r="H797" s="37"/>
      <c r="I797" s="36"/>
      <c r="J797" s="38"/>
      <c r="K797" s="38"/>
      <c r="L797" s="39"/>
      <c r="M797" s="39"/>
      <c r="N797" s="39"/>
      <c r="O797" s="39"/>
      <c r="P797" s="39"/>
      <c r="Q797" s="39"/>
      <c r="R797" s="39"/>
      <c r="S797" s="39"/>
      <c r="T797" s="39"/>
      <c r="U797" s="39"/>
      <c r="V797" s="39"/>
      <c r="W797" s="39"/>
      <c r="X797" s="39"/>
      <c r="Y797" s="39"/>
      <c r="Z797" s="39"/>
      <c r="AA797" s="39"/>
      <c r="AB797" s="39"/>
    </row>
    <row r="798">
      <c r="A798" s="1"/>
      <c r="B798" s="36"/>
      <c r="C798" s="36"/>
      <c r="D798" s="36"/>
      <c r="E798" s="36"/>
      <c r="F798" s="36"/>
      <c r="G798" s="36"/>
      <c r="H798" s="37"/>
      <c r="I798" s="36"/>
      <c r="J798" s="38"/>
      <c r="K798" s="38"/>
      <c r="L798" s="39"/>
      <c r="M798" s="39"/>
      <c r="N798" s="39"/>
      <c r="O798" s="39"/>
      <c r="P798" s="39"/>
      <c r="Q798" s="39"/>
      <c r="R798" s="39"/>
      <c r="S798" s="39"/>
      <c r="T798" s="39"/>
      <c r="U798" s="39"/>
      <c r="V798" s="39"/>
      <c r="W798" s="39"/>
      <c r="X798" s="39"/>
      <c r="Y798" s="39"/>
      <c r="Z798" s="39"/>
      <c r="AA798" s="39"/>
      <c r="AB798" s="39"/>
    </row>
    <row r="799">
      <c r="A799" s="1"/>
      <c r="B799" s="36"/>
      <c r="C799" s="36"/>
      <c r="D799" s="36"/>
      <c r="E799" s="36"/>
      <c r="F799" s="36"/>
      <c r="G799" s="36"/>
      <c r="H799" s="37"/>
      <c r="I799" s="36"/>
      <c r="J799" s="38"/>
      <c r="K799" s="38"/>
      <c r="L799" s="39"/>
      <c r="M799" s="39"/>
      <c r="N799" s="39"/>
      <c r="O799" s="39"/>
      <c r="P799" s="39"/>
      <c r="Q799" s="39"/>
      <c r="R799" s="39"/>
      <c r="S799" s="39"/>
      <c r="T799" s="39"/>
      <c r="U799" s="39"/>
      <c r="V799" s="39"/>
      <c r="W799" s="39"/>
      <c r="X799" s="39"/>
      <c r="Y799" s="39"/>
      <c r="Z799" s="39"/>
      <c r="AA799" s="39"/>
      <c r="AB799" s="39"/>
    </row>
    <row r="800">
      <c r="A800" s="1"/>
      <c r="B800" s="36"/>
      <c r="C800" s="36"/>
      <c r="D800" s="36"/>
      <c r="E800" s="36"/>
      <c r="F800" s="36"/>
      <c r="G800" s="36"/>
      <c r="H800" s="37"/>
      <c r="I800" s="36"/>
      <c r="J800" s="38"/>
      <c r="K800" s="38"/>
      <c r="L800" s="39"/>
      <c r="M800" s="39"/>
      <c r="N800" s="39"/>
      <c r="O800" s="39"/>
      <c r="P800" s="39"/>
      <c r="Q800" s="39"/>
      <c r="R800" s="39"/>
      <c r="S800" s="39"/>
      <c r="T800" s="39"/>
      <c r="U800" s="39"/>
      <c r="V800" s="39"/>
      <c r="W800" s="39"/>
      <c r="X800" s="39"/>
      <c r="Y800" s="39"/>
      <c r="Z800" s="39"/>
      <c r="AA800" s="39"/>
      <c r="AB800" s="39"/>
    </row>
    <row r="801">
      <c r="A801" s="1"/>
      <c r="B801" s="36"/>
      <c r="C801" s="36"/>
      <c r="D801" s="36"/>
      <c r="E801" s="36"/>
      <c r="F801" s="36"/>
      <c r="G801" s="36"/>
      <c r="H801" s="37"/>
      <c r="I801" s="36"/>
      <c r="J801" s="38"/>
      <c r="K801" s="38"/>
      <c r="L801" s="39"/>
      <c r="M801" s="39"/>
      <c r="N801" s="39"/>
      <c r="O801" s="39"/>
      <c r="P801" s="39"/>
      <c r="Q801" s="39"/>
      <c r="R801" s="39"/>
      <c r="S801" s="39"/>
      <c r="T801" s="39"/>
      <c r="U801" s="39"/>
      <c r="V801" s="39"/>
      <c r="W801" s="39"/>
      <c r="X801" s="39"/>
      <c r="Y801" s="39"/>
      <c r="Z801" s="39"/>
      <c r="AA801" s="39"/>
      <c r="AB801" s="39"/>
    </row>
    <row r="802">
      <c r="A802" s="1"/>
      <c r="B802" s="36"/>
      <c r="C802" s="36"/>
      <c r="D802" s="36"/>
      <c r="E802" s="36"/>
      <c r="F802" s="36"/>
      <c r="G802" s="36"/>
      <c r="H802" s="37"/>
      <c r="I802" s="36"/>
      <c r="J802" s="38"/>
      <c r="K802" s="38"/>
      <c r="L802" s="39"/>
      <c r="M802" s="39"/>
      <c r="N802" s="39"/>
      <c r="O802" s="39"/>
      <c r="P802" s="39"/>
      <c r="Q802" s="39"/>
      <c r="R802" s="39"/>
      <c r="S802" s="39"/>
      <c r="T802" s="39"/>
      <c r="U802" s="39"/>
      <c r="V802" s="39"/>
      <c r="W802" s="39"/>
      <c r="X802" s="39"/>
      <c r="Y802" s="39"/>
      <c r="Z802" s="39"/>
      <c r="AA802" s="39"/>
      <c r="AB802" s="39"/>
    </row>
    <row r="803">
      <c r="A803" s="1"/>
      <c r="B803" s="36"/>
      <c r="C803" s="36"/>
      <c r="D803" s="36"/>
      <c r="E803" s="36"/>
      <c r="F803" s="36"/>
      <c r="G803" s="36"/>
      <c r="H803" s="37"/>
      <c r="I803" s="36"/>
      <c r="J803" s="38"/>
      <c r="K803" s="38"/>
      <c r="L803" s="39"/>
      <c r="M803" s="39"/>
      <c r="N803" s="39"/>
      <c r="O803" s="39"/>
      <c r="P803" s="39"/>
      <c r="Q803" s="39"/>
      <c r="R803" s="39"/>
      <c r="S803" s="39"/>
      <c r="T803" s="39"/>
      <c r="U803" s="39"/>
      <c r="V803" s="39"/>
      <c r="W803" s="39"/>
      <c r="X803" s="39"/>
      <c r="Y803" s="39"/>
      <c r="Z803" s="39"/>
      <c r="AA803" s="39"/>
      <c r="AB803" s="39"/>
    </row>
    <row r="804">
      <c r="A804" s="1"/>
      <c r="B804" s="36"/>
      <c r="C804" s="36"/>
      <c r="D804" s="36"/>
      <c r="E804" s="36"/>
      <c r="F804" s="36"/>
      <c r="G804" s="36"/>
      <c r="H804" s="37"/>
      <c r="I804" s="36"/>
      <c r="J804" s="38"/>
      <c r="K804" s="38"/>
      <c r="L804" s="39"/>
      <c r="M804" s="39"/>
      <c r="N804" s="39"/>
      <c r="O804" s="39"/>
      <c r="P804" s="39"/>
      <c r="Q804" s="39"/>
      <c r="R804" s="39"/>
      <c r="S804" s="39"/>
      <c r="T804" s="39"/>
      <c r="U804" s="39"/>
      <c r="V804" s="39"/>
      <c r="W804" s="39"/>
      <c r="X804" s="39"/>
      <c r="Y804" s="39"/>
      <c r="Z804" s="39"/>
      <c r="AA804" s="39"/>
      <c r="AB804" s="39"/>
    </row>
    <row r="805">
      <c r="A805" s="1"/>
      <c r="B805" s="36"/>
      <c r="C805" s="36"/>
      <c r="D805" s="36"/>
      <c r="E805" s="36"/>
      <c r="F805" s="36"/>
      <c r="G805" s="36"/>
      <c r="H805" s="37"/>
      <c r="I805" s="36"/>
      <c r="J805" s="38"/>
      <c r="K805" s="38"/>
      <c r="L805" s="39"/>
      <c r="M805" s="39"/>
      <c r="N805" s="39"/>
      <c r="O805" s="39"/>
      <c r="P805" s="39"/>
      <c r="Q805" s="39"/>
      <c r="R805" s="39"/>
      <c r="S805" s="39"/>
      <c r="T805" s="39"/>
      <c r="U805" s="39"/>
      <c r="V805" s="39"/>
      <c r="W805" s="39"/>
      <c r="X805" s="39"/>
      <c r="Y805" s="39"/>
      <c r="Z805" s="39"/>
      <c r="AA805" s="39"/>
      <c r="AB805" s="39"/>
    </row>
    <row r="806">
      <c r="A806" s="1"/>
      <c r="B806" s="36"/>
      <c r="C806" s="36"/>
      <c r="D806" s="36"/>
      <c r="E806" s="36"/>
      <c r="F806" s="36"/>
      <c r="G806" s="36"/>
      <c r="H806" s="37"/>
      <c r="I806" s="36"/>
      <c r="J806" s="38"/>
      <c r="K806" s="38"/>
      <c r="L806" s="39"/>
      <c r="M806" s="39"/>
      <c r="N806" s="39"/>
      <c r="O806" s="39"/>
      <c r="P806" s="39"/>
      <c r="Q806" s="39"/>
      <c r="R806" s="39"/>
      <c r="S806" s="39"/>
      <c r="T806" s="39"/>
      <c r="U806" s="39"/>
      <c r="V806" s="39"/>
      <c r="W806" s="39"/>
      <c r="X806" s="39"/>
      <c r="Y806" s="39"/>
      <c r="Z806" s="39"/>
      <c r="AA806" s="39"/>
      <c r="AB806" s="39"/>
    </row>
    <row r="807">
      <c r="A807" s="1"/>
      <c r="B807" s="36"/>
      <c r="C807" s="36"/>
      <c r="D807" s="36"/>
      <c r="E807" s="36"/>
      <c r="F807" s="36"/>
      <c r="G807" s="36"/>
      <c r="H807" s="37"/>
      <c r="I807" s="36"/>
      <c r="J807" s="38"/>
      <c r="K807" s="38"/>
      <c r="L807" s="39"/>
      <c r="M807" s="39"/>
      <c r="N807" s="39"/>
      <c r="O807" s="39"/>
      <c r="P807" s="39"/>
      <c r="Q807" s="39"/>
      <c r="R807" s="39"/>
      <c r="S807" s="39"/>
      <c r="T807" s="39"/>
      <c r="U807" s="39"/>
      <c r="V807" s="39"/>
      <c r="W807" s="39"/>
      <c r="X807" s="39"/>
      <c r="Y807" s="39"/>
      <c r="Z807" s="39"/>
      <c r="AA807" s="39"/>
      <c r="AB807" s="39"/>
    </row>
    <row r="808">
      <c r="A808" s="1"/>
      <c r="B808" s="36"/>
      <c r="C808" s="36"/>
      <c r="D808" s="36"/>
      <c r="E808" s="36"/>
      <c r="F808" s="36"/>
      <c r="G808" s="36"/>
      <c r="H808" s="37"/>
      <c r="I808" s="36"/>
      <c r="J808" s="38"/>
      <c r="K808" s="38"/>
      <c r="L808" s="39"/>
      <c r="M808" s="39"/>
      <c r="N808" s="39"/>
      <c r="O808" s="39"/>
      <c r="P808" s="39"/>
      <c r="Q808" s="39"/>
      <c r="R808" s="39"/>
      <c r="S808" s="39"/>
      <c r="T808" s="39"/>
      <c r="U808" s="39"/>
      <c r="V808" s="39"/>
      <c r="W808" s="39"/>
      <c r="X808" s="39"/>
      <c r="Y808" s="39"/>
      <c r="Z808" s="39"/>
      <c r="AA808" s="39"/>
      <c r="AB808" s="39"/>
    </row>
    <row r="809">
      <c r="A809" s="1"/>
      <c r="B809" s="36"/>
      <c r="C809" s="36"/>
      <c r="D809" s="36"/>
      <c r="E809" s="36"/>
      <c r="F809" s="36"/>
      <c r="G809" s="36"/>
      <c r="H809" s="37"/>
      <c r="I809" s="36"/>
      <c r="J809" s="38"/>
      <c r="K809" s="38"/>
      <c r="L809" s="39"/>
      <c r="M809" s="39"/>
      <c r="N809" s="39"/>
      <c r="O809" s="39"/>
      <c r="P809" s="39"/>
      <c r="Q809" s="39"/>
      <c r="R809" s="39"/>
      <c r="S809" s="39"/>
      <c r="T809" s="39"/>
      <c r="U809" s="39"/>
      <c r="V809" s="39"/>
      <c r="W809" s="39"/>
      <c r="X809" s="39"/>
      <c r="Y809" s="39"/>
      <c r="Z809" s="39"/>
      <c r="AA809" s="39"/>
      <c r="AB809" s="39"/>
    </row>
    <row r="810">
      <c r="A810" s="1"/>
      <c r="B810" s="36"/>
      <c r="C810" s="36"/>
      <c r="D810" s="36"/>
      <c r="E810" s="36"/>
      <c r="F810" s="36"/>
      <c r="G810" s="36"/>
      <c r="H810" s="37"/>
      <c r="I810" s="36"/>
      <c r="J810" s="38"/>
      <c r="K810" s="38"/>
      <c r="L810" s="39"/>
      <c r="M810" s="39"/>
      <c r="N810" s="39"/>
      <c r="O810" s="39"/>
      <c r="P810" s="39"/>
      <c r="Q810" s="39"/>
      <c r="R810" s="39"/>
      <c r="S810" s="39"/>
      <c r="T810" s="39"/>
      <c r="U810" s="39"/>
      <c r="V810" s="39"/>
      <c r="W810" s="39"/>
      <c r="X810" s="39"/>
      <c r="Y810" s="39"/>
      <c r="Z810" s="39"/>
      <c r="AA810" s="39"/>
      <c r="AB810" s="39"/>
    </row>
    <row r="811">
      <c r="A811" s="1"/>
      <c r="B811" s="36"/>
      <c r="C811" s="36"/>
      <c r="D811" s="36"/>
      <c r="E811" s="36"/>
      <c r="F811" s="36"/>
      <c r="G811" s="36"/>
      <c r="H811" s="37"/>
      <c r="I811" s="36"/>
      <c r="J811" s="38"/>
      <c r="K811" s="38"/>
      <c r="L811" s="39"/>
      <c r="M811" s="39"/>
      <c r="N811" s="39"/>
      <c r="O811" s="39"/>
      <c r="P811" s="39"/>
      <c r="Q811" s="39"/>
      <c r="R811" s="39"/>
      <c r="S811" s="39"/>
      <c r="T811" s="39"/>
      <c r="U811" s="39"/>
      <c r="V811" s="39"/>
      <c r="W811" s="39"/>
      <c r="X811" s="39"/>
      <c r="Y811" s="39"/>
      <c r="Z811" s="39"/>
      <c r="AA811" s="39"/>
      <c r="AB811" s="39"/>
    </row>
    <row r="812">
      <c r="A812" s="1"/>
      <c r="B812" s="36"/>
      <c r="C812" s="36"/>
      <c r="D812" s="36"/>
      <c r="E812" s="36"/>
      <c r="F812" s="36"/>
      <c r="G812" s="36"/>
      <c r="H812" s="37"/>
      <c r="I812" s="36"/>
      <c r="J812" s="38"/>
      <c r="K812" s="38"/>
      <c r="L812" s="39"/>
      <c r="M812" s="39"/>
      <c r="N812" s="39"/>
      <c r="O812" s="39"/>
      <c r="P812" s="39"/>
      <c r="Q812" s="39"/>
      <c r="R812" s="39"/>
      <c r="S812" s="39"/>
      <c r="T812" s="39"/>
      <c r="U812" s="39"/>
      <c r="V812" s="39"/>
      <c r="W812" s="39"/>
      <c r="X812" s="39"/>
      <c r="Y812" s="39"/>
      <c r="Z812" s="39"/>
      <c r="AA812" s="39"/>
      <c r="AB812" s="39"/>
    </row>
    <row r="813">
      <c r="A813" s="1"/>
      <c r="B813" s="36"/>
      <c r="C813" s="36"/>
      <c r="D813" s="36"/>
      <c r="E813" s="36"/>
      <c r="F813" s="36"/>
      <c r="G813" s="36"/>
      <c r="H813" s="37"/>
      <c r="I813" s="36"/>
      <c r="J813" s="38"/>
      <c r="K813" s="38"/>
      <c r="L813" s="39"/>
      <c r="M813" s="39"/>
      <c r="N813" s="39"/>
      <c r="O813" s="39"/>
      <c r="P813" s="39"/>
      <c r="Q813" s="39"/>
      <c r="R813" s="39"/>
      <c r="S813" s="39"/>
      <c r="T813" s="39"/>
      <c r="U813" s="39"/>
      <c r="V813" s="39"/>
      <c r="W813" s="39"/>
      <c r="X813" s="39"/>
      <c r="Y813" s="39"/>
      <c r="Z813" s="39"/>
      <c r="AA813" s="39"/>
      <c r="AB813" s="39"/>
    </row>
    <row r="814">
      <c r="A814" s="1"/>
      <c r="B814" s="36"/>
      <c r="C814" s="36"/>
      <c r="D814" s="36"/>
      <c r="E814" s="36"/>
      <c r="F814" s="36"/>
      <c r="G814" s="36"/>
      <c r="H814" s="37"/>
      <c r="I814" s="36"/>
      <c r="J814" s="38"/>
      <c r="K814" s="38"/>
      <c r="L814" s="39"/>
      <c r="M814" s="39"/>
      <c r="N814" s="39"/>
      <c r="O814" s="39"/>
      <c r="P814" s="39"/>
      <c r="Q814" s="39"/>
      <c r="R814" s="39"/>
      <c r="S814" s="39"/>
      <c r="T814" s="39"/>
      <c r="U814" s="39"/>
      <c r="V814" s="39"/>
      <c r="W814" s="39"/>
      <c r="X814" s="39"/>
      <c r="Y814" s="39"/>
      <c r="Z814" s="39"/>
      <c r="AA814" s="39"/>
      <c r="AB814" s="39"/>
    </row>
    <row r="815">
      <c r="A815" s="1"/>
      <c r="B815" s="36"/>
      <c r="C815" s="36"/>
      <c r="D815" s="36"/>
      <c r="E815" s="36"/>
      <c r="F815" s="36"/>
      <c r="G815" s="36"/>
      <c r="H815" s="37"/>
      <c r="I815" s="36"/>
      <c r="J815" s="38"/>
      <c r="K815" s="38"/>
      <c r="L815" s="39"/>
      <c r="M815" s="39"/>
      <c r="N815" s="39"/>
      <c r="O815" s="39"/>
      <c r="P815" s="39"/>
      <c r="Q815" s="39"/>
      <c r="R815" s="39"/>
      <c r="S815" s="39"/>
      <c r="T815" s="39"/>
      <c r="U815" s="39"/>
      <c r="V815" s="39"/>
      <c r="W815" s="39"/>
      <c r="X815" s="39"/>
      <c r="Y815" s="39"/>
      <c r="Z815" s="39"/>
      <c r="AA815" s="39"/>
      <c r="AB815" s="39"/>
    </row>
    <row r="816">
      <c r="A816" s="1"/>
      <c r="B816" s="36"/>
      <c r="C816" s="36"/>
      <c r="D816" s="36"/>
      <c r="E816" s="36"/>
      <c r="F816" s="36"/>
      <c r="G816" s="36"/>
      <c r="H816" s="37"/>
      <c r="I816" s="36"/>
      <c r="J816" s="38"/>
      <c r="K816" s="38"/>
      <c r="L816" s="39"/>
      <c r="M816" s="39"/>
      <c r="N816" s="39"/>
      <c r="O816" s="39"/>
      <c r="P816" s="39"/>
      <c r="Q816" s="39"/>
      <c r="R816" s="39"/>
      <c r="S816" s="39"/>
      <c r="T816" s="39"/>
      <c r="U816" s="39"/>
      <c r="V816" s="39"/>
      <c r="W816" s="39"/>
      <c r="X816" s="39"/>
      <c r="Y816" s="39"/>
      <c r="Z816" s="39"/>
      <c r="AA816" s="39"/>
      <c r="AB816" s="39"/>
    </row>
    <row r="817">
      <c r="A817" s="1"/>
      <c r="B817" s="36"/>
      <c r="C817" s="36"/>
      <c r="D817" s="36"/>
      <c r="E817" s="36"/>
      <c r="F817" s="36"/>
      <c r="G817" s="36"/>
      <c r="H817" s="37"/>
      <c r="I817" s="36"/>
      <c r="J817" s="38"/>
      <c r="K817" s="38"/>
      <c r="L817" s="39"/>
      <c r="M817" s="39"/>
      <c r="N817" s="39"/>
      <c r="O817" s="39"/>
      <c r="P817" s="39"/>
      <c r="Q817" s="39"/>
      <c r="R817" s="39"/>
      <c r="S817" s="39"/>
      <c r="T817" s="39"/>
      <c r="U817" s="39"/>
      <c r="V817" s="39"/>
      <c r="W817" s="39"/>
      <c r="X817" s="39"/>
      <c r="Y817" s="39"/>
      <c r="Z817" s="39"/>
      <c r="AA817" s="39"/>
      <c r="AB817" s="39"/>
    </row>
    <row r="818">
      <c r="A818" s="1"/>
      <c r="B818" s="36"/>
      <c r="C818" s="36"/>
      <c r="D818" s="36"/>
      <c r="E818" s="36"/>
      <c r="F818" s="36"/>
      <c r="G818" s="36"/>
      <c r="H818" s="37"/>
      <c r="I818" s="36"/>
      <c r="J818" s="38"/>
      <c r="K818" s="38"/>
      <c r="L818" s="39"/>
      <c r="M818" s="39"/>
      <c r="N818" s="39"/>
      <c r="O818" s="39"/>
      <c r="P818" s="39"/>
      <c r="Q818" s="39"/>
      <c r="R818" s="39"/>
      <c r="S818" s="39"/>
      <c r="T818" s="39"/>
      <c r="U818" s="39"/>
      <c r="V818" s="39"/>
      <c r="W818" s="39"/>
      <c r="X818" s="39"/>
      <c r="Y818" s="39"/>
      <c r="Z818" s="39"/>
      <c r="AA818" s="39"/>
      <c r="AB818" s="39"/>
    </row>
    <row r="819">
      <c r="A819" s="1"/>
      <c r="B819" s="36"/>
      <c r="C819" s="36"/>
      <c r="D819" s="36"/>
      <c r="E819" s="36"/>
      <c r="F819" s="36"/>
      <c r="G819" s="36"/>
      <c r="H819" s="37"/>
      <c r="I819" s="36"/>
      <c r="J819" s="38"/>
      <c r="K819" s="38"/>
      <c r="L819" s="39"/>
      <c r="M819" s="39"/>
      <c r="N819" s="39"/>
      <c r="O819" s="39"/>
      <c r="P819" s="39"/>
      <c r="Q819" s="39"/>
      <c r="R819" s="39"/>
      <c r="S819" s="39"/>
      <c r="T819" s="39"/>
      <c r="U819" s="39"/>
      <c r="V819" s="39"/>
      <c r="W819" s="39"/>
      <c r="X819" s="39"/>
      <c r="Y819" s="39"/>
      <c r="Z819" s="39"/>
      <c r="AA819" s="39"/>
      <c r="AB819" s="39"/>
    </row>
    <row r="820">
      <c r="A820" s="1"/>
      <c r="B820" s="36"/>
      <c r="C820" s="36"/>
      <c r="D820" s="36"/>
      <c r="E820" s="36"/>
      <c r="F820" s="36"/>
      <c r="G820" s="36"/>
      <c r="H820" s="37"/>
      <c r="I820" s="36"/>
      <c r="J820" s="38"/>
      <c r="K820" s="38"/>
      <c r="L820" s="39"/>
      <c r="M820" s="39"/>
      <c r="N820" s="39"/>
      <c r="O820" s="39"/>
      <c r="P820" s="39"/>
      <c r="Q820" s="39"/>
      <c r="R820" s="39"/>
      <c r="S820" s="39"/>
      <c r="T820" s="39"/>
      <c r="U820" s="39"/>
      <c r="V820" s="39"/>
      <c r="W820" s="39"/>
      <c r="X820" s="39"/>
      <c r="Y820" s="39"/>
      <c r="Z820" s="39"/>
      <c r="AA820" s="39"/>
      <c r="AB820" s="39"/>
    </row>
    <row r="821">
      <c r="A821" s="1"/>
      <c r="B821" s="36"/>
      <c r="C821" s="36"/>
      <c r="D821" s="36"/>
      <c r="E821" s="36"/>
      <c r="F821" s="36"/>
      <c r="G821" s="36"/>
      <c r="H821" s="37"/>
      <c r="I821" s="36"/>
      <c r="J821" s="38"/>
      <c r="K821" s="38"/>
      <c r="L821" s="39"/>
      <c r="M821" s="39"/>
      <c r="N821" s="39"/>
      <c r="O821" s="39"/>
      <c r="P821" s="39"/>
      <c r="Q821" s="39"/>
      <c r="R821" s="39"/>
      <c r="S821" s="39"/>
      <c r="T821" s="39"/>
      <c r="U821" s="39"/>
      <c r="V821" s="39"/>
      <c r="W821" s="39"/>
      <c r="X821" s="39"/>
      <c r="Y821" s="39"/>
      <c r="Z821" s="39"/>
      <c r="AA821" s="39"/>
      <c r="AB821" s="39"/>
    </row>
    <row r="822">
      <c r="A822" s="1"/>
      <c r="B822" s="36"/>
      <c r="C822" s="36"/>
      <c r="D822" s="36"/>
      <c r="E822" s="36"/>
      <c r="F822" s="36"/>
      <c r="G822" s="36"/>
      <c r="H822" s="37"/>
      <c r="I822" s="36"/>
      <c r="J822" s="38"/>
      <c r="K822" s="38"/>
      <c r="L822" s="39"/>
      <c r="M822" s="39"/>
      <c r="N822" s="39"/>
      <c r="O822" s="39"/>
      <c r="P822" s="39"/>
      <c r="Q822" s="39"/>
      <c r="R822" s="39"/>
      <c r="S822" s="39"/>
      <c r="T822" s="39"/>
      <c r="U822" s="39"/>
      <c r="V822" s="39"/>
      <c r="W822" s="39"/>
      <c r="X822" s="39"/>
      <c r="Y822" s="39"/>
      <c r="Z822" s="39"/>
      <c r="AA822" s="39"/>
      <c r="AB822" s="39"/>
    </row>
    <row r="823">
      <c r="A823" s="1"/>
      <c r="B823" s="36"/>
      <c r="C823" s="36"/>
      <c r="D823" s="36"/>
      <c r="E823" s="36"/>
      <c r="F823" s="36"/>
      <c r="G823" s="36"/>
      <c r="H823" s="37"/>
      <c r="I823" s="36"/>
      <c r="J823" s="38"/>
      <c r="K823" s="38"/>
      <c r="L823" s="39"/>
      <c r="M823" s="39"/>
      <c r="N823" s="39"/>
      <c r="O823" s="39"/>
      <c r="P823" s="39"/>
      <c r="Q823" s="39"/>
      <c r="R823" s="39"/>
      <c r="S823" s="39"/>
      <c r="T823" s="39"/>
      <c r="U823" s="39"/>
      <c r="V823" s="39"/>
      <c r="W823" s="39"/>
      <c r="X823" s="39"/>
      <c r="Y823" s="39"/>
      <c r="Z823" s="39"/>
      <c r="AA823" s="39"/>
      <c r="AB823" s="39"/>
    </row>
    <row r="824">
      <c r="A824" s="1"/>
      <c r="B824" s="36"/>
      <c r="C824" s="36"/>
      <c r="D824" s="36"/>
      <c r="E824" s="36"/>
      <c r="F824" s="36"/>
      <c r="G824" s="36"/>
      <c r="H824" s="37"/>
      <c r="I824" s="36"/>
      <c r="J824" s="38"/>
      <c r="K824" s="38"/>
      <c r="L824" s="39"/>
      <c r="M824" s="39"/>
      <c r="N824" s="39"/>
      <c r="O824" s="39"/>
      <c r="P824" s="39"/>
      <c r="Q824" s="39"/>
      <c r="R824" s="39"/>
      <c r="S824" s="39"/>
      <c r="T824" s="39"/>
      <c r="U824" s="39"/>
      <c r="V824" s="39"/>
      <c r="W824" s="39"/>
      <c r="X824" s="39"/>
      <c r="Y824" s="39"/>
      <c r="Z824" s="39"/>
      <c r="AA824" s="39"/>
      <c r="AB824" s="39"/>
    </row>
    <row r="825">
      <c r="A825" s="1"/>
      <c r="B825" s="36"/>
      <c r="C825" s="36"/>
      <c r="D825" s="36"/>
      <c r="E825" s="36"/>
      <c r="F825" s="36"/>
      <c r="G825" s="36"/>
      <c r="H825" s="37"/>
      <c r="I825" s="36"/>
      <c r="J825" s="38"/>
      <c r="K825" s="38"/>
      <c r="L825" s="39"/>
      <c r="M825" s="39"/>
      <c r="N825" s="39"/>
      <c r="O825" s="39"/>
      <c r="P825" s="39"/>
      <c r="Q825" s="39"/>
      <c r="R825" s="39"/>
      <c r="S825" s="39"/>
      <c r="T825" s="39"/>
      <c r="U825" s="39"/>
      <c r="V825" s="39"/>
      <c r="W825" s="39"/>
      <c r="X825" s="39"/>
      <c r="Y825" s="39"/>
      <c r="Z825" s="39"/>
      <c r="AA825" s="39"/>
      <c r="AB825" s="39"/>
    </row>
    <row r="826">
      <c r="A826" s="1"/>
      <c r="B826" s="36"/>
      <c r="C826" s="36"/>
      <c r="D826" s="36"/>
      <c r="E826" s="36"/>
      <c r="F826" s="36"/>
      <c r="G826" s="36"/>
      <c r="H826" s="37"/>
      <c r="I826" s="36"/>
      <c r="J826" s="38"/>
      <c r="K826" s="38"/>
      <c r="L826" s="39"/>
      <c r="M826" s="39"/>
      <c r="N826" s="39"/>
      <c r="O826" s="39"/>
      <c r="P826" s="39"/>
      <c r="Q826" s="39"/>
      <c r="R826" s="39"/>
      <c r="S826" s="39"/>
      <c r="T826" s="39"/>
      <c r="U826" s="39"/>
      <c r="V826" s="39"/>
      <c r="W826" s="39"/>
      <c r="X826" s="39"/>
      <c r="Y826" s="39"/>
      <c r="Z826" s="39"/>
      <c r="AA826" s="39"/>
      <c r="AB826" s="39"/>
    </row>
    <row r="827">
      <c r="A827" s="1"/>
      <c r="B827" s="36"/>
      <c r="C827" s="36"/>
      <c r="D827" s="36"/>
      <c r="E827" s="36"/>
      <c r="F827" s="36"/>
      <c r="G827" s="36"/>
      <c r="H827" s="37"/>
      <c r="I827" s="36"/>
      <c r="J827" s="38"/>
      <c r="K827" s="38"/>
      <c r="L827" s="39"/>
      <c r="M827" s="39"/>
      <c r="N827" s="39"/>
      <c r="O827" s="39"/>
      <c r="P827" s="39"/>
      <c r="Q827" s="39"/>
      <c r="R827" s="39"/>
      <c r="S827" s="39"/>
      <c r="T827" s="39"/>
      <c r="U827" s="39"/>
      <c r="V827" s="39"/>
      <c r="W827" s="39"/>
      <c r="X827" s="39"/>
      <c r="Y827" s="39"/>
      <c r="Z827" s="39"/>
      <c r="AA827" s="39"/>
      <c r="AB827" s="39"/>
    </row>
    <row r="828">
      <c r="A828" s="1"/>
      <c r="B828" s="36"/>
      <c r="C828" s="36"/>
      <c r="D828" s="36"/>
      <c r="E828" s="36"/>
      <c r="F828" s="36"/>
      <c r="G828" s="36"/>
      <c r="H828" s="37"/>
      <c r="I828" s="36"/>
      <c r="J828" s="38"/>
      <c r="K828" s="38"/>
      <c r="L828" s="39"/>
      <c r="M828" s="39"/>
      <c r="N828" s="39"/>
      <c r="O828" s="39"/>
      <c r="P828" s="39"/>
      <c r="Q828" s="39"/>
      <c r="R828" s="39"/>
      <c r="S828" s="39"/>
      <c r="T828" s="39"/>
      <c r="U828" s="39"/>
      <c r="V828" s="39"/>
      <c r="W828" s="39"/>
      <c r="X828" s="39"/>
      <c r="Y828" s="39"/>
      <c r="Z828" s="39"/>
      <c r="AA828" s="39"/>
      <c r="AB828" s="39"/>
    </row>
    <row r="829">
      <c r="A829" s="1"/>
      <c r="B829" s="36"/>
      <c r="C829" s="36"/>
      <c r="D829" s="36"/>
      <c r="E829" s="36"/>
      <c r="F829" s="36"/>
      <c r="G829" s="36"/>
      <c r="H829" s="37"/>
      <c r="I829" s="36"/>
      <c r="J829" s="38"/>
      <c r="K829" s="38"/>
      <c r="L829" s="39"/>
      <c r="M829" s="39"/>
      <c r="N829" s="39"/>
      <c r="O829" s="39"/>
      <c r="P829" s="39"/>
      <c r="Q829" s="39"/>
      <c r="R829" s="39"/>
      <c r="S829" s="39"/>
      <c r="T829" s="39"/>
      <c r="U829" s="39"/>
      <c r="V829" s="39"/>
      <c r="W829" s="39"/>
      <c r="X829" s="39"/>
      <c r="Y829" s="39"/>
      <c r="Z829" s="39"/>
      <c r="AA829" s="39"/>
      <c r="AB829" s="39"/>
    </row>
    <row r="830">
      <c r="A830" s="1"/>
      <c r="B830" s="36"/>
      <c r="C830" s="36"/>
      <c r="D830" s="36"/>
      <c r="E830" s="36"/>
      <c r="F830" s="36"/>
      <c r="G830" s="36"/>
      <c r="H830" s="37"/>
      <c r="I830" s="36"/>
      <c r="J830" s="38"/>
      <c r="K830" s="38"/>
      <c r="L830" s="39"/>
      <c r="M830" s="39"/>
      <c r="N830" s="39"/>
      <c r="O830" s="39"/>
      <c r="P830" s="39"/>
      <c r="Q830" s="39"/>
      <c r="R830" s="39"/>
      <c r="S830" s="39"/>
      <c r="T830" s="39"/>
      <c r="U830" s="39"/>
      <c r="V830" s="39"/>
      <c r="W830" s="39"/>
      <c r="X830" s="39"/>
      <c r="Y830" s="39"/>
      <c r="Z830" s="39"/>
      <c r="AA830" s="39"/>
      <c r="AB830" s="39"/>
    </row>
    <row r="831">
      <c r="A831" s="1"/>
      <c r="B831" s="36"/>
      <c r="C831" s="36"/>
      <c r="D831" s="36"/>
      <c r="E831" s="36"/>
      <c r="F831" s="36"/>
      <c r="G831" s="36"/>
      <c r="H831" s="37"/>
      <c r="I831" s="36"/>
      <c r="J831" s="38"/>
      <c r="K831" s="38"/>
      <c r="L831" s="39"/>
      <c r="M831" s="39"/>
      <c r="N831" s="39"/>
      <c r="O831" s="39"/>
      <c r="P831" s="39"/>
      <c r="Q831" s="39"/>
      <c r="R831" s="39"/>
      <c r="S831" s="39"/>
      <c r="T831" s="39"/>
      <c r="U831" s="39"/>
      <c r="V831" s="39"/>
      <c r="W831" s="39"/>
      <c r="X831" s="39"/>
      <c r="Y831" s="39"/>
      <c r="Z831" s="39"/>
      <c r="AA831" s="39"/>
      <c r="AB831" s="39"/>
    </row>
    <row r="832">
      <c r="A832" s="1"/>
      <c r="B832" s="36"/>
      <c r="C832" s="36"/>
      <c r="D832" s="36"/>
      <c r="E832" s="36"/>
      <c r="F832" s="36"/>
      <c r="G832" s="36"/>
      <c r="H832" s="37"/>
      <c r="I832" s="36"/>
      <c r="J832" s="38"/>
      <c r="K832" s="38"/>
      <c r="L832" s="39"/>
      <c r="M832" s="39"/>
      <c r="N832" s="39"/>
      <c r="O832" s="39"/>
      <c r="P832" s="39"/>
      <c r="Q832" s="39"/>
      <c r="R832" s="39"/>
      <c r="S832" s="39"/>
      <c r="T832" s="39"/>
      <c r="U832" s="39"/>
      <c r="V832" s="39"/>
      <c r="W832" s="39"/>
      <c r="X832" s="39"/>
      <c r="Y832" s="39"/>
      <c r="Z832" s="39"/>
      <c r="AA832" s="39"/>
      <c r="AB832" s="39"/>
    </row>
    <row r="833">
      <c r="A833" s="1"/>
      <c r="B833" s="36"/>
      <c r="C833" s="36"/>
      <c r="D833" s="36"/>
      <c r="E833" s="36"/>
      <c r="F833" s="36"/>
      <c r="G833" s="36"/>
      <c r="H833" s="37"/>
      <c r="I833" s="36"/>
      <c r="J833" s="38"/>
      <c r="K833" s="38"/>
      <c r="L833" s="39"/>
      <c r="M833" s="39"/>
      <c r="N833" s="39"/>
      <c r="O833" s="39"/>
      <c r="P833" s="39"/>
      <c r="Q833" s="39"/>
      <c r="R833" s="39"/>
      <c r="S833" s="39"/>
      <c r="T833" s="39"/>
      <c r="U833" s="39"/>
      <c r="V833" s="39"/>
      <c r="W833" s="39"/>
      <c r="X833" s="39"/>
      <c r="Y833" s="39"/>
      <c r="Z833" s="39"/>
      <c r="AA833" s="39"/>
      <c r="AB833" s="39"/>
    </row>
    <row r="834">
      <c r="A834" s="1"/>
      <c r="B834" s="36"/>
      <c r="C834" s="36"/>
      <c r="D834" s="36"/>
      <c r="E834" s="36"/>
      <c r="F834" s="36"/>
      <c r="G834" s="36"/>
      <c r="H834" s="37"/>
      <c r="I834" s="36"/>
      <c r="J834" s="38"/>
      <c r="K834" s="38"/>
      <c r="L834" s="39"/>
      <c r="M834" s="39"/>
      <c r="N834" s="39"/>
      <c r="O834" s="39"/>
      <c r="P834" s="39"/>
      <c r="Q834" s="39"/>
      <c r="R834" s="39"/>
      <c r="S834" s="39"/>
      <c r="T834" s="39"/>
      <c r="U834" s="39"/>
      <c r="V834" s="39"/>
      <c r="W834" s="39"/>
      <c r="X834" s="39"/>
      <c r="Y834" s="39"/>
      <c r="Z834" s="39"/>
      <c r="AA834" s="39"/>
      <c r="AB834" s="39"/>
    </row>
    <row r="835">
      <c r="A835" s="1"/>
      <c r="B835" s="36"/>
      <c r="C835" s="36"/>
      <c r="D835" s="36"/>
      <c r="E835" s="36"/>
      <c r="F835" s="36"/>
      <c r="G835" s="36"/>
      <c r="H835" s="37"/>
      <c r="I835" s="36"/>
      <c r="J835" s="38"/>
      <c r="K835" s="38"/>
      <c r="L835" s="39"/>
      <c r="M835" s="39"/>
      <c r="N835" s="39"/>
      <c r="O835" s="39"/>
      <c r="P835" s="39"/>
      <c r="Q835" s="39"/>
      <c r="R835" s="39"/>
      <c r="S835" s="39"/>
      <c r="T835" s="39"/>
      <c r="U835" s="39"/>
      <c r="V835" s="39"/>
      <c r="W835" s="39"/>
      <c r="X835" s="39"/>
      <c r="Y835" s="39"/>
      <c r="Z835" s="39"/>
      <c r="AA835" s="39"/>
      <c r="AB835" s="39"/>
    </row>
    <row r="836">
      <c r="A836" s="1"/>
      <c r="B836" s="36"/>
      <c r="C836" s="36"/>
      <c r="D836" s="36"/>
      <c r="E836" s="36"/>
      <c r="F836" s="36"/>
      <c r="G836" s="36"/>
      <c r="H836" s="37"/>
      <c r="I836" s="36"/>
      <c r="J836" s="38"/>
      <c r="K836" s="38"/>
      <c r="L836" s="39"/>
      <c r="M836" s="39"/>
      <c r="N836" s="39"/>
      <c r="O836" s="39"/>
      <c r="P836" s="39"/>
      <c r="Q836" s="39"/>
      <c r="R836" s="39"/>
      <c r="S836" s="39"/>
      <c r="T836" s="39"/>
      <c r="U836" s="39"/>
      <c r="V836" s="39"/>
      <c r="W836" s="39"/>
      <c r="X836" s="39"/>
      <c r="Y836" s="39"/>
      <c r="Z836" s="39"/>
      <c r="AA836" s="39"/>
      <c r="AB836" s="39"/>
    </row>
    <row r="837">
      <c r="A837" s="1"/>
      <c r="B837" s="36"/>
      <c r="C837" s="36"/>
      <c r="D837" s="36"/>
      <c r="E837" s="36"/>
      <c r="F837" s="36"/>
      <c r="G837" s="36"/>
      <c r="H837" s="37"/>
      <c r="I837" s="36"/>
      <c r="J837" s="38"/>
      <c r="K837" s="38"/>
      <c r="L837" s="39"/>
      <c r="M837" s="39"/>
      <c r="N837" s="39"/>
      <c r="O837" s="39"/>
      <c r="P837" s="39"/>
      <c r="Q837" s="39"/>
      <c r="R837" s="39"/>
      <c r="S837" s="39"/>
      <c r="T837" s="39"/>
      <c r="U837" s="39"/>
      <c r="V837" s="39"/>
      <c r="W837" s="39"/>
      <c r="X837" s="39"/>
      <c r="Y837" s="39"/>
      <c r="Z837" s="39"/>
      <c r="AA837" s="39"/>
      <c r="AB837" s="39"/>
    </row>
    <row r="838">
      <c r="A838" s="1"/>
      <c r="B838" s="36"/>
      <c r="C838" s="36"/>
      <c r="D838" s="36"/>
      <c r="E838" s="36"/>
      <c r="F838" s="36"/>
      <c r="G838" s="36"/>
      <c r="H838" s="37"/>
      <c r="I838" s="36"/>
      <c r="J838" s="38"/>
      <c r="K838" s="38"/>
      <c r="L838" s="39"/>
      <c r="M838" s="39"/>
      <c r="N838" s="39"/>
      <c r="O838" s="39"/>
      <c r="P838" s="39"/>
      <c r="Q838" s="39"/>
      <c r="R838" s="39"/>
      <c r="S838" s="39"/>
      <c r="T838" s="39"/>
      <c r="U838" s="39"/>
      <c r="V838" s="39"/>
      <c r="W838" s="39"/>
      <c r="X838" s="39"/>
      <c r="Y838" s="39"/>
      <c r="Z838" s="39"/>
      <c r="AA838" s="39"/>
      <c r="AB838" s="39"/>
    </row>
    <row r="839">
      <c r="A839" s="1"/>
      <c r="B839" s="36"/>
      <c r="C839" s="36"/>
      <c r="D839" s="36"/>
      <c r="E839" s="36"/>
      <c r="F839" s="36"/>
      <c r="G839" s="36"/>
      <c r="H839" s="37"/>
      <c r="I839" s="36"/>
      <c r="J839" s="38"/>
      <c r="K839" s="38"/>
      <c r="L839" s="39"/>
      <c r="M839" s="39"/>
      <c r="N839" s="39"/>
      <c r="O839" s="39"/>
      <c r="P839" s="39"/>
      <c r="Q839" s="39"/>
      <c r="R839" s="39"/>
      <c r="S839" s="39"/>
      <c r="T839" s="39"/>
      <c r="U839" s="39"/>
      <c r="V839" s="39"/>
      <c r="W839" s="39"/>
      <c r="X839" s="39"/>
      <c r="Y839" s="39"/>
      <c r="Z839" s="39"/>
      <c r="AA839" s="39"/>
      <c r="AB839" s="39"/>
    </row>
    <row r="840">
      <c r="A840" s="1"/>
      <c r="B840" s="36"/>
      <c r="C840" s="36"/>
      <c r="D840" s="36"/>
      <c r="E840" s="36"/>
      <c r="F840" s="36"/>
      <c r="G840" s="36"/>
      <c r="H840" s="37"/>
      <c r="I840" s="36"/>
      <c r="J840" s="38"/>
      <c r="K840" s="38"/>
      <c r="L840" s="39"/>
      <c r="M840" s="39"/>
      <c r="N840" s="39"/>
      <c r="O840" s="39"/>
      <c r="P840" s="39"/>
      <c r="Q840" s="39"/>
      <c r="R840" s="39"/>
      <c r="S840" s="39"/>
      <c r="T840" s="39"/>
      <c r="U840" s="39"/>
      <c r="V840" s="39"/>
      <c r="W840" s="39"/>
      <c r="X840" s="39"/>
      <c r="Y840" s="39"/>
      <c r="Z840" s="39"/>
      <c r="AA840" s="39"/>
      <c r="AB840" s="39"/>
    </row>
    <row r="841">
      <c r="A841" s="1"/>
      <c r="B841" s="36"/>
      <c r="C841" s="36"/>
      <c r="D841" s="36"/>
      <c r="E841" s="36"/>
      <c r="F841" s="36"/>
      <c r="G841" s="36"/>
      <c r="H841" s="37"/>
      <c r="I841" s="36"/>
      <c r="J841" s="38"/>
      <c r="K841" s="38"/>
      <c r="L841" s="39"/>
      <c r="M841" s="39"/>
      <c r="N841" s="39"/>
      <c r="O841" s="39"/>
      <c r="P841" s="39"/>
      <c r="Q841" s="39"/>
      <c r="R841" s="39"/>
      <c r="S841" s="39"/>
      <c r="T841" s="39"/>
      <c r="U841" s="39"/>
      <c r="V841" s="39"/>
      <c r="W841" s="39"/>
      <c r="X841" s="39"/>
      <c r="Y841" s="39"/>
      <c r="Z841" s="39"/>
      <c r="AA841" s="39"/>
      <c r="AB841" s="39"/>
    </row>
    <row r="842">
      <c r="A842" s="1"/>
      <c r="B842" s="36"/>
      <c r="C842" s="36"/>
      <c r="D842" s="36"/>
      <c r="E842" s="36"/>
      <c r="F842" s="36"/>
      <c r="G842" s="36"/>
      <c r="H842" s="37"/>
      <c r="I842" s="36"/>
      <c r="J842" s="38"/>
      <c r="K842" s="38"/>
      <c r="L842" s="39"/>
      <c r="M842" s="39"/>
      <c r="N842" s="39"/>
      <c r="O842" s="39"/>
      <c r="P842" s="39"/>
      <c r="Q842" s="39"/>
      <c r="R842" s="39"/>
      <c r="S842" s="39"/>
      <c r="T842" s="39"/>
      <c r="U842" s="39"/>
      <c r="V842" s="39"/>
      <c r="W842" s="39"/>
      <c r="X842" s="39"/>
      <c r="Y842" s="39"/>
      <c r="Z842" s="39"/>
      <c r="AA842" s="39"/>
      <c r="AB842" s="39"/>
    </row>
    <row r="843">
      <c r="A843" s="1"/>
      <c r="B843" s="36"/>
      <c r="C843" s="36"/>
      <c r="D843" s="36"/>
      <c r="E843" s="36"/>
      <c r="F843" s="36"/>
      <c r="G843" s="36"/>
      <c r="H843" s="37"/>
      <c r="I843" s="36"/>
      <c r="J843" s="38"/>
      <c r="K843" s="38"/>
      <c r="L843" s="39"/>
      <c r="M843" s="39"/>
      <c r="N843" s="39"/>
      <c r="O843" s="39"/>
      <c r="P843" s="39"/>
      <c r="Q843" s="39"/>
      <c r="R843" s="39"/>
      <c r="S843" s="39"/>
      <c r="T843" s="39"/>
      <c r="U843" s="39"/>
      <c r="V843" s="39"/>
      <c r="W843" s="39"/>
      <c r="X843" s="39"/>
      <c r="Y843" s="39"/>
      <c r="Z843" s="39"/>
      <c r="AA843" s="39"/>
      <c r="AB843" s="39"/>
    </row>
    <row r="844">
      <c r="A844" s="1"/>
      <c r="B844" s="36"/>
      <c r="C844" s="36"/>
      <c r="D844" s="36"/>
      <c r="E844" s="36"/>
      <c r="F844" s="36"/>
      <c r="G844" s="36"/>
      <c r="H844" s="37"/>
      <c r="I844" s="36"/>
      <c r="J844" s="38"/>
      <c r="K844" s="38"/>
      <c r="L844" s="39"/>
      <c r="M844" s="39"/>
      <c r="N844" s="39"/>
      <c r="O844" s="39"/>
      <c r="P844" s="39"/>
      <c r="Q844" s="39"/>
      <c r="R844" s="39"/>
      <c r="S844" s="39"/>
      <c r="T844" s="39"/>
      <c r="U844" s="39"/>
      <c r="V844" s="39"/>
      <c r="W844" s="39"/>
      <c r="X844" s="39"/>
      <c r="Y844" s="39"/>
      <c r="Z844" s="39"/>
      <c r="AA844" s="39"/>
      <c r="AB844" s="39"/>
    </row>
    <row r="845">
      <c r="A845" s="1"/>
      <c r="B845" s="36"/>
      <c r="C845" s="36"/>
      <c r="D845" s="36"/>
      <c r="E845" s="36"/>
      <c r="F845" s="36"/>
      <c r="G845" s="36"/>
      <c r="H845" s="37"/>
      <c r="I845" s="36"/>
      <c r="J845" s="38"/>
      <c r="K845" s="38"/>
      <c r="L845" s="39"/>
      <c r="M845" s="39"/>
      <c r="N845" s="39"/>
      <c r="O845" s="39"/>
      <c r="P845" s="39"/>
      <c r="Q845" s="39"/>
      <c r="R845" s="39"/>
      <c r="S845" s="39"/>
      <c r="T845" s="39"/>
      <c r="U845" s="39"/>
      <c r="V845" s="39"/>
      <c r="W845" s="39"/>
      <c r="X845" s="39"/>
      <c r="Y845" s="39"/>
      <c r="Z845" s="39"/>
      <c r="AA845" s="39"/>
      <c r="AB845" s="39"/>
    </row>
    <row r="846">
      <c r="A846" s="1"/>
      <c r="B846" s="36"/>
      <c r="C846" s="36"/>
      <c r="D846" s="36"/>
      <c r="E846" s="36"/>
      <c r="F846" s="36"/>
      <c r="G846" s="36"/>
      <c r="H846" s="37"/>
      <c r="I846" s="36"/>
      <c r="J846" s="38"/>
      <c r="K846" s="38"/>
      <c r="L846" s="39"/>
      <c r="M846" s="39"/>
      <c r="N846" s="39"/>
      <c r="O846" s="39"/>
      <c r="P846" s="39"/>
      <c r="Q846" s="39"/>
      <c r="R846" s="39"/>
      <c r="S846" s="39"/>
      <c r="T846" s="39"/>
      <c r="U846" s="39"/>
      <c r="V846" s="39"/>
      <c r="W846" s="39"/>
      <c r="X846" s="39"/>
      <c r="Y846" s="39"/>
      <c r="Z846" s="39"/>
      <c r="AA846" s="39"/>
      <c r="AB846" s="39"/>
    </row>
    <row r="847">
      <c r="A847" s="1"/>
      <c r="B847" s="36"/>
      <c r="C847" s="36"/>
      <c r="D847" s="36"/>
      <c r="E847" s="36"/>
      <c r="F847" s="36"/>
      <c r="G847" s="36"/>
      <c r="H847" s="37"/>
      <c r="I847" s="36"/>
      <c r="J847" s="38"/>
      <c r="K847" s="38"/>
      <c r="L847" s="39"/>
      <c r="M847" s="39"/>
      <c r="N847" s="39"/>
      <c r="O847" s="39"/>
      <c r="P847" s="39"/>
      <c r="Q847" s="39"/>
      <c r="R847" s="39"/>
      <c r="S847" s="39"/>
      <c r="T847" s="39"/>
      <c r="U847" s="39"/>
      <c r="V847" s="39"/>
      <c r="W847" s="39"/>
      <c r="X847" s="39"/>
      <c r="Y847" s="39"/>
      <c r="Z847" s="39"/>
      <c r="AA847" s="39"/>
      <c r="AB847" s="39"/>
    </row>
    <row r="848">
      <c r="A848" s="1"/>
      <c r="B848" s="36"/>
      <c r="C848" s="36"/>
      <c r="D848" s="36"/>
      <c r="E848" s="36"/>
      <c r="F848" s="36"/>
      <c r="G848" s="36"/>
      <c r="H848" s="37"/>
      <c r="I848" s="36"/>
      <c r="J848" s="38"/>
      <c r="K848" s="38"/>
      <c r="L848" s="39"/>
      <c r="M848" s="39"/>
      <c r="N848" s="39"/>
      <c r="O848" s="39"/>
      <c r="P848" s="39"/>
      <c r="Q848" s="39"/>
      <c r="R848" s="39"/>
      <c r="S848" s="39"/>
      <c r="T848" s="39"/>
      <c r="U848" s="39"/>
      <c r="V848" s="39"/>
      <c r="W848" s="39"/>
      <c r="X848" s="39"/>
      <c r="Y848" s="39"/>
      <c r="Z848" s="39"/>
      <c r="AA848" s="39"/>
      <c r="AB848" s="39"/>
    </row>
    <row r="849">
      <c r="A849" s="1"/>
      <c r="B849" s="36"/>
      <c r="C849" s="36"/>
      <c r="D849" s="36"/>
      <c r="E849" s="36"/>
      <c r="F849" s="36"/>
      <c r="G849" s="36"/>
      <c r="H849" s="37"/>
      <c r="I849" s="36"/>
      <c r="J849" s="38"/>
      <c r="K849" s="38"/>
      <c r="L849" s="39"/>
      <c r="M849" s="39"/>
      <c r="N849" s="39"/>
      <c r="O849" s="39"/>
      <c r="P849" s="39"/>
      <c r="Q849" s="39"/>
      <c r="R849" s="39"/>
      <c r="S849" s="39"/>
      <c r="T849" s="39"/>
      <c r="U849" s="39"/>
      <c r="V849" s="39"/>
      <c r="W849" s="39"/>
      <c r="X849" s="39"/>
      <c r="Y849" s="39"/>
      <c r="Z849" s="39"/>
      <c r="AA849" s="39"/>
      <c r="AB849" s="39"/>
    </row>
    <row r="850">
      <c r="A850" s="1"/>
      <c r="B850" s="36"/>
      <c r="C850" s="36"/>
      <c r="D850" s="36"/>
      <c r="E850" s="36"/>
      <c r="F850" s="36"/>
      <c r="G850" s="36"/>
      <c r="H850" s="37"/>
      <c r="I850" s="36"/>
      <c r="J850" s="38"/>
      <c r="K850" s="38"/>
      <c r="L850" s="39"/>
      <c r="M850" s="39"/>
      <c r="N850" s="39"/>
      <c r="O850" s="39"/>
      <c r="P850" s="39"/>
      <c r="Q850" s="39"/>
      <c r="R850" s="39"/>
      <c r="S850" s="39"/>
      <c r="T850" s="39"/>
      <c r="U850" s="39"/>
      <c r="V850" s="39"/>
      <c r="W850" s="39"/>
      <c r="X850" s="39"/>
      <c r="Y850" s="39"/>
      <c r="Z850" s="39"/>
      <c r="AA850" s="39"/>
      <c r="AB850" s="39"/>
    </row>
    <row r="851">
      <c r="A851" s="1"/>
      <c r="B851" s="36"/>
      <c r="C851" s="36"/>
      <c r="D851" s="36"/>
      <c r="E851" s="36"/>
      <c r="F851" s="36"/>
      <c r="G851" s="36"/>
      <c r="H851" s="37"/>
      <c r="I851" s="36"/>
      <c r="J851" s="38"/>
      <c r="K851" s="38"/>
      <c r="L851" s="39"/>
      <c r="M851" s="39"/>
      <c r="N851" s="39"/>
      <c r="O851" s="39"/>
      <c r="P851" s="39"/>
      <c r="Q851" s="39"/>
      <c r="R851" s="39"/>
      <c r="S851" s="39"/>
      <c r="T851" s="39"/>
      <c r="U851" s="39"/>
      <c r="V851" s="39"/>
      <c r="W851" s="39"/>
      <c r="X851" s="39"/>
      <c r="Y851" s="39"/>
      <c r="Z851" s="39"/>
      <c r="AA851" s="39"/>
      <c r="AB851" s="39"/>
    </row>
    <row r="852">
      <c r="A852" s="1"/>
      <c r="B852" s="36"/>
      <c r="C852" s="36"/>
      <c r="D852" s="36"/>
      <c r="E852" s="36"/>
      <c r="F852" s="36"/>
      <c r="G852" s="36"/>
      <c r="H852" s="37"/>
      <c r="I852" s="36"/>
      <c r="J852" s="38"/>
      <c r="K852" s="38"/>
      <c r="L852" s="39"/>
      <c r="M852" s="39"/>
      <c r="N852" s="39"/>
      <c r="O852" s="39"/>
      <c r="P852" s="39"/>
      <c r="Q852" s="39"/>
      <c r="R852" s="39"/>
      <c r="S852" s="39"/>
      <c r="T852" s="39"/>
      <c r="U852" s="39"/>
      <c r="V852" s="39"/>
      <c r="W852" s="39"/>
      <c r="X852" s="39"/>
      <c r="Y852" s="39"/>
      <c r="Z852" s="39"/>
      <c r="AA852" s="39"/>
      <c r="AB852" s="39"/>
    </row>
    <row r="853">
      <c r="A853" s="1"/>
      <c r="B853" s="36"/>
      <c r="C853" s="36"/>
      <c r="D853" s="36"/>
      <c r="E853" s="36"/>
      <c r="F853" s="36"/>
      <c r="G853" s="36"/>
      <c r="H853" s="37"/>
      <c r="I853" s="36"/>
      <c r="J853" s="38"/>
      <c r="K853" s="38"/>
      <c r="L853" s="39"/>
      <c r="M853" s="39"/>
      <c r="N853" s="39"/>
      <c r="O853" s="39"/>
      <c r="P853" s="39"/>
      <c r="Q853" s="39"/>
      <c r="R853" s="39"/>
      <c r="S853" s="39"/>
      <c r="T853" s="39"/>
      <c r="U853" s="39"/>
      <c r="V853" s="39"/>
      <c r="W853" s="39"/>
      <c r="X853" s="39"/>
      <c r="Y853" s="39"/>
      <c r="Z853" s="39"/>
      <c r="AA853" s="39"/>
      <c r="AB853" s="39"/>
    </row>
    <row r="854">
      <c r="A854" s="1"/>
      <c r="B854" s="36"/>
      <c r="C854" s="36"/>
      <c r="D854" s="36"/>
      <c r="E854" s="36"/>
      <c r="F854" s="36"/>
      <c r="G854" s="36"/>
      <c r="H854" s="37"/>
      <c r="I854" s="36"/>
      <c r="J854" s="38"/>
      <c r="K854" s="38"/>
      <c r="L854" s="39"/>
      <c r="M854" s="39"/>
      <c r="N854" s="39"/>
      <c r="O854" s="39"/>
      <c r="P854" s="39"/>
      <c r="Q854" s="39"/>
      <c r="R854" s="39"/>
      <c r="S854" s="39"/>
      <c r="T854" s="39"/>
      <c r="U854" s="39"/>
      <c r="V854" s="39"/>
      <c r="W854" s="39"/>
      <c r="X854" s="39"/>
      <c r="Y854" s="39"/>
      <c r="Z854" s="39"/>
      <c r="AA854" s="39"/>
      <c r="AB854" s="39"/>
    </row>
    <row r="855">
      <c r="A855" s="1"/>
      <c r="B855" s="36"/>
      <c r="C855" s="36"/>
      <c r="D855" s="36"/>
      <c r="E855" s="36"/>
      <c r="F855" s="36"/>
      <c r="G855" s="36"/>
      <c r="H855" s="37"/>
      <c r="I855" s="36"/>
      <c r="J855" s="38"/>
      <c r="K855" s="38"/>
      <c r="L855" s="39"/>
      <c r="M855" s="39"/>
      <c r="N855" s="39"/>
      <c r="O855" s="39"/>
      <c r="P855" s="39"/>
      <c r="Q855" s="39"/>
      <c r="R855" s="39"/>
      <c r="S855" s="39"/>
      <c r="T855" s="39"/>
      <c r="U855" s="39"/>
      <c r="V855" s="39"/>
      <c r="W855" s="39"/>
      <c r="X855" s="39"/>
      <c r="Y855" s="39"/>
      <c r="Z855" s="39"/>
      <c r="AA855" s="39"/>
      <c r="AB855" s="39"/>
    </row>
    <row r="856">
      <c r="A856" s="1"/>
      <c r="B856" s="36"/>
      <c r="C856" s="36"/>
      <c r="D856" s="36"/>
      <c r="E856" s="36"/>
      <c r="F856" s="36"/>
      <c r="G856" s="36"/>
      <c r="H856" s="37"/>
      <c r="I856" s="36"/>
      <c r="J856" s="38"/>
      <c r="K856" s="38"/>
      <c r="L856" s="39"/>
      <c r="M856" s="39"/>
      <c r="N856" s="39"/>
      <c r="O856" s="39"/>
      <c r="P856" s="39"/>
      <c r="Q856" s="39"/>
      <c r="R856" s="39"/>
      <c r="S856" s="39"/>
      <c r="T856" s="39"/>
      <c r="U856" s="39"/>
      <c r="V856" s="39"/>
      <c r="W856" s="39"/>
      <c r="X856" s="39"/>
      <c r="Y856" s="39"/>
      <c r="Z856" s="39"/>
      <c r="AA856" s="39"/>
      <c r="AB856" s="39"/>
    </row>
    <row r="857">
      <c r="A857" s="1"/>
      <c r="B857" s="36"/>
      <c r="C857" s="36"/>
      <c r="D857" s="36"/>
      <c r="E857" s="36"/>
      <c r="F857" s="36"/>
      <c r="G857" s="36"/>
      <c r="H857" s="37"/>
      <c r="I857" s="36"/>
      <c r="J857" s="38"/>
      <c r="K857" s="38"/>
      <c r="L857" s="39"/>
      <c r="M857" s="39"/>
      <c r="N857" s="39"/>
      <c r="O857" s="39"/>
      <c r="P857" s="39"/>
      <c r="Q857" s="39"/>
      <c r="R857" s="39"/>
      <c r="S857" s="39"/>
      <c r="T857" s="39"/>
      <c r="U857" s="39"/>
      <c r="V857" s="39"/>
      <c r="W857" s="39"/>
      <c r="X857" s="39"/>
      <c r="Y857" s="39"/>
      <c r="Z857" s="39"/>
      <c r="AA857" s="39"/>
      <c r="AB857" s="39"/>
    </row>
    <row r="858">
      <c r="A858" s="1"/>
      <c r="B858" s="36"/>
      <c r="C858" s="36"/>
      <c r="D858" s="36"/>
      <c r="E858" s="36"/>
      <c r="F858" s="36"/>
      <c r="G858" s="36"/>
      <c r="H858" s="37"/>
      <c r="I858" s="36"/>
      <c r="J858" s="38"/>
      <c r="K858" s="38"/>
      <c r="L858" s="39"/>
      <c r="M858" s="39"/>
      <c r="N858" s="39"/>
      <c r="O858" s="39"/>
      <c r="P858" s="39"/>
      <c r="Q858" s="39"/>
      <c r="R858" s="39"/>
      <c r="S858" s="39"/>
      <c r="T858" s="39"/>
      <c r="U858" s="39"/>
      <c r="V858" s="39"/>
      <c r="W858" s="39"/>
      <c r="X858" s="39"/>
      <c r="Y858" s="39"/>
      <c r="Z858" s="39"/>
      <c r="AA858" s="39"/>
      <c r="AB858" s="39"/>
    </row>
    <row r="859">
      <c r="A859" s="1"/>
      <c r="B859" s="36"/>
      <c r="C859" s="36"/>
      <c r="D859" s="36"/>
      <c r="E859" s="36"/>
      <c r="F859" s="36"/>
      <c r="G859" s="36"/>
      <c r="H859" s="37"/>
      <c r="I859" s="36"/>
      <c r="J859" s="38"/>
      <c r="K859" s="38"/>
      <c r="L859" s="39"/>
      <c r="M859" s="39"/>
      <c r="N859" s="39"/>
      <c r="O859" s="39"/>
      <c r="P859" s="39"/>
      <c r="Q859" s="39"/>
      <c r="R859" s="39"/>
      <c r="S859" s="39"/>
      <c r="T859" s="39"/>
      <c r="U859" s="39"/>
      <c r="V859" s="39"/>
      <c r="W859" s="39"/>
      <c r="X859" s="39"/>
      <c r="Y859" s="39"/>
      <c r="Z859" s="39"/>
      <c r="AA859" s="39"/>
      <c r="AB859" s="39"/>
    </row>
    <row r="860">
      <c r="A860" s="1"/>
      <c r="B860" s="36"/>
      <c r="C860" s="36"/>
      <c r="D860" s="36"/>
      <c r="E860" s="36"/>
      <c r="F860" s="36"/>
      <c r="G860" s="36"/>
      <c r="H860" s="37"/>
      <c r="I860" s="36"/>
      <c r="J860" s="38"/>
      <c r="K860" s="38"/>
      <c r="L860" s="39"/>
      <c r="M860" s="39"/>
      <c r="N860" s="39"/>
      <c r="O860" s="39"/>
      <c r="P860" s="39"/>
      <c r="Q860" s="39"/>
      <c r="R860" s="39"/>
      <c r="S860" s="39"/>
      <c r="T860" s="39"/>
      <c r="U860" s="39"/>
      <c r="V860" s="39"/>
      <c r="W860" s="39"/>
      <c r="X860" s="39"/>
      <c r="Y860" s="39"/>
      <c r="Z860" s="39"/>
      <c r="AA860" s="39"/>
      <c r="AB860" s="39"/>
    </row>
    <row r="861">
      <c r="A861" s="1"/>
      <c r="B861" s="36"/>
      <c r="C861" s="36"/>
      <c r="D861" s="36"/>
      <c r="E861" s="36"/>
      <c r="F861" s="36"/>
      <c r="G861" s="36"/>
      <c r="H861" s="37"/>
      <c r="I861" s="36"/>
      <c r="J861" s="38"/>
      <c r="K861" s="38"/>
      <c r="L861" s="39"/>
      <c r="M861" s="39"/>
      <c r="N861" s="39"/>
      <c r="O861" s="39"/>
      <c r="P861" s="39"/>
      <c r="Q861" s="39"/>
      <c r="R861" s="39"/>
      <c r="S861" s="39"/>
      <c r="T861" s="39"/>
      <c r="U861" s="39"/>
      <c r="V861" s="39"/>
      <c r="W861" s="39"/>
      <c r="X861" s="39"/>
      <c r="Y861" s="39"/>
      <c r="Z861" s="39"/>
      <c r="AA861" s="39"/>
      <c r="AB861" s="39"/>
    </row>
    <row r="862">
      <c r="A862" s="1"/>
      <c r="B862" s="36"/>
      <c r="C862" s="36"/>
      <c r="D862" s="36"/>
      <c r="E862" s="36"/>
      <c r="F862" s="36"/>
      <c r="G862" s="36"/>
      <c r="H862" s="37"/>
      <c r="I862" s="36"/>
      <c r="J862" s="38"/>
      <c r="K862" s="38"/>
      <c r="L862" s="39"/>
      <c r="M862" s="39"/>
      <c r="N862" s="39"/>
      <c r="O862" s="39"/>
      <c r="P862" s="39"/>
      <c r="Q862" s="39"/>
      <c r="R862" s="39"/>
      <c r="S862" s="39"/>
      <c r="T862" s="39"/>
      <c r="U862" s="39"/>
      <c r="V862" s="39"/>
      <c r="W862" s="39"/>
      <c r="X862" s="39"/>
      <c r="Y862" s="39"/>
      <c r="Z862" s="39"/>
      <c r="AA862" s="39"/>
      <c r="AB862" s="39"/>
    </row>
    <row r="863">
      <c r="A863" s="1"/>
      <c r="B863" s="36"/>
      <c r="C863" s="36"/>
      <c r="D863" s="36"/>
      <c r="E863" s="36"/>
      <c r="F863" s="36"/>
      <c r="G863" s="36"/>
      <c r="H863" s="37"/>
      <c r="I863" s="36"/>
      <c r="J863" s="38"/>
      <c r="K863" s="38"/>
      <c r="L863" s="39"/>
      <c r="M863" s="39"/>
      <c r="N863" s="39"/>
      <c r="O863" s="39"/>
      <c r="P863" s="39"/>
      <c r="Q863" s="39"/>
      <c r="R863" s="39"/>
      <c r="S863" s="39"/>
      <c r="T863" s="39"/>
      <c r="U863" s="39"/>
      <c r="V863" s="39"/>
      <c r="W863" s="39"/>
      <c r="X863" s="39"/>
      <c r="Y863" s="39"/>
      <c r="Z863" s="39"/>
      <c r="AA863" s="39"/>
      <c r="AB863" s="39"/>
    </row>
    <row r="864">
      <c r="A864" s="1"/>
      <c r="B864" s="36"/>
      <c r="C864" s="36"/>
      <c r="D864" s="36"/>
      <c r="E864" s="36"/>
      <c r="F864" s="36"/>
      <c r="G864" s="36"/>
      <c r="H864" s="37"/>
      <c r="I864" s="36"/>
      <c r="J864" s="38"/>
      <c r="K864" s="38"/>
      <c r="L864" s="39"/>
      <c r="M864" s="39"/>
      <c r="N864" s="39"/>
      <c r="O864" s="39"/>
      <c r="P864" s="39"/>
      <c r="Q864" s="39"/>
      <c r="R864" s="39"/>
      <c r="S864" s="39"/>
      <c r="T864" s="39"/>
      <c r="U864" s="39"/>
      <c r="V864" s="39"/>
      <c r="W864" s="39"/>
      <c r="X864" s="39"/>
      <c r="Y864" s="39"/>
      <c r="Z864" s="39"/>
      <c r="AA864" s="39"/>
      <c r="AB864" s="39"/>
    </row>
    <row r="865">
      <c r="A865" s="1"/>
      <c r="B865" s="36"/>
      <c r="C865" s="36"/>
      <c r="D865" s="36"/>
      <c r="E865" s="36"/>
      <c r="F865" s="36"/>
      <c r="G865" s="36"/>
      <c r="H865" s="37"/>
      <c r="I865" s="36"/>
      <c r="J865" s="38"/>
      <c r="K865" s="38"/>
      <c r="L865" s="39"/>
      <c r="M865" s="39"/>
      <c r="N865" s="39"/>
      <c r="O865" s="39"/>
      <c r="P865" s="39"/>
      <c r="Q865" s="39"/>
      <c r="R865" s="39"/>
      <c r="S865" s="39"/>
      <c r="T865" s="39"/>
      <c r="U865" s="39"/>
      <c r="V865" s="39"/>
      <c r="W865" s="39"/>
      <c r="X865" s="39"/>
      <c r="Y865" s="39"/>
      <c r="Z865" s="39"/>
      <c r="AA865" s="39"/>
      <c r="AB865" s="39"/>
    </row>
    <row r="866">
      <c r="A866" s="1"/>
      <c r="B866" s="36"/>
      <c r="C866" s="36"/>
      <c r="D866" s="36"/>
      <c r="E866" s="36"/>
      <c r="F866" s="36"/>
      <c r="G866" s="36"/>
      <c r="H866" s="37"/>
      <c r="I866" s="36"/>
      <c r="J866" s="38"/>
      <c r="K866" s="38"/>
      <c r="L866" s="39"/>
      <c r="M866" s="39"/>
      <c r="N866" s="39"/>
      <c r="O866" s="39"/>
      <c r="P866" s="39"/>
      <c r="Q866" s="39"/>
      <c r="R866" s="39"/>
      <c r="S866" s="39"/>
      <c r="T866" s="39"/>
      <c r="U866" s="39"/>
      <c r="V866" s="39"/>
      <c r="W866" s="39"/>
      <c r="X866" s="39"/>
      <c r="Y866" s="39"/>
      <c r="Z866" s="39"/>
      <c r="AA866" s="39"/>
      <c r="AB866" s="39"/>
    </row>
    <row r="867">
      <c r="A867" s="1"/>
      <c r="B867" s="36"/>
      <c r="C867" s="36"/>
      <c r="D867" s="36"/>
      <c r="E867" s="36"/>
      <c r="F867" s="36"/>
      <c r="G867" s="36"/>
      <c r="H867" s="37"/>
      <c r="I867" s="36"/>
      <c r="J867" s="38"/>
      <c r="K867" s="38"/>
      <c r="L867" s="39"/>
      <c r="M867" s="39"/>
      <c r="N867" s="39"/>
      <c r="O867" s="39"/>
      <c r="P867" s="39"/>
      <c r="Q867" s="39"/>
      <c r="R867" s="39"/>
      <c r="S867" s="39"/>
      <c r="T867" s="39"/>
      <c r="U867" s="39"/>
      <c r="V867" s="39"/>
      <c r="W867" s="39"/>
      <c r="X867" s="39"/>
      <c r="Y867" s="39"/>
      <c r="Z867" s="39"/>
      <c r="AA867" s="39"/>
      <c r="AB867" s="39"/>
    </row>
    <row r="868">
      <c r="A868" s="1"/>
      <c r="B868" s="36"/>
      <c r="C868" s="36"/>
      <c r="D868" s="36"/>
      <c r="E868" s="36"/>
      <c r="F868" s="36"/>
      <c r="G868" s="36"/>
      <c r="H868" s="37"/>
      <c r="I868" s="36"/>
      <c r="J868" s="38"/>
      <c r="K868" s="38"/>
      <c r="L868" s="39"/>
      <c r="M868" s="39"/>
      <c r="N868" s="39"/>
      <c r="O868" s="39"/>
      <c r="P868" s="39"/>
      <c r="Q868" s="39"/>
      <c r="R868" s="39"/>
      <c r="S868" s="39"/>
      <c r="T868" s="39"/>
      <c r="U868" s="39"/>
      <c r="V868" s="39"/>
      <c r="W868" s="39"/>
      <c r="X868" s="39"/>
      <c r="Y868" s="39"/>
      <c r="Z868" s="39"/>
      <c r="AA868" s="39"/>
      <c r="AB868" s="39"/>
    </row>
    <row r="869">
      <c r="A869" s="1"/>
      <c r="B869" s="36"/>
      <c r="C869" s="36"/>
      <c r="D869" s="36"/>
      <c r="E869" s="36"/>
      <c r="F869" s="36"/>
      <c r="G869" s="36"/>
      <c r="H869" s="37"/>
      <c r="I869" s="36"/>
      <c r="J869" s="38"/>
      <c r="K869" s="38"/>
      <c r="L869" s="39"/>
      <c r="M869" s="39"/>
      <c r="N869" s="39"/>
      <c r="O869" s="39"/>
      <c r="P869" s="39"/>
      <c r="Q869" s="39"/>
      <c r="R869" s="39"/>
      <c r="S869" s="39"/>
      <c r="T869" s="39"/>
      <c r="U869" s="39"/>
      <c r="V869" s="39"/>
      <c r="W869" s="39"/>
      <c r="X869" s="39"/>
      <c r="Y869" s="39"/>
      <c r="Z869" s="39"/>
      <c r="AA869" s="39"/>
      <c r="AB869" s="39"/>
    </row>
    <row r="870">
      <c r="A870" s="1"/>
      <c r="B870" s="36"/>
      <c r="C870" s="36"/>
      <c r="D870" s="36"/>
      <c r="E870" s="36"/>
      <c r="F870" s="36"/>
      <c r="G870" s="36"/>
      <c r="H870" s="37"/>
      <c r="I870" s="36"/>
      <c r="J870" s="38"/>
      <c r="K870" s="38"/>
      <c r="L870" s="39"/>
      <c r="M870" s="39"/>
      <c r="N870" s="39"/>
      <c r="O870" s="39"/>
      <c r="P870" s="39"/>
      <c r="Q870" s="39"/>
      <c r="R870" s="39"/>
      <c r="S870" s="39"/>
      <c r="T870" s="39"/>
      <c r="U870" s="39"/>
      <c r="V870" s="39"/>
      <c r="W870" s="39"/>
      <c r="X870" s="39"/>
      <c r="Y870" s="39"/>
      <c r="Z870" s="39"/>
      <c r="AA870" s="39"/>
      <c r="AB870" s="39"/>
    </row>
    <row r="871">
      <c r="A871" s="1"/>
      <c r="B871" s="36"/>
      <c r="C871" s="36"/>
      <c r="D871" s="36"/>
      <c r="E871" s="36"/>
      <c r="F871" s="36"/>
      <c r="G871" s="36"/>
      <c r="H871" s="37"/>
      <c r="I871" s="36"/>
      <c r="J871" s="38"/>
      <c r="K871" s="38"/>
      <c r="L871" s="39"/>
      <c r="M871" s="39"/>
      <c r="N871" s="39"/>
      <c r="O871" s="39"/>
      <c r="P871" s="39"/>
      <c r="Q871" s="39"/>
      <c r="R871" s="39"/>
      <c r="S871" s="39"/>
      <c r="T871" s="39"/>
      <c r="U871" s="39"/>
      <c r="V871" s="39"/>
      <c r="W871" s="39"/>
      <c r="X871" s="39"/>
      <c r="Y871" s="39"/>
      <c r="Z871" s="39"/>
      <c r="AA871" s="39"/>
      <c r="AB871" s="39"/>
    </row>
    <row r="872">
      <c r="A872" s="1"/>
      <c r="B872" s="36"/>
      <c r="C872" s="36"/>
      <c r="D872" s="36"/>
      <c r="E872" s="36"/>
      <c r="F872" s="36"/>
      <c r="G872" s="36"/>
      <c r="H872" s="37"/>
      <c r="I872" s="36"/>
      <c r="J872" s="38"/>
      <c r="K872" s="38"/>
      <c r="L872" s="39"/>
      <c r="M872" s="39"/>
      <c r="N872" s="39"/>
      <c r="O872" s="39"/>
      <c r="P872" s="39"/>
      <c r="Q872" s="39"/>
      <c r="R872" s="39"/>
      <c r="S872" s="39"/>
      <c r="T872" s="39"/>
      <c r="U872" s="39"/>
      <c r="V872" s="39"/>
      <c r="W872" s="39"/>
      <c r="X872" s="39"/>
      <c r="Y872" s="39"/>
      <c r="Z872" s="39"/>
      <c r="AA872" s="39"/>
      <c r="AB872" s="39"/>
    </row>
    <row r="873">
      <c r="A873" s="1"/>
      <c r="B873" s="36"/>
      <c r="C873" s="36"/>
      <c r="D873" s="36"/>
      <c r="E873" s="36"/>
      <c r="F873" s="36"/>
      <c r="G873" s="36"/>
      <c r="H873" s="37"/>
      <c r="I873" s="36"/>
      <c r="J873" s="38"/>
      <c r="K873" s="38"/>
      <c r="L873" s="39"/>
      <c r="M873" s="39"/>
      <c r="N873" s="39"/>
      <c r="O873" s="39"/>
      <c r="P873" s="39"/>
      <c r="Q873" s="39"/>
      <c r="R873" s="39"/>
      <c r="S873" s="39"/>
      <c r="T873" s="39"/>
      <c r="U873" s="39"/>
      <c r="V873" s="39"/>
      <c r="W873" s="39"/>
      <c r="X873" s="39"/>
      <c r="Y873" s="39"/>
      <c r="Z873" s="39"/>
      <c r="AA873" s="39"/>
      <c r="AB873" s="39"/>
    </row>
    <row r="874">
      <c r="A874" s="1"/>
      <c r="B874" s="36"/>
      <c r="C874" s="36"/>
      <c r="D874" s="36"/>
      <c r="E874" s="36"/>
      <c r="F874" s="36"/>
      <c r="G874" s="36"/>
      <c r="H874" s="37"/>
      <c r="I874" s="36"/>
      <c r="J874" s="38"/>
      <c r="K874" s="38"/>
      <c r="L874" s="39"/>
      <c r="M874" s="39"/>
      <c r="N874" s="39"/>
      <c r="O874" s="39"/>
      <c r="P874" s="39"/>
      <c r="Q874" s="39"/>
      <c r="R874" s="39"/>
      <c r="S874" s="39"/>
      <c r="T874" s="39"/>
      <c r="U874" s="39"/>
      <c r="V874" s="39"/>
      <c r="W874" s="39"/>
      <c r="X874" s="39"/>
      <c r="Y874" s="39"/>
      <c r="Z874" s="39"/>
      <c r="AA874" s="39"/>
      <c r="AB874" s="39"/>
    </row>
    <row r="875">
      <c r="A875" s="1"/>
      <c r="B875" s="36"/>
      <c r="C875" s="36"/>
      <c r="D875" s="36"/>
      <c r="E875" s="36"/>
      <c r="F875" s="36"/>
      <c r="G875" s="36"/>
      <c r="H875" s="37"/>
      <c r="I875" s="36"/>
      <c r="J875" s="38"/>
      <c r="K875" s="38"/>
      <c r="L875" s="39"/>
      <c r="M875" s="39"/>
      <c r="N875" s="39"/>
      <c r="O875" s="39"/>
      <c r="P875" s="39"/>
      <c r="Q875" s="39"/>
      <c r="R875" s="39"/>
      <c r="S875" s="39"/>
      <c r="T875" s="39"/>
      <c r="U875" s="39"/>
      <c r="V875" s="39"/>
      <c r="W875" s="39"/>
      <c r="X875" s="39"/>
      <c r="Y875" s="39"/>
      <c r="Z875" s="39"/>
      <c r="AA875" s="39"/>
      <c r="AB875" s="39"/>
    </row>
    <row r="876">
      <c r="A876" s="1"/>
      <c r="B876" s="36"/>
      <c r="C876" s="36"/>
      <c r="D876" s="36"/>
      <c r="E876" s="36"/>
      <c r="F876" s="36"/>
      <c r="G876" s="36"/>
      <c r="H876" s="37"/>
      <c r="I876" s="36"/>
      <c r="J876" s="38"/>
      <c r="K876" s="38"/>
      <c r="L876" s="39"/>
      <c r="M876" s="39"/>
      <c r="N876" s="39"/>
      <c r="O876" s="39"/>
      <c r="P876" s="39"/>
      <c r="Q876" s="39"/>
      <c r="R876" s="39"/>
      <c r="S876" s="39"/>
      <c r="T876" s="39"/>
      <c r="U876" s="39"/>
      <c r="V876" s="39"/>
      <c r="W876" s="39"/>
      <c r="X876" s="39"/>
      <c r="Y876" s="39"/>
      <c r="Z876" s="39"/>
      <c r="AA876" s="39"/>
      <c r="AB876" s="39"/>
    </row>
    <row r="877">
      <c r="A877" s="1"/>
      <c r="B877" s="36"/>
      <c r="C877" s="36"/>
      <c r="D877" s="36"/>
      <c r="E877" s="36"/>
      <c r="F877" s="36"/>
      <c r="G877" s="36"/>
      <c r="H877" s="37"/>
      <c r="I877" s="36"/>
      <c r="J877" s="38"/>
      <c r="K877" s="38"/>
      <c r="L877" s="39"/>
      <c r="M877" s="39"/>
      <c r="N877" s="39"/>
      <c r="O877" s="39"/>
      <c r="P877" s="39"/>
      <c r="Q877" s="39"/>
      <c r="R877" s="39"/>
      <c r="S877" s="39"/>
      <c r="T877" s="39"/>
      <c r="U877" s="39"/>
      <c r="V877" s="39"/>
      <c r="W877" s="39"/>
      <c r="X877" s="39"/>
      <c r="Y877" s="39"/>
      <c r="Z877" s="39"/>
      <c r="AA877" s="39"/>
      <c r="AB877" s="39"/>
    </row>
    <row r="878">
      <c r="A878" s="1"/>
      <c r="B878" s="36"/>
      <c r="C878" s="36"/>
      <c r="D878" s="36"/>
      <c r="E878" s="36"/>
      <c r="F878" s="36"/>
      <c r="G878" s="36"/>
      <c r="H878" s="37"/>
      <c r="I878" s="36"/>
      <c r="J878" s="38"/>
      <c r="K878" s="38"/>
      <c r="L878" s="39"/>
      <c r="M878" s="39"/>
      <c r="N878" s="39"/>
      <c r="O878" s="39"/>
      <c r="P878" s="39"/>
      <c r="Q878" s="39"/>
      <c r="R878" s="39"/>
      <c r="S878" s="39"/>
      <c r="T878" s="39"/>
      <c r="U878" s="39"/>
      <c r="V878" s="39"/>
      <c r="W878" s="39"/>
      <c r="X878" s="39"/>
      <c r="Y878" s="39"/>
      <c r="Z878" s="39"/>
      <c r="AA878" s="39"/>
      <c r="AB878" s="39"/>
    </row>
    <row r="879">
      <c r="A879" s="1"/>
      <c r="B879" s="36"/>
      <c r="C879" s="36"/>
      <c r="D879" s="36"/>
      <c r="E879" s="36"/>
      <c r="F879" s="36"/>
      <c r="G879" s="36"/>
      <c r="H879" s="37"/>
      <c r="I879" s="36"/>
      <c r="J879" s="38"/>
      <c r="K879" s="38"/>
      <c r="L879" s="39"/>
      <c r="M879" s="39"/>
      <c r="N879" s="39"/>
      <c r="O879" s="39"/>
      <c r="P879" s="39"/>
      <c r="Q879" s="39"/>
      <c r="R879" s="39"/>
      <c r="S879" s="39"/>
      <c r="T879" s="39"/>
      <c r="U879" s="39"/>
      <c r="V879" s="39"/>
      <c r="W879" s="39"/>
      <c r="X879" s="39"/>
      <c r="Y879" s="39"/>
      <c r="Z879" s="39"/>
      <c r="AA879" s="39"/>
      <c r="AB879" s="39"/>
    </row>
    <row r="880">
      <c r="A880" s="1"/>
      <c r="B880" s="36"/>
      <c r="C880" s="36"/>
      <c r="D880" s="36"/>
      <c r="E880" s="36"/>
      <c r="F880" s="36"/>
      <c r="G880" s="36"/>
      <c r="H880" s="37"/>
      <c r="I880" s="36"/>
      <c r="J880" s="38"/>
      <c r="K880" s="38"/>
      <c r="L880" s="39"/>
      <c r="M880" s="39"/>
      <c r="N880" s="39"/>
      <c r="O880" s="39"/>
      <c r="P880" s="39"/>
      <c r="Q880" s="39"/>
      <c r="R880" s="39"/>
      <c r="S880" s="39"/>
      <c r="T880" s="39"/>
      <c r="U880" s="39"/>
      <c r="V880" s="39"/>
      <c r="W880" s="39"/>
      <c r="X880" s="39"/>
      <c r="Y880" s="39"/>
      <c r="Z880" s="39"/>
      <c r="AA880" s="39"/>
      <c r="AB880" s="39"/>
    </row>
    <row r="881">
      <c r="A881" s="1"/>
      <c r="B881" s="36"/>
      <c r="C881" s="36"/>
      <c r="D881" s="36"/>
      <c r="E881" s="36"/>
      <c r="F881" s="36"/>
      <c r="G881" s="36"/>
      <c r="H881" s="37"/>
      <c r="I881" s="36"/>
      <c r="J881" s="38"/>
      <c r="K881" s="38"/>
      <c r="L881" s="39"/>
      <c r="M881" s="39"/>
      <c r="N881" s="39"/>
      <c r="O881" s="39"/>
      <c r="P881" s="39"/>
      <c r="Q881" s="39"/>
      <c r="R881" s="39"/>
      <c r="S881" s="39"/>
      <c r="T881" s="39"/>
      <c r="U881" s="39"/>
      <c r="V881" s="39"/>
      <c r="W881" s="39"/>
      <c r="X881" s="39"/>
      <c r="Y881" s="39"/>
      <c r="Z881" s="39"/>
      <c r="AA881" s="39"/>
      <c r="AB881" s="39"/>
    </row>
    <row r="882">
      <c r="A882" s="1"/>
      <c r="B882" s="36"/>
      <c r="C882" s="36"/>
      <c r="D882" s="36"/>
      <c r="E882" s="36"/>
      <c r="F882" s="36"/>
      <c r="G882" s="36"/>
      <c r="H882" s="37"/>
      <c r="I882" s="36"/>
      <c r="J882" s="38"/>
      <c r="K882" s="38"/>
      <c r="L882" s="39"/>
      <c r="M882" s="39"/>
      <c r="N882" s="39"/>
      <c r="O882" s="39"/>
      <c r="P882" s="39"/>
      <c r="Q882" s="39"/>
      <c r="R882" s="39"/>
      <c r="S882" s="39"/>
      <c r="T882" s="39"/>
      <c r="U882" s="39"/>
      <c r="V882" s="39"/>
      <c r="W882" s="39"/>
      <c r="X882" s="39"/>
      <c r="Y882" s="39"/>
      <c r="Z882" s="39"/>
      <c r="AA882" s="39"/>
      <c r="AB882" s="39"/>
    </row>
    <row r="883">
      <c r="A883" s="1"/>
      <c r="B883" s="36"/>
      <c r="C883" s="36"/>
      <c r="D883" s="36"/>
      <c r="E883" s="36"/>
      <c r="F883" s="36"/>
      <c r="G883" s="36"/>
      <c r="H883" s="37"/>
      <c r="I883" s="36"/>
      <c r="J883" s="38"/>
      <c r="K883" s="38"/>
      <c r="L883" s="39"/>
      <c r="M883" s="39"/>
      <c r="N883" s="39"/>
      <c r="O883" s="39"/>
      <c r="P883" s="39"/>
      <c r="Q883" s="39"/>
      <c r="R883" s="39"/>
      <c r="S883" s="39"/>
      <c r="T883" s="39"/>
      <c r="U883" s="39"/>
      <c r="V883" s="39"/>
      <c r="W883" s="39"/>
      <c r="X883" s="39"/>
      <c r="Y883" s="39"/>
      <c r="Z883" s="39"/>
      <c r="AA883" s="39"/>
      <c r="AB883" s="39"/>
    </row>
    <row r="884">
      <c r="A884" s="1"/>
      <c r="B884" s="36"/>
      <c r="C884" s="36"/>
      <c r="D884" s="36"/>
      <c r="E884" s="36"/>
      <c r="F884" s="36"/>
      <c r="G884" s="36"/>
      <c r="H884" s="37"/>
      <c r="I884" s="36"/>
      <c r="J884" s="38"/>
      <c r="K884" s="38"/>
      <c r="L884" s="39"/>
      <c r="M884" s="39"/>
      <c r="N884" s="39"/>
      <c r="O884" s="39"/>
      <c r="P884" s="39"/>
      <c r="Q884" s="39"/>
      <c r="R884" s="39"/>
      <c r="S884" s="39"/>
      <c r="T884" s="39"/>
      <c r="U884" s="39"/>
      <c r="V884" s="39"/>
      <c r="W884" s="39"/>
      <c r="X884" s="39"/>
      <c r="Y884" s="39"/>
      <c r="Z884" s="39"/>
      <c r="AA884" s="39"/>
      <c r="AB884" s="39"/>
    </row>
    <row r="885">
      <c r="A885" s="1"/>
      <c r="B885" s="36"/>
      <c r="C885" s="36"/>
      <c r="D885" s="36"/>
      <c r="E885" s="36"/>
      <c r="F885" s="36"/>
      <c r="G885" s="36"/>
      <c r="H885" s="37"/>
      <c r="I885" s="36"/>
      <c r="J885" s="38"/>
      <c r="K885" s="38"/>
      <c r="L885" s="39"/>
      <c r="M885" s="39"/>
      <c r="N885" s="39"/>
      <c r="O885" s="39"/>
      <c r="P885" s="39"/>
      <c r="Q885" s="39"/>
      <c r="R885" s="39"/>
      <c r="S885" s="39"/>
      <c r="T885" s="39"/>
      <c r="U885" s="39"/>
      <c r="V885" s="39"/>
      <c r="W885" s="39"/>
      <c r="X885" s="39"/>
      <c r="Y885" s="39"/>
      <c r="Z885" s="39"/>
      <c r="AA885" s="39"/>
      <c r="AB885" s="39"/>
    </row>
    <row r="886">
      <c r="A886" s="1"/>
      <c r="B886" s="36"/>
      <c r="C886" s="36"/>
      <c r="D886" s="36"/>
      <c r="E886" s="36"/>
      <c r="F886" s="36"/>
      <c r="G886" s="36"/>
      <c r="H886" s="37"/>
      <c r="I886" s="36"/>
      <c r="J886" s="38"/>
      <c r="K886" s="38"/>
      <c r="L886" s="39"/>
      <c r="M886" s="39"/>
      <c r="N886" s="39"/>
      <c r="O886" s="39"/>
      <c r="P886" s="39"/>
      <c r="Q886" s="39"/>
      <c r="R886" s="39"/>
      <c r="S886" s="39"/>
      <c r="T886" s="39"/>
      <c r="U886" s="39"/>
      <c r="V886" s="39"/>
      <c r="W886" s="39"/>
      <c r="X886" s="39"/>
      <c r="Y886" s="39"/>
      <c r="Z886" s="39"/>
      <c r="AA886" s="39"/>
      <c r="AB886" s="39"/>
    </row>
    <row r="887">
      <c r="A887" s="1"/>
      <c r="B887" s="36"/>
      <c r="C887" s="36"/>
      <c r="D887" s="36"/>
      <c r="E887" s="36"/>
      <c r="F887" s="36"/>
      <c r="G887" s="36"/>
      <c r="H887" s="37"/>
      <c r="I887" s="36"/>
      <c r="J887" s="38"/>
      <c r="K887" s="38"/>
      <c r="L887" s="39"/>
      <c r="M887" s="39"/>
      <c r="N887" s="39"/>
      <c r="O887" s="39"/>
      <c r="P887" s="39"/>
      <c r="Q887" s="39"/>
      <c r="R887" s="39"/>
      <c r="S887" s="39"/>
      <c r="T887" s="39"/>
      <c r="U887" s="39"/>
      <c r="V887" s="39"/>
      <c r="W887" s="39"/>
      <c r="X887" s="39"/>
      <c r="Y887" s="39"/>
      <c r="Z887" s="39"/>
      <c r="AA887" s="39"/>
      <c r="AB887" s="39"/>
    </row>
    <row r="888">
      <c r="A888" s="1"/>
      <c r="B888" s="36"/>
      <c r="C888" s="36"/>
      <c r="D888" s="36"/>
      <c r="E888" s="36"/>
      <c r="F888" s="36"/>
      <c r="G888" s="36"/>
      <c r="H888" s="37"/>
      <c r="I888" s="36"/>
      <c r="J888" s="38"/>
      <c r="K888" s="38"/>
      <c r="L888" s="39"/>
      <c r="M888" s="39"/>
      <c r="N888" s="39"/>
      <c r="O888" s="39"/>
      <c r="P888" s="39"/>
      <c r="Q888" s="39"/>
      <c r="R888" s="39"/>
      <c r="S888" s="39"/>
      <c r="T888" s="39"/>
      <c r="U888" s="39"/>
      <c r="V888" s="39"/>
      <c r="W888" s="39"/>
      <c r="X888" s="39"/>
      <c r="Y888" s="39"/>
      <c r="Z888" s="39"/>
      <c r="AA888" s="39"/>
      <c r="AB888" s="39"/>
    </row>
    <row r="889">
      <c r="A889" s="1"/>
      <c r="B889" s="36"/>
      <c r="C889" s="36"/>
      <c r="D889" s="36"/>
      <c r="E889" s="36"/>
      <c r="F889" s="36"/>
      <c r="G889" s="36"/>
      <c r="H889" s="37"/>
      <c r="I889" s="36"/>
      <c r="J889" s="38"/>
      <c r="K889" s="38"/>
      <c r="L889" s="39"/>
      <c r="M889" s="39"/>
      <c r="N889" s="39"/>
      <c r="O889" s="39"/>
      <c r="P889" s="39"/>
      <c r="Q889" s="39"/>
      <c r="R889" s="39"/>
      <c r="S889" s="39"/>
      <c r="T889" s="39"/>
      <c r="U889" s="39"/>
      <c r="V889" s="39"/>
      <c r="W889" s="39"/>
      <c r="X889" s="39"/>
      <c r="Y889" s="39"/>
      <c r="Z889" s="39"/>
      <c r="AA889" s="39"/>
      <c r="AB889" s="39"/>
    </row>
    <row r="890">
      <c r="A890" s="1"/>
      <c r="B890" s="36"/>
      <c r="C890" s="36"/>
      <c r="D890" s="36"/>
      <c r="E890" s="36"/>
      <c r="F890" s="36"/>
      <c r="G890" s="36"/>
      <c r="H890" s="37"/>
      <c r="I890" s="36"/>
      <c r="J890" s="38"/>
      <c r="K890" s="38"/>
      <c r="L890" s="39"/>
      <c r="M890" s="39"/>
      <c r="N890" s="39"/>
      <c r="O890" s="39"/>
      <c r="P890" s="39"/>
      <c r="Q890" s="39"/>
      <c r="R890" s="39"/>
      <c r="S890" s="39"/>
      <c r="T890" s="39"/>
      <c r="U890" s="39"/>
      <c r="V890" s="39"/>
      <c r="W890" s="39"/>
      <c r="X890" s="39"/>
      <c r="Y890" s="39"/>
      <c r="Z890" s="39"/>
      <c r="AA890" s="39"/>
      <c r="AB890" s="39"/>
    </row>
    <row r="891">
      <c r="A891" s="1"/>
      <c r="B891" s="36"/>
      <c r="C891" s="36"/>
      <c r="D891" s="36"/>
      <c r="E891" s="36"/>
      <c r="F891" s="36"/>
      <c r="G891" s="36"/>
      <c r="H891" s="37"/>
      <c r="I891" s="36"/>
      <c r="J891" s="38"/>
      <c r="K891" s="38"/>
      <c r="L891" s="39"/>
      <c r="M891" s="39"/>
      <c r="N891" s="39"/>
      <c r="O891" s="39"/>
      <c r="P891" s="39"/>
      <c r="Q891" s="39"/>
      <c r="R891" s="39"/>
      <c r="S891" s="39"/>
      <c r="T891" s="39"/>
      <c r="U891" s="39"/>
      <c r="V891" s="39"/>
      <c r="W891" s="39"/>
      <c r="X891" s="39"/>
      <c r="Y891" s="39"/>
      <c r="Z891" s="39"/>
      <c r="AA891" s="39"/>
      <c r="AB891" s="39"/>
    </row>
    <row r="892">
      <c r="A892" s="1"/>
      <c r="B892" s="36"/>
      <c r="C892" s="36"/>
      <c r="D892" s="36"/>
      <c r="E892" s="36"/>
      <c r="F892" s="36"/>
      <c r="G892" s="36"/>
      <c r="H892" s="37"/>
      <c r="I892" s="36"/>
      <c r="J892" s="38"/>
      <c r="K892" s="38"/>
      <c r="L892" s="39"/>
      <c r="M892" s="39"/>
      <c r="N892" s="39"/>
      <c r="O892" s="39"/>
      <c r="P892" s="39"/>
      <c r="Q892" s="39"/>
      <c r="R892" s="39"/>
      <c r="S892" s="39"/>
      <c r="T892" s="39"/>
      <c r="U892" s="39"/>
      <c r="V892" s="39"/>
      <c r="W892" s="39"/>
      <c r="X892" s="39"/>
      <c r="Y892" s="39"/>
      <c r="Z892" s="39"/>
      <c r="AA892" s="39"/>
      <c r="AB892" s="39"/>
    </row>
    <row r="893">
      <c r="A893" s="1"/>
      <c r="B893" s="36"/>
      <c r="C893" s="36"/>
      <c r="D893" s="36"/>
      <c r="E893" s="36"/>
      <c r="F893" s="36"/>
      <c r="G893" s="36"/>
      <c r="H893" s="37"/>
      <c r="I893" s="36"/>
      <c r="J893" s="38"/>
      <c r="K893" s="38"/>
      <c r="L893" s="39"/>
      <c r="M893" s="39"/>
      <c r="N893" s="39"/>
      <c r="O893" s="39"/>
      <c r="P893" s="39"/>
      <c r="Q893" s="39"/>
      <c r="R893" s="39"/>
      <c r="S893" s="39"/>
      <c r="T893" s="39"/>
      <c r="U893" s="39"/>
      <c r="V893" s="39"/>
      <c r="W893" s="39"/>
      <c r="X893" s="39"/>
      <c r="Y893" s="39"/>
      <c r="Z893" s="39"/>
      <c r="AA893" s="39"/>
      <c r="AB893" s="39"/>
    </row>
    <row r="894">
      <c r="A894" s="1"/>
      <c r="B894" s="36"/>
      <c r="C894" s="36"/>
      <c r="D894" s="36"/>
      <c r="E894" s="36"/>
      <c r="F894" s="36"/>
      <c r="G894" s="36"/>
      <c r="H894" s="37"/>
      <c r="I894" s="36"/>
      <c r="J894" s="38"/>
      <c r="K894" s="38"/>
      <c r="L894" s="39"/>
      <c r="M894" s="39"/>
      <c r="N894" s="39"/>
      <c r="O894" s="39"/>
      <c r="P894" s="39"/>
      <c r="Q894" s="39"/>
      <c r="R894" s="39"/>
      <c r="S894" s="39"/>
      <c r="T894" s="39"/>
      <c r="U894" s="39"/>
      <c r="V894" s="39"/>
      <c r="W894" s="39"/>
      <c r="X894" s="39"/>
      <c r="Y894" s="39"/>
      <c r="Z894" s="39"/>
      <c r="AA894" s="39"/>
      <c r="AB894" s="39"/>
    </row>
    <row r="895">
      <c r="A895" s="1"/>
      <c r="B895" s="36"/>
      <c r="C895" s="36"/>
      <c r="D895" s="36"/>
      <c r="E895" s="36"/>
      <c r="F895" s="36"/>
      <c r="G895" s="36"/>
      <c r="H895" s="37"/>
      <c r="I895" s="36"/>
      <c r="J895" s="38"/>
      <c r="K895" s="38"/>
      <c r="L895" s="39"/>
      <c r="M895" s="39"/>
      <c r="N895" s="39"/>
      <c r="O895" s="39"/>
      <c r="P895" s="39"/>
      <c r="Q895" s="39"/>
      <c r="R895" s="39"/>
      <c r="S895" s="39"/>
      <c r="T895" s="39"/>
      <c r="U895" s="39"/>
      <c r="V895" s="39"/>
      <c r="W895" s="39"/>
      <c r="X895" s="39"/>
      <c r="Y895" s="39"/>
      <c r="Z895" s="39"/>
      <c r="AA895" s="39"/>
      <c r="AB895" s="39"/>
    </row>
    <row r="896">
      <c r="A896" s="1"/>
      <c r="B896" s="36"/>
      <c r="C896" s="36"/>
      <c r="D896" s="36"/>
      <c r="E896" s="36"/>
      <c r="F896" s="36"/>
      <c r="G896" s="36"/>
      <c r="H896" s="37"/>
      <c r="I896" s="36"/>
      <c r="J896" s="38"/>
      <c r="K896" s="38"/>
      <c r="L896" s="39"/>
      <c r="M896" s="39"/>
      <c r="N896" s="39"/>
      <c r="O896" s="39"/>
      <c r="P896" s="39"/>
      <c r="Q896" s="39"/>
      <c r="R896" s="39"/>
      <c r="S896" s="39"/>
      <c r="T896" s="39"/>
      <c r="U896" s="39"/>
      <c r="V896" s="39"/>
      <c r="W896" s="39"/>
      <c r="X896" s="39"/>
      <c r="Y896" s="39"/>
      <c r="Z896" s="39"/>
      <c r="AA896" s="39"/>
      <c r="AB896" s="39"/>
    </row>
    <row r="897">
      <c r="A897" s="1"/>
      <c r="B897" s="36"/>
      <c r="C897" s="36"/>
      <c r="D897" s="36"/>
      <c r="E897" s="36"/>
      <c r="F897" s="36"/>
      <c r="G897" s="36"/>
      <c r="H897" s="37"/>
      <c r="I897" s="36"/>
      <c r="J897" s="38"/>
      <c r="K897" s="38"/>
      <c r="L897" s="39"/>
      <c r="M897" s="39"/>
      <c r="N897" s="39"/>
      <c r="O897" s="39"/>
      <c r="P897" s="39"/>
      <c r="Q897" s="39"/>
      <c r="R897" s="39"/>
      <c r="S897" s="39"/>
      <c r="T897" s="39"/>
      <c r="U897" s="39"/>
      <c r="V897" s="39"/>
      <c r="W897" s="39"/>
      <c r="X897" s="39"/>
      <c r="Y897" s="39"/>
      <c r="Z897" s="39"/>
      <c r="AA897" s="39"/>
      <c r="AB897" s="39"/>
    </row>
    <row r="898">
      <c r="A898" s="1"/>
      <c r="B898" s="36"/>
      <c r="C898" s="36"/>
      <c r="D898" s="36"/>
      <c r="E898" s="36"/>
      <c r="F898" s="36"/>
      <c r="G898" s="36"/>
      <c r="H898" s="37"/>
      <c r="I898" s="36"/>
      <c r="J898" s="38"/>
      <c r="K898" s="38"/>
      <c r="L898" s="39"/>
      <c r="M898" s="39"/>
      <c r="N898" s="39"/>
      <c r="O898" s="39"/>
      <c r="P898" s="39"/>
      <c r="Q898" s="39"/>
      <c r="R898" s="39"/>
      <c r="S898" s="39"/>
      <c r="T898" s="39"/>
      <c r="U898" s="39"/>
      <c r="V898" s="39"/>
      <c r="W898" s="39"/>
      <c r="X898" s="39"/>
      <c r="Y898" s="39"/>
      <c r="Z898" s="39"/>
      <c r="AA898" s="39"/>
      <c r="AB898" s="39"/>
    </row>
    <row r="899">
      <c r="A899" s="1"/>
      <c r="B899" s="36"/>
      <c r="C899" s="36"/>
      <c r="D899" s="36"/>
      <c r="E899" s="36"/>
      <c r="F899" s="36"/>
      <c r="G899" s="36"/>
      <c r="H899" s="37"/>
      <c r="I899" s="36"/>
      <c r="J899" s="38"/>
      <c r="K899" s="38"/>
      <c r="L899" s="39"/>
      <c r="M899" s="39"/>
      <c r="N899" s="39"/>
      <c r="O899" s="39"/>
      <c r="P899" s="39"/>
      <c r="Q899" s="39"/>
      <c r="R899" s="39"/>
      <c r="S899" s="39"/>
      <c r="T899" s="39"/>
      <c r="U899" s="39"/>
      <c r="V899" s="39"/>
      <c r="W899" s="39"/>
      <c r="X899" s="39"/>
      <c r="Y899" s="39"/>
      <c r="Z899" s="39"/>
      <c r="AA899" s="39"/>
      <c r="AB899" s="39"/>
    </row>
    <row r="900">
      <c r="A900" s="1"/>
      <c r="B900" s="36"/>
      <c r="C900" s="36"/>
      <c r="D900" s="36"/>
      <c r="E900" s="36"/>
      <c r="F900" s="36"/>
      <c r="G900" s="36"/>
      <c r="H900" s="37"/>
      <c r="I900" s="36"/>
      <c r="J900" s="38"/>
      <c r="K900" s="38"/>
      <c r="L900" s="39"/>
      <c r="M900" s="39"/>
      <c r="N900" s="39"/>
      <c r="O900" s="39"/>
      <c r="P900" s="39"/>
      <c r="Q900" s="39"/>
      <c r="R900" s="39"/>
      <c r="S900" s="39"/>
      <c r="T900" s="39"/>
      <c r="U900" s="39"/>
      <c r="V900" s="39"/>
      <c r="W900" s="39"/>
      <c r="X900" s="39"/>
      <c r="Y900" s="39"/>
      <c r="Z900" s="39"/>
      <c r="AA900" s="39"/>
      <c r="AB900" s="39"/>
    </row>
    <row r="901">
      <c r="A901" s="1"/>
      <c r="B901" s="36"/>
      <c r="C901" s="36"/>
      <c r="D901" s="36"/>
      <c r="E901" s="36"/>
      <c r="F901" s="36"/>
      <c r="G901" s="36"/>
      <c r="H901" s="37"/>
      <c r="I901" s="36"/>
      <c r="J901" s="38"/>
      <c r="K901" s="38"/>
      <c r="L901" s="39"/>
      <c r="M901" s="39"/>
      <c r="N901" s="39"/>
      <c r="O901" s="39"/>
      <c r="P901" s="39"/>
      <c r="Q901" s="39"/>
      <c r="R901" s="39"/>
      <c r="S901" s="39"/>
      <c r="T901" s="39"/>
      <c r="U901" s="39"/>
      <c r="V901" s="39"/>
      <c r="W901" s="39"/>
      <c r="X901" s="39"/>
      <c r="Y901" s="39"/>
      <c r="Z901" s="39"/>
      <c r="AA901" s="39"/>
      <c r="AB901" s="39"/>
    </row>
    <row r="902">
      <c r="A902" s="1"/>
      <c r="B902" s="36"/>
      <c r="C902" s="36"/>
      <c r="D902" s="36"/>
      <c r="E902" s="36"/>
      <c r="F902" s="36"/>
      <c r="G902" s="36"/>
      <c r="H902" s="37"/>
      <c r="I902" s="36"/>
      <c r="J902" s="38"/>
      <c r="K902" s="38"/>
      <c r="L902" s="39"/>
      <c r="M902" s="39"/>
      <c r="N902" s="39"/>
      <c r="O902" s="39"/>
      <c r="P902" s="39"/>
      <c r="Q902" s="39"/>
      <c r="R902" s="39"/>
      <c r="S902" s="39"/>
      <c r="T902" s="39"/>
      <c r="U902" s="39"/>
      <c r="V902" s="39"/>
      <c r="W902" s="39"/>
      <c r="X902" s="39"/>
      <c r="Y902" s="39"/>
      <c r="Z902" s="39"/>
      <c r="AA902" s="39"/>
      <c r="AB902" s="39"/>
    </row>
    <row r="903">
      <c r="A903" s="1"/>
      <c r="B903" s="36"/>
      <c r="C903" s="36"/>
      <c r="D903" s="36"/>
      <c r="E903" s="36"/>
      <c r="F903" s="36"/>
      <c r="G903" s="36"/>
      <c r="H903" s="37"/>
      <c r="I903" s="36"/>
      <c r="J903" s="38"/>
      <c r="K903" s="38"/>
      <c r="L903" s="39"/>
      <c r="M903" s="39"/>
      <c r="N903" s="39"/>
      <c r="O903" s="39"/>
      <c r="P903" s="39"/>
      <c r="Q903" s="39"/>
      <c r="R903" s="39"/>
      <c r="S903" s="39"/>
      <c r="T903" s="39"/>
      <c r="U903" s="39"/>
      <c r="V903" s="39"/>
      <c r="W903" s="39"/>
      <c r="X903" s="39"/>
      <c r="Y903" s="39"/>
      <c r="Z903" s="39"/>
      <c r="AA903" s="39"/>
      <c r="AB903" s="39"/>
    </row>
    <row r="904">
      <c r="A904" s="1"/>
      <c r="B904" s="36"/>
      <c r="C904" s="36"/>
      <c r="D904" s="36"/>
      <c r="E904" s="36"/>
      <c r="F904" s="36"/>
      <c r="G904" s="36"/>
      <c r="H904" s="37"/>
      <c r="I904" s="36"/>
      <c r="J904" s="38"/>
      <c r="K904" s="38"/>
      <c r="L904" s="39"/>
      <c r="M904" s="39"/>
      <c r="N904" s="39"/>
      <c r="O904" s="39"/>
      <c r="P904" s="39"/>
      <c r="Q904" s="39"/>
      <c r="R904" s="39"/>
      <c r="S904" s="39"/>
      <c r="T904" s="39"/>
      <c r="U904" s="39"/>
      <c r="V904" s="39"/>
      <c r="W904" s="39"/>
      <c r="X904" s="39"/>
      <c r="Y904" s="39"/>
      <c r="Z904" s="39"/>
      <c r="AA904" s="39"/>
      <c r="AB904" s="39"/>
    </row>
    <row r="905">
      <c r="A905" s="1"/>
      <c r="B905" s="36"/>
      <c r="C905" s="36"/>
      <c r="D905" s="36"/>
      <c r="E905" s="36"/>
      <c r="F905" s="36"/>
      <c r="G905" s="36"/>
      <c r="H905" s="37"/>
      <c r="I905" s="36"/>
      <c r="J905" s="38"/>
      <c r="K905" s="38"/>
      <c r="L905" s="39"/>
      <c r="M905" s="39"/>
      <c r="N905" s="39"/>
      <c r="O905" s="39"/>
      <c r="P905" s="39"/>
      <c r="Q905" s="39"/>
      <c r="R905" s="39"/>
      <c r="S905" s="39"/>
      <c r="T905" s="39"/>
      <c r="U905" s="39"/>
      <c r="V905" s="39"/>
      <c r="W905" s="39"/>
      <c r="X905" s="39"/>
      <c r="Y905" s="39"/>
      <c r="Z905" s="39"/>
      <c r="AA905" s="39"/>
      <c r="AB905" s="39"/>
    </row>
    <row r="906">
      <c r="A906" s="1"/>
      <c r="B906" s="36"/>
      <c r="C906" s="36"/>
      <c r="D906" s="36"/>
      <c r="E906" s="36"/>
      <c r="F906" s="36"/>
      <c r="G906" s="36"/>
      <c r="H906" s="37"/>
      <c r="I906" s="36"/>
      <c r="J906" s="38"/>
      <c r="K906" s="38"/>
      <c r="L906" s="39"/>
      <c r="M906" s="39"/>
      <c r="N906" s="39"/>
      <c r="O906" s="39"/>
      <c r="P906" s="39"/>
      <c r="Q906" s="39"/>
      <c r="R906" s="39"/>
      <c r="S906" s="39"/>
      <c r="T906" s="39"/>
      <c r="U906" s="39"/>
      <c r="V906" s="39"/>
      <c r="W906" s="39"/>
      <c r="X906" s="39"/>
      <c r="Y906" s="39"/>
      <c r="Z906" s="39"/>
      <c r="AA906" s="39"/>
      <c r="AB906" s="39"/>
    </row>
    <row r="907">
      <c r="A907" s="1"/>
      <c r="B907" s="36"/>
      <c r="C907" s="36"/>
      <c r="D907" s="36"/>
      <c r="E907" s="36"/>
      <c r="F907" s="36"/>
      <c r="G907" s="36"/>
      <c r="H907" s="37"/>
      <c r="I907" s="36"/>
      <c r="J907" s="38"/>
      <c r="K907" s="38"/>
      <c r="L907" s="39"/>
      <c r="M907" s="39"/>
      <c r="N907" s="39"/>
      <c r="O907" s="39"/>
      <c r="P907" s="39"/>
      <c r="Q907" s="39"/>
      <c r="R907" s="39"/>
      <c r="S907" s="39"/>
      <c r="T907" s="39"/>
      <c r="U907" s="39"/>
      <c r="V907" s="39"/>
      <c r="W907" s="39"/>
      <c r="X907" s="39"/>
      <c r="Y907" s="39"/>
      <c r="Z907" s="39"/>
      <c r="AA907" s="39"/>
      <c r="AB907" s="39"/>
    </row>
    <row r="908">
      <c r="A908" s="1"/>
      <c r="B908" s="36"/>
      <c r="C908" s="36"/>
      <c r="D908" s="36"/>
      <c r="E908" s="36"/>
      <c r="F908" s="36"/>
      <c r="G908" s="36"/>
      <c r="H908" s="37"/>
      <c r="I908" s="36"/>
      <c r="J908" s="38"/>
      <c r="K908" s="38"/>
      <c r="L908" s="39"/>
      <c r="M908" s="39"/>
      <c r="N908" s="39"/>
      <c r="O908" s="39"/>
      <c r="P908" s="39"/>
      <c r="Q908" s="39"/>
      <c r="R908" s="39"/>
      <c r="S908" s="39"/>
      <c r="T908" s="39"/>
      <c r="U908" s="39"/>
      <c r="V908" s="39"/>
      <c r="W908" s="39"/>
      <c r="X908" s="39"/>
      <c r="Y908" s="39"/>
      <c r="Z908" s="39"/>
      <c r="AA908" s="39"/>
      <c r="AB908" s="39"/>
    </row>
    <row r="909">
      <c r="A909" s="1"/>
      <c r="B909" s="36"/>
      <c r="C909" s="36"/>
      <c r="D909" s="36"/>
      <c r="E909" s="36"/>
      <c r="F909" s="36"/>
      <c r="G909" s="36"/>
      <c r="H909" s="37"/>
      <c r="I909" s="36"/>
      <c r="J909" s="38"/>
      <c r="K909" s="38"/>
      <c r="L909" s="39"/>
      <c r="M909" s="39"/>
      <c r="N909" s="39"/>
      <c r="O909" s="39"/>
      <c r="P909" s="39"/>
      <c r="Q909" s="39"/>
      <c r="R909" s="39"/>
      <c r="S909" s="39"/>
      <c r="T909" s="39"/>
      <c r="U909" s="39"/>
      <c r="V909" s="39"/>
      <c r="W909" s="39"/>
      <c r="X909" s="39"/>
      <c r="Y909" s="39"/>
      <c r="Z909" s="39"/>
      <c r="AA909" s="39"/>
      <c r="AB909" s="39"/>
    </row>
    <row r="910">
      <c r="A910" s="1"/>
      <c r="B910" s="36"/>
      <c r="C910" s="36"/>
      <c r="D910" s="36"/>
      <c r="E910" s="36"/>
      <c r="F910" s="36"/>
      <c r="G910" s="36"/>
      <c r="H910" s="37"/>
      <c r="I910" s="36"/>
      <c r="J910" s="38"/>
      <c r="K910" s="38"/>
      <c r="L910" s="39"/>
      <c r="M910" s="39"/>
      <c r="N910" s="39"/>
      <c r="O910" s="39"/>
      <c r="P910" s="39"/>
      <c r="Q910" s="39"/>
      <c r="R910" s="39"/>
      <c r="S910" s="39"/>
      <c r="T910" s="39"/>
      <c r="U910" s="39"/>
      <c r="V910" s="39"/>
      <c r="W910" s="39"/>
      <c r="X910" s="39"/>
      <c r="Y910" s="39"/>
      <c r="Z910" s="39"/>
      <c r="AA910" s="39"/>
      <c r="AB910" s="39"/>
    </row>
    <row r="911">
      <c r="A911" s="1"/>
      <c r="B911" s="36"/>
      <c r="C911" s="36"/>
      <c r="D911" s="36"/>
      <c r="E911" s="36"/>
      <c r="F911" s="36"/>
      <c r="G911" s="36"/>
      <c r="H911" s="37"/>
      <c r="I911" s="36"/>
      <c r="J911" s="38"/>
      <c r="K911" s="38"/>
      <c r="L911" s="39"/>
      <c r="M911" s="39"/>
      <c r="N911" s="39"/>
      <c r="O911" s="39"/>
      <c r="P911" s="39"/>
      <c r="Q911" s="39"/>
      <c r="R911" s="39"/>
      <c r="S911" s="39"/>
      <c r="T911" s="39"/>
      <c r="U911" s="39"/>
      <c r="V911" s="39"/>
      <c r="W911" s="39"/>
      <c r="X911" s="39"/>
      <c r="Y911" s="39"/>
      <c r="Z911" s="39"/>
      <c r="AA911" s="39"/>
      <c r="AB911" s="39"/>
    </row>
    <row r="912">
      <c r="A912" s="1"/>
      <c r="B912" s="36"/>
      <c r="C912" s="36"/>
      <c r="D912" s="36"/>
      <c r="E912" s="36"/>
      <c r="F912" s="36"/>
      <c r="G912" s="36"/>
      <c r="H912" s="37"/>
      <c r="I912" s="36"/>
      <c r="J912" s="38"/>
      <c r="K912" s="38"/>
      <c r="L912" s="39"/>
      <c r="M912" s="39"/>
      <c r="N912" s="39"/>
      <c r="O912" s="39"/>
      <c r="P912" s="39"/>
      <c r="Q912" s="39"/>
      <c r="R912" s="39"/>
      <c r="S912" s="39"/>
      <c r="T912" s="39"/>
      <c r="U912" s="39"/>
      <c r="V912" s="39"/>
      <c r="W912" s="39"/>
      <c r="X912" s="39"/>
      <c r="Y912" s="39"/>
      <c r="Z912" s="39"/>
      <c r="AA912" s="39"/>
      <c r="AB912" s="39"/>
    </row>
    <row r="913">
      <c r="A913" s="1"/>
      <c r="B913" s="36"/>
      <c r="C913" s="36"/>
      <c r="D913" s="36"/>
      <c r="E913" s="36"/>
      <c r="F913" s="36"/>
      <c r="G913" s="36"/>
      <c r="H913" s="37"/>
      <c r="I913" s="36"/>
      <c r="J913" s="38"/>
      <c r="K913" s="38"/>
      <c r="L913" s="39"/>
      <c r="M913" s="39"/>
      <c r="N913" s="39"/>
      <c r="O913" s="39"/>
      <c r="P913" s="39"/>
      <c r="Q913" s="39"/>
      <c r="R913" s="39"/>
      <c r="S913" s="39"/>
      <c r="T913" s="39"/>
      <c r="U913" s="39"/>
      <c r="V913" s="39"/>
      <c r="W913" s="39"/>
      <c r="X913" s="39"/>
      <c r="Y913" s="39"/>
      <c r="Z913" s="39"/>
      <c r="AA913" s="39"/>
      <c r="AB913" s="39"/>
    </row>
    <row r="914">
      <c r="A914" s="1"/>
      <c r="B914" s="36"/>
      <c r="C914" s="36"/>
      <c r="D914" s="36"/>
      <c r="E914" s="36"/>
      <c r="F914" s="36"/>
      <c r="G914" s="36"/>
      <c r="H914" s="37"/>
      <c r="I914" s="36"/>
      <c r="J914" s="38"/>
      <c r="K914" s="38"/>
      <c r="L914" s="39"/>
      <c r="M914" s="39"/>
      <c r="N914" s="39"/>
      <c r="O914" s="39"/>
      <c r="P914" s="39"/>
      <c r="Q914" s="39"/>
      <c r="R914" s="39"/>
      <c r="S914" s="39"/>
      <c r="T914" s="39"/>
      <c r="U914" s="39"/>
      <c r="V914" s="39"/>
      <c r="W914" s="39"/>
      <c r="X914" s="39"/>
      <c r="Y914" s="39"/>
      <c r="Z914" s="39"/>
      <c r="AA914" s="39"/>
      <c r="AB914" s="39"/>
    </row>
    <row r="915">
      <c r="A915" s="1"/>
      <c r="B915" s="36"/>
      <c r="C915" s="36"/>
      <c r="D915" s="36"/>
      <c r="E915" s="36"/>
      <c r="F915" s="36"/>
      <c r="G915" s="36"/>
      <c r="H915" s="37"/>
      <c r="I915" s="36"/>
      <c r="J915" s="38"/>
      <c r="K915" s="38"/>
      <c r="L915" s="39"/>
      <c r="M915" s="39"/>
      <c r="N915" s="39"/>
      <c r="O915" s="39"/>
      <c r="P915" s="39"/>
      <c r="Q915" s="39"/>
      <c r="R915" s="39"/>
      <c r="S915" s="39"/>
      <c r="T915" s="39"/>
      <c r="U915" s="39"/>
      <c r="V915" s="39"/>
      <c r="W915" s="39"/>
      <c r="X915" s="39"/>
      <c r="Y915" s="39"/>
      <c r="Z915" s="39"/>
      <c r="AA915" s="39"/>
      <c r="AB915" s="39"/>
    </row>
    <row r="916">
      <c r="A916" s="1"/>
      <c r="B916" s="36"/>
      <c r="C916" s="36"/>
      <c r="D916" s="36"/>
      <c r="E916" s="36"/>
      <c r="F916" s="36"/>
      <c r="G916" s="36"/>
      <c r="H916" s="37"/>
      <c r="I916" s="36"/>
      <c r="J916" s="38"/>
      <c r="K916" s="38"/>
      <c r="L916" s="39"/>
      <c r="M916" s="39"/>
      <c r="N916" s="39"/>
      <c r="O916" s="39"/>
      <c r="P916" s="39"/>
      <c r="Q916" s="39"/>
      <c r="R916" s="39"/>
      <c r="S916" s="39"/>
      <c r="T916" s="39"/>
      <c r="U916" s="39"/>
      <c r="V916" s="39"/>
      <c r="W916" s="39"/>
      <c r="X916" s="39"/>
      <c r="Y916" s="39"/>
      <c r="Z916" s="39"/>
      <c r="AA916" s="39"/>
      <c r="AB916" s="39"/>
    </row>
    <row r="917">
      <c r="A917" s="1"/>
      <c r="B917" s="36"/>
      <c r="C917" s="36"/>
      <c r="D917" s="36"/>
      <c r="E917" s="36"/>
      <c r="F917" s="36"/>
      <c r="G917" s="36"/>
      <c r="H917" s="37"/>
      <c r="I917" s="36"/>
      <c r="J917" s="38"/>
      <c r="K917" s="38"/>
      <c r="L917" s="39"/>
      <c r="M917" s="39"/>
      <c r="N917" s="39"/>
      <c r="O917" s="39"/>
      <c r="P917" s="39"/>
      <c r="Q917" s="39"/>
      <c r="R917" s="39"/>
      <c r="S917" s="39"/>
      <c r="T917" s="39"/>
      <c r="U917" s="39"/>
      <c r="V917" s="39"/>
      <c r="W917" s="39"/>
      <c r="X917" s="39"/>
      <c r="Y917" s="39"/>
      <c r="Z917" s="39"/>
      <c r="AA917" s="39"/>
      <c r="AB917" s="39"/>
    </row>
    <row r="918">
      <c r="A918" s="1"/>
      <c r="B918" s="36"/>
      <c r="C918" s="36"/>
      <c r="D918" s="36"/>
      <c r="E918" s="36"/>
      <c r="F918" s="36"/>
      <c r="G918" s="36"/>
      <c r="H918" s="37"/>
      <c r="I918" s="36"/>
      <c r="J918" s="38"/>
      <c r="K918" s="38"/>
      <c r="L918" s="39"/>
      <c r="M918" s="39"/>
      <c r="N918" s="39"/>
      <c r="O918" s="39"/>
      <c r="P918" s="39"/>
      <c r="Q918" s="39"/>
      <c r="R918" s="39"/>
      <c r="S918" s="39"/>
      <c r="T918" s="39"/>
      <c r="U918" s="39"/>
      <c r="V918" s="39"/>
      <c r="W918" s="39"/>
      <c r="X918" s="39"/>
      <c r="Y918" s="39"/>
      <c r="Z918" s="39"/>
      <c r="AA918" s="39"/>
      <c r="AB918" s="39"/>
    </row>
    <row r="919">
      <c r="A919" s="1"/>
      <c r="B919" s="36"/>
      <c r="C919" s="36"/>
      <c r="D919" s="36"/>
      <c r="E919" s="36"/>
      <c r="F919" s="36"/>
      <c r="G919" s="36"/>
      <c r="H919" s="37"/>
      <c r="I919" s="36"/>
      <c r="J919" s="38"/>
      <c r="K919" s="38"/>
      <c r="L919" s="39"/>
      <c r="M919" s="39"/>
      <c r="N919" s="39"/>
      <c r="O919" s="39"/>
      <c r="P919" s="39"/>
      <c r="Q919" s="39"/>
      <c r="R919" s="39"/>
      <c r="S919" s="39"/>
      <c r="T919" s="39"/>
      <c r="U919" s="39"/>
      <c r="V919" s="39"/>
      <c r="W919" s="39"/>
      <c r="X919" s="39"/>
      <c r="Y919" s="39"/>
      <c r="Z919" s="39"/>
      <c r="AA919" s="39"/>
      <c r="AB919" s="39"/>
    </row>
    <row r="920">
      <c r="A920" s="1"/>
      <c r="B920" s="36"/>
      <c r="C920" s="36"/>
      <c r="D920" s="36"/>
      <c r="E920" s="36"/>
      <c r="F920" s="36"/>
      <c r="G920" s="36"/>
      <c r="H920" s="37"/>
      <c r="I920" s="36"/>
      <c r="J920" s="38"/>
      <c r="K920" s="38"/>
      <c r="L920" s="39"/>
      <c r="M920" s="39"/>
      <c r="N920" s="39"/>
      <c r="O920" s="39"/>
      <c r="P920" s="39"/>
      <c r="Q920" s="39"/>
      <c r="R920" s="39"/>
      <c r="S920" s="39"/>
      <c r="T920" s="39"/>
      <c r="U920" s="39"/>
      <c r="V920" s="39"/>
      <c r="W920" s="39"/>
      <c r="X920" s="39"/>
      <c r="Y920" s="39"/>
      <c r="Z920" s="39"/>
      <c r="AA920" s="39"/>
      <c r="AB920" s="39"/>
    </row>
    <row r="921">
      <c r="A921" s="1"/>
      <c r="B921" s="36"/>
      <c r="C921" s="36"/>
      <c r="D921" s="36"/>
      <c r="E921" s="36"/>
      <c r="F921" s="36"/>
      <c r="G921" s="36"/>
      <c r="H921" s="37"/>
      <c r="I921" s="36"/>
      <c r="J921" s="38"/>
      <c r="K921" s="38"/>
      <c r="L921" s="39"/>
      <c r="M921" s="39"/>
      <c r="N921" s="39"/>
      <c r="O921" s="39"/>
      <c r="P921" s="39"/>
      <c r="Q921" s="39"/>
      <c r="R921" s="39"/>
      <c r="S921" s="39"/>
      <c r="T921" s="39"/>
      <c r="U921" s="39"/>
      <c r="V921" s="39"/>
      <c r="W921" s="39"/>
      <c r="X921" s="39"/>
      <c r="Y921" s="39"/>
      <c r="Z921" s="39"/>
      <c r="AA921" s="39"/>
      <c r="AB921" s="39"/>
    </row>
    <row r="922">
      <c r="A922" s="1"/>
      <c r="B922" s="36"/>
      <c r="C922" s="36"/>
      <c r="D922" s="36"/>
      <c r="E922" s="36"/>
      <c r="F922" s="36"/>
      <c r="G922" s="36"/>
      <c r="H922" s="37"/>
      <c r="I922" s="36"/>
      <c r="J922" s="38"/>
      <c r="K922" s="38"/>
      <c r="L922" s="39"/>
      <c r="M922" s="39"/>
      <c r="N922" s="39"/>
      <c r="O922" s="39"/>
      <c r="P922" s="39"/>
      <c r="Q922" s="39"/>
      <c r="R922" s="39"/>
      <c r="S922" s="39"/>
      <c r="T922" s="39"/>
      <c r="U922" s="39"/>
      <c r="V922" s="39"/>
      <c r="W922" s="39"/>
      <c r="X922" s="39"/>
      <c r="Y922" s="39"/>
      <c r="Z922" s="39"/>
      <c r="AA922" s="39"/>
      <c r="AB922" s="39"/>
    </row>
    <row r="923">
      <c r="A923" s="1"/>
      <c r="B923" s="36"/>
      <c r="C923" s="36"/>
      <c r="D923" s="36"/>
      <c r="E923" s="36"/>
      <c r="F923" s="36"/>
      <c r="G923" s="36"/>
      <c r="H923" s="37"/>
      <c r="I923" s="36"/>
      <c r="J923" s="38"/>
      <c r="K923" s="38"/>
      <c r="L923" s="39"/>
      <c r="M923" s="39"/>
      <c r="N923" s="39"/>
      <c r="O923" s="39"/>
      <c r="P923" s="39"/>
      <c r="Q923" s="39"/>
      <c r="R923" s="39"/>
      <c r="S923" s="39"/>
      <c r="T923" s="39"/>
      <c r="U923" s="39"/>
      <c r="V923" s="39"/>
      <c r="W923" s="39"/>
      <c r="X923" s="39"/>
      <c r="Y923" s="39"/>
      <c r="Z923" s="39"/>
      <c r="AA923" s="39"/>
      <c r="AB923" s="39"/>
    </row>
    <row r="924">
      <c r="A924" s="1"/>
      <c r="B924" s="36"/>
      <c r="C924" s="36"/>
      <c r="D924" s="36"/>
      <c r="E924" s="36"/>
      <c r="F924" s="36"/>
      <c r="G924" s="36"/>
      <c r="H924" s="37"/>
      <c r="I924" s="36"/>
      <c r="J924" s="38"/>
      <c r="K924" s="38"/>
      <c r="L924" s="39"/>
      <c r="M924" s="39"/>
      <c r="N924" s="39"/>
      <c r="O924" s="39"/>
      <c r="P924" s="39"/>
      <c r="Q924" s="39"/>
      <c r="R924" s="39"/>
      <c r="S924" s="39"/>
      <c r="T924" s="39"/>
      <c r="U924" s="39"/>
      <c r="V924" s="39"/>
      <c r="W924" s="39"/>
      <c r="X924" s="39"/>
      <c r="Y924" s="39"/>
      <c r="Z924" s="39"/>
      <c r="AA924" s="39"/>
      <c r="AB924" s="39"/>
    </row>
    <row r="925">
      <c r="A925" s="1"/>
      <c r="B925" s="36"/>
      <c r="C925" s="36"/>
      <c r="D925" s="36"/>
      <c r="E925" s="36"/>
      <c r="F925" s="36"/>
      <c r="G925" s="36"/>
      <c r="H925" s="37"/>
      <c r="I925" s="36"/>
      <c r="J925" s="38"/>
      <c r="K925" s="38"/>
      <c r="L925" s="39"/>
      <c r="M925" s="39"/>
      <c r="N925" s="39"/>
      <c r="O925" s="39"/>
      <c r="P925" s="39"/>
      <c r="Q925" s="39"/>
      <c r="R925" s="39"/>
      <c r="S925" s="39"/>
      <c r="T925" s="39"/>
      <c r="U925" s="39"/>
      <c r="V925" s="39"/>
      <c r="W925" s="39"/>
      <c r="X925" s="39"/>
      <c r="Y925" s="39"/>
      <c r="Z925" s="39"/>
      <c r="AA925" s="39"/>
      <c r="AB925" s="39"/>
    </row>
    <row r="926">
      <c r="A926" s="1"/>
      <c r="B926" s="36"/>
      <c r="C926" s="36"/>
      <c r="D926" s="36"/>
      <c r="E926" s="36"/>
      <c r="F926" s="36"/>
      <c r="G926" s="36"/>
      <c r="H926" s="37"/>
      <c r="I926" s="36"/>
      <c r="J926" s="38"/>
      <c r="K926" s="38"/>
      <c r="L926" s="39"/>
      <c r="M926" s="39"/>
      <c r="N926" s="39"/>
      <c r="O926" s="39"/>
      <c r="P926" s="39"/>
      <c r="Q926" s="39"/>
      <c r="R926" s="39"/>
      <c r="S926" s="39"/>
      <c r="T926" s="39"/>
      <c r="U926" s="39"/>
      <c r="V926" s="39"/>
      <c r="W926" s="39"/>
      <c r="X926" s="39"/>
      <c r="Y926" s="39"/>
      <c r="Z926" s="39"/>
      <c r="AA926" s="39"/>
      <c r="AB926" s="39"/>
    </row>
    <row r="927">
      <c r="A927" s="1"/>
      <c r="B927" s="36"/>
      <c r="C927" s="36"/>
      <c r="D927" s="36"/>
      <c r="E927" s="36"/>
      <c r="F927" s="36"/>
      <c r="G927" s="36"/>
      <c r="H927" s="37"/>
      <c r="I927" s="36"/>
      <c r="J927" s="38"/>
      <c r="K927" s="38"/>
      <c r="L927" s="39"/>
      <c r="M927" s="39"/>
      <c r="N927" s="39"/>
      <c r="O927" s="39"/>
      <c r="P927" s="39"/>
      <c r="Q927" s="39"/>
      <c r="R927" s="39"/>
      <c r="S927" s="39"/>
      <c r="T927" s="39"/>
      <c r="U927" s="39"/>
      <c r="V927" s="39"/>
      <c r="W927" s="39"/>
      <c r="X927" s="39"/>
      <c r="Y927" s="39"/>
      <c r="Z927" s="39"/>
      <c r="AA927" s="39"/>
      <c r="AB927" s="39"/>
    </row>
    <row r="928">
      <c r="A928" s="1"/>
      <c r="B928" s="36"/>
      <c r="C928" s="36"/>
      <c r="D928" s="36"/>
      <c r="E928" s="36"/>
      <c r="F928" s="36"/>
      <c r="G928" s="36"/>
      <c r="H928" s="37"/>
      <c r="I928" s="36"/>
      <c r="J928" s="38"/>
      <c r="K928" s="38"/>
      <c r="L928" s="39"/>
      <c r="M928" s="39"/>
      <c r="N928" s="39"/>
      <c r="O928" s="39"/>
      <c r="P928" s="39"/>
      <c r="Q928" s="39"/>
      <c r="R928" s="39"/>
      <c r="S928" s="39"/>
      <c r="T928" s="39"/>
      <c r="U928" s="39"/>
      <c r="V928" s="39"/>
      <c r="W928" s="39"/>
      <c r="X928" s="39"/>
      <c r="Y928" s="39"/>
      <c r="Z928" s="39"/>
      <c r="AA928" s="39"/>
      <c r="AB928" s="39"/>
    </row>
    <row r="929">
      <c r="A929" s="1"/>
      <c r="B929" s="36"/>
      <c r="C929" s="36"/>
      <c r="D929" s="36"/>
      <c r="E929" s="36"/>
      <c r="F929" s="36"/>
      <c r="G929" s="36"/>
      <c r="H929" s="37"/>
      <c r="I929" s="36"/>
      <c r="J929" s="38"/>
      <c r="K929" s="38"/>
      <c r="L929" s="39"/>
      <c r="M929" s="39"/>
      <c r="N929" s="39"/>
      <c r="O929" s="39"/>
      <c r="P929" s="39"/>
      <c r="Q929" s="39"/>
      <c r="R929" s="39"/>
      <c r="S929" s="39"/>
      <c r="T929" s="39"/>
      <c r="U929" s="39"/>
      <c r="V929" s="39"/>
      <c r="W929" s="39"/>
      <c r="X929" s="39"/>
      <c r="Y929" s="39"/>
      <c r="Z929" s="39"/>
      <c r="AA929" s="39"/>
      <c r="AB929" s="39"/>
    </row>
    <row r="930">
      <c r="A930" s="1"/>
      <c r="B930" s="36"/>
      <c r="C930" s="36"/>
      <c r="D930" s="36"/>
      <c r="E930" s="36"/>
      <c r="F930" s="36"/>
      <c r="G930" s="36"/>
      <c r="H930" s="37"/>
      <c r="I930" s="36"/>
      <c r="J930" s="38"/>
      <c r="K930" s="38"/>
      <c r="L930" s="39"/>
      <c r="M930" s="39"/>
      <c r="N930" s="39"/>
      <c r="O930" s="39"/>
      <c r="P930" s="39"/>
      <c r="Q930" s="39"/>
      <c r="R930" s="39"/>
      <c r="S930" s="39"/>
      <c r="T930" s="39"/>
      <c r="U930" s="39"/>
      <c r="V930" s="39"/>
      <c r="W930" s="39"/>
      <c r="X930" s="39"/>
      <c r="Y930" s="39"/>
      <c r="Z930" s="39"/>
      <c r="AA930" s="39"/>
      <c r="AB930" s="39"/>
    </row>
    <row r="931">
      <c r="A931" s="1"/>
      <c r="B931" s="36"/>
      <c r="C931" s="36"/>
      <c r="D931" s="36"/>
      <c r="E931" s="36"/>
      <c r="F931" s="36"/>
      <c r="G931" s="36"/>
      <c r="H931" s="37"/>
      <c r="I931" s="36"/>
      <c r="J931" s="38"/>
      <c r="K931" s="38"/>
      <c r="L931" s="39"/>
      <c r="M931" s="39"/>
      <c r="N931" s="39"/>
      <c r="O931" s="39"/>
      <c r="P931" s="39"/>
      <c r="Q931" s="39"/>
      <c r="R931" s="39"/>
      <c r="S931" s="39"/>
      <c r="T931" s="39"/>
      <c r="U931" s="39"/>
      <c r="V931" s="39"/>
      <c r="W931" s="39"/>
      <c r="X931" s="39"/>
      <c r="Y931" s="39"/>
      <c r="Z931" s="39"/>
      <c r="AA931" s="39"/>
      <c r="AB931" s="39"/>
    </row>
    <row r="932">
      <c r="A932" s="1"/>
      <c r="B932" s="36"/>
      <c r="C932" s="36"/>
      <c r="D932" s="36"/>
      <c r="E932" s="36"/>
      <c r="F932" s="36"/>
      <c r="G932" s="36"/>
      <c r="H932" s="37"/>
      <c r="I932" s="36"/>
      <c r="J932" s="38"/>
      <c r="K932" s="38"/>
      <c r="L932" s="39"/>
      <c r="M932" s="39"/>
      <c r="N932" s="39"/>
      <c r="O932" s="39"/>
      <c r="P932" s="39"/>
      <c r="Q932" s="39"/>
      <c r="R932" s="39"/>
      <c r="S932" s="39"/>
      <c r="T932" s="39"/>
      <c r="U932" s="39"/>
      <c r="V932" s="39"/>
      <c r="W932" s="39"/>
      <c r="X932" s="39"/>
      <c r="Y932" s="39"/>
      <c r="Z932" s="39"/>
      <c r="AA932" s="39"/>
      <c r="AB932" s="39"/>
    </row>
    <row r="933">
      <c r="A933" s="1"/>
      <c r="B933" s="36"/>
      <c r="C933" s="36"/>
      <c r="D933" s="36"/>
      <c r="E933" s="36"/>
      <c r="F933" s="36"/>
      <c r="G933" s="36"/>
      <c r="H933" s="37"/>
      <c r="I933" s="36"/>
      <c r="J933" s="38"/>
      <c r="K933" s="38"/>
      <c r="L933" s="39"/>
      <c r="M933" s="39"/>
      <c r="N933" s="39"/>
      <c r="O933" s="39"/>
      <c r="P933" s="39"/>
      <c r="Q933" s="39"/>
      <c r="R933" s="39"/>
      <c r="S933" s="39"/>
      <c r="T933" s="39"/>
      <c r="U933" s="39"/>
      <c r="V933" s="39"/>
      <c r="W933" s="39"/>
      <c r="X933" s="39"/>
      <c r="Y933" s="39"/>
      <c r="Z933" s="39"/>
      <c r="AA933" s="39"/>
      <c r="AB933" s="39"/>
    </row>
    <row r="934">
      <c r="A934" s="1"/>
      <c r="B934" s="36"/>
      <c r="C934" s="36"/>
      <c r="D934" s="36"/>
      <c r="E934" s="36"/>
      <c r="F934" s="36"/>
      <c r="G934" s="36"/>
      <c r="H934" s="37"/>
      <c r="I934" s="36"/>
      <c r="J934" s="38"/>
      <c r="K934" s="38"/>
      <c r="L934" s="39"/>
      <c r="M934" s="39"/>
      <c r="N934" s="39"/>
      <c r="O934" s="39"/>
      <c r="P934" s="39"/>
      <c r="Q934" s="39"/>
      <c r="R934" s="39"/>
      <c r="S934" s="39"/>
      <c r="T934" s="39"/>
      <c r="U934" s="39"/>
      <c r="V934" s="39"/>
      <c r="W934" s="39"/>
      <c r="X934" s="39"/>
      <c r="Y934" s="39"/>
      <c r="Z934" s="39"/>
      <c r="AA934" s="39"/>
      <c r="AB934" s="39"/>
    </row>
    <row r="935">
      <c r="A935" s="1"/>
      <c r="B935" s="36"/>
      <c r="C935" s="36"/>
      <c r="D935" s="36"/>
      <c r="E935" s="36"/>
      <c r="F935" s="36"/>
      <c r="G935" s="36"/>
      <c r="H935" s="37"/>
      <c r="I935" s="36"/>
      <c r="J935" s="38"/>
      <c r="K935" s="38"/>
      <c r="L935" s="39"/>
      <c r="M935" s="39"/>
      <c r="N935" s="39"/>
      <c r="O935" s="39"/>
      <c r="P935" s="39"/>
      <c r="Q935" s="39"/>
      <c r="R935" s="39"/>
      <c r="S935" s="39"/>
      <c r="T935" s="39"/>
      <c r="U935" s="39"/>
      <c r="V935" s="39"/>
      <c r="W935" s="39"/>
      <c r="X935" s="39"/>
      <c r="Y935" s="39"/>
      <c r="Z935" s="39"/>
      <c r="AA935" s="39"/>
      <c r="AB935" s="39"/>
    </row>
    <row r="936">
      <c r="A936" s="1"/>
      <c r="B936" s="36"/>
      <c r="C936" s="36"/>
      <c r="D936" s="36"/>
      <c r="E936" s="36"/>
      <c r="F936" s="36"/>
      <c r="G936" s="36"/>
      <c r="H936" s="37"/>
      <c r="I936" s="36"/>
      <c r="J936" s="38"/>
      <c r="K936" s="38"/>
      <c r="L936" s="39"/>
      <c r="M936" s="39"/>
      <c r="N936" s="39"/>
      <c r="O936" s="39"/>
      <c r="P936" s="39"/>
      <c r="Q936" s="39"/>
      <c r="R936" s="39"/>
      <c r="S936" s="39"/>
      <c r="T936" s="39"/>
      <c r="U936" s="39"/>
      <c r="V936" s="39"/>
      <c r="W936" s="39"/>
      <c r="X936" s="39"/>
      <c r="Y936" s="39"/>
      <c r="Z936" s="39"/>
      <c r="AA936" s="39"/>
      <c r="AB936" s="39"/>
    </row>
    <row r="937">
      <c r="A937" s="1"/>
      <c r="B937" s="36"/>
      <c r="C937" s="36"/>
      <c r="D937" s="36"/>
      <c r="E937" s="36"/>
      <c r="F937" s="36"/>
      <c r="G937" s="36"/>
      <c r="H937" s="37"/>
      <c r="I937" s="36"/>
      <c r="J937" s="38"/>
      <c r="K937" s="38"/>
      <c r="L937" s="39"/>
      <c r="M937" s="39"/>
      <c r="N937" s="39"/>
      <c r="O937" s="39"/>
      <c r="P937" s="39"/>
      <c r="Q937" s="39"/>
      <c r="R937" s="39"/>
      <c r="S937" s="39"/>
      <c r="T937" s="39"/>
      <c r="U937" s="39"/>
      <c r="V937" s="39"/>
      <c r="W937" s="39"/>
      <c r="X937" s="39"/>
      <c r="Y937" s="39"/>
      <c r="Z937" s="39"/>
      <c r="AA937" s="39"/>
      <c r="AB937" s="39"/>
    </row>
    <row r="938">
      <c r="A938" s="1"/>
      <c r="B938" s="36"/>
      <c r="C938" s="36"/>
      <c r="D938" s="36"/>
      <c r="E938" s="36"/>
      <c r="F938" s="36"/>
      <c r="G938" s="36"/>
      <c r="H938" s="37"/>
      <c r="I938" s="36"/>
      <c r="J938" s="38"/>
      <c r="K938" s="38"/>
      <c r="L938" s="39"/>
      <c r="M938" s="39"/>
      <c r="N938" s="39"/>
      <c r="O938" s="39"/>
      <c r="P938" s="39"/>
      <c r="Q938" s="39"/>
      <c r="R938" s="39"/>
      <c r="S938" s="39"/>
      <c r="T938" s="39"/>
      <c r="U938" s="39"/>
      <c r="V938" s="39"/>
      <c r="W938" s="39"/>
      <c r="X938" s="39"/>
      <c r="Y938" s="39"/>
      <c r="Z938" s="39"/>
      <c r="AA938" s="39"/>
      <c r="AB938" s="39"/>
    </row>
    <row r="939">
      <c r="A939" s="1"/>
      <c r="B939" s="36"/>
      <c r="C939" s="36"/>
      <c r="D939" s="36"/>
      <c r="E939" s="36"/>
      <c r="F939" s="36"/>
      <c r="G939" s="36"/>
      <c r="H939" s="37"/>
      <c r="I939" s="36"/>
      <c r="J939" s="38"/>
      <c r="K939" s="38"/>
      <c r="L939" s="39"/>
      <c r="M939" s="39"/>
      <c r="N939" s="39"/>
      <c r="O939" s="39"/>
      <c r="P939" s="39"/>
      <c r="Q939" s="39"/>
      <c r="R939" s="39"/>
      <c r="S939" s="39"/>
      <c r="T939" s="39"/>
      <c r="U939" s="39"/>
      <c r="V939" s="39"/>
      <c r="W939" s="39"/>
      <c r="X939" s="39"/>
      <c r="Y939" s="39"/>
      <c r="Z939" s="39"/>
      <c r="AA939" s="39"/>
      <c r="AB939" s="39"/>
    </row>
    <row r="940">
      <c r="A940" s="1"/>
      <c r="B940" s="36"/>
      <c r="C940" s="36"/>
      <c r="D940" s="36"/>
      <c r="E940" s="36"/>
      <c r="F940" s="36"/>
      <c r="G940" s="36"/>
      <c r="H940" s="37"/>
      <c r="I940" s="36"/>
      <c r="J940" s="38"/>
      <c r="K940" s="38"/>
      <c r="L940" s="39"/>
      <c r="M940" s="39"/>
      <c r="N940" s="39"/>
      <c r="O940" s="39"/>
      <c r="P940" s="39"/>
      <c r="Q940" s="39"/>
      <c r="R940" s="39"/>
      <c r="S940" s="39"/>
      <c r="T940" s="39"/>
      <c r="U940" s="39"/>
      <c r="V940" s="39"/>
      <c r="W940" s="39"/>
      <c r="X940" s="39"/>
      <c r="Y940" s="39"/>
      <c r="Z940" s="39"/>
      <c r="AA940" s="39"/>
      <c r="AB940" s="39"/>
    </row>
    <row r="941">
      <c r="A941" s="1"/>
      <c r="B941" s="36"/>
      <c r="C941" s="36"/>
      <c r="D941" s="36"/>
      <c r="E941" s="36"/>
      <c r="F941" s="36"/>
      <c r="G941" s="36"/>
      <c r="H941" s="37"/>
      <c r="I941" s="36"/>
      <c r="J941" s="38"/>
      <c r="K941" s="38"/>
      <c r="L941" s="39"/>
      <c r="M941" s="39"/>
      <c r="N941" s="39"/>
      <c r="O941" s="39"/>
      <c r="P941" s="39"/>
      <c r="Q941" s="39"/>
      <c r="R941" s="39"/>
      <c r="S941" s="39"/>
      <c r="T941" s="39"/>
      <c r="U941" s="39"/>
      <c r="V941" s="39"/>
      <c r="W941" s="39"/>
      <c r="X941" s="39"/>
      <c r="Y941" s="39"/>
      <c r="Z941" s="39"/>
      <c r="AA941" s="39"/>
      <c r="AB941" s="39"/>
    </row>
    <row r="942">
      <c r="A942" s="1"/>
      <c r="B942" s="36"/>
      <c r="C942" s="36"/>
      <c r="D942" s="36"/>
      <c r="E942" s="36"/>
      <c r="F942" s="36"/>
      <c r="G942" s="36"/>
      <c r="H942" s="37"/>
      <c r="I942" s="36"/>
      <c r="J942" s="38"/>
      <c r="K942" s="38"/>
      <c r="L942" s="39"/>
      <c r="M942" s="39"/>
      <c r="N942" s="39"/>
      <c r="O942" s="39"/>
      <c r="P942" s="39"/>
      <c r="Q942" s="39"/>
      <c r="R942" s="39"/>
      <c r="S942" s="39"/>
      <c r="T942" s="39"/>
      <c r="U942" s="39"/>
      <c r="V942" s="39"/>
      <c r="W942" s="39"/>
      <c r="X942" s="39"/>
      <c r="Y942" s="39"/>
      <c r="Z942" s="39"/>
      <c r="AA942" s="39"/>
      <c r="AB942" s="39"/>
    </row>
    <row r="943">
      <c r="A943" s="1"/>
      <c r="B943" s="36"/>
      <c r="C943" s="36"/>
      <c r="D943" s="36"/>
      <c r="E943" s="36"/>
      <c r="F943" s="36"/>
      <c r="G943" s="36"/>
      <c r="H943" s="37"/>
      <c r="I943" s="36"/>
      <c r="J943" s="38"/>
      <c r="K943" s="38"/>
      <c r="L943" s="39"/>
      <c r="M943" s="39"/>
      <c r="N943" s="39"/>
      <c r="O943" s="39"/>
      <c r="P943" s="39"/>
      <c r="Q943" s="39"/>
      <c r="R943" s="39"/>
      <c r="S943" s="39"/>
      <c r="T943" s="39"/>
      <c r="U943" s="39"/>
      <c r="V943" s="39"/>
      <c r="W943" s="39"/>
      <c r="X943" s="39"/>
      <c r="Y943" s="39"/>
      <c r="Z943" s="39"/>
      <c r="AA943" s="39"/>
      <c r="AB943" s="39"/>
    </row>
    <row r="944">
      <c r="A944" s="1"/>
      <c r="B944" s="36"/>
      <c r="C944" s="36"/>
      <c r="D944" s="36"/>
      <c r="E944" s="36"/>
      <c r="F944" s="36"/>
      <c r="G944" s="36"/>
      <c r="H944" s="37"/>
      <c r="I944" s="36"/>
      <c r="J944" s="38"/>
      <c r="K944" s="38"/>
      <c r="L944" s="39"/>
      <c r="M944" s="39"/>
      <c r="N944" s="39"/>
      <c r="O944" s="39"/>
      <c r="P944" s="39"/>
      <c r="Q944" s="39"/>
      <c r="R944" s="39"/>
      <c r="S944" s="39"/>
      <c r="T944" s="39"/>
      <c r="U944" s="39"/>
      <c r="V944" s="39"/>
      <c r="W944" s="39"/>
      <c r="X944" s="39"/>
      <c r="Y944" s="39"/>
      <c r="Z944" s="39"/>
      <c r="AA944" s="39"/>
      <c r="AB944" s="39"/>
    </row>
    <row r="945">
      <c r="A945" s="1"/>
      <c r="B945" s="36"/>
      <c r="C945" s="36"/>
      <c r="D945" s="36"/>
      <c r="E945" s="36"/>
      <c r="F945" s="36"/>
      <c r="G945" s="36"/>
      <c r="H945" s="37"/>
      <c r="I945" s="36"/>
      <c r="J945" s="38"/>
      <c r="K945" s="38"/>
      <c r="L945" s="39"/>
      <c r="M945" s="39"/>
      <c r="N945" s="39"/>
      <c r="O945" s="39"/>
      <c r="P945" s="39"/>
      <c r="Q945" s="39"/>
      <c r="R945" s="39"/>
      <c r="S945" s="39"/>
      <c r="T945" s="39"/>
      <c r="U945" s="39"/>
      <c r="V945" s="39"/>
      <c r="W945" s="39"/>
      <c r="X945" s="39"/>
      <c r="Y945" s="39"/>
      <c r="Z945" s="39"/>
      <c r="AA945" s="39"/>
      <c r="AB945" s="39"/>
    </row>
    <row r="946">
      <c r="A946" s="1"/>
      <c r="B946" s="36"/>
      <c r="C946" s="36"/>
      <c r="D946" s="36"/>
      <c r="E946" s="36"/>
      <c r="F946" s="36"/>
      <c r="G946" s="36"/>
      <c r="H946" s="37"/>
      <c r="I946" s="36"/>
      <c r="J946" s="38"/>
      <c r="K946" s="38"/>
      <c r="L946" s="39"/>
      <c r="M946" s="39"/>
      <c r="N946" s="39"/>
      <c r="O946" s="39"/>
      <c r="P946" s="39"/>
      <c r="Q946" s="39"/>
      <c r="R946" s="39"/>
      <c r="S946" s="39"/>
      <c r="T946" s="39"/>
      <c r="U946" s="39"/>
      <c r="V946" s="39"/>
      <c r="W946" s="39"/>
      <c r="X946" s="39"/>
      <c r="Y946" s="39"/>
      <c r="Z946" s="39"/>
      <c r="AA946" s="39"/>
      <c r="AB946" s="39"/>
    </row>
    <row r="947">
      <c r="A947" s="1"/>
      <c r="B947" s="36"/>
      <c r="C947" s="36"/>
      <c r="D947" s="36"/>
      <c r="E947" s="36"/>
      <c r="F947" s="36"/>
      <c r="G947" s="36"/>
      <c r="H947" s="37"/>
      <c r="I947" s="36"/>
      <c r="J947" s="38"/>
      <c r="K947" s="38"/>
      <c r="L947" s="39"/>
      <c r="M947" s="39"/>
      <c r="N947" s="39"/>
      <c r="O947" s="39"/>
      <c r="P947" s="39"/>
      <c r="Q947" s="39"/>
      <c r="R947" s="39"/>
      <c r="S947" s="39"/>
      <c r="T947" s="39"/>
      <c r="U947" s="39"/>
      <c r="V947" s="39"/>
      <c r="W947" s="39"/>
      <c r="X947" s="39"/>
      <c r="Y947" s="39"/>
      <c r="Z947" s="39"/>
      <c r="AA947" s="39"/>
      <c r="AB947" s="39"/>
    </row>
    <row r="948">
      <c r="A948" s="1"/>
      <c r="B948" s="36"/>
      <c r="C948" s="36"/>
      <c r="D948" s="36"/>
      <c r="E948" s="36"/>
      <c r="F948" s="36"/>
      <c r="G948" s="36"/>
      <c r="H948" s="37"/>
      <c r="I948" s="36"/>
      <c r="J948" s="38"/>
      <c r="K948" s="38"/>
      <c r="L948" s="39"/>
      <c r="M948" s="39"/>
      <c r="N948" s="39"/>
      <c r="O948" s="39"/>
      <c r="P948" s="39"/>
      <c r="Q948" s="39"/>
      <c r="R948" s="39"/>
      <c r="S948" s="39"/>
      <c r="T948" s="39"/>
      <c r="U948" s="39"/>
      <c r="V948" s="39"/>
      <c r="W948" s="39"/>
      <c r="X948" s="39"/>
      <c r="Y948" s="39"/>
      <c r="Z948" s="39"/>
      <c r="AA948" s="39"/>
      <c r="AB948" s="39"/>
    </row>
    <row r="949">
      <c r="A949" s="1"/>
      <c r="B949" s="36"/>
      <c r="C949" s="36"/>
      <c r="D949" s="36"/>
      <c r="E949" s="36"/>
      <c r="F949" s="36"/>
      <c r="G949" s="36"/>
      <c r="H949" s="37"/>
      <c r="I949" s="36"/>
      <c r="J949" s="38"/>
      <c r="K949" s="38"/>
      <c r="L949" s="39"/>
      <c r="M949" s="39"/>
      <c r="N949" s="39"/>
      <c r="O949" s="39"/>
      <c r="P949" s="39"/>
      <c r="Q949" s="39"/>
      <c r="R949" s="39"/>
      <c r="S949" s="39"/>
      <c r="T949" s="39"/>
      <c r="U949" s="39"/>
      <c r="V949" s="39"/>
      <c r="W949" s="39"/>
      <c r="X949" s="39"/>
      <c r="Y949" s="39"/>
      <c r="Z949" s="39"/>
      <c r="AA949" s="39"/>
      <c r="AB949" s="39"/>
    </row>
    <row r="950">
      <c r="A950" s="1"/>
      <c r="B950" s="36"/>
      <c r="C950" s="36"/>
      <c r="D950" s="36"/>
      <c r="E950" s="36"/>
      <c r="F950" s="36"/>
      <c r="G950" s="36"/>
      <c r="H950" s="37"/>
      <c r="I950" s="36"/>
      <c r="J950" s="38"/>
      <c r="K950" s="38"/>
      <c r="L950" s="39"/>
      <c r="M950" s="39"/>
      <c r="N950" s="39"/>
      <c r="O950" s="39"/>
      <c r="P950" s="39"/>
      <c r="Q950" s="39"/>
      <c r="R950" s="39"/>
      <c r="S950" s="39"/>
      <c r="T950" s="39"/>
      <c r="U950" s="39"/>
      <c r="V950" s="39"/>
      <c r="W950" s="39"/>
      <c r="X950" s="39"/>
      <c r="Y950" s="39"/>
      <c r="Z950" s="39"/>
      <c r="AA950" s="39"/>
      <c r="AB950" s="39"/>
    </row>
    <row r="951">
      <c r="A951" s="1"/>
      <c r="B951" s="36"/>
      <c r="C951" s="36"/>
      <c r="D951" s="36"/>
      <c r="E951" s="36"/>
      <c r="F951" s="36"/>
      <c r="G951" s="36"/>
      <c r="H951" s="37"/>
      <c r="I951" s="36"/>
      <c r="J951" s="38"/>
      <c r="K951" s="38"/>
      <c r="L951" s="39"/>
      <c r="M951" s="39"/>
      <c r="N951" s="39"/>
      <c r="O951" s="39"/>
      <c r="P951" s="39"/>
      <c r="Q951" s="39"/>
      <c r="R951" s="39"/>
      <c r="S951" s="39"/>
      <c r="T951" s="39"/>
      <c r="U951" s="39"/>
      <c r="V951" s="39"/>
      <c r="W951" s="39"/>
      <c r="X951" s="39"/>
      <c r="Y951" s="39"/>
      <c r="Z951" s="39"/>
      <c r="AA951" s="39"/>
      <c r="AB951" s="39"/>
    </row>
    <row r="952">
      <c r="A952" s="1"/>
      <c r="B952" s="36"/>
      <c r="C952" s="36"/>
      <c r="D952" s="36"/>
      <c r="E952" s="36"/>
      <c r="F952" s="36"/>
      <c r="G952" s="36"/>
      <c r="H952" s="37"/>
      <c r="I952" s="36"/>
      <c r="J952" s="38"/>
      <c r="K952" s="38"/>
      <c r="L952" s="39"/>
      <c r="M952" s="39"/>
      <c r="N952" s="39"/>
      <c r="O952" s="39"/>
      <c r="P952" s="39"/>
      <c r="Q952" s="39"/>
      <c r="R952" s="39"/>
      <c r="S952" s="39"/>
      <c r="T952" s="39"/>
      <c r="U952" s="39"/>
      <c r="V952" s="39"/>
      <c r="W952" s="39"/>
      <c r="X952" s="39"/>
      <c r="Y952" s="39"/>
      <c r="Z952" s="39"/>
      <c r="AA952" s="39"/>
      <c r="AB952" s="39"/>
    </row>
    <row r="953">
      <c r="A953" s="1"/>
      <c r="B953" s="36"/>
      <c r="C953" s="36"/>
      <c r="D953" s="36"/>
      <c r="E953" s="36"/>
      <c r="F953" s="36"/>
      <c r="G953" s="36"/>
      <c r="H953" s="37"/>
      <c r="I953" s="36"/>
      <c r="J953" s="38"/>
      <c r="K953" s="38"/>
      <c r="L953" s="39"/>
      <c r="M953" s="39"/>
      <c r="N953" s="39"/>
      <c r="O953" s="39"/>
      <c r="P953" s="39"/>
      <c r="Q953" s="39"/>
      <c r="R953" s="39"/>
      <c r="S953" s="39"/>
      <c r="T953" s="39"/>
      <c r="U953" s="39"/>
      <c r="V953" s="39"/>
      <c r="W953" s="39"/>
      <c r="X953" s="39"/>
      <c r="Y953" s="39"/>
      <c r="Z953" s="39"/>
      <c r="AA953" s="39"/>
      <c r="AB953" s="39"/>
    </row>
    <row r="954">
      <c r="A954" s="1"/>
      <c r="B954" s="36"/>
      <c r="C954" s="36"/>
      <c r="D954" s="36"/>
      <c r="E954" s="36"/>
      <c r="F954" s="36"/>
      <c r="G954" s="36"/>
      <c r="H954" s="37"/>
      <c r="I954" s="36"/>
      <c r="J954" s="38"/>
      <c r="K954" s="38"/>
      <c r="L954" s="39"/>
      <c r="M954" s="39"/>
      <c r="N954" s="39"/>
      <c r="O954" s="39"/>
      <c r="P954" s="39"/>
      <c r="Q954" s="39"/>
      <c r="R954" s="39"/>
      <c r="S954" s="39"/>
      <c r="T954" s="39"/>
      <c r="U954" s="39"/>
      <c r="V954" s="39"/>
      <c r="W954" s="39"/>
      <c r="X954" s="39"/>
      <c r="Y954" s="39"/>
      <c r="Z954" s="39"/>
      <c r="AA954" s="39"/>
      <c r="AB954" s="39"/>
    </row>
    <row r="955">
      <c r="A955" s="1"/>
      <c r="B955" s="36"/>
      <c r="C955" s="36"/>
      <c r="D955" s="36"/>
      <c r="E955" s="36"/>
      <c r="F955" s="36"/>
      <c r="G955" s="36"/>
      <c r="H955" s="37"/>
      <c r="I955" s="36"/>
      <c r="J955" s="38"/>
      <c r="K955" s="38"/>
      <c r="L955" s="39"/>
      <c r="M955" s="39"/>
      <c r="N955" s="39"/>
      <c r="O955" s="39"/>
      <c r="P955" s="39"/>
      <c r="Q955" s="39"/>
      <c r="R955" s="39"/>
      <c r="S955" s="39"/>
      <c r="T955" s="39"/>
      <c r="U955" s="39"/>
      <c r="V955" s="39"/>
      <c r="W955" s="39"/>
      <c r="X955" s="39"/>
      <c r="Y955" s="39"/>
      <c r="Z955" s="39"/>
      <c r="AA955" s="39"/>
      <c r="AB955" s="39"/>
    </row>
    <row r="956">
      <c r="A956" s="1"/>
      <c r="B956" s="36"/>
      <c r="C956" s="36"/>
      <c r="D956" s="36"/>
      <c r="E956" s="36"/>
      <c r="F956" s="36"/>
      <c r="G956" s="36"/>
      <c r="H956" s="37"/>
      <c r="I956" s="36"/>
      <c r="J956" s="38"/>
      <c r="K956" s="38"/>
      <c r="L956" s="39"/>
      <c r="M956" s="39"/>
      <c r="N956" s="39"/>
      <c r="O956" s="39"/>
      <c r="P956" s="39"/>
      <c r="Q956" s="39"/>
      <c r="R956" s="39"/>
      <c r="S956" s="39"/>
      <c r="T956" s="39"/>
      <c r="U956" s="39"/>
      <c r="V956" s="39"/>
      <c r="W956" s="39"/>
      <c r="X956" s="39"/>
      <c r="Y956" s="39"/>
      <c r="Z956" s="39"/>
      <c r="AA956" s="39"/>
      <c r="AB956" s="39"/>
    </row>
    <row r="957">
      <c r="A957" s="1"/>
      <c r="B957" s="36"/>
      <c r="C957" s="36"/>
      <c r="D957" s="36"/>
      <c r="E957" s="36"/>
      <c r="F957" s="36"/>
      <c r="G957" s="36"/>
      <c r="H957" s="37"/>
      <c r="I957" s="36"/>
      <c r="J957" s="38"/>
      <c r="K957" s="38"/>
      <c r="L957" s="39"/>
      <c r="M957" s="39"/>
      <c r="N957" s="39"/>
      <c r="O957" s="39"/>
      <c r="P957" s="39"/>
      <c r="Q957" s="39"/>
      <c r="R957" s="39"/>
      <c r="S957" s="39"/>
      <c r="T957" s="39"/>
      <c r="U957" s="39"/>
      <c r="V957" s="39"/>
      <c r="W957" s="39"/>
      <c r="X957" s="39"/>
      <c r="Y957" s="39"/>
      <c r="Z957" s="39"/>
      <c r="AA957" s="39"/>
      <c r="AB957" s="39"/>
    </row>
    <row r="958">
      <c r="A958" s="1"/>
      <c r="B958" s="36"/>
      <c r="C958" s="36"/>
      <c r="D958" s="36"/>
      <c r="E958" s="36"/>
      <c r="F958" s="36"/>
      <c r="G958" s="36"/>
      <c r="H958" s="37"/>
      <c r="I958" s="36"/>
      <c r="J958" s="38"/>
      <c r="K958" s="38"/>
      <c r="L958" s="39"/>
      <c r="M958" s="39"/>
      <c r="N958" s="39"/>
      <c r="O958" s="39"/>
      <c r="P958" s="39"/>
      <c r="Q958" s="39"/>
      <c r="R958" s="39"/>
      <c r="S958" s="39"/>
      <c r="T958" s="39"/>
      <c r="U958" s="39"/>
      <c r="V958" s="39"/>
      <c r="W958" s="39"/>
      <c r="X958" s="39"/>
      <c r="Y958" s="39"/>
      <c r="Z958" s="39"/>
      <c r="AA958" s="39"/>
      <c r="AB958" s="39"/>
    </row>
    <row r="959">
      <c r="A959" s="1"/>
      <c r="B959" s="36"/>
      <c r="C959" s="36"/>
      <c r="D959" s="36"/>
      <c r="E959" s="36"/>
      <c r="F959" s="36"/>
      <c r="G959" s="36"/>
      <c r="H959" s="37"/>
      <c r="I959" s="36"/>
      <c r="J959" s="38"/>
      <c r="K959" s="38"/>
      <c r="L959" s="39"/>
      <c r="M959" s="39"/>
      <c r="N959" s="39"/>
      <c r="O959" s="39"/>
      <c r="P959" s="39"/>
      <c r="Q959" s="39"/>
      <c r="R959" s="39"/>
      <c r="S959" s="39"/>
      <c r="T959" s="39"/>
      <c r="U959" s="39"/>
      <c r="V959" s="39"/>
      <c r="W959" s="39"/>
      <c r="X959" s="39"/>
      <c r="Y959" s="39"/>
      <c r="Z959" s="39"/>
      <c r="AA959" s="39"/>
      <c r="AB959" s="39"/>
    </row>
    <row r="960">
      <c r="A960" s="1"/>
      <c r="B960" s="36"/>
      <c r="C960" s="36"/>
      <c r="D960" s="36"/>
      <c r="E960" s="36"/>
      <c r="F960" s="36"/>
      <c r="G960" s="36"/>
      <c r="H960" s="37"/>
      <c r="I960" s="36"/>
      <c r="J960" s="38"/>
      <c r="K960" s="38"/>
      <c r="L960" s="39"/>
      <c r="M960" s="39"/>
      <c r="N960" s="39"/>
      <c r="O960" s="39"/>
      <c r="P960" s="39"/>
      <c r="Q960" s="39"/>
      <c r="R960" s="39"/>
      <c r="S960" s="39"/>
      <c r="T960" s="39"/>
      <c r="U960" s="39"/>
      <c r="V960" s="39"/>
      <c r="W960" s="39"/>
      <c r="X960" s="39"/>
      <c r="Y960" s="39"/>
      <c r="Z960" s="39"/>
      <c r="AA960" s="39"/>
      <c r="AB960" s="39"/>
    </row>
    <row r="961">
      <c r="A961" s="1"/>
      <c r="B961" s="36"/>
      <c r="C961" s="36"/>
      <c r="D961" s="36"/>
      <c r="E961" s="36"/>
      <c r="F961" s="36"/>
      <c r="G961" s="36"/>
      <c r="H961" s="37"/>
      <c r="I961" s="36"/>
      <c r="J961" s="38"/>
      <c r="K961" s="38"/>
      <c r="L961" s="39"/>
      <c r="M961" s="39"/>
      <c r="N961" s="39"/>
      <c r="O961" s="39"/>
      <c r="P961" s="39"/>
      <c r="Q961" s="39"/>
      <c r="R961" s="39"/>
      <c r="S961" s="39"/>
      <c r="T961" s="39"/>
      <c r="U961" s="39"/>
      <c r="V961" s="39"/>
      <c r="W961" s="39"/>
      <c r="X961" s="39"/>
      <c r="Y961" s="39"/>
      <c r="Z961" s="39"/>
      <c r="AA961" s="39"/>
      <c r="AB961" s="39"/>
    </row>
    <row r="962">
      <c r="A962" s="1"/>
      <c r="B962" s="36"/>
      <c r="C962" s="36"/>
      <c r="D962" s="36"/>
      <c r="E962" s="36"/>
      <c r="F962" s="36"/>
      <c r="G962" s="36"/>
      <c r="H962" s="37"/>
      <c r="I962" s="36"/>
      <c r="J962" s="38"/>
      <c r="K962" s="38"/>
      <c r="L962" s="39"/>
      <c r="M962" s="39"/>
      <c r="N962" s="39"/>
      <c r="O962" s="39"/>
      <c r="P962" s="39"/>
      <c r="Q962" s="39"/>
      <c r="R962" s="39"/>
      <c r="S962" s="39"/>
      <c r="T962" s="39"/>
      <c r="U962" s="39"/>
      <c r="V962" s="39"/>
      <c r="W962" s="39"/>
      <c r="X962" s="39"/>
      <c r="Y962" s="39"/>
      <c r="Z962" s="39"/>
      <c r="AA962" s="39"/>
      <c r="AB962" s="39"/>
    </row>
    <row r="963">
      <c r="A963" s="1"/>
      <c r="B963" s="36"/>
      <c r="C963" s="36"/>
      <c r="D963" s="36"/>
      <c r="E963" s="36"/>
      <c r="F963" s="36"/>
      <c r="G963" s="36"/>
      <c r="H963" s="37"/>
      <c r="I963" s="36"/>
      <c r="J963" s="38"/>
      <c r="K963" s="38"/>
      <c r="L963" s="39"/>
      <c r="M963" s="39"/>
      <c r="N963" s="39"/>
      <c r="O963" s="39"/>
      <c r="P963" s="39"/>
      <c r="Q963" s="39"/>
      <c r="R963" s="39"/>
      <c r="S963" s="39"/>
      <c r="T963" s="39"/>
      <c r="U963" s="39"/>
      <c r="V963" s="39"/>
      <c r="W963" s="39"/>
      <c r="X963" s="39"/>
      <c r="Y963" s="39"/>
      <c r="Z963" s="39"/>
      <c r="AA963" s="39"/>
      <c r="AB963" s="39"/>
    </row>
    <row r="964">
      <c r="A964" s="1"/>
      <c r="B964" s="36"/>
      <c r="C964" s="36"/>
      <c r="D964" s="36"/>
      <c r="E964" s="36"/>
      <c r="F964" s="36"/>
      <c r="G964" s="36"/>
      <c r="H964" s="37"/>
      <c r="I964" s="36"/>
      <c r="J964" s="38"/>
      <c r="K964" s="38"/>
      <c r="L964" s="39"/>
      <c r="M964" s="39"/>
      <c r="N964" s="39"/>
      <c r="O964" s="39"/>
      <c r="P964" s="39"/>
      <c r="Q964" s="39"/>
      <c r="R964" s="39"/>
      <c r="S964" s="39"/>
      <c r="T964" s="39"/>
      <c r="U964" s="39"/>
      <c r="V964" s="39"/>
      <c r="W964" s="39"/>
      <c r="X964" s="39"/>
      <c r="Y964" s="39"/>
      <c r="Z964" s="39"/>
      <c r="AA964" s="39"/>
      <c r="AB964" s="39"/>
    </row>
    <row r="965">
      <c r="A965" s="1"/>
      <c r="B965" s="36"/>
      <c r="C965" s="36"/>
      <c r="D965" s="36"/>
      <c r="E965" s="36"/>
      <c r="F965" s="36"/>
      <c r="G965" s="36"/>
      <c r="H965" s="37"/>
      <c r="I965" s="36"/>
      <c r="J965" s="38"/>
      <c r="K965" s="38"/>
      <c r="L965" s="39"/>
      <c r="M965" s="39"/>
      <c r="N965" s="39"/>
      <c r="O965" s="39"/>
      <c r="P965" s="39"/>
      <c r="Q965" s="39"/>
      <c r="R965" s="39"/>
      <c r="S965" s="39"/>
      <c r="T965" s="39"/>
      <c r="U965" s="39"/>
      <c r="V965" s="39"/>
      <c r="W965" s="39"/>
      <c r="X965" s="39"/>
      <c r="Y965" s="39"/>
      <c r="Z965" s="39"/>
      <c r="AA965" s="39"/>
      <c r="AB965" s="39"/>
    </row>
    <row r="966">
      <c r="A966" s="1"/>
      <c r="B966" s="36"/>
      <c r="C966" s="36"/>
      <c r="D966" s="36"/>
      <c r="E966" s="36"/>
      <c r="F966" s="36"/>
      <c r="G966" s="36"/>
      <c r="H966" s="37"/>
      <c r="I966" s="36"/>
      <c r="J966" s="38"/>
      <c r="K966" s="38"/>
      <c r="L966" s="39"/>
      <c r="M966" s="39"/>
      <c r="N966" s="39"/>
      <c r="O966" s="39"/>
      <c r="P966" s="39"/>
      <c r="Q966" s="39"/>
      <c r="R966" s="39"/>
      <c r="S966" s="39"/>
      <c r="T966" s="39"/>
      <c r="U966" s="39"/>
      <c r="V966" s="39"/>
      <c r="W966" s="39"/>
      <c r="X966" s="39"/>
      <c r="Y966" s="39"/>
      <c r="Z966" s="39"/>
      <c r="AA966" s="39"/>
      <c r="AB966" s="39"/>
    </row>
    <row r="967">
      <c r="A967" s="1"/>
      <c r="B967" s="36"/>
      <c r="C967" s="36"/>
      <c r="D967" s="36"/>
      <c r="E967" s="36"/>
      <c r="F967" s="36"/>
      <c r="G967" s="36"/>
      <c r="H967" s="37"/>
      <c r="I967" s="36"/>
      <c r="J967" s="38"/>
      <c r="K967" s="38"/>
      <c r="L967" s="39"/>
      <c r="M967" s="39"/>
      <c r="N967" s="39"/>
      <c r="O967" s="39"/>
      <c r="P967" s="39"/>
      <c r="Q967" s="39"/>
      <c r="R967" s="39"/>
      <c r="S967" s="39"/>
      <c r="T967" s="39"/>
      <c r="U967" s="39"/>
      <c r="V967" s="39"/>
      <c r="W967" s="39"/>
      <c r="X967" s="39"/>
      <c r="Y967" s="39"/>
      <c r="Z967" s="39"/>
      <c r="AA967" s="39"/>
      <c r="AB967" s="39"/>
    </row>
    <row r="968">
      <c r="A968" s="1"/>
      <c r="B968" s="36"/>
      <c r="C968" s="36"/>
      <c r="D968" s="36"/>
      <c r="E968" s="36"/>
      <c r="F968" s="36"/>
      <c r="G968" s="36"/>
      <c r="H968" s="37"/>
      <c r="I968" s="36"/>
      <c r="J968" s="38"/>
      <c r="K968" s="38"/>
      <c r="L968" s="39"/>
      <c r="M968" s="39"/>
      <c r="N968" s="39"/>
      <c r="O968" s="39"/>
      <c r="P968" s="39"/>
      <c r="Q968" s="39"/>
      <c r="R968" s="39"/>
      <c r="S968" s="39"/>
      <c r="T968" s="39"/>
      <c r="U968" s="39"/>
      <c r="V968" s="39"/>
      <c r="W968" s="39"/>
      <c r="X968" s="39"/>
      <c r="Y968" s="39"/>
      <c r="Z968" s="39"/>
      <c r="AA968" s="39"/>
      <c r="AB968" s="39"/>
    </row>
    <row r="969">
      <c r="A969" s="1"/>
      <c r="B969" s="36"/>
      <c r="C969" s="36"/>
      <c r="D969" s="36"/>
      <c r="E969" s="36"/>
      <c r="F969" s="36"/>
      <c r="G969" s="36"/>
      <c r="H969" s="37"/>
      <c r="I969" s="36"/>
      <c r="J969" s="38"/>
      <c r="K969" s="38"/>
      <c r="L969" s="39"/>
      <c r="M969" s="39"/>
      <c r="N969" s="39"/>
      <c r="O969" s="39"/>
      <c r="P969" s="39"/>
      <c r="Q969" s="39"/>
      <c r="R969" s="39"/>
      <c r="S969" s="39"/>
      <c r="T969" s="39"/>
      <c r="U969" s="39"/>
      <c r="V969" s="39"/>
      <c r="W969" s="39"/>
      <c r="X969" s="39"/>
      <c r="Y969" s="39"/>
      <c r="Z969" s="39"/>
      <c r="AA969" s="39"/>
      <c r="AB969" s="39"/>
    </row>
    <row r="970">
      <c r="A970" s="1"/>
      <c r="B970" s="36"/>
      <c r="C970" s="36"/>
      <c r="D970" s="36"/>
      <c r="E970" s="36"/>
      <c r="F970" s="36"/>
      <c r="G970" s="36"/>
      <c r="H970" s="37"/>
      <c r="I970" s="36"/>
      <c r="J970" s="38"/>
      <c r="K970" s="38"/>
      <c r="L970" s="39"/>
      <c r="M970" s="39"/>
      <c r="N970" s="39"/>
      <c r="O970" s="39"/>
      <c r="P970" s="39"/>
      <c r="Q970" s="39"/>
      <c r="R970" s="39"/>
      <c r="S970" s="39"/>
      <c r="T970" s="39"/>
      <c r="U970" s="39"/>
      <c r="V970" s="39"/>
      <c r="W970" s="39"/>
      <c r="X970" s="39"/>
      <c r="Y970" s="39"/>
      <c r="Z970" s="39"/>
      <c r="AA970" s="39"/>
      <c r="AB970" s="39"/>
    </row>
    <row r="971">
      <c r="A971" s="1"/>
      <c r="B971" s="36"/>
      <c r="C971" s="36"/>
      <c r="D971" s="36"/>
      <c r="E971" s="36"/>
      <c r="F971" s="36"/>
      <c r="G971" s="36"/>
      <c r="H971" s="37"/>
      <c r="I971" s="36"/>
      <c r="J971" s="38"/>
      <c r="K971" s="38"/>
      <c r="L971" s="39"/>
      <c r="M971" s="39"/>
      <c r="N971" s="39"/>
      <c r="O971" s="39"/>
      <c r="P971" s="39"/>
      <c r="Q971" s="39"/>
      <c r="R971" s="39"/>
      <c r="S971" s="39"/>
      <c r="T971" s="39"/>
      <c r="U971" s="39"/>
      <c r="V971" s="39"/>
      <c r="W971" s="39"/>
      <c r="X971" s="39"/>
      <c r="Y971" s="39"/>
      <c r="Z971" s="39"/>
      <c r="AA971" s="39"/>
      <c r="AB971" s="39"/>
    </row>
    <row r="972">
      <c r="A972" s="1"/>
      <c r="B972" s="36"/>
      <c r="C972" s="36"/>
      <c r="D972" s="36"/>
      <c r="E972" s="36"/>
      <c r="F972" s="36"/>
      <c r="G972" s="36"/>
      <c r="H972" s="37"/>
      <c r="I972" s="36"/>
      <c r="J972" s="38"/>
      <c r="K972" s="38"/>
      <c r="L972" s="39"/>
      <c r="M972" s="39"/>
      <c r="N972" s="39"/>
      <c r="O972" s="39"/>
      <c r="P972" s="39"/>
      <c r="Q972" s="39"/>
      <c r="R972" s="39"/>
      <c r="S972" s="39"/>
      <c r="T972" s="39"/>
      <c r="U972" s="39"/>
      <c r="V972" s="39"/>
      <c r="W972" s="39"/>
      <c r="X972" s="39"/>
      <c r="Y972" s="39"/>
      <c r="Z972" s="39"/>
      <c r="AA972" s="39"/>
      <c r="AB972" s="39"/>
    </row>
    <row r="973">
      <c r="A973" s="1"/>
      <c r="B973" s="36"/>
      <c r="C973" s="36"/>
      <c r="D973" s="36"/>
      <c r="E973" s="36"/>
      <c r="F973" s="36"/>
      <c r="G973" s="36"/>
      <c r="H973" s="37"/>
      <c r="I973" s="36"/>
      <c r="J973" s="38"/>
      <c r="K973" s="38"/>
      <c r="L973" s="39"/>
      <c r="M973" s="39"/>
      <c r="N973" s="39"/>
      <c r="O973" s="39"/>
      <c r="P973" s="39"/>
      <c r="Q973" s="39"/>
      <c r="R973" s="39"/>
      <c r="S973" s="39"/>
      <c r="T973" s="39"/>
      <c r="U973" s="39"/>
      <c r="V973" s="39"/>
      <c r="W973" s="39"/>
      <c r="X973" s="39"/>
      <c r="Y973" s="39"/>
      <c r="Z973" s="39"/>
      <c r="AA973" s="39"/>
      <c r="AB973" s="39"/>
    </row>
    <row r="974">
      <c r="A974" s="1"/>
      <c r="B974" s="36"/>
      <c r="C974" s="36"/>
      <c r="D974" s="36"/>
      <c r="E974" s="36"/>
      <c r="F974" s="36"/>
      <c r="G974" s="36"/>
      <c r="H974" s="37"/>
      <c r="I974" s="36"/>
      <c r="J974" s="38"/>
      <c r="K974" s="38"/>
      <c r="L974" s="39"/>
      <c r="M974" s="39"/>
      <c r="N974" s="39"/>
      <c r="O974" s="39"/>
      <c r="P974" s="39"/>
      <c r="Q974" s="39"/>
      <c r="R974" s="39"/>
      <c r="S974" s="39"/>
      <c r="T974" s="39"/>
      <c r="U974" s="39"/>
      <c r="V974" s="39"/>
      <c r="W974" s="39"/>
      <c r="X974" s="39"/>
      <c r="Y974" s="39"/>
      <c r="Z974" s="39"/>
      <c r="AA974" s="39"/>
      <c r="AB974" s="39"/>
    </row>
    <row r="975">
      <c r="A975" s="1"/>
      <c r="B975" s="36"/>
      <c r="C975" s="36"/>
      <c r="D975" s="36"/>
      <c r="E975" s="36"/>
      <c r="F975" s="36"/>
      <c r="G975" s="36"/>
      <c r="H975" s="37"/>
      <c r="I975" s="36"/>
      <c r="J975" s="38"/>
      <c r="K975" s="38"/>
      <c r="L975" s="39"/>
      <c r="M975" s="39"/>
      <c r="N975" s="39"/>
      <c r="O975" s="39"/>
      <c r="P975" s="39"/>
      <c r="Q975" s="39"/>
      <c r="R975" s="39"/>
      <c r="S975" s="39"/>
      <c r="T975" s="39"/>
      <c r="U975" s="39"/>
      <c r="V975" s="39"/>
      <c r="W975" s="39"/>
      <c r="X975" s="39"/>
      <c r="Y975" s="39"/>
      <c r="Z975" s="39"/>
      <c r="AA975" s="39"/>
      <c r="AB975" s="39"/>
    </row>
    <row r="976">
      <c r="A976" s="1"/>
      <c r="B976" s="36"/>
      <c r="C976" s="36"/>
      <c r="D976" s="36"/>
      <c r="E976" s="36"/>
      <c r="F976" s="36"/>
      <c r="G976" s="36"/>
      <c r="H976" s="37"/>
      <c r="I976" s="36"/>
      <c r="J976" s="38"/>
      <c r="K976" s="38"/>
      <c r="L976" s="39"/>
      <c r="M976" s="39"/>
      <c r="N976" s="39"/>
      <c r="O976" s="39"/>
      <c r="P976" s="39"/>
      <c r="Q976" s="39"/>
      <c r="R976" s="39"/>
      <c r="S976" s="39"/>
      <c r="T976" s="39"/>
      <c r="U976" s="39"/>
      <c r="V976" s="39"/>
      <c r="W976" s="39"/>
      <c r="X976" s="39"/>
      <c r="Y976" s="39"/>
      <c r="Z976" s="39"/>
      <c r="AA976" s="39"/>
      <c r="AB976" s="39"/>
    </row>
    <row r="977">
      <c r="A977" s="1"/>
      <c r="B977" s="36"/>
      <c r="C977" s="36"/>
      <c r="D977" s="36"/>
      <c r="E977" s="36"/>
      <c r="F977" s="36"/>
      <c r="G977" s="36"/>
      <c r="H977" s="37"/>
      <c r="I977" s="36"/>
      <c r="J977" s="38"/>
      <c r="K977" s="38"/>
      <c r="L977" s="39"/>
      <c r="M977" s="39"/>
      <c r="N977" s="39"/>
      <c r="O977" s="39"/>
      <c r="P977" s="39"/>
      <c r="Q977" s="39"/>
      <c r="R977" s="39"/>
      <c r="S977" s="39"/>
      <c r="T977" s="39"/>
      <c r="U977" s="39"/>
      <c r="V977" s="39"/>
      <c r="W977" s="39"/>
      <c r="X977" s="39"/>
      <c r="Y977" s="39"/>
      <c r="Z977" s="39"/>
      <c r="AA977" s="39"/>
      <c r="AB977" s="39"/>
    </row>
    <row r="978">
      <c r="A978" s="1"/>
      <c r="B978" s="36"/>
      <c r="C978" s="36"/>
      <c r="D978" s="36"/>
      <c r="E978" s="36"/>
      <c r="F978" s="36"/>
      <c r="G978" s="36"/>
      <c r="H978" s="37"/>
      <c r="I978" s="36"/>
      <c r="J978" s="38"/>
      <c r="K978" s="38"/>
      <c r="L978" s="39"/>
      <c r="M978" s="39"/>
      <c r="N978" s="39"/>
      <c r="O978" s="39"/>
      <c r="P978" s="39"/>
      <c r="Q978" s="39"/>
      <c r="R978" s="39"/>
      <c r="S978" s="39"/>
      <c r="T978" s="39"/>
      <c r="U978" s="39"/>
      <c r="V978" s="39"/>
      <c r="W978" s="39"/>
      <c r="X978" s="39"/>
      <c r="Y978" s="39"/>
      <c r="Z978" s="39"/>
      <c r="AA978" s="39"/>
      <c r="AB978" s="39"/>
    </row>
    <row r="979">
      <c r="A979" s="1"/>
      <c r="B979" s="36"/>
      <c r="C979" s="36"/>
      <c r="D979" s="36"/>
      <c r="E979" s="36"/>
      <c r="F979" s="36"/>
      <c r="G979" s="36"/>
      <c r="H979" s="37"/>
      <c r="I979" s="36"/>
      <c r="J979" s="38"/>
      <c r="K979" s="38"/>
      <c r="L979" s="39"/>
      <c r="M979" s="39"/>
      <c r="N979" s="39"/>
      <c r="O979" s="39"/>
      <c r="P979" s="39"/>
      <c r="Q979" s="39"/>
      <c r="R979" s="39"/>
      <c r="S979" s="39"/>
      <c r="T979" s="39"/>
      <c r="U979" s="39"/>
      <c r="V979" s="39"/>
      <c r="W979" s="39"/>
      <c r="X979" s="39"/>
      <c r="Y979" s="39"/>
      <c r="Z979" s="39"/>
      <c r="AA979" s="39"/>
      <c r="AB979" s="39"/>
    </row>
    <row r="980">
      <c r="A980" s="1"/>
      <c r="B980" s="36"/>
      <c r="C980" s="36"/>
      <c r="D980" s="36"/>
      <c r="E980" s="36"/>
      <c r="F980" s="36"/>
      <c r="G980" s="36"/>
      <c r="H980" s="37"/>
      <c r="I980" s="36"/>
      <c r="J980" s="38"/>
      <c r="K980" s="38"/>
      <c r="L980" s="39"/>
      <c r="M980" s="39"/>
      <c r="N980" s="39"/>
      <c r="O980" s="39"/>
      <c r="P980" s="39"/>
      <c r="Q980" s="39"/>
      <c r="R980" s="39"/>
      <c r="S980" s="39"/>
      <c r="T980" s="39"/>
      <c r="U980" s="39"/>
      <c r="V980" s="39"/>
      <c r="W980" s="39"/>
      <c r="X980" s="39"/>
      <c r="Y980" s="39"/>
      <c r="Z980" s="39"/>
      <c r="AA980" s="39"/>
      <c r="AB980" s="39"/>
    </row>
    <row r="981">
      <c r="A981" s="1"/>
      <c r="B981" s="36"/>
      <c r="C981" s="36"/>
      <c r="D981" s="36"/>
      <c r="E981" s="36"/>
      <c r="F981" s="36"/>
      <c r="G981" s="36"/>
      <c r="H981" s="37"/>
      <c r="I981" s="36"/>
      <c r="J981" s="38"/>
      <c r="K981" s="38"/>
      <c r="L981" s="39"/>
      <c r="M981" s="39"/>
      <c r="N981" s="39"/>
      <c r="O981" s="39"/>
      <c r="P981" s="39"/>
      <c r="Q981" s="39"/>
      <c r="R981" s="39"/>
      <c r="S981" s="39"/>
      <c r="T981" s="39"/>
      <c r="U981" s="39"/>
      <c r="V981" s="39"/>
      <c r="W981" s="39"/>
      <c r="X981" s="39"/>
      <c r="Y981" s="39"/>
      <c r="Z981" s="39"/>
      <c r="AA981" s="39"/>
      <c r="AB981" s="39"/>
    </row>
    <row r="982">
      <c r="A982" s="1"/>
      <c r="B982" s="36"/>
      <c r="C982" s="36"/>
      <c r="D982" s="36"/>
      <c r="E982" s="36"/>
      <c r="F982" s="36"/>
      <c r="G982" s="36"/>
      <c r="H982" s="37"/>
      <c r="I982" s="36"/>
      <c r="J982" s="38"/>
      <c r="K982" s="38"/>
      <c r="L982" s="39"/>
      <c r="M982" s="39"/>
      <c r="N982" s="39"/>
      <c r="O982" s="39"/>
      <c r="P982" s="39"/>
      <c r="Q982" s="39"/>
      <c r="R982" s="39"/>
      <c r="S982" s="39"/>
      <c r="T982" s="39"/>
      <c r="U982" s="39"/>
      <c r="V982" s="39"/>
      <c r="W982" s="39"/>
      <c r="X982" s="39"/>
      <c r="Y982" s="39"/>
      <c r="Z982" s="39"/>
      <c r="AA982" s="39"/>
      <c r="AB982" s="39"/>
    </row>
    <row r="983">
      <c r="A983" s="1"/>
      <c r="B983" s="36"/>
      <c r="C983" s="36"/>
      <c r="D983" s="36"/>
      <c r="E983" s="36"/>
      <c r="F983" s="36"/>
      <c r="G983" s="36"/>
      <c r="H983" s="37"/>
      <c r="I983" s="36"/>
      <c r="J983" s="38"/>
      <c r="K983" s="38"/>
      <c r="L983" s="39"/>
      <c r="M983" s="39"/>
      <c r="N983" s="39"/>
      <c r="O983" s="39"/>
      <c r="P983" s="39"/>
      <c r="Q983" s="39"/>
      <c r="R983" s="39"/>
      <c r="S983" s="39"/>
      <c r="T983" s="39"/>
      <c r="U983" s="39"/>
      <c r="V983" s="39"/>
      <c r="W983" s="39"/>
      <c r="X983" s="39"/>
      <c r="Y983" s="39"/>
      <c r="Z983" s="39"/>
      <c r="AA983" s="39"/>
      <c r="AB983" s="39"/>
    </row>
    <row r="984">
      <c r="A984" s="1"/>
      <c r="B984" s="36"/>
      <c r="C984" s="36"/>
      <c r="D984" s="36"/>
      <c r="E984" s="36"/>
      <c r="F984" s="36"/>
      <c r="G984" s="36"/>
      <c r="H984" s="37"/>
      <c r="I984" s="36"/>
      <c r="J984" s="38"/>
      <c r="K984" s="38"/>
      <c r="L984" s="39"/>
      <c r="M984" s="39"/>
      <c r="N984" s="39"/>
      <c r="O984" s="39"/>
      <c r="P984" s="39"/>
      <c r="Q984" s="39"/>
      <c r="R984" s="39"/>
      <c r="S984" s="39"/>
      <c r="T984" s="39"/>
      <c r="U984" s="39"/>
      <c r="V984" s="39"/>
      <c r="W984" s="39"/>
      <c r="X984" s="39"/>
      <c r="Y984" s="39"/>
      <c r="Z984" s="39"/>
      <c r="AA984" s="39"/>
      <c r="AB984" s="39"/>
    </row>
    <row r="985">
      <c r="A985" s="1"/>
      <c r="B985" s="36"/>
      <c r="C985" s="36"/>
      <c r="D985" s="36"/>
      <c r="E985" s="36"/>
      <c r="F985" s="36"/>
      <c r="G985" s="36"/>
      <c r="H985" s="37"/>
      <c r="I985" s="36"/>
      <c r="J985" s="38"/>
      <c r="K985" s="38"/>
      <c r="L985" s="39"/>
      <c r="M985" s="39"/>
      <c r="N985" s="39"/>
      <c r="O985" s="39"/>
      <c r="P985" s="39"/>
      <c r="Q985" s="39"/>
      <c r="R985" s="39"/>
      <c r="S985" s="39"/>
      <c r="T985" s="39"/>
      <c r="U985" s="39"/>
      <c r="V985" s="39"/>
      <c r="W985" s="39"/>
      <c r="X985" s="39"/>
      <c r="Y985" s="39"/>
      <c r="Z985" s="39"/>
      <c r="AA985" s="39"/>
      <c r="AB985" s="39"/>
    </row>
    <row r="986">
      <c r="A986" s="1"/>
      <c r="B986" s="36"/>
      <c r="C986" s="36"/>
      <c r="D986" s="36"/>
      <c r="E986" s="36"/>
      <c r="F986" s="36"/>
      <c r="G986" s="36"/>
      <c r="H986" s="37"/>
      <c r="I986" s="36"/>
      <c r="J986" s="38"/>
      <c r="K986" s="38"/>
      <c r="L986" s="39"/>
      <c r="M986" s="39"/>
      <c r="N986" s="39"/>
      <c r="O986" s="39"/>
      <c r="P986" s="39"/>
      <c r="Q986" s="39"/>
      <c r="R986" s="39"/>
      <c r="S986" s="39"/>
      <c r="T986" s="39"/>
      <c r="U986" s="39"/>
      <c r="V986" s="39"/>
      <c r="W986" s="39"/>
      <c r="X986" s="39"/>
      <c r="Y986" s="39"/>
      <c r="Z986" s="39"/>
      <c r="AA986" s="39"/>
      <c r="AB986" s="39"/>
    </row>
    <row r="987">
      <c r="A987" s="1"/>
      <c r="B987" s="36"/>
      <c r="C987" s="36"/>
      <c r="D987" s="36"/>
      <c r="E987" s="36"/>
      <c r="F987" s="36"/>
      <c r="G987" s="36"/>
      <c r="H987" s="37"/>
      <c r="I987" s="36"/>
      <c r="J987" s="38"/>
      <c r="K987" s="38"/>
      <c r="L987" s="39"/>
      <c r="M987" s="39"/>
      <c r="N987" s="39"/>
      <c r="O987" s="39"/>
      <c r="P987" s="39"/>
      <c r="Q987" s="39"/>
      <c r="R987" s="39"/>
      <c r="S987" s="39"/>
      <c r="T987" s="39"/>
      <c r="U987" s="39"/>
      <c r="V987" s="39"/>
      <c r="W987" s="39"/>
      <c r="X987" s="39"/>
      <c r="Y987" s="39"/>
      <c r="Z987" s="39"/>
      <c r="AA987" s="39"/>
      <c r="AB987" s="39"/>
    </row>
    <row r="988">
      <c r="A988" s="1"/>
      <c r="B988" s="36"/>
      <c r="C988" s="36"/>
      <c r="D988" s="36"/>
      <c r="E988" s="36"/>
      <c r="F988" s="36"/>
      <c r="G988" s="36"/>
      <c r="H988" s="37"/>
      <c r="I988" s="36"/>
      <c r="J988" s="38"/>
      <c r="K988" s="38"/>
      <c r="L988" s="39"/>
      <c r="M988" s="39"/>
      <c r="N988" s="39"/>
      <c r="O988" s="39"/>
      <c r="P988" s="39"/>
      <c r="Q988" s="39"/>
      <c r="R988" s="39"/>
      <c r="S988" s="39"/>
      <c r="T988" s="39"/>
      <c r="U988" s="39"/>
      <c r="V988" s="39"/>
      <c r="W988" s="39"/>
      <c r="X988" s="39"/>
      <c r="Y988" s="39"/>
      <c r="Z988" s="39"/>
      <c r="AA988" s="39"/>
      <c r="AB988" s="39"/>
    </row>
    <row r="989">
      <c r="A989" s="1"/>
      <c r="B989" s="36"/>
      <c r="C989" s="36"/>
      <c r="D989" s="36"/>
      <c r="E989" s="36"/>
      <c r="F989" s="36"/>
      <c r="G989" s="36"/>
      <c r="H989" s="37"/>
      <c r="I989" s="36"/>
      <c r="J989" s="38"/>
      <c r="K989" s="38"/>
      <c r="L989" s="39"/>
      <c r="M989" s="39"/>
      <c r="N989" s="39"/>
      <c r="O989" s="39"/>
      <c r="P989" s="39"/>
      <c r="Q989" s="39"/>
      <c r="R989" s="39"/>
      <c r="S989" s="39"/>
      <c r="T989" s="39"/>
      <c r="U989" s="39"/>
      <c r="V989" s="39"/>
      <c r="W989" s="39"/>
      <c r="X989" s="39"/>
      <c r="Y989" s="39"/>
      <c r="Z989" s="39"/>
      <c r="AA989" s="39"/>
      <c r="AB989" s="39"/>
    </row>
    <row r="990">
      <c r="A990" s="1"/>
      <c r="B990" s="36"/>
      <c r="C990" s="36"/>
      <c r="D990" s="36"/>
      <c r="E990" s="36"/>
      <c r="F990" s="36"/>
      <c r="G990" s="36"/>
      <c r="H990" s="37"/>
      <c r="I990" s="36"/>
      <c r="J990" s="38"/>
      <c r="K990" s="38"/>
      <c r="L990" s="39"/>
      <c r="M990" s="39"/>
      <c r="N990" s="39"/>
      <c r="O990" s="39"/>
      <c r="P990" s="39"/>
      <c r="Q990" s="39"/>
      <c r="R990" s="39"/>
      <c r="S990" s="39"/>
      <c r="T990" s="39"/>
      <c r="U990" s="39"/>
      <c r="V990" s="39"/>
      <c r="W990" s="39"/>
      <c r="X990" s="39"/>
      <c r="Y990" s="39"/>
      <c r="Z990" s="39"/>
      <c r="AA990" s="39"/>
      <c r="AB990" s="39"/>
    </row>
    <row r="991">
      <c r="A991" s="1"/>
      <c r="B991" s="36"/>
      <c r="C991" s="36"/>
      <c r="D991" s="36"/>
      <c r="E991" s="36"/>
      <c r="F991" s="36"/>
      <c r="G991" s="36"/>
      <c r="H991" s="37"/>
      <c r="I991" s="36"/>
      <c r="J991" s="38"/>
      <c r="K991" s="38"/>
      <c r="L991" s="39"/>
      <c r="M991" s="39"/>
      <c r="N991" s="39"/>
      <c r="O991" s="39"/>
      <c r="P991" s="39"/>
      <c r="Q991" s="39"/>
      <c r="R991" s="39"/>
      <c r="S991" s="39"/>
      <c r="T991" s="39"/>
      <c r="U991" s="39"/>
      <c r="V991" s="39"/>
      <c r="W991" s="39"/>
      <c r="X991" s="39"/>
      <c r="Y991" s="39"/>
      <c r="Z991" s="39"/>
      <c r="AA991" s="39"/>
      <c r="AB991" s="39"/>
    </row>
    <row r="992">
      <c r="A992" s="1"/>
      <c r="B992" s="36"/>
      <c r="C992" s="36"/>
      <c r="D992" s="36"/>
      <c r="E992" s="36"/>
      <c r="F992" s="36"/>
      <c r="G992" s="36"/>
      <c r="H992" s="37"/>
      <c r="I992" s="36"/>
      <c r="J992" s="38"/>
      <c r="K992" s="38"/>
      <c r="L992" s="39"/>
      <c r="M992" s="39"/>
      <c r="N992" s="39"/>
      <c r="O992" s="39"/>
      <c r="P992" s="39"/>
      <c r="Q992" s="39"/>
      <c r="R992" s="39"/>
      <c r="S992" s="39"/>
      <c r="T992" s="39"/>
      <c r="U992" s="39"/>
      <c r="V992" s="39"/>
      <c r="W992" s="39"/>
      <c r="X992" s="39"/>
      <c r="Y992" s="39"/>
      <c r="Z992" s="39"/>
      <c r="AA992" s="39"/>
      <c r="AB992" s="39"/>
    </row>
    <row r="993">
      <c r="A993" s="1"/>
      <c r="B993" s="36"/>
      <c r="C993" s="36"/>
      <c r="D993" s="36"/>
      <c r="E993" s="36"/>
      <c r="F993" s="36"/>
      <c r="G993" s="36"/>
      <c r="H993" s="37"/>
      <c r="I993" s="36"/>
      <c r="J993" s="38"/>
      <c r="K993" s="38"/>
      <c r="L993" s="39"/>
      <c r="M993" s="39"/>
      <c r="N993" s="39"/>
      <c r="O993" s="39"/>
      <c r="P993" s="39"/>
      <c r="Q993" s="39"/>
      <c r="R993" s="39"/>
      <c r="S993" s="39"/>
      <c r="T993" s="39"/>
      <c r="U993" s="39"/>
      <c r="V993" s="39"/>
      <c r="W993" s="39"/>
      <c r="X993" s="39"/>
      <c r="Y993" s="39"/>
      <c r="Z993" s="39"/>
      <c r="AA993" s="39"/>
      <c r="AB993" s="39"/>
    </row>
    <row r="994">
      <c r="A994" s="1"/>
      <c r="B994" s="36"/>
      <c r="C994" s="36"/>
      <c r="D994" s="36"/>
      <c r="E994" s="36"/>
      <c r="F994" s="36"/>
      <c r="G994" s="36"/>
      <c r="H994" s="37"/>
      <c r="I994" s="36"/>
      <c r="J994" s="38"/>
      <c r="K994" s="38"/>
      <c r="L994" s="39"/>
      <c r="M994" s="39"/>
      <c r="N994" s="39"/>
      <c r="O994" s="39"/>
      <c r="P994" s="39"/>
      <c r="Q994" s="39"/>
      <c r="R994" s="39"/>
      <c r="S994" s="39"/>
      <c r="T994" s="39"/>
      <c r="U994" s="39"/>
      <c r="V994" s="39"/>
      <c r="W994" s="39"/>
      <c r="X994" s="39"/>
      <c r="Y994" s="39"/>
      <c r="Z994" s="39"/>
      <c r="AA994" s="39"/>
      <c r="AB994" s="39"/>
    </row>
    <row r="995">
      <c r="A995" s="1"/>
      <c r="B995" s="36"/>
      <c r="C995" s="36"/>
      <c r="D995" s="36"/>
      <c r="E995" s="36"/>
      <c r="F995" s="36"/>
      <c r="G995" s="36"/>
      <c r="H995" s="37"/>
      <c r="I995" s="36"/>
      <c r="J995" s="38"/>
      <c r="K995" s="38"/>
      <c r="L995" s="39"/>
      <c r="M995" s="39"/>
      <c r="N995" s="39"/>
      <c r="O995" s="39"/>
      <c r="P995" s="39"/>
      <c r="Q995" s="39"/>
      <c r="R995" s="39"/>
      <c r="S995" s="39"/>
      <c r="T995" s="39"/>
      <c r="U995" s="39"/>
      <c r="V995" s="39"/>
      <c r="W995" s="39"/>
      <c r="X995" s="39"/>
      <c r="Y995" s="39"/>
      <c r="Z995" s="39"/>
      <c r="AA995" s="39"/>
      <c r="AB995" s="39"/>
    </row>
    <row r="996">
      <c r="A996" s="1"/>
      <c r="B996" s="36"/>
      <c r="C996" s="36"/>
      <c r="D996" s="36"/>
      <c r="E996" s="36"/>
      <c r="F996" s="36"/>
      <c r="G996" s="36"/>
      <c r="H996" s="37"/>
      <c r="I996" s="36"/>
      <c r="J996" s="38"/>
      <c r="K996" s="38"/>
      <c r="L996" s="39"/>
      <c r="M996" s="39"/>
      <c r="N996" s="39"/>
      <c r="O996" s="39"/>
      <c r="P996" s="39"/>
      <c r="Q996" s="39"/>
      <c r="R996" s="39"/>
      <c r="S996" s="39"/>
      <c r="T996" s="39"/>
      <c r="U996" s="39"/>
      <c r="V996" s="39"/>
      <c r="W996" s="39"/>
      <c r="X996" s="39"/>
      <c r="Y996" s="39"/>
      <c r="Z996" s="39"/>
      <c r="AA996" s="39"/>
      <c r="AB996" s="39"/>
    </row>
    <row r="997">
      <c r="A997" s="1"/>
      <c r="B997" s="36"/>
      <c r="C997" s="36"/>
      <c r="D997" s="36"/>
      <c r="E997" s="36"/>
      <c r="F997" s="36"/>
      <c r="G997" s="36"/>
      <c r="H997" s="37"/>
      <c r="I997" s="36"/>
      <c r="J997" s="38"/>
      <c r="K997" s="38"/>
      <c r="L997" s="39"/>
      <c r="M997" s="39"/>
      <c r="N997" s="39"/>
      <c r="O997" s="39"/>
      <c r="P997" s="39"/>
      <c r="Q997" s="39"/>
      <c r="R997" s="39"/>
      <c r="S997" s="39"/>
      <c r="T997" s="39"/>
      <c r="U997" s="39"/>
      <c r="V997" s="39"/>
      <c r="W997" s="39"/>
      <c r="X997" s="39"/>
      <c r="Y997" s="39"/>
      <c r="Z997" s="39"/>
      <c r="AA997" s="39"/>
      <c r="AB997" s="39"/>
    </row>
    <row r="998">
      <c r="A998" s="1"/>
      <c r="B998" s="36"/>
      <c r="C998" s="36"/>
      <c r="D998" s="36"/>
      <c r="E998" s="36"/>
      <c r="F998" s="36"/>
      <c r="G998" s="36"/>
      <c r="H998" s="37"/>
      <c r="I998" s="36"/>
      <c r="J998" s="38"/>
      <c r="K998" s="38"/>
      <c r="L998" s="39"/>
      <c r="M998" s="39"/>
      <c r="N998" s="39"/>
      <c r="O998" s="39"/>
      <c r="P998" s="39"/>
      <c r="Q998" s="39"/>
      <c r="R998" s="39"/>
      <c r="S998" s="39"/>
      <c r="T998" s="39"/>
      <c r="U998" s="39"/>
      <c r="V998" s="39"/>
      <c r="W998" s="39"/>
      <c r="X998" s="39"/>
      <c r="Y998" s="39"/>
      <c r="Z998" s="39"/>
      <c r="AA998" s="39"/>
      <c r="AB998" s="39"/>
    </row>
    <row r="999">
      <c r="A999" s="1"/>
      <c r="B999" s="36"/>
      <c r="C999" s="36"/>
      <c r="D999" s="36"/>
      <c r="E999" s="36"/>
      <c r="F999" s="36"/>
      <c r="G999" s="36"/>
      <c r="H999" s="37"/>
      <c r="I999" s="36"/>
      <c r="J999" s="38"/>
      <c r="K999" s="38"/>
      <c r="L999" s="39"/>
      <c r="M999" s="39"/>
      <c r="N999" s="39"/>
      <c r="O999" s="39"/>
      <c r="P999" s="39"/>
      <c r="Q999" s="39"/>
      <c r="R999" s="39"/>
      <c r="S999" s="39"/>
      <c r="T999" s="39"/>
      <c r="U999" s="39"/>
      <c r="V999" s="39"/>
      <c r="W999" s="39"/>
      <c r="X999" s="39"/>
      <c r="Y999" s="39"/>
      <c r="Z999" s="39"/>
      <c r="AA999" s="39"/>
      <c r="AB999" s="39"/>
    </row>
    <row r="1000">
      <c r="A1000" s="1"/>
      <c r="B1000" s="36"/>
      <c r="C1000" s="36"/>
      <c r="D1000" s="36"/>
      <c r="E1000" s="36"/>
      <c r="F1000" s="36"/>
      <c r="G1000" s="36"/>
      <c r="H1000" s="37"/>
      <c r="I1000" s="36"/>
      <c r="J1000" s="38"/>
      <c r="K1000" s="38"/>
      <c r="L1000" s="39"/>
      <c r="M1000" s="39"/>
      <c r="N1000" s="39"/>
      <c r="O1000" s="39"/>
      <c r="P1000" s="39"/>
      <c r="Q1000" s="39"/>
      <c r="R1000" s="39"/>
      <c r="S1000" s="39"/>
      <c r="T1000" s="39"/>
      <c r="U1000" s="39"/>
      <c r="V1000" s="39"/>
      <c r="W1000" s="39"/>
      <c r="X1000" s="39"/>
      <c r="Y1000" s="39"/>
      <c r="Z1000" s="39"/>
      <c r="AA1000" s="39"/>
      <c r="AB1000" s="39"/>
    </row>
    <row r="1001">
      <c r="A1001" s="1"/>
      <c r="B1001" s="36"/>
      <c r="C1001" s="36"/>
      <c r="D1001" s="36"/>
      <c r="E1001" s="36"/>
      <c r="F1001" s="36"/>
      <c r="G1001" s="36"/>
      <c r="H1001" s="37"/>
      <c r="I1001" s="36"/>
      <c r="J1001" s="38"/>
      <c r="K1001" s="38"/>
      <c r="L1001" s="39"/>
      <c r="M1001" s="39"/>
      <c r="N1001" s="39"/>
      <c r="O1001" s="39"/>
      <c r="P1001" s="39"/>
      <c r="Q1001" s="39"/>
      <c r="R1001" s="39"/>
      <c r="S1001" s="39"/>
      <c r="T1001" s="39"/>
      <c r="U1001" s="39"/>
      <c r="V1001" s="39"/>
      <c r="W1001" s="39"/>
      <c r="X1001" s="39"/>
      <c r="Y1001" s="39"/>
      <c r="Z1001" s="39"/>
      <c r="AA1001" s="39"/>
      <c r="AB1001" s="39"/>
    </row>
    <row r="1002">
      <c r="A1002" s="1"/>
      <c r="B1002" s="36"/>
      <c r="C1002" s="36"/>
      <c r="D1002" s="36"/>
      <c r="E1002" s="36"/>
      <c r="F1002" s="36"/>
      <c r="G1002" s="36"/>
      <c r="H1002" s="37"/>
      <c r="I1002" s="36"/>
      <c r="J1002" s="38"/>
      <c r="K1002" s="38"/>
      <c r="L1002" s="39"/>
      <c r="M1002" s="39"/>
      <c r="N1002" s="39"/>
      <c r="O1002" s="39"/>
      <c r="P1002" s="39"/>
      <c r="Q1002" s="39"/>
      <c r="R1002" s="39"/>
      <c r="S1002" s="39"/>
      <c r="T1002" s="39"/>
      <c r="U1002" s="39"/>
      <c r="V1002" s="39"/>
      <c r="W1002" s="39"/>
      <c r="X1002" s="39"/>
      <c r="Y1002" s="39"/>
      <c r="Z1002" s="39"/>
      <c r="AA1002" s="39"/>
      <c r="AB1002" s="39"/>
    </row>
    <row r="1003">
      <c r="A1003" s="1"/>
      <c r="B1003" s="36"/>
      <c r="C1003" s="36"/>
      <c r="D1003" s="36"/>
      <c r="E1003" s="36"/>
      <c r="F1003" s="36"/>
      <c r="G1003" s="36"/>
      <c r="H1003" s="37"/>
      <c r="I1003" s="36"/>
      <c r="J1003" s="38"/>
      <c r="K1003" s="38"/>
      <c r="L1003" s="39"/>
      <c r="M1003" s="39"/>
      <c r="N1003" s="39"/>
      <c r="O1003" s="39"/>
      <c r="P1003" s="39"/>
      <c r="Q1003" s="39"/>
      <c r="R1003" s="39"/>
      <c r="S1003" s="39"/>
      <c r="T1003" s="39"/>
      <c r="U1003" s="39"/>
      <c r="V1003" s="39"/>
      <c r="W1003" s="39"/>
      <c r="X1003" s="39"/>
      <c r="Y1003" s="39"/>
      <c r="Z1003" s="39"/>
      <c r="AA1003" s="39"/>
      <c r="AB1003" s="39"/>
    </row>
    <row r="1004">
      <c r="A1004" s="1"/>
      <c r="B1004" s="36"/>
      <c r="C1004" s="36"/>
      <c r="D1004" s="36"/>
      <c r="E1004" s="36"/>
      <c r="F1004" s="36"/>
      <c r="G1004" s="36"/>
      <c r="H1004" s="37"/>
      <c r="I1004" s="36"/>
      <c r="J1004" s="38"/>
      <c r="K1004" s="38"/>
      <c r="L1004" s="39"/>
      <c r="M1004" s="39"/>
      <c r="N1004" s="39"/>
      <c r="O1004" s="39"/>
      <c r="P1004" s="39"/>
      <c r="Q1004" s="39"/>
      <c r="R1004" s="39"/>
      <c r="S1004" s="39"/>
      <c r="T1004" s="39"/>
      <c r="U1004" s="39"/>
      <c r="V1004" s="39"/>
      <c r="W1004" s="39"/>
      <c r="X1004" s="39"/>
      <c r="Y1004" s="39"/>
      <c r="Z1004" s="39"/>
      <c r="AA1004" s="39"/>
      <c r="AB1004" s="39"/>
    </row>
    <row r="1005">
      <c r="A1005" s="1"/>
      <c r="B1005" s="36"/>
      <c r="C1005" s="36"/>
      <c r="D1005" s="36"/>
      <c r="E1005" s="36"/>
      <c r="F1005" s="36"/>
      <c r="G1005" s="36"/>
      <c r="H1005" s="37"/>
      <c r="I1005" s="36"/>
      <c r="J1005" s="38"/>
      <c r="K1005" s="38"/>
      <c r="L1005" s="39"/>
      <c r="M1005" s="39"/>
      <c r="N1005" s="39"/>
      <c r="O1005" s="39"/>
      <c r="P1005" s="39"/>
      <c r="Q1005" s="39"/>
      <c r="R1005" s="39"/>
      <c r="S1005" s="39"/>
      <c r="T1005" s="39"/>
      <c r="U1005" s="39"/>
      <c r="V1005" s="39"/>
      <c r="W1005" s="39"/>
      <c r="X1005" s="39"/>
      <c r="Y1005" s="39"/>
      <c r="Z1005" s="39"/>
      <c r="AA1005" s="39"/>
      <c r="AB1005" s="39"/>
    </row>
    <row r="1006">
      <c r="A1006" s="1"/>
      <c r="B1006" s="36"/>
      <c r="C1006" s="36"/>
      <c r="D1006" s="36"/>
      <c r="E1006" s="36"/>
      <c r="F1006" s="36"/>
      <c r="G1006" s="36"/>
      <c r="H1006" s="37"/>
      <c r="I1006" s="36"/>
      <c r="J1006" s="38"/>
      <c r="K1006" s="38"/>
      <c r="L1006" s="39"/>
      <c r="M1006" s="39"/>
      <c r="N1006" s="39"/>
      <c r="O1006" s="39"/>
      <c r="P1006" s="39"/>
      <c r="Q1006" s="39"/>
      <c r="R1006" s="39"/>
      <c r="S1006" s="39"/>
      <c r="T1006" s="39"/>
      <c r="U1006" s="39"/>
      <c r="V1006" s="39"/>
      <c r="W1006" s="39"/>
      <c r="X1006" s="39"/>
      <c r="Y1006" s="39"/>
      <c r="Z1006" s="39"/>
      <c r="AA1006" s="39"/>
      <c r="AB1006" s="39"/>
    </row>
    <row r="1007">
      <c r="A1007" s="1"/>
      <c r="B1007" s="36"/>
      <c r="C1007" s="36"/>
      <c r="D1007" s="36"/>
      <c r="E1007" s="36"/>
      <c r="F1007" s="36"/>
      <c r="G1007" s="36"/>
      <c r="H1007" s="37"/>
      <c r="I1007" s="36"/>
      <c r="J1007" s="38"/>
      <c r="K1007" s="38"/>
      <c r="L1007" s="39"/>
      <c r="M1007" s="39"/>
      <c r="N1007" s="39"/>
      <c r="O1007" s="39"/>
      <c r="P1007" s="39"/>
      <c r="Q1007" s="39"/>
      <c r="R1007" s="39"/>
      <c r="S1007" s="39"/>
      <c r="T1007" s="39"/>
      <c r="U1007" s="39"/>
      <c r="V1007" s="39"/>
      <c r="W1007" s="39"/>
      <c r="X1007" s="39"/>
      <c r="Y1007" s="39"/>
      <c r="Z1007" s="39"/>
      <c r="AA1007" s="39"/>
      <c r="AB1007" s="39"/>
    </row>
    <row r="1008">
      <c r="A1008" s="1"/>
      <c r="B1008" s="36"/>
      <c r="C1008" s="36"/>
      <c r="D1008" s="36"/>
      <c r="E1008" s="36"/>
      <c r="F1008" s="36"/>
      <c r="G1008" s="36"/>
      <c r="H1008" s="37"/>
      <c r="I1008" s="36"/>
      <c r="J1008" s="38"/>
      <c r="K1008" s="38"/>
      <c r="L1008" s="39"/>
      <c r="M1008" s="39"/>
      <c r="N1008" s="39"/>
      <c r="O1008" s="39"/>
      <c r="P1008" s="39"/>
      <c r="Q1008" s="39"/>
      <c r="R1008" s="39"/>
      <c r="S1008" s="39"/>
      <c r="T1008" s="39"/>
      <c r="U1008" s="39"/>
      <c r="V1008" s="39"/>
      <c r="W1008" s="39"/>
      <c r="X1008" s="39"/>
      <c r="Y1008" s="39"/>
      <c r="Z1008" s="39"/>
      <c r="AA1008" s="39"/>
      <c r="AB1008" s="39"/>
    </row>
    <row r="1009">
      <c r="A1009" s="1"/>
      <c r="B1009" s="36"/>
      <c r="C1009" s="36"/>
      <c r="D1009" s="36"/>
      <c r="E1009" s="36"/>
      <c r="F1009" s="36"/>
      <c r="G1009" s="36"/>
      <c r="H1009" s="37"/>
      <c r="I1009" s="36"/>
      <c r="J1009" s="38"/>
      <c r="K1009" s="38"/>
      <c r="L1009" s="39"/>
      <c r="M1009" s="39"/>
      <c r="N1009" s="39"/>
      <c r="O1009" s="39"/>
      <c r="P1009" s="39"/>
      <c r="Q1009" s="39"/>
      <c r="R1009" s="39"/>
      <c r="S1009" s="39"/>
      <c r="T1009" s="39"/>
      <c r="U1009" s="39"/>
      <c r="V1009" s="39"/>
      <c r="W1009" s="39"/>
      <c r="X1009" s="39"/>
      <c r="Y1009" s="39"/>
      <c r="Z1009" s="39"/>
      <c r="AA1009" s="39"/>
      <c r="AB1009" s="39"/>
    </row>
    <row r="1010">
      <c r="A1010" s="1"/>
      <c r="B1010" s="36"/>
      <c r="C1010" s="36"/>
      <c r="D1010" s="36"/>
      <c r="E1010" s="36"/>
      <c r="F1010" s="36"/>
      <c r="G1010" s="36"/>
      <c r="H1010" s="37"/>
      <c r="I1010" s="36"/>
      <c r="J1010" s="38"/>
      <c r="K1010" s="38"/>
      <c r="L1010" s="39"/>
      <c r="M1010" s="39"/>
      <c r="N1010" s="39"/>
      <c r="O1010" s="39"/>
      <c r="P1010" s="39"/>
      <c r="Q1010" s="39"/>
      <c r="R1010" s="39"/>
      <c r="S1010" s="39"/>
      <c r="T1010" s="39"/>
      <c r="U1010" s="39"/>
      <c r="V1010" s="39"/>
      <c r="W1010" s="39"/>
      <c r="X1010" s="39"/>
      <c r="Y1010" s="39"/>
      <c r="Z1010" s="39"/>
      <c r="AA1010" s="39"/>
      <c r="AB1010" s="39"/>
    </row>
    <row r="1011">
      <c r="A1011" s="1"/>
      <c r="B1011" s="36"/>
      <c r="C1011" s="36"/>
      <c r="D1011" s="36"/>
      <c r="E1011" s="36"/>
      <c r="F1011" s="36"/>
      <c r="G1011" s="36"/>
      <c r="H1011" s="37"/>
      <c r="I1011" s="36"/>
      <c r="J1011" s="38"/>
      <c r="K1011" s="38"/>
      <c r="L1011" s="39"/>
      <c r="M1011" s="39"/>
      <c r="N1011" s="39"/>
      <c r="O1011" s="39"/>
      <c r="P1011" s="39"/>
      <c r="Q1011" s="39"/>
      <c r="R1011" s="39"/>
      <c r="S1011" s="39"/>
      <c r="T1011" s="39"/>
      <c r="U1011" s="39"/>
      <c r="V1011" s="39"/>
      <c r="W1011" s="39"/>
      <c r="X1011" s="39"/>
      <c r="Y1011" s="39"/>
      <c r="Z1011" s="39"/>
      <c r="AA1011" s="39"/>
      <c r="AB1011" s="39"/>
    </row>
    <row r="1012">
      <c r="A1012" s="1"/>
      <c r="B1012" s="36"/>
      <c r="C1012" s="36"/>
      <c r="D1012" s="36"/>
      <c r="E1012" s="36"/>
      <c r="F1012" s="36"/>
      <c r="G1012" s="36"/>
      <c r="H1012" s="37"/>
      <c r="I1012" s="36"/>
      <c r="J1012" s="38"/>
      <c r="K1012" s="38"/>
      <c r="L1012" s="39"/>
      <c r="M1012" s="39"/>
      <c r="N1012" s="39"/>
      <c r="O1012" s="39"/>
      <c r="P1012" s="39"/>
      <c r="Q1012" s="39"/>
      <c r="R1012" s="39"/>
      <c r="S1012" s="39"/>
      <c r="T1012" s="39"/>
      <c r="U1012" s="39"/>
      <c r="V1012" s="39"/>
      <c r="W1012" s="39"/>
      <c r="X1012" s="39"/>
      <c r="Y1012" s="39"/>
      <c r="Z1012" s="39"/>
      <c r="AA1012" s="39"/>
      <c r="AB1012" s="39"/>
    </row>
    <row r="1013">
      <c r="A1013" s="1"/>
      <c r="B1013" s="36"/>
      <c r="C1013" s="36"/>
      <c r="D1013" s="36"/>
      <c r="E1013" s="36"/>
      <c r="F1013" s="36"/>
      <c r="G1013" s="36"/>
      <c r="H1013" s="37"/>
      <c r="I1013" s="36"/>
      <c r="J1013" s="38"/>
      <c r="K1013" s="38"/>
      <c r="L1013" s="39"/>
      <c r="M1013" s="39"/>
      <c r="N1013" s="39"/>
      <c r="O1013" s="39"/>
      <c r="P1013" s="39"/>
      <c r="Q1013" s="39"/>
      <c r="R1013" s="39"/>
      <c r="S1013" s="39"/>
      <c r="T1013" s="39"/>
      <c r="U1013" s="39"/>
      <c r="V1013" s="39"/>
      <c r="W1013" s="39"/>
      <c r="X1013" s="39"/>
      <c r="Y1013" s="39"/>
      <c r="Z1013" s="39"/>
      <c r="AA1013" s="39"/>
      <c r="AB1013" s="39"/>
    </row>
    <row r="1014">
      <c r="A1014" s="1"/>
      <c r="B1014" s="36"/>
      <c r="C1014" s="36"/>
      <c r="D1014" s="36"/>
      <c r="E1014" s="36"/>
      <c r="F1014" s="36"/>
      <c r="G1014" s="36"/>
      <c r="H1014" s="37"/>
      <c r="I1014" s="36"/>
      <c r="J1014" s="38"/>
      <c r="K1014" s="38"/>
      <c r="L1014" s="39"/>
      <c r="M1014" s="39"/>
      <c r="N1014" s="39"/>
      <c r="O1014" s="39"/>
      <c r="P1014" s="39"/>
      <c r="Q1014" s="39"/>
      <c r="R1014" s="39"/>
      <c r="S1014" s="39"/>
      <c r="T1014" s="39"/>
      <c r="U1014" s="39"/>
      <c r="V1014" s="39"/>
      <c r="W1014" s="39"/>
      <c r="X1014" s="39"/>
      <c r="Y1014" s="39"/>
      <c r="Z1014" s="39"/>
      <c r="AA1014" s="39"/>
      <c r="AB1014" s="39"/>
    </row>
    <row r="1015">
      <c r="A1015" s="1"/>
      <c r="B1015" s="36"/>
      <c r="C1015" s="36"/>
      <c r="D1015" s="36"/>
      <c r="E1015" s="36"/>
      <c r="F1015" s="36"/>
      <c r="G1015" s="36"/>
      <c r="H1015" s="37"/>
      <c r="I1015" s="36"/>
      <c r="J1015" s="38"/>
      <c r="K1015" s="38"/>
      <c r="L1015" s="39"/>
      <c r="M1015" s="39"/>
      <c r="N1015" s="39"/>
      <c r="O1015" s="39"/>
      <c r="P1015" s="39"/>
      <c r="Q1015" s="39"/>
      <c r="R1015" s="39"/>
      <c r="S1015" s="39"/>
      <c r="T1015" s="39"/>
      <c r="U1015" s="39"/>
      <c r="V1015" s="39"/>
      <c r="W1015" s="39"/>
      <c r="X1015" s="39"/>
      <c r="Y1015" s="39"/>
      <c r="Z1015" s="39"/>
      <c r="AA1015" s="39"/>
      <c r="AB1015" s="39"/>
    </row>
    <row r="1016">
      <c r="A1016" s="1"/>
      <c r="B1016" s="36"/>
      <c r="C1016" s="36"/>
      <c r="D1016" s="36"/>
      <c r="E1016" s="36"/>
      <c r="F1016" s="36"/>
      <c r="G1016" s="36"/>
      <c r="H1016" s="37"/>
      <c r="I1016" s="36"/>
      <c r="J1016" s="38"/>
      <c r="K1016" s="38"/>
      <c r="L1016" s="39"/>
      <c r="M1016" s="39"/>
      <c r="N1016" s="39"/>
      <c r="O1016" s="39"/>
      <c r="P1016" s="39"/>
      <c r="Q1016" s="39"/>
      <c r="R1016" s="39"/>
      <c r="S1016" s="39"/>
      <c r="T1016" s="39"/>
      <c r="U1016" s="39"/>
      <c r="V1016" s="39"/>
      <c r="W1016" s="39"/>
      <c r="X1016" s="39"/>
      <c r="Y1016" s="39"/>
      <c r="Z1016" s="39"/>
      <c r="AA1016" s="39"/>
      <c r="AB1016" s="39"/>
    </row>
    <row r="1017">
      <c r="A1017" s="1"/>
      <c r="B1017" s="36"/>
      <c r="C1017" s="36"/>
      <c r="D1017" s="36"/>
      <c r="E1017" s="36"/>
      <c r="F1017" s="36"/>
      <c r="G1017" s="36"/>
      <c r="H1017" s="37"/>
      <c r="I1017" s="36"/>
      <c r="J1017" s="38"/>
      <c r="K1017" s="38"/>
      <c r="L1017" s="39"/>
      <c r="M1017" s="39"/>
      <c r="N1017" s="39"/>
      <c r="O1017" s="39"/>
      <c r="P1017" s="39"/>
      <c r="Q1017" s="39"/>
      <c r="R1017" s="39"/>
      <c r="S1017" s="39"/>
      <c r="T1017" s="39"/>
      <c r="U1017" s="39"/>
      <c r="V1017" s="39"/>
      <c r="W1017" s="39"/>
      <c r="X1017" s="39"/>
      <c r="Y1017" s="39"/>
      <c r="Z1017" s="39"/>
      <c r="AA1017" s="39"/>
      <c r="AB1017" s="39"/>
    </row>
    <row r="1018">
      <c r="A1018" s="1"/>
      <c r="B1018" s="36"/>
      <c r="C1018" s="36"/>
      <c r="D1018" s="36"/>
      <c r="E1018" s="36"/>
      <c r="F1018" s="36"/>
      <c r="G1018" s="36"/>
      <c r="H1018" s="37"/>
      <c r="I1018" s="36"/>
      <c r="J1018" s="38"/>
      <c r="K1018" s="38"/>
      <c r="L1018" s="39"/>
      <c r="M1018" s="39"/>
      <c r="N1018" s="39"/>
      <c r="O1018" s="39"/>
      <c r="P1018" s="39"/>
      <c r="Q1018" s="39"/>
      <c r="R1018" s="39"/>
      <c r="S1018" s="39"/>
      <c r="T1018" s="39"/>
      <c r="U1018" s="39"/>
      <c r="V1018" s="39"/>
      <c r="W1018" s="39"/>
      <c r="X1018" s="39"/>
      <c r="Y1018" s="39"/>
      <c r="Z1018" s="39"/>
      <c r="AA1018" s="39"/>
      <c r="AB1018" s="39"/>
    </row>
    <row r="1019">
      <c r="A1019" s="1"/>
      <c r="B1019" s="36"/>
      <c r="C1019" s="36"/>
      <c r="D1019" s="36"/>
      <c r="E1019" s="36"/>
      <c r="F1019" s="36"/>
      <c r="G1019" s="36"/>
      <c r="H1019" s="37"/>
      <c r="I1019" s="36"/>
      <c r="J1019" s="38"/>
      <c r="K1019" s="38"/>
      <c r="L1019" s="39"/>
      <c r="M1019" s="39"/>
      <c r="N1019" s="39"/>
      <c r="O1019" s="39"/>
      <c r="P1019" s="39"/>
      <c r="Q1019" s="39"/>
      <c r="R1019" s="39"/>
      <c r="S1019" s="39"/>
      <c r="T1019" s="39"/>
      <c r="U1019" s="39"/>
      <c r="V1019" s="39"/>
      <c r="W1019" s="39"/>
      <c r="X1019" s="39"/>
      <c r="Y1019" s="39"/>
      <c r="Z1019" s="39"/>
      <c r="AA1019" s="39"/>
      <c r="AB1019" s="39"/>
    </row>
    <row r="1020">
      <c r="A1020" s="1"/>
      <c r="B1020" s="36"/>
      <c r="C1020" s="36"/>
      <c r="D1020" s="36"/>
      <c r="E1020" s="36"/>
      <c r="F1020" s="36"/>
      <c r="G1020" s="36"/>
      <c r="H1020" s="37"/>
      <c r="I1020" s="36"/>
      <c r="J1020" s="38"/>
      <c r="K1020" s="38"/>
      <c r="L1020" s="39"/>
      <c r="M1020" s="39"/>
      <c r="N1020" s="39"/>
      <c r="O1020" s="39"/>
      <c r="P1020" s="39"/>
      <c r="Q1020" s="39"/>
      <c r="R1020" s="39"/>
      <c r="S1020" s="39"/>
      <c r="T1020" s="39"/>
      <c r="U1020" s="39"/>
      <c r="V1020" s="39"/>
      <c r="W1020" s="39"/>
      <c r="X1020" s="39"/>
      <c r="Y1020" s="39"/>
      <c r="Z1020" s="39"/>
      <c r="AA1020" s="39"/>
      <c r="AB1020" s="39"/>
    </row>
    <row r="1021">
      <c r="A1021" s="1"/>
      <c r="B1021" s="36"/>
      <c r="C1021" s="36"/>
      <c r="D1021" s="36"/>
      <c r="E1021" s="36"/>
      <c r="F1021" s="36"/>
      <c r="G1021" s="36"/>
      <c r="H1021" s="37"/>
      <c r="I1021" s="36"/>
      <c r="J1021" s="38"/>
      <c r="K1021" s="38"/>
      <c r="L1021" s="39"/>
      <c r="M1021" s="39"/>
      <c r="N1021" s="39"/>
      <c r="O1021" s="39"/>
      <c r="P1021" s="39"/>
      <c r="Q1021" s="39"/>
      <c r="R1021" s="39"/>
      <c r="S1021" s="39"/>
      <c r="T1021" s="39"/>
      <c r="U1021" s="39"/>
      <c r="V1021" s="39"/>
      <c r="W1021" s="39"/>
      <c r="X1021" s="39"/>
      <c r="Y1021" s="39"/>
      <c r="Z1021" s="39"/>
      <c r="AA1021" s="39"/>
      <c r="AB1021" s="39"/>
    </row>
    <row r="1022">
      <c r="A1022" s="1"/>
      <c r="B1022" s="36"/>
      <c r="C1022" s="36"/>
      <c r="D1022" s="36"/>
      <c r="E1022" s="36"/>
      <c r="F1022" s="36"/>
      <c r="G1022" s="36"/>
      <c r="H1022" s="37"/>
      <c r="I1022" s="36"/>
      <c r="J1022" s="38"/>
      <c r="K1022" s="38"/>
      <c r="L1022" s="39"/>
      <c r="M1022" s="39"/>
      <c r="N1022" s="39"/>
      <c r="O1022" s="39"/>
      <c r="P1022" s="39"/>
      <c r="Q1022" s="39"/>
      <c r="R1022" s="39"/>
      <c r="S1022" s="39"/>
      <c r="T1022" s="39"/>
      <c r="U1022" s="39"/>
      <c r="V1022" s="39"/>
      <c r="W1022" s="39"/>
      <c r="X1022" s="39"/>
      <c r="Y1022" s="39"/>
      <c r="Z1022" s="39"/>
      <c r="AA1022" s="39"/>
      <c r="AB1022" s="39"/>
    </row>
    <row r="1023">
      <c r="A1023" s="1"/>
      <c r="B1023" s="36"/>
      <c r="C1023" s="36"/>
      <c r="D1023" s="36"/>
      <c r="E1023" s="36"/>
      <c r="F1023" s="36"/>
      <c r="G1023" s="36"/>
      <c r="H1023" s="37"/>
      <c r="I1023" s="36"/>
      <c r="J1023" s="38"/>
      <c r="K1023" s="38"/>
      <c r="L1023" s="39"/>
      <c r="M1023" s="39"/>
      <c r="N1023" s="39"/>
      <c r="O1023" s="39"/>
      <c r="P1023" s="39"/>
      <c r="Q1023" s="39"/>
      <c r="R1023" s="39"/>
      <c r="S1023" s="39"/>
      <c r="T1023" s="39"/>
      <c r="U1023" s="39"/>
      <c r="V1023" s="39"/>
      <c r="W1023" s="39"/>
      <c r="X1023" s="39"/>
      <c r="Y1023" s="39"/>
      <c r="Z1023" s="39"/>
      <c r="AA1023" s="39"/>
      <c r="AB1023" s="39"/>
    </row>
    <row r="1024">
      <c r="A1024" s="1"/>
      <c r="B1024" s="36"/>
      <c r="C1024" s="36"/>
      <c r="D1024" s="36"/>
      <c r="E1024" s="36"/>
      <c r="F1024" s="36"/>
      <c r="G1024" s="36"/>
      <c r="H1024" s="37"/>
      <c r="I1024" s="36"/>
      <c r="J1024" s="38"/>
      <c r="K1024" s="38"/>
      <c r="L1024" s="39"/>
      <c r="M1024" s="39"/>
      <c r="N1024" s="39"/>
      <c r="O1024" s="39"/>
      <c r="P1024" s="39"/>
      <c r="Q1024" s="39"/>
      <c r="R1024" s="39"/>
      <c r="S1024" s="39"/>
      <c r="T1024" s="39"/>
      <c r="U1024" s="39"/>
      <c r="V1024" s="39"/>
      <c r="W1024" s="39"/>
      <c r="X1024" s="39"/>
      <c r="Y1024" s="39"/>
      <c r="Z1024" s="39"/>
      <c r="AA1024" s="39"/>
      <c r="AB1024" s="39"/>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5.43"/>
    <col customWidth="1" min="2" max="12" width="19.43"/>
  </cols>
  <sheetData>
    <row r="1">
      <c r="A1" s="1"/>
      <c r="B1" s="2"/>
      <c r="C1" s="1"/>
      <c r="D1" s="3" t="s">
        <v>0</v>
      </c>
      <c r="E1" s="1"/>
      <c r="F1" s="1"/>
      <c r="G1" s="1"/>
      <c r="H1" s="4"/>
      <c r="I1" s="1"/>
      <c r="J1" s="5"/>
      <c r="K1" s="5"/>
      <c r="L1" s="6"/>
      <c r="M1" s="6"/>
      <c r="N1" s="6"/>
      <c r="O1" s="6"/>
      <c r="P1" s="6"/>
      <c r="Q1" s="6"/>
      <c r="R1" s="6"/>
      <c r="S1" s="6"/>
      <c r="T1" s="6"/>
      <c r="U1" s="6"/>
      <c r="V1" s="6"/>
      <c r="W1" s="6"/>
      <c r="X1" s="6"/>
      <c r="Y1" s="6"/>
      <c r="Z1" s="6"/>
      <c r="AA1" s="6"/>
      <c r="AB1" s="6"/>
    </row>
    <row r="2">
      <c r="A2" s="1"/>
      <c r="B2" s="7"/>
      <c r="C2" s="1"/>
      <c r="D2" s="8" t="s">
        <v>1</v>
      </c>
      <c r="E2" s="1"/>
      <c r="F2" s="1"/>
      <c r="G2" s="1"/>
      <c r="H2" s="4"/>
      <c r="I2" s="1"/>
      <c r="J2" s="9" t="s">
        <v>2</v>
      </c>
      <c r="K2" s="5"/>
      <c r="L2" s="6"/>
      <c r="M2" s="6"/>
      <c r="N2" s="6"/>
      <c r="O2" s="6"/>
      <c r="P2" s="6"/>
      <c r="Q2" s="6"/>
      <c r="R2" s="6"/>
      <c r="S2" s="6"/>
      <c r="T2" s="6"/>
      <c r="U2" s="6"/>
      <c r="V2" s="6"/>
      <c r="W2" s="6"/>
      <c r="X2" s="6"/>
      <c r="Y2" s="6"/>
      <c r="Z2" s="6"/>
      <c r="AA2" s="6"/>
      <c r="AB2" s="6"/>
    </row>
    <row r="3">
      <c r="A3" s="1"/>
      <c r="B3" s="1"/>
      <c r="C3" s="1"/>
      <c r="D3" s="8" t="s">
        <v>3</v>
      </c>
      <c r="E3" s="1"/>
      <c r="F3" s="1"/>
      <c r="G3" s="1"/>
      <c r="H3" s="4"/>
      <c r="I3" s="1"/>
      <c r="J3" s="9" t="s">
        <v>4</v>
      </c>
      <c r="K3" s="5"/>
      <c r="L3" s="6"/>
      <c r="M3" s="6"/>
      <c r="N3" s="6"/>
      <c r="O3" s="6"/>
      <c r="P3" s="6"/>
      <c r="Q3" s="6"/>
      <c r="R3" s="6"/>
      <c r="S3" s="6"/>
      <c r="T3" s="6"/>
      <c r="U3" s="6"/>
      <c r="V3" s="6"/>
      <c r="W3" s="6"/>
      <c r="X3" s="6"/>
      <c r="Y3" s="6"/>
      <c r="Z3" s="6"/>
      <c r="AA3" s="6"/>
      <c r="AB3" s="6"/>
    </row>
    <row r="4">
      <c r="A4" s="1"/>
      <c r="B4" s="10"/>
      <c r="C4" s="10"/>
      <c r="D4" s="8" t="s">
        <v>5</v>
      </c>
      <c r="E4" s="11"/>
      <c r="F4" s="10"/>
      <c r="G4" s="11"/>
      <c r="H4" s="12"/>
      <c r="I4" s="1"/>
      <c r="J4" s="9"/>
      <c r="K4" s="5"/>
      <c r="L4" s="6"/>
      <c r="M4" s="6"/>
      <c r="N4" s="6"/>
      <c r="O4" s="6"/>
      <c r="P4" s="6"/>
      <c r="Q4" s="6"/>
      <c r="R4" s="6"/>
      <c r="S4" s="6"/>
      <c r="T4" s="6"/>
      <c r="U4" s="6"/>
      <c r="V4" s="6"/>
      <c r="W4" s="6"/>
      <c r="X4" s="6"/>
      <c r="Y4" s="6"/>
      <c r="Z4" s="6"/>
      <c r="AA4" s="6"/>
      <c r="AB4" s="6"/>
    </row>
    <row r="5">
      <c r="A5" s="1"/>
      <c r="B5" s="10"/>
      <c r="C5" s="13"/>
      <c r="D5" s="14" t="s">
        <v>6</v>
      </c>
      <c r="E5" s="15"/>
      <c r="F5" s="10"/>
      <c r="G5" s="11"/>
      <c r="H5" s="12"/>
      <c r="I5" s="1"/>
      <c r="J5" s="9" t="s">
        <v>7</v>
      </c>
      <c r="K5" s="5"/>
      <c r="L5" s="6"/>
      <c r="M5" s="6"/>
      <c r="N5" s="6"/>
      <c r="O5" s="6"/>
      <c r="P5" s="6"/>
      <c r="Q5" s="6"/>
      <c r="R5" s="6"/>
      <c r="S5" s="6"/>
      <c r="T5" s="6"/>
      <c r="U5" s="6"/>
      <c r="V5" s="6"/>
      <c r="W5" s="6"/>
      <c r="X5" s="6"/>
      <c r="Y5" s="6"/>
      <c r="Z5" s="6"/>
      <c r="AA5" s="6"/>
      <c r="AB5" s="6"/>
    </row>
    <row r="6">
      <c r="A6" s="1"/>
      <c r="B6" s="10"/>
      <c r="C6" s="10"/>
      <c r="D6" s="10"/>
      <c r="E6" s="11"/>
      <c r="F6" s="10"/>
      <c r="G6" s="11"/>
      <c r="H6" s="12"/>
      <c r="I6" s="1"/>
      <c r="J6" s="9"/>
      <c r="K6" s="5"/>
      <c r="L6" s="6"/>
      <c r="M6" s="6"/>
      <c r="N6" s="6"/>
      <c r="O6" s="6"/>
      <c r="P6" s="6"/>
      <c r="Q6" s="6"/>
      <c r="R6" s="6"/>
      <c r="S6" s="6"/>
      <c r="T6" s="6"/>
      <c r="U6" s="6"/>
      <c r="V6" s="6"/>
      <c r="W6" s="6"/>
      <c r="X6" s="6"/>
      <c r="Y6" s="6"/>
      <c r="Z6" s="6"/>
      <c r="AA6" s="6"/>
      <c r="AB6" s="6"/>
    </row>
    <row r="7">
      <c r="A7" s="16"/>
      <c r="B7" s="17"/>
      <c r="C7" s="17"/>
      <c r="D7" s="17"/>
      <c r="E7" s="17"/>
      <c r="F7" s="17"/>
      <c r="G7" s="17"/>
      <c r="H7" s="17"/>
      <c r="I7" s="1"/>
      <c r="J7" s="5"/>
      <c r="K7" s="5"/>
      <c r="L7" s="6"/>
      <c r="M7" s="6"/>
      <c r="N7" s="6"/>
      <c r="O7" s="6"/>
      <c r="P7" s="6"/>
      <c r="Q7" s="6"/>
      <c r="R7" s="6"/>
      <c r="S7" s="6"/>
      <c r="T7" s="6"/>
      <c r="U7" s="6"/>
      <c r="V7" s="6"/>
      <c r="W7" s="6"/>
      <c r="X7" s="6"/>
      <c r="Y7" s="6"/>
      <c r="Z7" s="6"/>
      <c r="AA7" s="6"/>
      <c r="AB7" s="6"/>
    </row>
    <row r="8">
      <c r="A8" s="7" t="s">
        <v>8</v>
      </c>
      <c r="B8" s="7" t="s">
        <v>9</v>
      </c>
      <c r="C8" s="7" t="s">
        <v>10</v>
      </c>
      <c r="D8" s="7" t="s">
        <v>11</v>
      </c>
      <c r="E8" s="7" t="s">
        <v>12</v>
      </c>
      <c r="F8" s="7" t="s">
        <v>13</v>
      </c>
      <c r="G8" s="7" t="s">
        <v>14</v>
      </c>
      <c r="H8" s="7" t="s">
        <v>15</v>
      </c>
      <c r="I8" s="7" t="s">
        <v>16</v>
      </c>
      <c r="J8" s="18" t="s">
        <v>17</v>
      </c>
      <c r="K8" s="18" t="s">
        <v>18</v>
      </c>
      <c r="L8" s="19" t="s">
        <v>19</v>
      </c>
      <c r="M8" s="20"/>
      <c r="N8" s="20"/>
      <c r="O8" s="20"/>
      <c r="P8" s="20"/>
      <c r="Q8" s="20"/>
      <c r="R8" s="20"/>
      <c r="S8" s="20"/>
      <c r="T8" s="20"/>
      <c r="U8" s="20"/>
      <c r="V8" s="20"/>
      <c r="W8" s="20"/>
      <c r="X8" s="20"/>
      <c r="Y8" s="20"/>
      <c r="Z8" s="20"/>
      <c r="AA8" s="20"/>
      <c r="AB8" s="20"/>
    </row>
    <row r="9">
      <c r="A9" s="21" t="s">
        <v>942</v>
      </c>
      <c r="B9" s="22" t="s">
        <v>943</v>
      </c>
      <c r="C9" s="23" t="str">
        <f>IFERROR(__xludf.DUMMYFUNCTION("GOOGLETRANSLATE(B9, ""en"", ""fr"")"),"Défense: Réduit la quantité de dommages que vous prenez. Augmentez vos points de défense en utilisant certains objets, potions et enchantatements de vêtements.")</f>
        <v>Défense: Réduit la quantité de dommages que vous prenez. Augmentez vos points de défense en utilisant certains objets, potions et enchantatements de vêtements.</v>
      </c>
      <c r="D9" s="23" t="str">
        <f>IFERROR(__xludf.DUMMYFUNCTION("GOOGLETRANSLATE(B9, ""en"", ""es"")"),"Defensa: reduce la cantidad de daño que toma. Aumente sus puntos de defensa utilizando ciertos artículos de ropa, pociones y encantamientos.")</f>
        <v>Defensa: reduce la cantidad de daño que toma. Aumente sus puntos de defensa utilizando ciertos artículos de ropa, pociones y encantamientos.</v>
      </c>
      <c r="E9" s="23" t="str">
        <f>IFERROR(__xludf.DUMMYFUNCTION("GOOGLETRANSLATE(B9, ""en"", ""ru"")"),"Защита: уменьшает количество урона, которое вы берете. Увеличьте свои очки защиты, используя определенные предметы, зелья и чары одежды.")</f>
        <v>Защита: уменьшает количество урона, которое вы берете. Увеличьте свои очки защиты, используя определенные предметы, зелья и чары одежды.</v>
      </c>
      <c r="F9" s="23" t="str">
        <f>IFERROR(__xludf.DUMMYFUNCTION("GOOGLETRANSLATE(B9, ""en"", ""tr"")"),"Savunma: Aldığınız hasar miktarını azaltır. Bazı giyim eşyaları, iksir ve büyüleri kullanarak savunma noktalarınızı artırın.")</f>
        <v>Savunma: Aldığınız hasar miktarını azaltır. Bazı giyim eşyaları, iksir ve büyüleri kullanarak savunma noktalarınızı artırın.</v>
      </c>
      <c r="G9" s="23" t="str">
        <f>IFERROR(__xludf.DUMMYFUNCTION("GOOGLETRANSLATE(B9, ""en"", ""pt"")"),"Defesa: reduz a quantidade de dano que você toma. Aumente seus pontos de defesa usando certos itens de vestuário, poções e encantamentos.")</f>
        <v>Defesa: reduz a quantidade de dano que você toma. Aumente seus pontos de defesa usando certos itens de vestuário, poções e encantamentos.</v>
      </c>
      <c r="H9" s="24" t="str">
        <f>IFERROR(__xludf.DUMMYFUNCTION("GOOGLETRANSLATE(B9, ""en"", ""de"")"),"Verteidigung: Reduziert die Menge an Schaden, die Sie annehmen. Erhöhen Sie Ihre Verteidigungspunkte, indem Sie bestimmte Kleidungsstücke, Tränke und Verzauberungen verwenden.")</f>
        <v>Verteidigung: Reduziert die Menge an Schaden, die Sie annehmen. Erhöhen Sie Ihre Verteidigungspunkte, indem Sie bestimmte Kleidungsstücke, Tränke und Verzauberungen verwenden.</v>
      </c>
      <c r="I9" s="23" t="str">
        <f>IFERROR(__xludf.DUMMYFUNCTION("GOOGLETRANSLATE(B9, ""en"", ""pl"")"),"Obrona: zmniejsza ilość obrażeń. Zwiększ punkty obrony, używając niektórych przedmiotów odzieżowych, mikstur i zaklęć.")</f>
        <v>Obrona: zmniejsza ilość obrażeń. Zwiększ punkty obrony, używając niektórych przedmiotów odzieżowych, mikstur i zaklęć.</v>
      </c>
      <c r="J9" s="25" t="str">
        <f>IFERROR(__xludf.DUMMYFUNCTION("GOOGLETRANSLATE(B9, ""en"", ""zh"")"),"防御：减少您采取的损害量。通过使用某些衣物，魔药和魅力增加您的防御点。")</f>
        <v>防御：减少您采取的损害量。通过使用某些衣物，魔药和魅力增加您的防御点。</v>
      </c>
      <c r="K9" s="25" t="str">
        <f>IFERROR(__xludf.DUMMYFUNCTION("GOOGLETRANSLATE(B9, ""en"", ""vi"")"),"Quốc phòng: Giảm số lượng thiệt hại bạn thực hiện. Tăng điểm phòng thủ của bạn bằng cách sử dụng một số mặt hàng quần áo, potions và bùa mê.")</f>
        <v>Quốc phòng: Giảm số lượng thiệt hại bạn thực hiện. Tăng điểm phòng thủ của bạn bằng cách sử dụng một số mặt hàng quần áo, potions và bùa mê.</v>
      </c>
      <c r="L9" s="26" t="str">
        <f>IFERROR(__xludf.DUMMYFUNCTION("GOOGLETRANSLATE(B9, ""en"", ""hr"")"),"Obrana: Smanjuje količinu štete koju poduzmete. Povećajte svoje obrambene točke pomoću određenih stavki odjeće, napitaka i čarolija.")</f>
        <v>Obrana: Smanjuje količinu štete koju poduzmete. Povećajte svoje obrambene točke pomoću određenih stavki odjeće, napitaka i čarolija.</v>
      </c>
      <c r="M9" s="27"/>
      <c r="N9" s="28"/>
      <c r="O9" s="28"/>
      <c r="P9" s="28"/>
      <c r="Q9" s="28"/>
      <c r="R9" s="28"/>
      <c r="S9" s="28"/>
      <c r="T9" s="28"/>
      <c r="U9" s="28"/>
      <c r="V9" s="28"/>
      <c r="W9" s="28"/>
      <c r="X9" s="28"/>
      <c r="Y9" s="28"/>
      <c r="Z9" s="28"/>
      <c r="AA9" s="28"/>
      <c r="AB9" s="28"/>
    </row>
    <row r="10">
      <c r="A10" s="21" t="s">
        <v>944</v>
      </c>
      <c r="B10" s="22" t="s">
        <v>945</v>
      </c>
      <c r="C10" s="23" t="str">
        <f>IFERROR(__xludf.DUMMYFUNCTION("GOOGLETRANSLATE(B10, ""en"", ""fr"")"),"Hitpoints: combien de dégâts vous pouvez prendre avant de mourir. Récupérez les points de vie plus rapidement en utilisant certaines potions et certaines sorts.")</f>
        <v>Hitpoints: combien de dégâts vous pouvez prendre avant de mourir. Récupérez les points de vie plus rapidement en utilisant certaines potions et certaines sorts.</v>
      </c>
      <c r="D10" s="23" t="str">
        <f>IFERROR(__xludf.DUMMYFUNCTION("GOOGLETRANSLATE(B10, ""en"", ""es"")"),"Hitpoints: cuánto daño puedes tomar antes de morir. Recupere los puntos de golpe más rápido usando ciertos pociones y hechizos.")</f>
        <v>Hitpoints: cuánto daño puedes tomar antes de morir. Recupere los puntos de golpe más rápido usando ciertos pociones y hechizos.</v>
      </c>
      <c r="E10" s="23" t="str">
        <f>IFERROR(__xludf.DUMMYFUNCTION("GOOGLETRANSLATE(B10, ""en"", ""ru"")"),"HiTPoints: Сколько урона вы можете занять, прежде чем умирать. Восстановить HiTPoints быстрее, используя определенные зелья и заклинания.")</f>
        <v>HiTPoints: Сколько урона вы можете занять, прежде чем умирать. Восстановить HiTPoints быстрее, используя определенные зелья и заклинания.</v>
      </c>
      <c r="F10" s="23" t="str">
        <f>IFERROR(__xludf.DUMMYFUNCTION("GOOGLETRANSLATE(B10, ""en"", ""tr"")"),"Hitpoints: Ölmeden önce ne kadar zarar alabilirsiniz. Bazı iksirleri ve büyüleri kullanarak hitportları daha hızlı kurtarın.")</f>
        <v>Hitpoints: Ölmeden önce ne kadar zarar alabilirsiniz. Bazı iksirleri ve büyüleri kullanarak hitportları daha hızlı kurtarın.</v>
      </c>
      <c r="G10" s="23" t="str">
        <f>IFERROR(__xludf.DUMMYFUNCTION("GOOGLETRANSLATE(B10, ""en"", ""pt"")"),"HITPOINTS: Quanto dano você pode tomar antes de morrer. Recupere Hitpoints mais rápido usando certas poções e feitiços.")</f>
        <v>HITPOINTS: Quanto dano você pode tomar antes de morrer. Recupere Hitpoints mais rápido usando certas poções e feitiços.</v>
      </c>
      <c r="H10" s="24" t="str">
        <f>IFERROR(__xludf.DUMMYFUNCTION("GOOGLETRANSLATE(B10, ""en"", ""de"")"),"Hitpoints: Wie viel Schaden können Sie, bevor Sie sterben können. Wiederherstellen von HITPOINTs schneller, indem Sie bestimmte Tränke und Zauber verwenden.")</f>
        <v>Hitpoints: Wie viel Schaden können Sie, bevor Sie sterben können. Wiederherstellen von HITPOINTs schneller, indem Sie bestimmte Tränke und Zauber verwenden.</v>
      </c>
      <c r="I10" s="23" t="str">
        <f>IFERROR(__xludf.DUMMYFUNCTION("GOOGLETRANSLATE(B10, ""en"", ""pl"")"),"Hitpoints: Ile szkód możesz wziąć przed śmiercią. Odzyskaj punkty Hit szybciej, używając określonych mikstur i zaklęć.")</f>
        <v>Hitpoints: Ile szkód możesz wziąć przed śmiercią. Odzyskaj punkty Hit szybciej, używając określonych mikstur i zaklęć.</v>
      </c>
      <c r="J10" s="25" t="str">
        <f>IFERROR(__xludf.DUMMYFUNCTION("GOOGLETRANSLATE(B10, ""en"", ""zh"")"),"杀点：在你死之前可以伤害多少伤害。通过使用某些药物和法术恢复Hitpoints。")</f>
        <v>杀点：在你死之前可以伤害多少伤害。通过使用某些药物和法术恢复Hitpoints。</v>
      </c>
      <c r="K10" s="25" t="str">
        <f>IFERROR(__xludf.DUMMYFUNCTION("GOOGLETRANSLATE(B10, ""en"", ""vi"")"),"Điểm nhấn: Bạn có thể mất bao nhiêu thiệt hại trước khi chết. Khôi phục điểm nhấn nhanh hơn bằng cách sử dụng một số thuốc và phép thuật nhất định.")</f>
        <v>Điểm nhấn: Bạn có thể mất bao nhiêu thiệt hại trước khi chết. Khôi phục điểm nhấn nhanh hơn bằng cách sử dụng một số thuốc và phép thuật nhất định.</v>
      </c>
      <c r="L10" s="26" t="str">
        <f>IFERROR(__xludf.DUMMYFUNCTION("GOOGLETRANSLATE(B10, ""en"", ""hr"")"),"Hitpoints: koliko štete možete uzeti prije nego umrete. Obnovite hitpoints brže pomoću određenih napitaka i čarolija.")</f>
        <v>Hitpoints: koliko štete možete uzeti prije nego umrete. Obnovite hitpoints brže pomoću određenih napitaka i čarolija.</v>
      </c>
      <c r="M10" s="27"/>
      <c r="N10" s="28"/>
      <c r="O10" s="28"/>
      <c r="P10" s="28"/>
      <c r="Q10" s="28"/>
      <c r="R10" s="28"/>
      <c r="S10" s="28"/>
      <c r="T10" s="28"/>
      <c r="U10" s="28"/>
      <c r="V10" s="28"/>
      <c r="W10" s="28"/>
      <c r="X10" s="28"/>
      <c r="Y10" s="28"/>
      <c r="Z10" s="28"/>
      <c r="AA10" s="28"/>
      <c r="AB10" s="28"/>
    </row>
    <row r="11">
      <c r="A11" s="21" t="s">
        <v>946</v>
      </c>
      <c r="B11" s="22" t="s">
        <v>947</v>
      </c>
      <c r="C11" s="23" t="str">
        <f>IFERROR(__xludf.DUMMYFUNCTION("GOOGLETRANSLATE(B11, ""en"", ""fr"")"),"Énergie: utilisé pour faire la plupart des actions. Régénère lentement. Récupérer l'énergie plus rapidement en buvant des potions d'énergie.")</f>
        <v>Énergie: utilisé pour faire la plupart des actions. Régénère lentement. Récupérer l'énergie plus rapidement en buvant des potions d'énergie.</v>
      </c>
      <c r="D11" s="23" t="str">
        <f>IFERROR(__xludf.DUMMYFUNCTION("GOOGLETRANSLATE(B11, ""en"", ""es"")"),"Energía: solía hacer la mayoría de las acciones. Se regenera lentamente. Recuperar energía más rápido al beber pociones de energía.")</f>
        <v>Energía: solía hacer la mayoría de las acciones. Se regenera lentamente. Recuperar energía más rápido al beber pociones de energía.</v>
      </c>
      <c r="E11" s="23" t="str">
        <f>IFERROR(__xludf.DUMMYFUNCTION("GOOGLETRANSLATE(B11, ""en"", ""ru"")"),"Энергия: Используется для большинства действий. Медленно регенерирует. Восстановить энергию быстрее, выпивая энергию зелья.")</f>
        <v>Энергия: Используется для большинства действий. Медленно регенерирует. Восстановить энергию быстрее, выпивая энергию зелья.</v>
      </c>
      <c r="F11" s="23" t="str">
        <f>IFERROR(__xludf.DUMMYFUNCTION("GOOGLETRANSLATE(B11, ""en"", ""tr"")"),"Enerji: Çoğu eylemi yapmak için kullanılır. Yavaşça yenilenir. Enerji iksirleri içtikten daha hızlı enerjiyi kurtarın.")</f>
        <v>Enerji: Çoğu eylemi yapmak için kullanılır. Yavaşça yenilenir. Enerji iksirleri içtikten daha hızlı enerjiyi kurtarın.</v>
      </c>
      <c r="G11" s="23" t="str">
        <f>IFERROR(__xludf.DUMMYFUNCTION("GOOGLETRANSLATE(B11, ""en"", ""pt"")"),"Energia: usada para fazer a maioria das ações. Regenera lentamente. Recuperar energia mais rápido bebendo poções de energia.")</f>
        <v>Energia: usada para fazer a maioria das ações. Regenera lentamente. Recuperar energia mais rápido bebendo poções de energia.</v>
      </c>
      <c r="H11" s="24" t="str">
        <f>IFERROR(__xludf.DUMMYFUNCTION("GOOGLETRANSLATE(B11, ""en"", ""de"")"),"Energie: Wird verwendet, um die meisten Aktionen durchzuführen. Langsam regeneriert. Erholen Sie die Energie schneller, indem Sie Energietränke trinken.")</f>
        <v>Energie: Wird verwendet, um die meisten Aktionen durchzuführen. Langsam regeneriert. Erholen Sie die Energie schneller, indem Sie Energietränke trinken.</v>
      </c>
      <c r="I11" s="23" t="str">
        <f>IFERROR(__xludf.DUMMYFUNCTION("GOOGLETRANSLATE(B11, ""en"", ""pl"")"),"Energia: używana do wykonania większości działań. Powoli regeneruje. Szybciej odzyskać energię poprzez picie mikstur energetycznych.")</f>
        <v>Energia: używana do wykonania większości działań. Powoli regeneruje. Szybciej odzyskać energię poprzez picie mikstur energetycznych.</v>
      </c>
      <c r="J11" s="25" t="str">
        <f>IFERROR(__xludf.DUMMYFUNCTION("GOOGLETRANSLATE(B11, ""en"", ""zh"")"),"能量：曾经做过大多数行动。慢慢再生。通过饮用能量药水更快地恢复能量。")</f>
        <v>能量：曾经做过大多数行动。慢慢再生。通过饮用能量药水更快地恢复能量。</v>
      </c>
      <c r="K11" s="25" t="str">
        <f>IFERROR(__xludf.DUMMYFUNCTION("GOOGLETRANSLATE(B11, ""en"", ""vi"")"),"Năng lượng: Được sử dụng để thực hiện hầu hết các hành động. Từ từ tái sinh. Phục hồi năng lượng nhanh hơn bằng cách uống năng lượng năng lượng.")</f>
        <v>Năng lượng: Được sử dụng để thực hiện hầu hết các hành động. Từ từ tái sinh. Phục hồi năng lượng nhanh hơn bằng cách uống năng lượng năng lượng.</v>
      </c>
      <c r="L11" s="26" t="str">
        <f>IFERROR(__xludf.DUMMYFUNCTION("GOOGLETRANSLATE(B11, ""en"", ""hr"")"),"Energija: koristi se za većinu radnji. Polako regenerira. Oporaviti energiju brže pitkom energetske napitaka.")</f>
        <v>Energija: koristi se za većinu radnji. Polako regenerira. Oporaviti energiju brže pitkom energetske napitaka.</v>
      </c>
      <c r="M11" s="27"/>
      <c r="N11" s="28"/>
      <c r="O11" s="28"/>
      <c r="P11" s="28"/>
      <c r="Q11" s="28"/>
      <c r="R11" s="28"/>
      <c r="S11" s="28"/>
      <c r="T11" s="28"/>
      <c r="U11" s="28"/>
      <c r="V11" s="28"/>
      <c r="W11" s="28"/>
      <c r="X11" s="28"/>
      <c r="Y11" s="28"/>
      <c r="Z11" s="28"/>
      <c r="AA11" s="28"/>
      <c r="AB11" s="28"/>
    </row>
    <row r="12">
      <c r="A12" s="21" t="s">
        <v>948</v>
      </c>
      <c r="B12" s="22" t="s">
        <v>949</v>
      </c>
      <c r="C12" s="23" t="str">
        <f>IFERROR(__xludf.DUMMYFUNCTION("GOOGLETRANSLATE(B12, ""en"", ""fr"")"),"Combat: Vous perdrez vos articles si vous fermez le jeu en combat.")</f>
        <v>Combat: Vous perdrez vos articles si vous fermez le jeu en combat.</v>
      </c>
      <c r="D12" s="23" t="str">
        <f>IFERROR(__xludf.DUMMYFUNCTION("GOOGLETRANSLATE(B12, ""en"", ""es"")"),"Combat: perderás tus artículos si cierras el juego mientras estás en combate.")</f>
        <v>Combat: perderás tus artículos si cierras el juego mientras estás en combate.</v>
      </c>
      <c r="E12" s="23" t="str">
        <f>IFERROR(__xludf.DUMMYFUNCTION("GOOGLETRANSLATE(B12, ""en"", ""ru"")"),"Бой: Вы потеряете свои товары, если вы закрываете игру во время боя.")</f>
        <v>Бой: Вы потеряете свои товары, если вы закрываете игру во время боя.</v>
      </c>
      <c r="F12" s="23" t="str">
        <f>IFERROR(__xludf.DUMMYFUNCTION("GOOGLETRANSLATE(B12, ""en"", ""tr"")"),"Savaş: Eğer mücadeledeyken oyunu kapatırsanız eşyalarınızı kaybedersiniz.")</f>
        <v>Savaş: Eğer mücadeledeyken oyunu kapatırsanız eşyalarınızı kaybedersiniz.</v>
      </c>
      <c r="G12" s="23" t="str">
        <f>IFERROR(__xludf.DUMMYFUNCTION("GOOGLETRANSLATE(B12, ""en"", ""pt"")"),"Combate: Você perderá seus itens se você fechar o jogo enquanto estiver em combate.")</f>
        <v>Combate: Você perderá seus itens se você fechar o jogo enquanto estiver em combate.</v>
      </c>
      <c r="H12" s="24" t="str">
        <f>IFERROR(__xludf.DUMMYFUNCTION("GOOGLETRANSLATE(B12, ""en"", ""de"")"),"Kampf: Sie verlieren Ihre Artikel, wenn Sie das Spiel während des Kampfes schließen.")</f>
        <v>Kampf: Sie verlieren Ihre Artikel, wenn Sie das Spiel während des Kampfes schließen.</v>
      </c>
      <c r="I12" s="23" t="str">
        <f>IFERROR(__xludf.DUMMYFUNCTION("GOOGLETRANSLATE(B12, ""en"", ""pl"")"),"Walka: stracisz swoje przedmioty, jeśli zamkniesz grę podczas walki.")</f>
        <v>Walka: stracisz swoje przedmioty, jeśli zamkniesz grę podczas walki.</v>
      </c>
      <c r="J12" s="25" t="str">
        <f>IFERROR(__xludf.DUMMYFUNCTION("GOOGLETRANSLATE(B12, ""en"", ""zh"")"),"战斗：如果在战斗中关闭游戏，您将丢失您的物品。")</f>
        <v>战斗：如果在战斗中关闭游戏，您将丢失您的物品。</v>
      </c>
      <c r="K12" s="25" t="str">
        <f>IFERROR(__xludf.DUMMYFUNCTION("GOOGLETRANSLATE(B12, ""en"", ""vi"")"),"Chiến đấu: Bạn sẽ mất các mặt hàng của mình nếu bạn đóng trò chơi trong khi chiến đấu.")</f>
        <v>Chiến đấu: Bạn sẽ mất các mặt hàng của mình nếu bạn đóng trò chơi trong khi chiến đấu.</v>
      </c>
      <c r="L12" s="26" t="str">
        <f>IFERROR(__xludf.DUMMYFUNCTION("GOOGLETRANSLATE(B12, ""en"", ""hr"")"),"Borba: izgubit ćete stavke ako zatvorite igru ​​dok ste u borbi.")</f>
        <v>Borba: izgubit ćete stavke ako zatvorite igru ​​dok ste u borbi.</v>
      </c>
      <c r="M12" s="28"/>
      <c r="N12" s="28"/>
      <c r="O12" s="28"/>
      <c r="P12" s="28"/>
      <c r="Q12" s="28"/>
      <c r="R12" s="28"/>
      <c r="S12" s="28"/>
      <c r="T12" s="28"/>
      <c r="U12" s="28"/>
      <c r="V12" s="28"/>
      <c r="W12" s="28"/>
      <c r="X12" s="28"/>
      <c r="Y12" s="28"/>
      <c r="Z12" s="28"/>
      <c r="AA12" s="28"/>
      <c r="AB12" s="28"/>
    </row>
    <row r="13">
      <c r="A13" s="21" t="s">
        <v>950</v>
      </c>
      <c r="B13" s="22" t="s">
        <v>951</v>
      </c>
      <c r="C13" s="23" t="str">
        <f>IFERROR(__xludf.DUMMYFUNCTION("GOOGLETRANSLATE(B13, ""en"", ""fr"")"),"Glory: Votre score, utilisé pour entrer des donjons plus difficiles. Vous obtenez une gloire de faire la plupart des choses, telles que compléter des quêtes, tuer des monstres et d'autres joueurs, rassembler, créer des donjons.")</f>
        <v>Glory: Votre score, utilisé pour entrer des donjons plus difficiles. Vous obtenez une gloire de faire la plupart des choses, telles que compléter des quêtes, tuer des monstres et d'autres joueurs, rassembler, créer des donjons.</v>
      </c>
      <c r="D13" s="23" t="str">
        <f>IFERROR(__xludf.DUMMYFUNCTION("GOOGLETRANSLATE(B13, ""en"", ""es"")"),"Gloria: Tu puntuación, solía entrar en mazmorras más difíciles. Obtienes gloria de hacer la mayoría de las cosas, como completar misiones, matar a los monstruos y otros jugadores, reunir, hacer la elaboración y limpiar las mazmorras.")</f>
        <v>Gloria: Tu puntuación, solía entrar en mazmorras más difíciles. Obtienes gloria de hacer la mayoría de las cosas, como completar misiones, matar a los monstruos y otros jugadores, reunir, hacer la elaboración y limpiar las mazmorras.</v>
      </c>
      <c r="E13" s="23" t="str">
        <f>IFERROR(__xludf.DUMMYFUNCTION("GOOGLETRANSLATE(B13, ""en"", ""ru"")"),"Слава: Ваш счет, используемый для входа в более тяжелые подземелья. Вы становитесь славы, которые делают большинство вещей, такие как завершение квестов, убийства монстров и других игроков, собрание, крафта и очистки подземелья.")</f>
        <v>Слава: Ваш счет, используемый для входа в более тяжелые подземелья. Вы становитесь славы, которые делают большинство вещей, такие как завершение квестов, убийства монстров и других игроков, собрание, крафта и очистки подземелья.</v>
      </c>
      <c r="F13" s="23" t="str">
        <f>IFERROR(__xludf.DUMMYFUNCTION("GOOGLETRANSLATE(B13, ""en"", ""tr"")"),"Glory: Puanınız, daha sert zindanlara girmek için kullanılır. Görevleri tamamlamak, canavarları ve diğer oyuncuları öldürmek, toplama, işçiliği ve temizleme gibi şeyleri tamamlamak gibi birçok şeyi yapmaktan zafer elde edersiniz.")</f>
        <v>Glory: Puanınız, daha sert zindanlara girmek için kullanılır. Görevleri tamamlamak, canavarları ve diğer oyuncuları öldürmek, toplama, işçiliği ve temizleme gibi şeyleri tamamlamak gibi birçok şeyi yapmaktan zafer elde edersiniz.</v>
      </c>
      <c r="G13" s="23" t="str">
        <f>IFERROR(__xludf.DUMMYFUNCTION("GOOGLETRANSLATE(B13, ""en"", ""pt"")"),"Glória: Sua pontuação, costumava entrar masmorras mais difíceis. Você tem glória de fazer a maioria das coisas, como completar missões, matando monstros e outros jogadores, reunindo, elaborando e limpando masmorras.")</f>
        <v>Glória: Sua pontuação, costumava entrar masmorras mais difíceis. Você tem glória de fazer a maioria das coisas, como completar missões, matando monstros e outros jogadores, reunindo, elaborando e limpando masmorras.</v>
      </c>
      <c r="H13" s="24" t="str">
        <f>IFERROR(__xludf.DUMMYFUNCTION("GOOGLETRANSLATE(B13, ""en"", ""de"")"),"Ruhm: Ihre Punktzahl, verwendet, um härtere Dungeons einzugeben. Sie werden von Ehre, dass Sie die meisten Dinge tun, wie zum Beispiel Quests, die Monster und andere Spieler töten, töten, zusammenfassen, basteln und dungeonieren.")</f>
        <v>Ruhm: Ihre Punktzahl, verwendet, um härtere Dungeons einzugeben. Sie werden von Ehre, dass Sie die meisten Dinge tun, wie zum Beispiel Quests, die Monster und andere Spieler töten, töten, zusammenfassen, basteln und dungeonieren.</v>
      </c>
      <c r="I13" s="23" t="str">
        <f>IFERROR(__xludf.DUMMYFUNCTION("GOOGLETRANSLATE(B13, ""en"", ""pl"")"),"Glory: Twój wynik, używany do wejścia do trudniejszych lochów. Dostajesz chwałę z większości rzeczy, takich jak zakończenie zadań, zabijanie potworów i innych graczy, gromadzenie, rzemieślniczych i rozliczających lochy.")</f>
        <v>Glory: Twój wynik, używany do wejścia do trudniejszych lochów. Dostajesz chwałę z większości rzeczy, takich jak zakończenie zadań, zabijanie potworów i innych graczy, gromadzenie, rzemieślniczych i rozliczających lochy.</v>
      </c>
      <c r="J13" s="25" t="str">
        <f>IFERROR(__xludf.DUMMYFUNCTION("GOOGLETRANSLATE(B13, ""en"", ""zh"")"),"荣耀：你的分数，曾经进入更加努力的地下城。您可以从做大多数事情中获得荣耀，例如完成任务，杀死怪物和其他玩家，收集，制作和清除地下城。")</f>
        <v>荣耀：你的分数，曾经进入更加努力的地下城。您可以从做大多数事情中获得荣耀，例如完成任务，杀死怪物和其他玩家，收集，制作和清除地下城。</v>
      </c>
      <c r="K13" s="25" t="str">
        <f>IFERROR(__xludf.DUMMYFUNCTION("GOOGLETRANSLATE(B13, ""en"", ""vi"")"),"Vinh quang: Điểm của bạn, được sử dụng để vào ngục tối khó hơn. Bạn có được vinh quang từ việc làm hầu hết mọi thứ, chẳng hạn như hoàn thành các nhiệm vụ, giết quái vật và những người chơi khác, tập hợp, chế tạo và dọn sạch ngục tối.")</f>
        <v>Vinh quang: Điểm của bạn, được sử dụng để vào ngục tối khó hơn. Bạn có được vinh quang từ việc làm hầu hết mọi thứ, chẳng hạn như hoàn thành các nhiệm vụ, giết quái vật và những người chơi khác, tập hợp, chế tạo và dọn sạch ngục tối.</v>
      </c>
      <c r="L13" s="26" t="str">
        <f>IFERROR(__xludf.DUMMYFUNCTION("GOOGLETRANSLATE(B13, ""en"", ""hr"")"),"Slava: Vaš rezultat, koristi se za unos teških tamnica. Dobivate slavu od većine stvari, kao što su dovršavajući zadatke, ubijanje čudovišta i drugih igrača, okupljanje, izradu i čišćenje tamnica.")</f>
        <v>Slava: Vaš rezultat, koristi se za unos teških tamnica. Dobivate slavu od većine stvari, kao što su dovršavajući zadatke, ubijanje čudovišta i drugih igrača, okupljanje, izradu i čišćenje tamnica.</v>
      </c>
      <c r="M13" s="28"/>
      <c r="N13" s="28"/>
      <c r="O13" s="28"/>
      <c r="P13" s="28"/>
      <c r="Q13" s="28"/>
      <c r="R13" s="28"/>
      <c r="S13" s="28"/>
      <c r="T13" s="28"/>
      <c r="U13" s="28"/>
      <c r="V13" s="28"/>
      <c r="W13" s="28"/>
      <c r="X13" s="28"/>
      <c r="Y13" s="28"/>
      <c r="Z13" s="28"/>
      <c r="AA13" s="28"/>
      <c r="AB13" s="28"/>
    </row>
    <row r="14">
      <c r="A14" s="21" t="s">
        <v>952</v>
      </c>
      <c r="B14" s="22" t="s">
        <v>953</v>
      </c>
      <c r="C14" s="23" t="str">
        <f>IFERROR(__xludf.DUMMYFUNCTION("GOOGLETRANSLATE(B14, ""en"", ""fr"")"),"Mêlée")</f>
        <v>Mêlée</v>
      </c>
      <c r="D14" s="23" t="str">
        <f>IFERROR(__xludf.DUMMYFUNCTION("GOOGLETRANSLATE(B14, ""en"", ""es"")"),"Pelea confusa")</f>
        <v>Pelea confusa</v>
      </c>
      <c r="E14" s="23" t="str">
        <f>IFERROR(__xludf.DUMMYFUNCTION("GOOGLETRANSLATE(B14, ""en"", ""ru"")"),"Борьба")</f>
        <v>Борьба</v>
      </c>
      <c r="F14" s="23" t="str">
        <f>IFERROR(__xludf.DUMMYFUNCTION("GOOGLETRANSLATE(B14, ""en"", ""tr"")"),"Yakın dövüş")</f>
        <v>Yakın dövüş</v>
      </c>
      <c r="G14" s="23" t="str">
        <f>IFERROR(__xludf.DUMMYFUNCTION("GOOGLETRANSLATE(B14, ""en"", ""pt"")"),"Melee.")</f>
        <v>Melee.</v>
      </c>
      <c r="H14" s="24" t="str">
        <f>IFERROR(__xludf.DUMMYFUNCTION("GOOGLETRANSLATE(B14, ""en"", ""de"")"),"Nahkampf")</f>
        <v>Nahkampf</v>
      </c>
      <c r="I14" s="23" t="str">
        <f>IFERROR(__xludf.DUMMYFUNCTION("GOOGLETRANSLATE(B14, ""en"", ""pl"")"),"Bijatyka")</f>
        <v>Bijatyka</v>
      </c>
      <c r="J14" s="25" t="str">
        <f>IFERROR(__xludf.DUMMYFUNCTION("GOOGLETRANSLATE(B14, ""en"", ""zh"")"),"近战")</f>
        <v>近战</v>
      </c>
      <c r="K14" s="25" t="str">
        <f>IFERROR(__xludf.DUMMYFUNCTION("GOOGLETRANSLATE(B14, ""en"", ""vi"")"),"Melee.")</f>
        <v>Melee.</v>
      </c>
      <c r="L14" s="26" t="str">
        <f>IFERROR(__xludf.DUMMYFUNCTION("GOOGLETRANSLATE(B14, ""en"", ""hr"")"),"Gužva")</f>
        <v>Gužva</v>
      </c>
      <c r="M14" s="28"/>
      <c r="N14" s="28"/>
      <c r="O14" s="28"/>
      <c r="P14" s="28"/>
      <c r="Q14" s="28"/>
      <c r="R14" s="28"/>
      <c r="S14" s="28"/>
      <c r="T14" s="28"/>
      <c r="U14" s="28"/>
      <c r="V14" s="28"/>
      <c r="W14" s="28"/>
      <c r="X14" s="28"/>
      <c r="Y14" s="28"/>
      <c r="Z14" s="28"/>
      <c r="AA14" s="28"/>
      <c r="AB14" s="28"/>
    </row>
    <row r="15">
      <c r="A15" s="21" t="s">
        <v>954</v>
      </c>
      <c r="B15" s="22" t="s">
        <v>955</v>
      </c>
      <c r="C15" s="23" t="str">
        <f>IFERROR(__xludf.DUMMYFUNCTION("GOOGLETRANSLATE(B15, ""en"", ""fr"")"),"Votre efficacité avec des armes de mêlée. Réduit la quantité d'armes de mêlée de la durabilité perdant lorsqu'elle est utilisée. Améliorer en utilisant des armes de fermeture de fermeture telles que les épées, les dagues et les marteaux.")</f>
        <v>Votre efficacité avec des armes de mêlée. Réduit la quantité d'armes de mêlée de la durabilité perdant lorsqu'elle est utilisée. Améliorer en utilisant des armes de fermeture de fermeture telles que les épées, les dagues et les marteaux.</v>
      </c>
      <c r="D15" s="23" t="str">
        <f>IFERROR(__xludf.DUMMYFUNCTION("GOOGLETRANSLATE(B15, ""en"", ""es"")"),"Tu efectividad con las armas cuerpo a cuerpo. Reduce cuánta durabilidad pierden las armas cuerpo a cuerpo cuando se usa. Mejorar el uso de armas de alto rango, como espadas, dagas y martillos.")</f>
        <v>Tu efectividad con las armas cuerpo a cuerpo. Reduce cuánta durabilidad pierden las armas cuerpo a cuerpo cuando se usa. Mejorar el uso de armas de alto rango, como espadas, dagas y martillos.</v>
      </c>
      <c r="E15" s="23" t="str">
        <f>IFERROR(__xludf.DUMMYFUNCTION("GOOGLETRANSLATE(B15, ""en"", ""ru"")"),"Ваша эффективность с бою оружием. Уменьшает, сколько прочности в ближнем бою проигрывают оружие при использовании. Улучшение, используя оружию близкого расстояния, такого как мечи, кинжалы и молотки.")</f>
        <v>Ваша эффективность с бою оружием. Уменьшает, сколько прочности в ближнем бою проигрывают оружие при использовании. Улучшение, используя оружию близкого расстояния, такого как мечи, кинжалы и молотки.</v>
      </c>
      <c r="F15" s="23" t="str">
        <f>IFERROR(__xludf.DUMMYFUNCTION("GOOGLETRANSLATE(B15, ""en"", ""tr"")"),"Yakın dövüş silahlarıyla etkinliğiniz. Kullanıldığında ne kadar dayanıklılık yakınlık silahlarını kaybeder. Kılıç, hançerler ve çekiçler gibi yakın mesafelerden yararlanarak iyileştirin.")</f>
        <v>Yakın dövüş silahlarıyla etkinliğiniz. Kullanıldığında ne kadar dayanıklılık yakınlık silahlarını kaybeder. Kılıç, hançerler ve çekiçler gibi yakın mesafelerden yararlanarak iyileştirin.</v>
      </c>
      <c r="G15" s="23" t="str">
        <f>IFERROR(__xludf.DUMMYFUNCTION("GOOGLETRANSLATE(B15, ""en"", ""pt"")"),"Sua eficácia com armas corpo a corpo. Reduz quantas armas de durabilidade corpo a corpo perdem quando usadas. Melhorar usando armas de figuras, como espadas, adagas e martelos.")</f>
        <v>Sua eficácia com armas corpo a corpo. Reduz quantas armas de durabilidade corpo a corpo perdem quando usadas. Melhorar usando armas de figuras, como espadas, adagas e martelos.</v>
      </c>
      <c r="H15" s="24" t="str">
        <f>IFERROR(__xludf.DUMMYFUNCTION("GOOGLETRANSLATE(B15, ""en"", ""de"")"),"Ihre Effektivität mit Nahkampfwaffen. Reduziert, wie viel Haltbarkeits-Nahkampfwaffen verlieren, wenn sie verwendet werden. Verbessern Sie mit der Verwendung von Nahwaffenwaffen wie Schwertern, Dolchen und Hämmern.")</f>
        <v>Ihre Effektivität mit Nahkampfwaffen. Reduziert, wie viel Haltbarkeits-Nahkampfwaffen verlieren, wenn sie verwendet werden. Verbessern Sie mit der Verwendung von Nahwaffenwaffen wie Schwertern, Dolchen und Hämmern.</v>
      </c>
      <c r="I15" s="23" t="str">
        <f>IFERROR(__xludf.DUMMYFUNCTION("GOOGLETRANSLATE(B15, ""en"", ""pl"")"),"Twoja skuteczność z bronią wręcz. Zmniejsza, jak bardzo trwałość broni wręczającej, gdy jest używany. Ulepszyć za pomocą broni blisko zasięgu, takich jak miecze, sztylety i młoty.")</f>
        <v>Twoja skuteczność z bronią wręcz. Zmniejsza, jak bardzo trwałość broni wręczającej, gdy jest używany. Ulepszyć za pomocą broni blisko zasięgu, takich jak miecze, sztylety i młoty.</v>
      </c>
      <c r="J15" s="25" t="str">
        <f>IFERROR(__xludf.DUMMYFUNCTION("GOOGLETRANSLATE(B15, ""en"", ""zh"")"),"您与近战武器的有效性。减少了耐用的近战武器在使用时失效。通过使用剑，匕首和锤子等近距离武器来改善。")</f>
        <v>您与近战武器的有效性。减少了耐用的近战武器在使用时失效。通过使用剑，匕首和锤子等近距离武器来改善。</v>
      </c>
      <c r="K15" s="25" t="str">
        <f>IFERROR(__xludf.DUMMYFUNCTION("GOOGLETRANSLATE(B15, ""en"", ""vi"")"),"Hiệu quả của bạn với vũ khí cận chiến. Giảm bao nhiêu vũ khí cận chiến độ bền mất khi sử dụng. Cải thiện bằng cách sử dụng vũ khí tầm xa như kiếm, dao găm và búa.")</f>
        <v>Hiệu quả của bạn với vũ khí cận chiến. Giảm bao nhiêu vũ khí cận chiến độ bền mất khi sử dụng. Cải thiện bằng cách sử dụng vũ khí tầm xa như kiếm, dao găm và búa.</v>
      </c>
      <c r="L15" s="26" t="str">
        <f>IFERROR(__xludf.DUMMYFUNCTION("GOOGLETRANSLATE(B15, ""en"", ""hr"")"),"Vaša učinkovitost s oružjem za gužvu. Smanjuje koliko trajnost gubljenje oružja gube kada se koristi. Poboljšajte korištenjem oružja bliskog raspona kao što su mačevi, bodeži i čekići.")</f>
        <v>Vaša učinkovitost s oružjem za gužvu. Smanjuje koliko trajnost gubljenje oružja gube kada se koristi. Poboljšajte korištenjem oružja bliskog raspona kao što su mačevi, bodeži i čekići.</v>
      </c>
      <c r="M15" s="28"/>
      <c r="N15" s="28"/>
      <c r="O15" s="28"/>
      <c r="P15" s="28"/>
      <c r="Q15" s="28"/>
      <c r="R15" s="28"/>
      <c r="S15" s="28"/>
      <c r="T15" s="28"/>
      <c r="U15" s="28"/>
      <c r="V15" s="28"/>
      <c r="W15" s="28"/>
      <c r="X15" s="28"/>
      <c r="Y15" s="28"/>
      <c r="Z15" s="28"/>
      <c r="AA15" s="28"/>
      <c r="AB15" s="28"/>
    </row>
    <row r="16">
      <c r="A16" s="21" t="s">
        <v>956</v>
      </c>
      <c r="B16" s="22" t="s">
        <v>957</v>
      </c>
      <c r="C16" s="23" t="str">
        <f>IFERROR(__xludf.DUMMYFUNCTION("GOOGLETRANSLATE(B16, ""en"", ""fr"")"),"Rangé")</f>
        <v>Rangé</v>
      </c>
      <c r="D16" s="23" t="str">
        <f>IFERROR(__xludf.DUMMYFUNCTION("GOOGLETRANSLATE(B16, ""en"", ""es"")"),"Oscurecido")</f>
        <v>Oscurecido</v>
      </c>
      <c r="E16" s="23" t="str">
        <f>IFERROR(__xludf.DUMMYFUNCTION("GOOGLETRANSLATE(B16, ""en"", ""ru"")"),"Варьировал")</f>
        <v>Варьировал</v>
      </c>
      <c r="F16" s="23" t="str">
        <f>IFERROR(__xludf.DUMMYFUNCTION("GOOGLETRANSLATE(B16, ""en"", ""tr"")"),"Değişimli")</f>
        <v>Değişimli</v>
      </c>
      <c r="G16" s="23" t="str">
        <f>IFERROR(__xludf.DUMMYFUNCTION("GOOGLETRANSLATE(B16, ""en"", ""pt"")"),"Variou")</f>
        <v>Variou</v>
      </c>
      <c r="H16" s="24" t="str">
        <f>IFERROR(__xludf.DUMMYFUNCTION("GOOGLETRANSLATE(B16, ""en"", ""de"")"),"Langen")</f>
        <v>Langen</v>
      </c>
      <c r="I16" s="23" t="str">
        <f>IFERROR(__xludf.DUMMYFUNCTION("GOOGLETRANSLATE(B16, ""en"", ""pl"")"),"Wahał się")</f>
        <v>Wahał się</v>
      </c>
      <c r="J16" s="25" t="str">
        <f>IFERROR(__xludf.DUMMYFUNCTION("GOOGLETRANSLATE(B16, ""en"", ""zh"")"),"范围")</f>
        <v>范围</v>
      </c>
      <c r="K16" s="25" t="str">
        <f>IFERROR(__xludf.DUMMYFUNCTION("GOOGLETRANSLATE(B16, ""en"", ""vi"")"),"Ranged.")</f>
        <v>Ranged.</v>
      </c>
      <c r="L16" s="26" t="str">
        <f>IFERROR(__xludf.DUMMYFUNCTION("GOOGLETRANSLATE(B16, ""en"", ""hr"")"),"Kretao")</f>
        <v>Kretao</v>
      </c>
      <c r="M16" s="28"/>
      <c r="N16" s="28"/>
      <c r="O16" s="28"/>
      <c r="P16" s="28"/>
      <c r="Q16" s="28"/>
      <c r="R16" s="28"/>
      <c r="S16" s="28"/>
      <c r="T16" s="28"/>
      <c r="U16" s="28"/>
      <c r="V16" s="28"/>
      <c r="W16" s="28"/>
      <c r="X16" s="28"/>
      <c r="Y16" s="28"/>
      <c r="Z16" s="28"/>
      <c r="AA16" s="28"/>
      <c r="AB16" s="28"/>
    </row>
    <row r="17">
      <c r="A17" s="21" t="s">
        <v>958</v>
      </c>
      <c r="B17" s="22" t="s">
        <v>959</v>
      </c>
      <c r="C17" s="23" t="str">
        <f>IFERROR(__xludf.DUMMYFUNCTION("GOOGLETRANSLATE(B17, ""en"", ""fr"")"),"Votre efficacité avec des armes à distance. Réduit la quantité de durabilité à la durabilité des armes à perdre lorsqu'elle est utilisée. Améliorer en utilisant des armes à longue portée telles que des arcs et des shurikens.")</f>
        <v>Votre efficacité avec des armes à distance. Réduit la quantité de durabilité à la durabilité des armes à perdre lorsqu'elle est utilisée. Améliorer en utilisant des armes à longue portée telles que des arcs et des shurikens.</v>
      </c>
      <c r="D17" s="23" t="str">
        <f>IFERROR(__xludf.DUMMYFUNCTION("GOOGLETRANSLATE(B17, ""en"", ""es"")"),"Tu efectividad con las armas a distancia. Reduce cuánta durabilidad se perderon las armas cuando se usan. Mejorar el uso de armas de largo alcance, como los arcos y los shurikens.")</f>
        <v>Tu efectividad con las armas a distancia. Reduce cuánta durabilidad se perderon las armas cuando se usan. Mejorar el uso de armas de largo alcance, como los arcos y los shurikens.</v>
      </c>
      <c r="E17" s="23" t="str">
        <f>IFERROR(__xludf.DUMMYFUNCTION("GOOGLETRANSLATE(B17, ""en"", ""ru"")"),"Ваша эффективность с валютным оружием. Уменьшает, сколько прочности вооруженного оружия проигрывают при использовании. Улучшение с использованием оружия длительного диапазона, такого как луки и шурикенс.")</f>
        <v>Ваша эффективность с валютным оружием. Уменьшает, сколько прочности вооруженного оружия проигрывают при использовании. Улучшение с использованием оружия длительного диапазона, такого как луки и шурикенс.</v>
      </c>
      <c r="F17" s="23" t="str">
        <f>IFERROR(__xludf.DUMMYFUNCTION("GOOGLETRANSLATE(B17, ""en"", ""tr"")"),"Değişen silahlarla etkinliğiniz. Kullanıldığında ne kadar dayanıklılık değişikliğinin kaybedilmesini azaltır. Bows ve Shurikens gibi uzun menzilli silahlar kullanılarak iyileştirin.")</f>
        <v>Değişen silahlarla etkinliğiniz. Kullanıldığında ne kadar dayanıklılık değişikliğinin kaybedilmesini azaltır. Bows ve Shurikens gibi uzun menzilli silahlar kullanılarak iyileştirin.</v>
      </c>
      <c r="G17" s="23" t="str">
        <f>IFERROR(__xludf.DUMMYFUNCTION("GOOGLETRANSLATE(B17, ""en"", ""pt"")"),"Sua eficácia com armas variadas. Reduz a quantidade de armas que durabilidade perdem quando usadas. Melhorar usando armas de longo alcance, como arcos e shurikens.")</f>
        <v>Sua eficácia com armas variadas. Reduz a quantidade de armas que durabilidade perdem quando usadas. Melhorar usando armas de longo alcance, como arcos e shurikens.</v>
      </c>
      <c r="H17" s="24" t="str">
        <f>IFERROR(__xludf.DUMMYFUNCTION("GOOGLETRANSLATE(B17, ""en"", ""de"")"),"Ihre Effektivität mit Fernwaffen. Reduziert, wie viel Haltbarkeit auf Waffen läuft, wenn sie verwendet werden. Verbessern Sie die Verwendung von Waffen mit langen Reichweiten wie Bögen und Shurikens.")</f>
        <v>Ihre Effektivität mit Fernwaffen. Reduziert, wie viel Haltbarkeit auf Waffen läuft, wenn sie verwendet werden. Verbessern Sie die Verwendung von Waffen mit langen Reichweiten wie Bögen und Shurikens.</v>
      </c>
      <c r="I17" s="23" t="str">
        <f>IFERROR(__xludf.DUMMYFUNCTION("GOOGLETRANSLATE(B17, ""en"", ""pl"")"),"Twoja skuteczność z bronią dystansową. Zmniejsza, jak bardzo trwałość broni rozciąga się, gdy jest używany. Ulepszyć za pomocą broni długich, takich jak łuki i shurikens.")</f>
        <v>Twoja skuteczność z bronią dystansową. Zmniejsza, jak bardzo trwałość broni rozciąga się, gdy jest używany. Ulepszyć za pomocą broni długich, takich jak łuki i shurikens.</v>
      </c>
      <c r="J17" s="25" t="str">
        <f>IFERROR(__xludf.DUMMYFUNCTION("GOOGLETRANSLATE(B17, ""en"", ""zh"")"),"您与远程武器的有效性。减少了使用时持久性耐用的武器减少了多少。通过使用弓箭和鲨鱼等长距离武器来改善。")</f>
        <v>您与远程武器的有效性。减少了使用时持久性耐用的武器减少了多少。通过使用弓箭和鲨鱼等长距离武器来改善。</v>
      </c>
      <c r="K17" s="25" t="str">
        <f>IFERROR(__xludf.DUMMYFUNCTION("GOOGLETRANSLATE(B17, ""en"", ""vi"")"),"Hiệu quả của bạn với vũ khí dao động. Giảm bao nhiêu độ bền, vũ khí dao động mất khi sử dụng. Cải thiện bằng cách sử dụng vũ khí tầm xa như cung tên và shurikens.")</f>
        <v>Hiệu quả của bạn với vũ khí dao động. Giảm bao nhiêu độ bền, vũ khí dao động mất khi sử dụng. Cải thiện bằng cách sử dụng vũ khí tầm xa như cung tên và shurikens.</v>
      </c>
      <c r="L17" s="26" t="str">
        <f>IFERROR(__xludf.DUMMYFUNCTION("GOOGLETRANSLATE(B17, ""en"", ""hr"")"),"Vaša učinkovitost s rangiranim oružjem. Smanjuje koliko je trajnost pogodila oružje izgubiti kada se koristi. Poboljšajte pomoću oružja dugog dometa kao što su lukovi i shurikens.")</f>
        <v>Vaša učinkovitost s rangiranim oružjem. Smanjuje koliko je trajnost pogodila oružje izgubiti kada se koristi. Poboljšajte pomoću oružja dugog dometa kao što su lukovi i shurikens.</v>
      </c>
      <c r="M17" s="28"/>
      <c r="N17" s="28"/>
      <c r="O17" s="28"/>
      <c r="P17" s="28"/>
      <c r="Q17" s="28"/>
      <c r="R17" s="28"/>
      <c r="S17" s="28"/>
      <c r="T17" s="28"/>
      <c r="U17" s="28"/>
      <c r="V17" s="28"/>
      <c r="W17" s="28"/>
      <c r="X17" s="28"/>
      <c r="Y17" s="28"/>
      <c r="Z17" s="28"/>
      <c r="AA17" s="28"/>
      <c r="AB17" s="28"/>
    </row>
    <row r="18">
      <c r="A18" s="21" t="s">
        <v>960</v>
      </c>
      <c r="B18" s="22" t="s">
        <v>961</v>
      </c>
      <c r="C18" s="23" t="str">
        <f>IFERROR(__xludf.DUMMYFUNCTION("GOOGLETRANSLATE(B18, ""en"", ""fr"")"),"la magie")</f>
        <v>la magie</v>
      </c>
      <c r="D18" s="23" t="str">
        <f>IFERROR(__xludf.DUMMYFUNCTION("GOOGLETRANSLATE(B18, ""en"", ""es"")"),"magia")</f>
        <v>magia</v>
      </c>
      <c r="E18" s="23" t="str">
        <f>IFERROR(__xludf.DUMMYFUNCTION("GOOGLETRANSLATE(B18, ""en"", ""ru"")"),"Магия")</f>
        <v>Магия</v>
      </c>
      <c r="F18" s="23" t="str">
        <f>IFERROR(__xludf.DUMMYFUNCTION("GOOGLETRANSLATE(B18, ""en"", ""tr"")"),"büyü")</f>
        <v>büyü</v>
      </c>
      <c r="G18" s="23" t="str">
        <f>IFERROR(__xludf.DUMMYFUNCTION("GOOGLETRANSLATE(B18, ""en"", ""pt"")"),"Magia")</f>
        <v>Magia</v>
      </c>
      <c r="H18" s="24" t="str">
        <f>IFERROR(__xludf.DUMMYFUNCTION("GOOGLETRANSLATE(B18, ""en"", ""de"")"),"Magie")</f>
        <v>Magie</v>
      </c>
      <c r="I18" s="23" t="str">
        <f>IFERROR(__xludf.DUMMYFUNCTION("GOOGLETRANSLATE(B18, ""en"", ""pl"")"),"magia")</f>
        <v>magia</v>
      </c>
      <c r="J18" s="25" t="str">
        <f>IFERROR(__xludf.DUMMYFUNCTION("GOOGLETRANSLATE(B18, ""en"", ""zh"")"),"魔法")</f>
        <v>魔法</v>
      </c>
      <c r="K18" s="25" t="str">
        <f>IFERROR(__xludf.DUMMYFUNCTION("GOOGLETRANSLATE(B18, ""en"", ""vi"")"),"ảo thuật")</f>
        <v>ảo thuật</v>
      </c>
      <c r="L18" s="26" t="str">
        <f>IFERROR(__xludf.DUMMYFUNCTION("GOOGLETRANSLATE(B18, ""en"", ""hr"")"),"magija")</f>
        <v>magija</v>
      </c>
      <c r="M18" s="28"/>
      <c r="N18" s="28"/>
      <c r="O18" s="28"/>
      <c r="P18" s="28"/>
      <c r="Q18" s="28"/>
      <c r="R18" s="28"/>
      <c r="S18" s="28"/>
      <c r="T18" s="28"/>
      <c r="U18" s="28"/>
      <c r="V18" s="28"/>
      <c r="W18" s="28"/>
      <c r="X18" s="28"/>
      <c r="Y18" s="28"/>
      <c r="Z18" s="28"/>
      <c r="AA18" s="28"/>
      <c r="AB18" s="28"/>
    </row>
    <row r="19">
      <c r="A19" s="21" t="s">
        <v>962</v>
      </c>
      <c r="B19" s="22" t="s">
        <v>963</v>
      </c>
      <c r="C19" s="23" t="str">
        <f>IFERROR(__xludf.DUMMYFUNCTION("GOOGLETRANSLATE(B19, ""en"", ""fr"")"),"Votre efficacité avec des armes magiques. Réduit la quantité de la durabilité des armes magiques perdent lorsqu'elle est utilisée. Améliorez en utilisant des articles magiques tels que le personnel et les livres de sorts.")</f>
        <v>Votre efficacité avec des armes magiques. Réduit la quantité de la durabilité des armes magiques perdent lorsqu'elle est utilisée. Améliorez en utilisant des articles magiques tels que le personnel et les livres de sorts.</v>
      </c>
      <c r="D19" s="23" t="str">
        <f>IFERROR(__xludf.DUMMYFUNCTION("GOOGLETRANSLATE(B19, ""en"", ""es"")"),"Tu efectividad con las armas mágicas. Reduce cuánta durabilidad pierden las armas mágicas cuando se usa. Mejorar el uso de artículos mágicos, como personal y libros de hechizos.")</f>
        <v>Tu efectividad con las armas mágicas. Reduce cuánta durabilidad pierden las armas mágicas cuando se usa. Mejorar el uso de artículos mágicos, como personal y libros de hechizos.</v>
      </c>
      <c r="E19" s="23" t="str">
        <f>IFERROR(__xludf.DUMMYFUNCTION("GOOGLETRANSLATE(B19, ""en"", ""ru"")"),"Ваша эффективность с волшебным оружием. Уменьшает, сколько прочности волшебного оружия проигрывают при использовании. Улучшение, используя магические предметы, такие как сотрудники и книги заклинаний.")</f>
        <v>Ваша эффективность с волшебным оружием. Уменьшает, сколько прочности волшебного оружия проигрывают при использовании. Улучшение, используя магические предметы, такие как сотрудники и книги заклинаний.</v>
      </c>
      <c r="F19" s="23" t="str">
        <f>IFERROR(__xludf.DUMMYFUNCTION("GOOGLETRANSLATE(B19, ""en"", ""tr"")"),"Sihirli silahlarla etkinliğiniz. Kullanıldığında ne kadar dayanıklılık sihirli silahlarının kaybedilmesini azaltır. Personel ve büyü kitapları gibi büyülü eşyalar kullanarak gelişir.")</f>
        <v>Sihirli silahlarla etkinliğiniz. Kullanıldığında ne kadar dayanıklılık sihirli silahlarının kaybedilmesini azaltır. Personel ve büyü kitapları gibi büyülü eşyalar kullanarak gelişir.</v>
      </c>
      <c r="G19" s="23" t="str">
        <f>IFERROR(__xludf.DUMMYFUNCTION("GOOGLETRANSLATE(B19, ""en"", ""pt"")"),"Sua eficácia com armas mágicas. Reduz quantas armas mágicas de durabilidade perdem quando usadas. Melhorar usando itens mágicos, como funcionários e livros soletários.")</f>
        <v>Sua eficácia com armas mágicas. Reduz quantas armas mágicas de durabilidade perdem quando usadas. Melhorar usando itens mágicos, como funcionários e livros soletários.</v>
      </c>
      <c r="H19" s="24" t="str">
        <f>IFERROR(__xludf.DUMMYFUNCTION("GOOGLETRANSLATE(B19, ""en"", ""de"")"),"Ihre Effektivität mit Zauberwaffen. Reduziert, wie viel Haltbarkeit magische Waffen verlieren, wenn sie verwendet werden. Verbessern Sie die Verwendung von magischen Gegenständen wie Mitarbeitern und Zauberbüchern.")</f>
        <v>Ihre Effektivität mit Zauberwaffen. Reduziert, wie viel Haltbarkeit magische Waffen verlieren, wenn sie verwendet werden. Verbessern Sie die Verwendung von magischen Gegenständen wie Mitarbeitern und Zauberbüchern.</v>
      </c>
      <c r="I19" s="23" t="str">
        <f>IFERROR(__xludf.DUMMYFUNCTION("GOOGLETRANSLATE(B19, ""en"", ""pl"")"),"Twoja skuteczność z magiczną bronią. Zmniejsza, jak bardzo trwałość magiczna broń tracą, gdy jest używany. Poprawić się przy użyciu magicznych przedmiotów, takich jak personel i książki zaklęć.")</f>
        <v>Twoja skuteczność z magiczną bronią. Zmniejsza, jak bardzo trwałość magiczna broń tracą, gdy jest używany. Poprawić się przy użyciu magicznych przedmiotów, takich jak personel i książki zaklęć.</v>
      </c>
      <c r="J19" s="25" t="str">
        <f>IFERROR(__xludf.DUMMYFUNCTION("GOOGLETRANSLATE(B19, ""en"", ""zh"")"),"你对魔法武器的效力。减少了使用时耐用的魔法武器减少了多少。使用员工和拼写书等魔法物品改善。")</f>
        <v>你对魔法武器的效力。减少了使用时耐用的魔法武器减少了多少。使用员工和拼写书等魔法物品改善。</v>
      </c>
      <c r="K19" s="25" t="str">
        <f>IFERROR(__xludf.DUMMYFUNCTION("GOOGLETRANSLATE(B19, ""en"", ""vi"")"),"Hiệu quả của bạn với vũ khí ma thuật. Giảm bao nhiêu vũ khí ma thuật độ bền mất khi sử dụng. Cải thiện bằng cách sử dụng các mặt hàng ma thuật như nhân viên và sách đánh vần.")</f>
        <v>Hiệu quả của bạn với vũ khí ma thuật. Giảm bao nhiêu vũ khí ma thuật độ bền mất khi sử dụng. Cải thiện bằng cách sử dụng các mặt hàng ma thuật như nhân viên và sách đánh vần.</v>
      </c>
      <c r="L19" s="26" t="str">
        <f>IFERROR(__xludf.DUMMYFUNCTION("GOOGLETRANSLATE(B19, ""en"", ""hr"")"),"Vaša učinkovitost s čarobnim oružjem. Smanjuje koliko je trajnost magično oružje izgubiti kada se koristi. Poboljšajte pomoću čarobnih stavki kao što su osoblje i knjige čarolija.")</f>
        <v>Vaša učinkovitost s čarobnim oružjem. Smanjuje koliko je trajnost magično oružje izgubiti kada se koristi. Poboljšajte pomoću čarobnih stavki kao što su osoblje i knjige čarolija.</v>
      </c>
      <c r="M19" s="28"/>
      <c r="N19" s="28"/>
      <c r="O19" s="28"/>
      <c r="P19" s="28"/>
      <c r="Q19" s="28"/>
      <c r="R19" s="28"/>
      <c r="S19" s="28"/>
      <c r="T19" s="28"/>
      <c r="U19" s="28"/>
      <c r="V19" s="28"/>
      <c r="W19" s="28"/>
      <c r="X19" s="28"/>
      <c r="Y19" s="28"/>
      <c r="Z19" s="28"/>
      <c r="AA19" s="28"/>
      <c r="AB19" s="28"/>
    </row>
    <row r="20">
      <c r="A20" s="21" t="s">
        <v>964</v>
      </c>
      <c r="B20" s="22" t="s">
        <v>186</v>
      </c>
      <c r="C20" s="23" t="str">
        <f>IFERROR(__xludf.DUMMYFUNCTION("GOOGLETRANSLATE(B20, ""en"", ""fr"")"),"La cueillette")</f>
        <v>La cueillette</v>
      </c>
      <c r="D20" s="23" t="str">
        <f>IFERROR(__xludf.DUMMYFUNCTION("GOOGLETRANSLATE(B20, ""en"", ""es"")"),"Reunión")</f>
        <v>Reunión</v>
      </c>
      <c r="E20" s="23" t="str">
        <f>IFERROR(__xludf.DUMMYFUNCTION("GOOGLETRANSLATE(B20, ""en"", ""ru"")"),"Встреча")</f>
        <v>Встреча</v>
      </c>
      <c r="F20" s="23" t="str">
        <f>IFERROR(__xludf.DUMMYFUNCTION("GOOGLETRANSLATE(B20, ""en"", ""tr"")"),"Toplanma")</f>
        <v>Toplanma</v>
      </c>
      <c r="G20" s="23" t="str">
        <f>IFERROR(__xludf.DUMMYFUNCTION("GOOGLETRANSLATE(B20, ""en"", ""pt"")"),"Reunião")</f>
        <v>Reunião</v>
      </c>
      <c r="H20" s="24" t="str">
        <f>IFERROR(__xludf.DUMMYFUNCTION("GOOGLETRANSLATE(B20, ""en"", ""de"")"),"Sammeln")</f>
        <v>Sammeln</v>
      </c>
      <c r="I20" s="23" t="str">
        <f>IFERROR(__xludf.DUMMYFUNCTION("GOOGLETRANSLATE(B20, ""en"", ""pl"")"),"Zgromadzenie")</f>
        <v>Zgromadzenie</v>
      </c>
      <c r="J20" s="25" t="str">
        <f>IFERROR(__xludf.DUMMYFUNCTION("GOOGLETRANSLATE(B20, ""en"", ""zh"")"),"搜集")</f>
        <v>搜集</v>
      </c>
      <c r="K20" s="25" t="str">
        <f>IFERROR(__xludf.DUMMYFUNCTION("GOOGLETRANSLATE(B20, ""en"", ""vi"")"),"Thu thập")</f>
        <v>Thu thập</v>
      </c>
      <c r="L20" s="26" t="str">
        <f>IFERROR(__xludf.DUMMYFUNCTION("GOOGLETRANSLATE(B20, ""en"", ""hr"")"),"Prikupljanje")</f>
        <v>Prikupljanje</v>
      </c>
      <c r="M20" s="28"/>
      <c r="N20" s="28"/>
      <c r="O20" s="28"/>
      <c r="P20" s="28"/>
      <c r="Q20" s="28"/>
      <c r="R20" s="28"/>
      <c r="S20" s="28"/>
      <c r="T20" s="28"/>
      <c r="U20" s="28"/>
      <c r="V20" s="28"/>
      <c r="W20" s="28"/>
      <c r="X20" s="28"/>
      <c r="Y20" s="28"/>
      <c r="Z20" s="28"/>
      <c r="AA20" s="28"/>
      <c r="AB20" s="28"/>
    </row>
    <row r="21">
      <c r="A21" s="21" t="s">
        <v>965</v>
      </c>
      <c r="B21" s="22" t="s">
        <v>966</v>
      </c>
      <c r="C21" s="23" t="str">
        <f>IFERROR(__xludf.DUMMYFUNCTION("GOOGLETRANSLATE(B21, ""en"", ""fr"")"),"Votre efficacité avec des outils de collecte. Combien de terrabilité de la durabilité des outils perdent lorsqu'ils sont utilisés. Améliorer en utilisant des hachets, des pioles et des faucilles.")</f>
        <v>Votre efficacité avec des outils de collecte. Combien de terrabilité de la durabilité des outils perdent lorsqu'ils sont utilisés. Améliorer en utilisant des hachets, des pioles et des faucilles.</v>
      </c>
      <c r="D21" s="23" t="str">
        <f>IFERROR(__xludf.DUMMYFUNCTION("GOOGLETRANSLATE(B21, ""en"", ""es"")"),"Su efectividad con las herramientas de recolección. ¿Cuántas herramientas de recolección de durabilidad pierden cuando se usan? Mejorar el uso de hachas, picos y enfermos.")</f>
        <v>Su efectividad con las herramientas de recolección. ¿Cuántas herramientas de recolección de durabilidad pierden cuando se usan? Mejorar el uso de hachas, picos y enfermos.</v>
      </c>
      <c r="E21" s="23" t="str">
        <f>IFERROR(__xludf.DUMMYFUNCTION("GOOGLETRANSLATE(B21, ""en"", ""ru"")"),"Ваша эффективность со сбором инструментов. Сколько долговечности сбора инструментов проигрывает при использовании. Улучшайте, используя точки, кирка и серповы.")</f>
        <v>Ваша эффективность со сбором инструментов. Сколько долговечности сбора инструментов проигрывает при использовании. Улучшайте, используя точки, кирка и серповы.</v>
      </c>
      <c r="F21" s="23" t="str">
        <f>IFERROR(__xludf.DUMMYFUNCTION("GOOGLETRANSLATE(B21, ""en"", ""tr"")"),"Toplama araçlarıyla etkinliğiniz. Kullanıldığında ne kadar dayanıklılık toplama araçları kaybeder. Balta, kazıklar ve oranlar kullanılarak iyileştirin.")</f>
        <v>Toplama araçlarıyla etkinliğiniz. Kullanıldığında ne kadar dayanıklılık toplama araçları kaybeder. Balta, kazıklar ve oranlar kullanılarak iyileştirin.</v>
      </c>
      <c r="G21" s="23" t="str">
        <f>IFERROR(__xludf.DUMMYFUNCTION("GOOGLETRANSLATE(B21, ""en"", ""pt"")"),"Sua eficácia com a coleta de ferramentas. Quantas ferramentas de coleta de durabilidade perdem quando usadas. Melhorar usando machados, picaretas e gentils.")</f>
        <v>Sua eficácia com a coleta de ferramentas. Quantas ferramentas de coleta de durabilidade perdem quando usadas. Melhorar usando machados, picaretas e gentils.</v>
      </c>
      <c r="H21" s="24" t="str">
        <f>IFERROR(__xludf.DUMMYFUNCTION("GOOGLETRANSLATE(B21, ""en"", ""de"")"),"Ihre Effektivität mit Sammelwerkzeugen. Wie viel Haltbarkeits-Sammeln von Werkzeugen verlieren, wenn sie verwendet werden. Verbessern Sie die Verwendung von Beil, Abschlägen und Sicheln.")</f>
        <v>Ihre Effektivität mit Sammelwerkzeugen. Wie viel Haltbarkeits-Sammeln von Werkzeugen verlieren, wenn sie verwendet werden. Verbessern Sie die Verwendung von Beil, Abschlägen und Sicheln.</v>
      </c>
      <c r="I21" s="23" t="str">
        <f>IFERROR(__xludf.DUMMYFUNCTION("GOOGLETRANSLATE(B21, ""en"", ""pl"")"),"Twoja skuteczność z narzędziami zbierającymi. Ile trwałości narzędzi do gromadzenia przy użyciu. Poprawić za pomocą hatchetów, kilofów i sierpów.")</f>
        <v>Twoja skuteczność z narzędziami zbierającymi. Ile trwałości narzędzi do gromadzenia przy użyciu. Poprawić za pomocą hatchetów, kilofów i sierpów.</v>
      </c>
      <c r="J21" s="25" t="str">
        <f>IFERROR(__xludf.DUMMYFUNCTION("GOOGLETRANSLATE(B21, ""en"", ""zh"")"),"您与采集工具的有效性。使用时会收集工具丢失多少耐用性。通过使用斧头，镐和镰刀改善。")</f>
        <v>您与采集工具的有效性。使用时会收集工具丢失多少耐用性。通过使用斧头，镐和镰刀改善。</v>
      </c>
      <c r="K21" s="25" t="str">
        <f>IFERROR(__xludf.DUMMYFUNCTION("GOOGLETRANSLATE(B21, ""en"", ""vi"")"),"Hiệu quả của bạn với các công cụ thu thập. Công cụ thu thập độ bền mất khi sử dụng. Cải thiện bằng cách sử dụng hatchets, pickax và liềm.")</f>
        <v>Hiệu quả của bạn với các công cụ thu thập. Công cụ thu thập độ bền mất khi sử dụng. Cải thiện bằng cách sử dụng hatchets, pickax và liềm.</v>
      </c>
      <c r="L21" s="26" t="str">
        <f>IFERROR(__xludf.DUMMYFUNCTION("GOOGLETRANSLATE(B21, ""en"", ""hr"")"),"Vaša učinkovitost s okupljanjem alata. Koliko alati za prikupljanje trajnosti gube kada se koriste. Poboljšajte pomoću sjekiranih, Pickeasa i srpa.")</f>
        <v>Vaša učinkovitost s okupljanjem alata. Koliko alati za prikupljanje trajnosti gube kada se koriste. Poboljšajte pomoću sjekiranih, Pickeasa i srpa.</v>
      </c>
      <c r="M21" s="28"/>
      <c r="N21" s="28"/>
      <c r="O21" s="28"/>
      <c r="P21" s="28"/>
      <c r="Q21" s="28"/>
      <c r="R21" s="28"/>
      <c r="S21" s="28"/>
      <c r="T21" s="28"/>
      <c r="U21" s="28"/>
      <c r="V21" s="28"/>
      <c r="W21" s="28"/>
      <c r="X21" s="28"/>
      <c r="Y21" s="28"/>
      <c r="Z21" s="28"/>
      <c r="AA21" s="28"/>
      <c r="AB21" s="28"/>
    </row>
    <row r="22">
      <c r="A22" s="21" t="s">
        <v>967</v>
      </c>
      <c r="B22" s="22" t="s">
        <v>968</v>
      </c>
      <c r="C22" s="23" t="str">
        <f>IFERROR(__xludf.DUMMYFUNCTION("GOOGLETRANSLATE(B22, ""en"", ""fr"")"),"Armes")</f>
        <v>Armes</v>
      </c>
      <c r="D22" s="23" t="str">
        <f>IFERROR(__xludf.DUMMYFUNCTION("GOOGLETRANSLATE(B22, ""en"", ""es"")"),"Arsenal")</f>
        <v>Arsenal</v>
      </c>
      <c r="E22" s="23" t="str">
        <f>IFERROR(__xludf.DUMMYFUNCTION("GOOGLETRANSLATE(B22, ""en"", ""ru"")"),"Вооружение")</f>
        <v>Вооружение</v>
      </c>
      <c r="F22" s="23" t="str">
        <f>IFERROR(__xludf.DUMMYFUNCTION("GOOGLETRANSLATE(B22, ""en"", ""tr"")"),"Silah")</f>
        <v>Silah</v>
      </c>
      <c r="G22" s="23" t="str">
        <f>IFERROR(__xludf.DUMMYFUNCTION("GOOGLETRANSLATE(B22, ""en"", ""pt"")"),"Armamento")</f>
        <v>Armamento</v>
      </c>
      <c r="H22" s="24" t="str">
        <f>IFERROR(__xludf.DUMMYFUNCTION("GOOGLETRANSLATE(B22, ""en"", ""de"")"),"Waffen")</f>
        <v>Waffen</v>
      </c>
      <c r="I22" s="23" t="str">
        <f>IFERROR(__xludf.DUMMYFUNCTION("GOOGLETRANSLATE(B22, ""en"", ""pl"")"),"Broń.")</f>
        <v>Broń.</v>
      </c>
      <c r="J22" s="25" t="str">
        <f>IFERROR(__xludf.DUMMYFUNCTION("GOOGLETRANSLATE(B22, ""en"", ""zh"")"),"武器")</f>
        <v>武器</v>
      </c>
      <c r="K22" s="25" t="str">
        <f>IFERROR(__xludf.DUMMYFUNCTION("GOOGLETRANSLATE(B22, ""en"", ""vi"")"),"Vũ khí.")</f>
        <v>Vũ khí.</v>
      </c>
      <c r="L22" s="26" t="str">
        <f>IFERROR(__xludf.DUMMYFUNCTION("GOOGLETRANSLATE(B22, ""en"", ""hr"")"),"Oružje")</f>
        <v>Oružje</v>
      </c>
      <c r="M22" s="28"/>
      <c r="N22" s="28"/>
      <c r="O22" s="28"/>
      <c r="P22" s="28"/>
      <c r="Q22" s="28"/>
      <c r="R22" s="28"/>
      <c r="S22" s="28"/>
      <c r="T22" s="28"/>
      <c r="U22" s="28"/>
      <c r="V22" s="28"/>
      <c r="W22" s="28"/>
      <c r="X22" s="28"/>
      <c r="Y22" s="28"/>
      <c r="Z22" s="28"/>
      <c r="AA22" s="28"/>
      <c r="AB22" s="28"/>
    </row>
    <row r="23">
      <c r="A23" s="29" t="s">
        <v>969</v>
      </c>
      <c r="B23" s="22" t="s">
        <v>970</v>
      </c>
      <c r="C23" s="23" t="str">
        <f>IFERROR(__xludf.DUMMYFUNCTION("GOOGLETRANSLATE(B23, ""en"", ""fr"")"),"Combien de durabilité les armes que vous créez. Améliorer en créant des articles dommageables, tels que les épées, les arcs et le personnel.")</f>
        <v>Combien de durabilité les armes que vous créez. Améliorer en créant des articles dommageables, tels que les épées, les arcs et le personnel.</v>
      </c>
      <c r="D23" s="23" t="str">
        <f>IFERROR(__xludf.DUMMYFUNCTION("GOOGLETRANSLATE(B23, ""en"", ""es"")"),"¿Cuánta durabilidad tiene las armas que tienes? Mejorar el elaboración de artículos dañinos, como espadas, arcos y personal.")</f>
        <v>¿Cuánta durabilidad tiene las armas que tienes? Mejorar el elaboración de artículos dañinos, como espadas, arcos y personal.</v>
      </c>
      <c r="E23" s="23" t="str">
        <f>IFERROR(__xludf.DUMMYFUNCTION("GOOGLETRANSLATE(B23, ""en"", ""ru"")"),"Сколько прочности оружия, у вас есть. Улучшение путем создания повреждающих предметов, таких как мечи, луки и персонал.")</f>
        <v>Сколько прочности оружия, у вас есть. Улучшение путем создания повреждающих предметов, таких как мечи, луки и персонал.</v>
      </c>
      <c r="F23" s="23" t="str">
        <f>IFERROR(__xludf.DUMMYFUNCTION("GOOGLETRANSLATE(B23, ""en"", ""tr"")"),"Eldeki silahların ne kadar dayanıklılığı var. Kılıç, yaylar ve personel gibi zarar verici eşyalar yaparak geliştirin.")</f>
        <v>Eldeki silahların ne kadar dayanıklılığı var. Kılıç, yaylar ve personel gibi zarar verici eşyalar yaparak geliştirin.</v>
      </c>
      <c r="G23" s="23" t="str">
        <f>IFERROR(__xludf.DUMMYFUNCTION("GOOGLETRANSLATE(B23, ""en"", ""pt"")"),"Quanta durabilidade as armas que você artesanal têm. Melhorar o elaboração de itens prejudiciais, como espadas, arcos e funcionários.")</f>
        <v>Quanta durabilidade as armas que você artesanal têm. Melhorar o elaboração de itens prejudiciais, como espadas, arcos e funcionários.</v>
      </c>
      <c r="H23" s="24" t="str">
        <f>IFERROR(__xludf.DUMMYFUNCTION("GOOGLETRANSLATE(B23, ""en"", ""de"")"),"Wie viel Haltbarkeit die Waffen, die Sie handwerklich haben. Verbessern Sie, indem Sie schädliche Gegenstände bilden, wie Schwerter, Bögen und Mitarbeiter.")</f>
        <v>Wie viel Haltbarkeit die Waffen, die Sie handwerklich haben. Verbessern Sie, indem Sie schädliche Gegenstände bilden, wie Schwerter, Bögen und Mitarbeiter.</v>
      </c>
      <c r="I23" s="23" t="str">
        <f>IFERROR(__xludf.DUMMYFUNCTION("GOOGLETRANSLATE(B23, ""en"", ""pl"")"),"Ile trwałe broń, którą masz? Poprawa poprzez tworzenie szkodliwych przedmiotów, takich jak miecze, łuki i personel.")</f>
        <v>Ile trwałe broń, którą masz? Poprawa poprzez tworzenie szkodliwych przedmiotów, takich jak miecze, łuki i personel.</v>
      </c>
      <c r="J23" s="25" t="str">
        <f>IFERROR(__xludf.DUMMYFUNCTION("GOOGLETRANSLATE(B23, ""en"", ""zh"")"),"你制作的武器有多少耐用性。通过制作损坏的物品，如剑，弓和员工更好。")</f>
        <v>你制作的武器有多少耐用性。通过制作损坏的物品，如剑，弓和员工更好。</v>
      </c>
      <c r="K23" s="25" t="str">
        <f>IFERROR(__xludf.DUMMYFUNCTION("GOOGLETRANSLATE(B23, ""en"", ""vi"")"),"Bao nhiêu độ bền mà vũ khí mà bạn thủ công có. Cải thiện bằng cách chế tạo các mặt hàng gây hại, như kiếm, cung và nhân viên.")</f>
        <v>Bao nhiêu độ bền mà vũ khí mà bạn thủ công có. Cải thiện bằng cách chế tạo các mặt hàng gây hại, như kiếm, cung và nhân viên.</v>
      </c>
      <c r="L23" s="26" t="str">
        <f>IFERROR(__xludf.DUMMYFUNCTION("GOOGLETRANSLATE(B23, ""en"", ""hr"")"),"Koliko trajnosti oružje koje ste zanat ima. Poboljšajte izradom štetnih predmeta, kao što su mačevi, lukovi i osoblje.")</f>
        <v>Koliko trajnosti oružje koje ste zanat ima. Poboljšajte izradom štetnih predmeta, kao što su mačevi, lukovi i osoblje.</v>
      </c>
      <c r="M23" s="28"/>
      <c r="N23" s="28"/>
      <c r="O23" s="28"/>
      <c r="P23" s="28"/>
      <c r="Q23" s="28"/>
      <c r="R23" s="28"/>
      <c r="S23" s="28"/>
      <c r="T23" s="28"/>
      <c r="U23" s="28"/>
      <c r="V23" s="28"/>
      <c r="W23" s="28"/>
      <c r="X23" s="28"/>
      <c r="Y23" s="28"/>
      <c r="Z23" s="28"/>
      <c r="AA23" s="28"/>
      <c r="AB23" s="28"/>
    </row>
    <row r="24">
      <c r="A24" s="21" t="s">
        <v>971</v>
      </c>
      <c r="B24" s="22" t="s">
        <v>972</v>
      </c>
      <c r="C24" s="23" t="str">
        <f>IFERROR(__xludf.DUMMYFUNCTION("GOOGLETRANSLATE(B24, ""en"", ""fr"")"),"Arsenal")</f>
        <v>Arsenal</v>
      </c>
      <c r="D24" s="23" t="str">
        <f>IFERROR(__xludf.DUMMYFUNCTION("GOOGLETRANSLATE(B24, ""en"", ""es"")"),"Arsenal")</f>
        <v>Arsenal</v>
      </c>
      <c r="E24" s="23" t="str">
        <f>IFERROR(__xludf.DUMMYFUNCTION("GOOGLETRANSLATE(B24, ""en"", ""ru"")"),"Оружия")</f>
        <v>Оружия</v>
      </c>
      <c r="F24" s="23" t="str">
        <f>IFERROR(__xludf.DUMMYFUNCTION("GOOGLETRANSLATE(B24, ""en"", ""tr"")"),"Zırh")</f>
        <v>Zırh</v>
      </c>
      <c r="G24" s="23" t="str">
        <f>IFERROR(__xludf.DUMMYFUNCTION("GOOGLETRANSLATE(B24, ""en"", ""pt"")"),"Arsenal")</f>
        <v>Arsenal</v>
      </c>
      <c r="H24" s="24" t="str">
        <f>IFERROR(__xludf.DUMMYFUNCTION("GOOGLETRANSLATE(B24, ""en"", ""de"")"),"Waffenkammer")</f>
        <v>Waffenkammer</v>
      </c>
      <c r="I24" s="23" t="str">
        <f>IFERROR(__xludf.DUMMYFUNCTION("GOOGLETRANSLATE(B24, ""en"", ""pl"")"),"Zbrojownia")</f>
        <v>Zbrojownia</v>
      </c>
      <c r="J24" s="25" t="str">
        <f>IFERROR(__xludf.DUMMYFUNCTION("GOOGLETRANSLATE(B24, ""en"", ""zh"")"),"军械库")</f>
        <v>军械库</v>
      </c>
      <c r="K24" s="25" t="str">
        <f>IFERROR(__xludf.DUMMYFUNCTION("GOOGLETRANSLATE(B24, ""en"", ""vi"")"),"Armory.")</f>
        <v>Armory.</v>
      </c>
      <c r="L24" s="26" t="str">
        <f>IFERROR(__xludf.DUMMYFUNCTION("GOOGLETRANSLATE(B24, ""en"", ""hr"")"),"Oružanica")</f>
        <v>Oružanica</v>
      </c>
      <c r="M24" s="28"/>
      <c r="N24" s="28"/>
      <c r="O24" s="28"/>
      <c r="P24" s="28"/>
      <c r="Q24" s="28"/>
      <c r="R24" s="28"/>
      <c r="S24" s="28"/>
      <c r="T24" s="28"/>
      <c r="U24" s="28"/>
      <c r="V24" s="28"/>
      <c r="W24" s="28"/>
      <c r="X24" s="28"/>
      <c r="Y24" s="28"/>
      <c r="Z24" s="28"/>
      <c r="AA24" s="28"/>
      <c r="AB24" s="28"/>
    </row>
    <row r="25">
      <c r="A25" s="29" t="s">
        <v>973</v>
      </c>
      <c r="B25" s="22" t="s">
        <v>974</v>
      </c>
      <c r="C25" s="23" t="str">
        <f>IFERROR(__xludf.DUMMYFUNCTION("GOOGLETRANSLATE(B25, ""en"", ""fr"")"),"Combien de durabilité les armures et les vêtements que vous créez. Amélioré en créant des objets portables, tels que des armures, des manteaux et des robes.")</f>
        <v>Combien de durabilité les armures et les vêtements que vous créez. Amélioré en créant des objets portables, tels que des armures, des manteaux et des robes.</v>
      </c>
      <c r="D25" s="23" t="str">
        <f>IFERROR(__xludf.DUMMYFUNCTION("GOOGLETRANSLATE(B25, ""en"", ""es"")"),"¿Cuánta durabilidad tiene las armadas y la ropa que usted tiene? Mejorado elaborando artículos portátiles, como armadura, capas y túnicas.")</f>
        <v>¿Cuánta durabilidad tiene las armadas y la ropa que usted tiene? Mejorado elaborando artículos portátiles, como armadura, capas y túnicas.</v>
      </c>
      <c r="E25" s="23" t="str">
        <f>IFERROR(__xludf.DUMMYFUNCTION("GOOGLETRANSLATE(B25, ""en"", ""ru"")"),"Сколько долговечности аруди и одежду, которые вы создаете. Улучшено путем создания носимых предметов, таких как доспехи, плаща и халаты.")</f>
        <v>Сколько долговечности аруди и одежду, которые вы создаете. Улучшено путем создания носимых предметов, таких как доспехи, плаща и халаты.</v>
      </c>
      <c r="F25" s="23" t="str">
        <f>IFERROR(__xludf.DUMMYFUNCTION("GOOGLETRANSLATE(B25, ""en"", ""tr"")"),"Zırhın ve kıyafetlerin ne kadar dayanıklılığı var. Zırh, pelerinler ve bornozlar gibi giyilebilir eşyalar yaparak geliştirilmiştir.")</f>
        <v>Zırhın ve kıyafetlerin ne kadar dayanıklılığı var. Zırh, pelerinler ve bornozlar gibi giyilebilir eşyalar yaparak geliştirilmiştir.</v>
      </c>
      <c r="G25" s="23" t="str">
        <f>IFERROR(__xludf.DUMMYFUNCTION("GOOGLETRANSLATE(B25, ""en"", ""pt"")"),"Quanta durabilidade as armas e roupas que você artesanal tem. Melhorado pelo elaboração de itens wearable, como armadura, capas e vestes.")</f>
        <v>Quanta durabilidade as armas e roupas que você artesanal tem. Melhorado pelo elaboração de itens wearable, como armadura, capas e vestes.</v>
      </c>
      <c r="H25" s="24" t="str">
        <f>IFERROR(__xludf.DUMMYFUNCTION("GOOGLETRANSLATE(B25, ""en"", ""de"")"),"Wie viel Haltbarkeit die Armüfter und Kleidung, die Sie handhaben lassen. Verbessert durch das Herstellen von tragbaren Gegenständen, wie Rüstung, Mäntel und Roben.")</f>
        <v>Wie viel Haltbarkeit die Armüfter und Kleidung, die Sie handhaben lassen. Verbessert durch das Herstellen von tragbaren Gegenständen, wie Rüstung, Mäntel und Roben.</v>
      </c>
      <c r="I25" s="23" t="str">
        <f>IFERROR(__xludf.DUMMYFUNCTION("GOOGLETRANSLATE(B25, ""en"", ""pl"")"),"Ile trwałości zaopatrywać się na zbroje i ubrania. Poprawiony przez tworzenie przedmiotów do noszenia, takich jak zbroja, płaszcze i szaty.")</f>
        <v>Ile trwałości zaopatrywać się na zbroje i ubrania. Poprawiony przez tworzenie przedmiotów do noszenia, takich jak zbroja, płaszcze i szaty.</v>
      </c>
      <c r="J25" s="25" t="str">
        <f>IFERROR(__xludf.DUMMYFUNCTION("GOOGLETRANSLATE(B25, ""en"", ""zh"")"),"你制作的手臂和衣服有多少耐用性。通过制作可穿戴物品，例如装甲，斗篷和长袍来改善。")</f>
        <v>你制作的手臂和衣服有多少耐用性。通过制作可穿戴物品，例如装甲，斗篷和长袍来改善。</v>
      </c>
      <c r="K25" s="25" t="str">
        <f>IFERROR(__xludf.DUMMYFUNCTION("GOOGLETRANSLATE(B25, ""en"", ""vi"")"),"Bao nhiêu độ bền của các armours và quần áo mà bạn thủ công có. Được cải thiện bằng cách chế tạo các vật dụng có thể đeo, chẳng hạn như áo giáp, áo choàng và áo choàng.")</f>
        <v>Bao nhiêu độ bền của các armours và quần áo mà bạn thủ công có. Được cải thiện bằng cách chế tạo các vật dụng có thể đeo, chẳng hạn như áo giáp, áo choàng và áo choàng.</v>
      </c>
      <c r="L25" s="26" t="str">
        <f>IFERROR(__xludf.DUMMYFUNCTION("GOOGLETRANSLATE(B25, ""en"", ""hr"")"),"Koliko trajnosti oklop i odjeću koju imate. Poboljšano izrađenjem nosivih predmeta, kao što su oklop, ogrtači i ogrtači.")</f>
        <v>Koliko trajnosti oklop i odjeću koju imate. Poboljšano izrađenjem nosivih predmeta, kao što su oklop, ogrtači i ogrtači.</v>
      </c>
      <c r="M25" s="28"/>
      <c r="N25" s="28"/>
      <c r="O25" s="28"/>
      <c r="P25" s="28"/>
      <c r="Q25" s="28"/>
      <c r="R25" s="28"/>
      <c r="S25" s="28"/>
      <c r="T25" s="28"/>
      <c r="U25" s="28"/>
      <c r="V25" s="28"/>
      <c r="W25" s="28"/>
      <c r="X25" s="28"/>
      <c r="Y25" s="28"/>
      <c r="Z25" s="28"/>
      <c r="AA25" s="28"/>
      <c r="AB25" s="28"/>
    </row>
    <row r="26">
      <c r="A26" s="21" t="s">
        <v>975</v>
      </c>
      <c r="B26" s="22" t="s">
        <v>976</v>
      </c>
      <c r="C26" s="23" t="str">
        <f>IFERROR(__xludf.DUMMYFUNCTION("GOOGLETRANSLATE(B26, ""en"", ""fr"")"),"Butée")</f>
        <v>Butée</v>
      </c>
      <c r="D26" s="23" t="str">
        <f>IFERROR(__xludf.DUMMYFUNCTION("GOOGLETRANSLATE(B26, ""en"", ""es"")"),"Herramienta")</f>
        <v>Herramienta</v>
      </c>
      <c r="E26" s="23" t="str">
        <f>IFERROR(__xludf.DUMMYFUNCTION("GOOGLETRANSLATE(B26, ""en"", ""ru"")"),"Инструментарий")</f>
        <v>Инструментарий</v>
      </c>
      <c r="F26" s="23" t="str">
        <f>IFERROR(__xludf.DUMMYFUNCTION("GOOGLETRANSLATE(B26, ""en"", ""tr"")"),"Takım")</f>
        <v>Takım</v>
      </c>
      <c r="G26" s="23" t="str">
        <f>IFERROR(__xludf.DUMMYFUNCTION("GOOGLETRANSLATE(B26, ""en"", ""pt"")"),"Tokerery")</f>
        <v>Tokerery</v>
      </c>
      <c r="H26" s="24" t="str">
        <f>IFERROR(__xludf.DUMMYFUNCTION("GOOGLETRANSLATE(B26, ""en"", ""de"")"),"Werkzeugmaschinen")</f>
        <v>Werkzeugmaschinen</v>
      </c>
      <c r="I26" s="23" t="str">
        <f>IFERROR(__xludf.DUMMYFUNCTION("GOOGLETRANSLATE(B26, ""en"", ""pl"")"),"Narzędzie")</f>
        <v>Narzędzie</v>
      </c>
      <c r="J26" s="25" t="str">
        <f>IFERROR(__xludf.DUMMYFUNCTION("GOOGLETRANSLATE(B26, ""en"", ""zh"")"),"工具")</f>
        <v>工具</v>
      </c>
      <c r="K26" s="25" t="str">
        <f>IFERROR(__xludf.DUMMYFUNCTION("GOOGLETRANSLATE(B26, ""en"", ""vi"")"),"Công cụ.")</f>
        <v>Công cụ.</v>
      </c>
      <c r="L26" s="26" t="str">
        <f>IFERROR(__xludf.DUMMYFUNCTION("GOOGLETRANSLATE(B26, ""en"", ""hr"")"),"Alaš")</f>
        <v>Alaš</v>
      </c>
      <c r="M26" s="28"/>
      <c r="N26" s="28"/>
      <c r="O26" s="28"/>
      <c r="P26" s="28"/>
      <c r="Q26" s="28"/>
      <c r="R26" s="28"/>
      <c r="S26" s="28"/>
      <c r="T26" s="28"/>
      <c r="U26" s="28"/>
      <c r="V26" s="28"/>
      <c r="W26" s="28"/>
      <c r="X26" s="28"/>
      <c r="Y26" s="28"/>
      <c r="Z26" s="28"/>
      <c r="AA26" s="28"/>
      <c r="AB26" s="28"/>
    </row>
    <row r="27">
      <c r="A27" s="29" t="s">
        <v>977</v>
      </c>
      <c r="B27" s="22" t="s">
        <v>978</v>
      </c>
      <c r="C27" s="23" t="str">
        <f>IFERROR(__xludf.DUMMYFUNCTION("GOOGLETRANSLATE(B27, ""en"", ""fr"")"),"Quelle est la durabilité des articles utilitaires que vous créez. Améliorer par des outils et des matériaux de fabrication, tels que des haches, des piolles, des serrures, des barres métalliques et des tissus.")</f>
        <v>Quelle est la durabilité des articles utilitaires que vous créez. Améliorer par des outils et des matériaux de fabrication, tels que des haches, des piolles, des serrures, des barres métalliques et des tissus.</v>
      </c>
      <c r="D27" s="23" t="str">
        <f>IFERROR(__xludf.DUMMYFUNCTION("GOOGLETRANSLATE(B27, ""en"", ""es"")"),"¿Cuánta durabilidad tiene los artículos de utilidad que tiene la embarcación? Mejorar las herramientas y materiales de elaboración, como hachas, picos, cerraduras, barras de metal y telas.")</f>
        <v>¿Cuánta durabilidad tiene los artículos de utilidad que tiene la embarcación? Mejorar las herramientas y materiales de elaboración, como hachas, picos, cerraduras, barras de metal y telas.</v>
      </c>
      <c r="E27" s="23" t="str">
        <f>IFERROR(__xludf.DUMMYFUNCTION("GOOGLETRANSLATE(B27, ""en"", ""ru"")"),"Сколько долговечности имеют утилиты, которые вы создаете. Улучшение по ребративным инструментам и материалам, таким как топор, пикеки, замки, металлические батончики и ткани.")</f>
        <v>Сколько долговечности имеют утилиты, которые вы создаете. Улучшение по ребративным инструментам и материалам, таким как топор, пикеки, замки, металлические батончики и ткани.</v>
      </c>
      <c r="F27" s="23" t="str">
        <f>IFERROR(__xludf.DUMMYFUNCTION("GOOGLETRANSLATE(B27, ""en"", ""tr"")"),"Zeka ettiğiniz fayda eşyaları ne kadar dayanıklılık var. Baltalar, kazaklar, kilitler, metal çubuklar ve kumaşlar gibi araçlar ve malzemelerle geliştirin.")</f>
        <v>Zeka ettiğiniz fayda eşyaları ne kadar dayanıklılık var. Baltalar, kazaklar, kilitler, metal çubuklar ve kumaşlar gibi araçlar ve malzemelerle geliştirin.</v>
      </c>
      <c r="G27" s="23" t="str">
        <f>IFERROR(__xludf.DUMMYFUNCTION("GOOGLETRANSLATE(B27, ""en"", ""pt"")"),"Quanta durabilidade os itens de utilidade que você artesia tem. Melhorar a elaboração de ferramentas e materiais, como machados, picaretas, bloqueios, barras de metal e tecidos.")</f>
        <v>Quanta durabilidade os itens de utilidade que você artesia tem. Melhorar a elaboração de ferramentas e materiais, como machados, picaretas, bloqueios, barras de metal e tecidos.</v>
      </c>
      <c r="H27" s="24" t="str">
        <f>IFERROR(__xludf.DUMMYFUNCTION("GOOGLETRANSLATE(B27, ""en"", ""de"")"),"Wie viel Haltbarkeit haben die Utility-Artikel, die Sie handwerklich machen. Verbessern Sie sich durch Basteln von Werkzeugen und Materialien, wie Beilklappen, Abholakten, Schlössern, Metallstäben und Stoffen.")</f>
        <v>Wie viel Haltbarkeit haben die Utility-Artikel, die Sie handwerklich machen. Verbessern Sie sich durch Basteln von Werkzeugen und Materialien, wie Beilklappen, Abholakten, Schlössern, Metallstäben und Stoffen.</v>
      </c>
      <c r="I27" s="23" t="str">
        <f>IFERROR(__xludf.DUMMYFUNCTION("GOOGLETRANSLATE(B27, ""en"", ""pl"")"),"Jak bardzo trwałość elementów użytkowych, które mają. Usprawić poprzez rzucanie narzędzi i materiałów, takich jak hatchets, kilofy, zamki, metalowe pręty i tkaniny.")</f>
        <v>Jak bardzo trwałość elementów użytkowych, które mają. Usprawić poprzez rzucanie narzędzi i materiałów, takich jak hatchets, kilofy, zamki, metalowe pręty i tkaniny.</v>
      </c>
      <c r="J27" s="25" t="str">
        <f>IFERROR(__xludf.DUMMYFUNCTION("GOOGLETRANSLATE(B27, ""en"", ""zh"")"),"您绘制的公用事业物品有多少钱。通过制作工具和材料改进，例如斧头，镐，锁，金属条和织物。")</f>
        <v>您绘制的公用事业物品有多少钱。通过制作工具和材料改进，例如斧头，镐，锁，金属条和织物。</v>
      </c>
      <c r="K27" s="25" t="str">
        <f>IFERROR(__xludf.DUMMYFUNCTION("GOOGLETRANSLATE(B27, ""en"", ""vi"")"),"Bao nhiêu độ bền các mặt hàng tiện ích bạn thủ công có. Cải thiện bằng cách chế tạo các công cụ và vật liệu, như hatchets, pickax, ổ khóa, thanh kim loại và vải.")</f>
        <v>Bao nhiêu độ bền các mặt hàng tiện ích bạn thủ công có. Cải thiện bằng cách chế tạo các công cụ và vật liệu, như hatchets, pickax, ổ khóa, thanh kim loại và vải.</v>
      </c>
      <c r="L27" s="26" t="str">
        <f>IFERROR(__xludf.DUMMYFUNCTION("GOOGLETRANSLATE(B27, ""en"", ""hr"")"),"Koliko trajnosti su uslužni predmeti koji plovite. Poboljšajte crafting alata i materijala, kao što su sjekire, picketi, brave, metalne šipke i tkanine.")</f>
        <v>Koliko trajnosti su uslužni predmeti koji plovite. Poboljšajte crafting alata i materijala, kao što su sjekire, picketi, brave, metalne šipke i tkanine.</v>
      </c>
      <c r="M27" s="28"/>
      <c r="N27" s="28"/>
      <c r="O27" s="28"/>
      <c r="P27" s="28"/>
      <c r="Q27" s="28"/>
      <c r="R27" s="28"/>
      <c r="S27" s="28"/>
      <c r="T27" s="28"/>
      <c r="U27" s="28"/>
      <c r="V27" s="28"/>
      <c r="W27" s="28"/>
      <c r="X27" s="28"/>
      <c r="Y27" s="28"/>
      <c r="Z27" s="28"/>
      <c r="AA27" s="28"/>
      <c r="AB27" s="28"/>
    </row>
    <row r="28">
      <c r="A28" s="21" t="s">
        <v>979</v>
      </c>
      <c r="B28" s="22" t="s">
        <v>980</v>
      </c>
      <c r="C28" s="23" t="str">
        <f>IFERROR(__xludf.DUMMYFUNCTION("GOOGLETRANSLATE(B28, ""en"", ""fr"")"),"Potion")</f>
        <v>Potion</v>
      </c>
      <c r="D28" s="23" t="str">
        <f>IFERROR(__xludf.DUMMYFUNCTION("GOOGLETRANSLATE(B28, ""en"", ""es"")"),"Potión")</f>
        <v>Potión</v>
      </c>
      <c r="E28" s="23" t="str">
        <f>IFERROR(__xludf.DUMMYFUNCTION("GOOGLETRANSLATE(B28, ""en"", ""ru"")"),"Пищи")</f>
        <v>Пищи</v>
      </c>
      <c r="F28" s="23" t="str">
        <f>IFERROR(__xludf.DUMMYFUNCTION("GOOGLETRANSLATE(B28, ""en"", ""tr"")"),"İkincil")</f>
        <v>İkincil</v>
      </c>
      <c r="G28" s="23" t="str">
        <f>IFERROR(__xludf.DUMMYFUNCTION("GOOGLETRANSLATE(B28, ""en"", ""pt"")"),"Potionia")</f>
        <v>Potionia</v>
      </c>
      <c r="H28" s="24" t="str">
        <f>IFERROR(__xludf.DUMMYFUNCTION("GOOGLETRANSLATE(B28, ""en"", ""de"")"),"Potional")</f>
        <v>Potional</v>
      </c>
      <c r="I28" s="23" t="str">
        <f>IFERROR(__xludf.DUMMYFUNCTION("GOOGLETRANSLATE(B28, ""en"", ""pl"")"),"Eliksionry.")</f>
        <v>Eliksionry.</v>
      </c>
      <c r="J28" s="25" t="str">
        <f>IFERROR(__xludf.DUMMYFUNCTION("GOOGLETRANSLATE(B28, ""en"", ""zh"")"),"药水")</f>
        <v>药水</v>
      </c>
      <c r="K28" s="25" t="str">
        <f>IFERROR(__xludf.DUMMYFUNCTION("GOOGLETRANSLATE(B28, ""en"", ""vi"")"),"Potionry.")</f>
        <v>Potionry.</v>
      </c>
      <c r="L28" s="26" t="str">
        <f>IFERROR(__xludf.DUMMYFUNCTION("GOOGLETRANSLATE(B28, ""en"", ""hr"")"),"Nationry")</f>
        <v>Nationry</v>
      </c>
      <c r="M28" s="28"/>
      <c r="N28" s="28"/>
      <c r="O28" s="28"/>
      <c r="P28" s="28"/>
      <c r="Q28" s="28"/>
      <c r="R28" s="28"/>
      <c r="S28" s="28"/>
      <c r="T28" s="28"/>
      <c r="U28" s="28"/>
      <c r="V28" s="28"/>
      <c r="W28" s="28"/>
      <c r="X28" s="28"/>
      <c r="Y28" s="28"/>
      <c r="Z28" s="28"/>
      <c r="AA28" s="28"/>
      <c r="AB28" s="28"/>
    </row>
    <row r="29">
      <c r="A29" s="29" t="s">
        <v>981</v>
      </c>
      <c r="B29" s="22" t="s">
        <v>982</v>
      </c>
      <c r="C29" s="23" t="str">
        <f>IFERROR(__xludf.DUMMYFUNCTION("GOOGLETRANSLATE(B29, ""en"", ""fr"")"),"Combien d'utilisations les potions que vous créez. Améliorez par des potions de fabrication et de manger des ingrédients de potion.")</f>
        <v>Combien d'utilisations les potions que vous créez. Améliorez par des potions de fabrication et de manger des ingrédients de potion.</v>
      </c>
      <c r="D29" s="23" t="str">
        <f>IFERROR(__xludf.DUMMYFUNCTION("GOOGLETRANSLATE(B29, ""en"", ""es"")"),"¿Cuántos usos tiene las pociones que tiene la embarcación? Mejorar el hecho de crear pociones y comer ingredientes de poción.")</f>
        <v>¿Cuántos usos tiene las pociones que tiene la embarcación? Mejorar el hecho de crear pociones y comer ingredientes de poción.</v>
      </c>
      <c r="E29" s="23" t="str">
        <f>IFERROR(__xludf.DUMMYFUNCTION("GOOGLETRANSLATE(B29, ""en"", ""ru"")"),"Сколько использует зелья, которые вы создаете. Улучшайте, создающие зелья и есть ингредиенты зелья.")</f>
        <v>Сколько использует зелья, которые вы создаете. Улучшайте, создающие зелья и есть ингредиенты зелья.</v>
      </c>
      <c r="F29" s="23" t="str">
        <f>IFERROR(__xludf.DUMMYFUNCTION("GOOGLETRANSLATE(B29, ""en"", ""tr"")"),"El yaptığınız iksirleri kaç tane kullanır. İkir işçiliği ve iksir malzemelerini yemek yaparak iyileştirin.")</f>
        <v>El yaptığınız iksirleri kaç tane kullanır. İkir işçiliği ve iksir malzemelerini yemek yaparak iyileştirin.</v>
      </c>
      <c r="G29" s="23" t="str">
        <f>IFERROR(__xludf.DUMMYFUNCTION("GOOGLETRANSLATE(B29, ""en"", ""pt"")"),"Quantos usa as poções que você artesanal tem. Melhorar a elaboração de poções e comer ingredientes de poção.")</f>
        <v>Quantos usa as poções que você artesanal tem. Melhorar a elaboração de poções e comer ingredientes de poção.</v>
      </c>
      <c r="H29" s="24" t="str">
        <f>IFERROR(__xludf.DUMMYFUNCTION("GOOGLETRANSLATE(B29, ""en"", ""de"")"),"Wie viele verwendet die Tränke, die Sie handwerklich machen. Verbessern Sie sich durch Basteln von Tränken und Tränken in Zutaten.")</f>
        <v>Wie viele verwendet die Tränke, die Sie handwerklich machen. Verbessern Sie sich durch Basteln von Tränken und Tränken in Zutaten.</v>
      </c>
      <c r="I29" s="23" t="str">
        <f>IFERROR(__xludf.DUMMYFUNCTION("GOOGLETRANSLATE(B29, ""en"", ""pl"")"),"Ilu wykorzystuje mikstury, które masz? Poprawić przez eliksirów i jedzenia składników mikstury.")</f>
        <v>Ilu wykorzystuje mikstury, które masz? Poprawić przez eliksirów i jedzenia składników mikstury.</v>
      </c>
      <c r="J29" s="25" t="str">
        <f>IFERROR(__xludf.DUMMYFUNCTION("GOOGLETRANSLATE(B29, ""en"", ""zh"")"),"有多少用你制作的药物。通过制备药水和食用药水成分改善。")</f>
        <v>有多少用你制作的药物。通过制备药水和食用药水成分改善。</v>
      </c>
      <c r="K29" s="25" t="str">
        <f>IFERROR(__xludf.DUMMYFUNCTION("GOOGLETRANSLATE(B29, ""en"", ""vi"")"),"Có bao nhiêu người sử dụng các thuốc mà bạn thủ công có. Cải thiện bằng cách chế tạo potions và ăn các thành phần thuốc.")</f>
        <v>Có bao nhiêu người sử dụng các thuốc mà bạn thủ công có. Cải thiện bằng cách chế tạo potions và ăn các thành phần thuốc.</v>
      </c>
      <c r="L29" s="26" t="str">
        <f>IFERROR(__xludf.DUMMYFUNCTION("GOOGLETRANSLATE(B29, ""en"", ""hr"")"),"Koliko koristi napitke koje plovite. Poboljšajte sastojcima za izradu i prehrani napitak.")</f>
        <v>Koliko koristi napitke koje plovite. Poboljšajte sastojcima za izradu i prehrani napitak.</v>
      </c>
      <c r="M29" s="28"/>
      <c r="N29" s="28"/>
      <c r="O29" s="28"/>
      <c r="P29" s="28"/>
      <c r="Q29" s="28"/>
      <c r="R29" s="28"/>
      <c r="S29" s="28"/>
      <c r="T29" s="28"/>
      <c r="U29" s="28"/>
      <c r="V29" s="28"/>
      <c r="W29" s="28"/>
      <c r="X29" s="28"/>
      <c r="Y29" s="28"/>
      <c r="Z29" s="28"/>
      <c r="AA29" s="28"/>
      <c r="AB29" s="28"/>
    </row>
    <row r="30">
      <c r="A30" s="29" t="s">
        <v>983</v>
      </c>
      <c r="B30" s="22" t="s">
        <v>984</v>
      </c>
      <c r="C30" s="23" t="str">
        <f>IFERROR(__xludf.DUMMYFUNCTION("GOOGLETRANSLATE(B30, ""en"", ""fr"")"),"Classement")</f>
        <v>Classement</v>
      </c>
      <c r="D30" s="23" t="str">
        <f>IFERROR(__xludf.DUMMYFUNCTION("GOOGLETRANSLATE(B30, ""en"", ""es"")"),"Comunidad")</f>
        <v>Comunidad</v>
      </c>
      <c r="E30" s="23" t="str">
        <f>IFERROR(__xludf.DUMMYFUNCTION("GOOGLETRANSLATE(B30, ""en"", ""ru"")"),"Клапанство")</f>
        <v>Клапанство</v>
      </c>
      <c r="F30" s="23" t="str">
        <f>IFERROR(__xludf.DUMMYFUNCTION("GOOGLETRANSLATE(B30, ""en"", ""tr"")"),"Klansilik")</f>
        <v>Klansilik</v>
      </c>
      <c r="G30" s="23" t="str">
        <f>IFERROR(__xludf.DUMMYFUNCTION("GOOGLETRANSLATE(B30, ""en"", ""pt"")"),"Fósforo")</f>
        <v>Fósforo</v>
      </c>
      <c r="H30" s="24" t="str">
        <f>IFERROR(__xludf.DUMMYFUNCTION("GOOGLETRANSLATE(B30, ""en"", ""de"")"),"Clanship")</f>
        <v>Clanship</v>
      </c>
      <c r="I30" s="23" t="str">
        <f>IFERROR(__xludf.DUMMYFUNCTION("GOOGLETRANSLATE(B30, ""en"", ""pl"")"),"Klany")</f>
        <v>Klany</v>
      </c>
      <c r="J30" s="25" t="str">
        <f>IFERROR(__xludf.DUMMYFUNCTION("GOOGLETRANSLATE(B30, ""en"", ""zh"")"),"思潮")</f>
        <v>思潮</v>
      </c>
      <c r="K30" s="25" t="str">
        <f>IFERROR(__xludf.DUMMYFUNCTION("GOOGLETRANSLATE(B30, ""en"", ""vi"")"),"CLASS.")</f>
        <v>CLASS.</v>
      </c>
      <c r="L30" s="26" t="str">
        <f>IFERROR(__xludf.DUMMYFUNCTION("GOOGLETRANSLATE(B30, ""en"", ""hr"")"),"Clanstvo")</f>
        <v>Clanstvo</v>
      </c>
      <c r="M30" s="28"/>
      <c r="N30" s="28"/>
      <c r="O30" s="28"/>
      <c r="P30" s="28"/>
      <c r="Q30" s="28"/>
      <c r="R30" s="28"/>
      <c r="S30" s="28"/>
      <c r="T30" s="28"/>
      <c r="U30" s="28"/>
      <c r="V30" s="28"/>
      <c r="W30" s="28"/>
      <c r="X30" s="28"/>
      <c r="Y30" s="28"/>
      <c r="Z30" s="28"/>
      <c r="AA30" s="28"/>
      <c r="AB30" s="28"/>
    </row>
    <row r="31">
      <c r="A31" s="29" t="s">
        <v>985</v>
      </c>
      <c r="B31" s="22" t="s">
        <v>986</v>
      </c>
      <c r="C31" s="23" t="str">
        <f>IFERROR(__xludf.DUMMYFUNCTION("GOOGLETRANSLATE(B31, ""en"", ""fr"")"),"Quelle utilité que vous êtes utile à un clan. Affecte le nombre de points de vie des structures que vous créez et combien de puissance est créée lorsque vous faites un don de gloire. Améliorer en créant des structures de base et des générateurs d'alimenta"&amp;"tion.")</f>
        <v>Quelle utilité que vous êtes utile à un clan. Affecte le nombre de points de vie des structures que vous créez et combien de puissance est créée lorsque vous faites un don de gloire. Améliorer en créant des structures de base et des générateurs d'alimentation.</v>
      </c>
      <c r="D31" s="23" t="str">
        <f>IFERROR(__xludf.DUMMYFUNCTION("GOOGLETRANSLATE(B31, ""en"", ""es"")"),"Qué útiles estás en un clan. Afecta la cantidad de puntos de golpe que tiene las estructuras que tiene la embarcación, y la cantidad de poder se crea cuando done Glory. Mejorar mediante la elaboración de estructuras base y generadores de alimentación.")</f>
        <v>Qué útiles estás en un clan. Afecta la cantidad de puntos de golpe que tiene las estructuras que tiene la embarcación, y la cantidad de poder se crea cuando done Glory. Mejorar mediante la elaboración de estructuras base y generadores de alimentación.</v>
      </c>
      <c r="E31" s="23" t="str">
        <f>IFERROR(__xludf.DUMMYFUNCTION("GOOGLETRANSLATE(B31, ""en"", ""ru"")"),"Насколько вы полезны к клану. Затрагивает, сколько хитпонов структуры, которые вы создаете, и сколько мощности создается при пожертвовании славы. Улучшение путем создания базовых структур и моторных генераторов.")</f>
        <v>Насколько вы полезны к клану. Затрагивает, сколько хитпонов структуры, которые вы создаете, и сколько мощности создается при пожертвовании славы. Улучшение путем создания базовых структур и моторных генераторов.</v>
      </c>
      <c r="F31" s="23" t="str">
        <f>IFERROR(__xludf.DUMMYFUNCTION("GOOGLETRANSLATE(B31, ""en"", ""tr"")"),"Bir klan için ne kadar yardımcı olursunuz. El yaptığınız yapıları kaç vurma noktasını etkiler ve zafer bağışta olduğunuzda ne kadar güç oluşturulduğunu etkiler. Temel yapılar ve güç jeneratörleri işçiliği ile geliştirin.")</f>
        <v>Bir klan için ne kadar yardımcı olursunuz. El yaptığınız yapıları kaç vurma noktasını etkiler ve zafer bağışta olduğunuzda ne kadar güç oluşturulduğunu etkiler. Temel yapılar ve güç jeneratörleri işçiliği ile geliştirin.</v>
      </c>
      <c r="G31" s="23" t="str">
        <f>IFERROR(__xludf.DUMMYFUNCTION("GOOGLETRANSLATE(B31, ""en"", ""pt"")"),"Quão útil você é para um clã. Afeta quantos hitpoints as estruturas que você artesia têm, e quanto poder é criado quando você doa glória. Melhorar a criação de estruturas base e geradores de energia.")</f>
        <v>Quão útil você é para um clã. Afeta quantos hitpoints as estruturas que você artesia têm, e quanto poder é criado quando você doa glória. Melhorar a criação de estruturas base e geradores de energia.</v>
      </c>
      <c r="H31" s="24" t="str">
        <f>IFERROR(__xludf.DUMMYFUNCTION("GOOGLETRANSLATE(B31, ""en"", ""de"")"),"Wie hilfreich bist du zu einem Clan. Betrifft, wie viele Hitpoints die Strukturen, die Sie handwerkbringen, und wie viel Energie erstellt wird, wenn Sie Ruhm spenden. Verbesserung durch Basteln von Basisstrukturen und Stromerzeugern.")</f>
        <v>Wie hilfreich bist du zu einem Clan. Betrifft, wie viele Hitpoints die Strukturen, die Sie handwerkbringen, und wie viel Energie erstellt wird, wenn Sie Ruhm spenden. Verbesserung durch Basteln von Basisstrukturen und Stromerzeugern.</v>
      </c>
      <c r="I31" s="23" t="str">
        <f>IFERROR(__xludf.DUMMYFUNCTION("GOOGLETRANSLATE(B31, ""en"", ""pl"")"),"Jak pomocna jesteś do klanu. Wpływa na to, ile punktów HIT jest strukturami? Poprawić poprzez tworzenie struktur bazowych i generatorów zasilania.")</f>
        <v>Jak pomocna jesteś do klanu. Wpływa na to, ile punktów HIT jest strukturami? Poprawić poprzez tworzenie struktur bazowych i generatorów zasilania.</v>
      </c>
      <c r="J31" s="25" t="str">
        <f>IFERROR(__xludf.DUMMYFUNCTION("GOOGLETRANSLATE(B31, ""en"", ""zh"")"),"你对氏族有多有帮助。影响您绘制的结构有多少Hitpoints，以及捐赠荣耀时创建了多少功率。通过制作基础结构和供电发电机来改进。")</f>
        <v>你对氏族有多有帮助。影响您绘制的结构有多少Hitpoints，以及捐赠荣耀时创建了多少功率。通过制作基础结构和供电发电机来改进。</v>
      </c>
      <c r="K31" s="25" t="str">
        <f>IFERROR(__xludf.DUMMYFUNCTION("GOOGLETRANSLATE(B31, ""en"", ""vi"")"),"Làm thế nào bạn hữu ích cho một bang hội. Ảnh hưởng đến bao nhiêu điểm nhấn mà các cấu trúc bạn thủ công có, và bao nhiêu năng lượng được tạo ra khi bạn quyên góp vinh quang. Cải thiện bằng cách chế tạo cấu trúc cơ sở và máy phát điện.")</f>
        <v>Làm thế nào bạn hữu ích cho một bang hội. Ảnh hưởng đến bao nhiêu điểm nhấn mà các cấu trúc bạn thủ công có, và bao nhiêu năng lượng được tạo ra khi bạn quyên góp vinh quang. Cải thiện bằng cách chế tạo cấu trúc cơ sở và máy phát điện.</v>
      </c>
      <c r="L31" s="26" t="str">
        <f>IFERROR(__xludf.DUMMYFUNCTION("GOOGLETRANSLATE(B31, ""en"", ""hr"")"),"Koliko ste korisni u klan. Utječe na koliko hitpoints strukture koje imate, i koliko snage se stvara kada donirate slavu. Poboljšajte obrtanjem osnovnih struktura i generatora napajanja.")</f>
        <v>Koliko ste korisni u klan. Utječe na koliko hitpoints strukture koje imate, i koliko snage se stvara kada donirate slavu. Poboljšajte obrtanjem osnovnih struktura i generatora napajanja.</v>
      </c>
      <c r="M31" s="28"/>
      <c r="N31" s="28"/>
      <c r="O31" s="28"/>
      <c r="P31" s="28"/>
      <c r="Q31" s="28"/>
      <c r="R31" s="28"/>
      <c r="S31" s="28"/>
      <c r="T31" s="28"/>
      <c r="U31" s="28"/>
      <c r="V31" s="28"/>
      <c r="W31" s="28"/>
      <c r="X31" s="28"/>
      <c r="Y31" s="28"/>
      <c r="Z31" s="28"/>
      <c r="AA31" s="28"/>
      <c r="AB31" s="28"/>
    </row>
    <row r="32">
      <c r="A32" s="34"/>
      <c r="B32" s="35"/>
      <c r="C32" s="30"/>
      <c r="D32" s="30"/>
      <c r="E32" s="30"/>
      <c r="F32" s="30"/>
      <c r="G32" s="30"/>
      <c r="H32" s="31"/>
      <c r="I32" s="30"/>
      <c r="J32" s="32"/>
      <c r="K32" s="32"/>
      <c r="L32" s="33"/>
      <c r="M32" s="28"/>
      <c r="N32" s="28"/>
      <c r="O32" s="28"/>
      <c r="P32" s="28"/>
      <c r="Q32" s="28"/>
      <c r="R32" s="28"/>
      <c r="S32" s="28"/>
      <c r="T32" s="28"/>
      <c r="U32" s="28"/>
      <c r="V32" s="28"/>
      <c r="W32" s="28"/>
      <c r="X32" s="28"/>
      <c r="Y32" s="28"/>
      <c r="Z32" s="28"/>
      <c r="AA32" s="28"/>
      <c r="AB32" s="28"/>
    </row>
    <row r="33">
      <c r="A33" s="34"/>
      <c r="B33" s="35"/>
      <c r="C33" s="30"/>
      <c r="D33" s="30"/>
      <c r="E33" s="30"/>
      <c r="F33" s="30"/>
      <c r="G33" s="30"/>
      <c r="H33" s="31"/>
      <c r="I33" s="30"/>
      <c r="J33" s="32"/>
      <c r="K33" s="32"/>
      <c r="L33" s="33"/>
      <c r="M33" s="28"/>
      <c r="N33" s="28"/>
      <c r="O33" s="28"/>
      <c r="P33" s="28"/>
      <c r="Q33" s="28"/>
      <c r="R33" s="28"/>
      <c r="S33" s="28"/>
      <c r="T33" s="28"/>
      <c r="U33" s="28"/>
      <c r="V33" s="28"/>
      <c r="W33" s="28"/>
      <c r="X33" s="28"/>
      <c r="Y33" s="28"/>
      <c r="Z33" s="28"/>
      <c r="AA33" s="28"/>
      <c r="AB33" s="28"/>
    </row>
    <row r="34">
      <c r="A34" s="34"/>
      <c r="B34" s="35"/>
      <c r="C34" s="30"/>
      <c r="D34" s="30"/>
      <c r="E34" s="30"/>
      <c r="F34" s="30"/>
      <c r="G34" s="30"/>
      <c r="H34" s="31"/>
      <c r="I34" s="30"/>
      <c r="J34" s="32"/>
      <c r="K34" s="32"/>
      <c r="L34" s="33"/>
      <c r="M34" s="28"/>
      <c r="N34" s="28"/>
      <c r="O34" s="28"/>
      <c r="P34" s="28"/>
      <c r="Q34" s="28"/>
      <c r="R34" s="28"/>
      <c r="S34" s="28"/>
      <c r="T34" s="28"/>
      <c r="U34" s="28"/>
      <c r="V34" s="28"/>
      <c r="W34" s="28"/>
      <c r="X34" s="28"/>
      <c r="Y34" s="28"/>
      <c r="Z34" s="28"/>
      <c r="AA34" s="28"/>
      <c r="AB34" s="28"/>
    </row>
    <row r="35">
      <c r="A35" s="34"/>
      <c r="B35" s="35"/>
      <c r="C35" s="30"/>
      <c r="D35" s="30"/>
      <c r="E35" s="30"/>
      <c r="F35" s="30"/>
      <c r="G35" s="30"/>
      <c r="H35" s="31"/>
      <c r="I35" s="30"/>
      <c r="J35" s="32"/>
      <c r="K35" s="32"/>
      <c r="L35" s="33"/>
      <c r="M35" s="28"/>
      <c r="N35" s="28"/>
      <c r="O35" s="28"/>
      <c r="P35" s="28"/>
      <c r="Q35" s="28"/>
      <c r="R35" s="28"/>
      <c r="S35" s="28"/>
      <c r="T35" s="28"/>
      <c r="U35" s="28"/>
      <c r="V35" s="28"/>
      <c r="W35" s="28"/>
      <c r="X35" s="28"/>
      <c r="Y35" s="28"/>
      <c r="Z35" s="28"/>
      <c r="AA35" s="28"/>
      <c r="AB35" s="28"/>
    </row>
    <row r="36">
      <c r="A36" s="34"/>
      <c r="B36" s="35"/>
      <c r="C36" s="30"/>
      <c r="D36" s="30"/>
      <c r="E36" s="30"/>
      <c r="F36" s="30"/>
      <c r="G36" s="30"/>
      <c r="H36" s="31"/>
      <c r="I36" s="30"/>
      <c r="J36" s="32"/>
      <c r="K36" s="32"/>
      <c r="L36" s="33"/>
      <c r="M36" s="28"/>
      <c r="N36" s="28"/>
      <c r="O36" s="28"/>
      <c r="P36" s="28"/>
      <c r="Q36" s="28"/>
      <c r="R36" s="28"/>
      <c r="S36" s="28"/>
      <c r="T36" s="28"/>
      <c r="U36" s="28"/>
      <c r="V36" s="28"/>
      <c r="W36" s="28"/>
      <c r="X36" s="28"/>
      <c r="Y36" s="28"/>
      <c r="Z36" s="28"/>
      <c r="AA36" s="28"/>
      <c r="AB36" s="28"/>
    </row>
    <row r="37">
      <c r="A37" s="34"/>
      <c r="B37" s="35"/>
      <c r="C37" s="30"/>
      <c r="D37" s="30"/>
      <c r="E37" s="30"/>
      <c r="F37" s="30"/>
      <c r="G37" s="30"/>
      <c r="H37" s="31"/>
      <c r="I37" s="30"/>
      <c r="J37" s="32"/>
      <c r="K37" s="32"/>
      <c r="L37" s="33"/>
      <c r="M37" s="28"/>
      <c r="N37" s="28"/>
      <c r="O37" s="28"/>
      <c r="P37" s="28"/>
      <c r="Q37" s="28"/>
      <c r="R37" s="28"/>
      <c r="S37" s="28"/>
      <c r="T37" s="28"/>
      <c r="U37" s="28"/>
      <c r="V37" s="28"/>
      <c r="W37" s="28"/>
      <c r="X37" s="28"/>
      <c r="Y37" s="28"/>
      <c r="Z37" s="28"/>
      <c r="AA37" s="28"/>
      <c r="AB37" s="28"/>
    </row>
    <row r="38">
      <c r="A38" s="34"/>
      <c r="B38" s="35"/>
      <c r="C38" s="30"/>
      <c r="D38" s="30"/>
      <c r="E38" s="30"/>
      <c r="F38" s="30"/>
      <c r="G38" s="30"/>
      <c r="H38" s="31"/>
      <c r="I38" s="30"/>
      <c r="J38" s="32"/>
      <c r="K38" s="32"/>
      <c r="L38" s="33"/>
      <c r="M38" s="28"/>
      <c r="N38" s="28"/>
      <c r="O38" s="28"/>
      <c r="P38" s="28"/>
      <c r="Q38" s="28"/>
      <c r="R38" s="28"/>
      <c r="S38" s="28"/>
      <c r="T38" s="28"/>
      <c r="U38" s="28"/>
      <c r="V38" s="28"/>
      <c r="W38" s="28"/>
      <c r="X38" s="28"/>
      <c r="Y38" s="28"/>
      <c r="Z38" s="28"/>
      <c r="AA38" s="28"/>
      <c r="AB38" s="28"/>
    </row>
    <row r="39">
      <c r="A39" s="34"/>
      <c r="B39" s="35"/>
      <c r="C39" s="30"/>
      <c r="D39" s="30"/>
      <c r="E39" s="30"/>
      <c r="F39" s="30"/>
      <c r="G39" s="30"/>
      <c r="H39" s="31"/>
      <c r="I39" s="30"/>
      <c r="J39" s="32"/>
      <c r="K39" s="32"/>
      <c r="L39" s="33"/>
      <c r="M39" s="28"/>
      <c r="N39" s="28"/>
      <c r="O39" s="28"/>
      <c r="P39" s="28"/>
      <c r="Q39" s="28"/>
      <c r="R39" s="28"/>
      <c r="S39" s="28"/>
      <c r="T39" s="28"/>
      <c r="U39" s="28"/>
      <c r="V39" s="28"/>
      <c r="W39" s="28"/>
      <c r="X39" s="28"/>
      <c r="Y39" s="28"/>
      <c r="Z39" s="28"/>
      <c r="AA39" s="28"/>
      <c r="AB39" s="28"/>
    </row>
    <row r="40">
      <c r="A40" s="34"/>
      <c r="B40" s="35"/>
      <c r="C40" s="30"/>
      <c r="D40" s="30"/>
      <c r="E40" s="30"/>
      <c r="F40" s="30"/>
      <c r="G40" s="30"/>
      <c r="H40" s="31"/>
      <c r="I40" s="30"/>
      <c r="J40" s="32"/>
      <c r="K40" s="32"/>
      <c r="L40" s="33"/>
      <c r="M40" s="28"/>
      <c r="N40" s="28"/>
      <c r="O40" s="28"/>
      <c r="P40" s="28"/>
      <c r="Q40" s="28"/>
      <c r="R40" s="28"/>
      <c r="S40" s="28"/>
      <c r="T40" s="28"/>
      <c r="U40" s="28"/>
      <c r="V40" s="28"/>
      <c r="W40" s="28"/>
      <c r="X40" s="28"/>
      <c r="Y40" s="28"/>
      <c r="Z40" s="28"/>
      <c r="AA40" s="28"/>
      <c r="AB40" s="28"/>
    </row>
    <row r="41">
      <c r="A41" s="34"/>
      <c r="B41" s="35"/>
      <c r="C41" s="30"/>
      <c r="D41" s="30"/>
      <c r="E41" s="30"/>
      <c r="F41" s="30"/>
      <c r="G41" s="30"/>
      <c r="H41" s="31"/>
      <c r="I41" s="30"/>
      <c r="J41" s="32"/>
      <c r="K41" s="32"/>
      <c r="L41" s="33"/>
      <c r="M41" s="28"/>
      <c r="N41" s="28"/>
      <c r="O41" s="28"/>
      <c r="P41" s="28"/>
      <c r="Q41" s="28"/>
      <c r="R41" s="28"/>
      <c r="S41" s="28"/>
      <c r="T41" s="28"/>
      <c r="U41" s="28"/>
      <c r="V41" s="28"/>
      <c r="W41" s="28"/>
      <c r="X41" s="28"/>
      <c r="Y41" s="28"/>
      <c r="Z41" s="28"/>
      <c r="AA41" s="28"/>
      <c r="AB41" s="28"/>
    </row>
    <row r="42">
      <c r="A42" s="34"/>
      <c r="B42" s="35"/>
      <c r="C42" s="30"/>
      <c r="D42" s="30"/>
      <c r="E42" s="30"/>
      <c r="F42" s="30"/>
      <c r="G42" s="30"/>
      <c r="H42" s="31"/>
      <c r="I42" s="30"/>
      <c r="J42" s="32"/>
      <c r="K42" s="32"/>
      <c r="L42" s="33"/>
      <c r="M42" s="28"/>
      <c r="N42" s="28"/>
      <c r="O42" s="28"/>
      <c r="P42" s="28"/>
      <c r="Q42" s="28"/>
      <c r="R42" s="28"/>
      <c r="S42" s="28"/>
      <c r="T42" s="28"/>
      <c r="U42" s="28"/>
      <c r="V42" s="28"/>
      <c r="W42" s="28"/>
      <c r="X42" s="28"/>
      <c r="Y42" s="28"/>
      <c r="Z42" s="28"/>
      <c r="AA42" s="28"/>
      <c r="AB42" s="28"/>
    </row>
    <row r="43">
      <c r="A43" s="34"/>
      <c r="B43" s="35"/>
      <c r="C43" s="30"/>
      <c r="D43" s="30"/>
      <c r="E43" s="30"/>
      <c r="F43" s="30"/>
      <c r="G43" s="30"/>
      <c r="H43" s="31"/>
      <c r="I43" s="30"/>
      <c r="J43" s="32"/>
      <c r="K43" s="32"/>
      <c r="L43" s="33"/>
      <c r="M43" s="28"/>
      <c r="N43" s="28"/>
      <c r="O43" s="28"/>
      <c r="P43" s="28"/>
      <c r="Q43" s="28"/>
      <c r="R43" s="28"/>
      <c r="S43" s="28"/>
      <c r="T43" s="28"/>
      <c r="U43" s="28"/>
      <c r="V43" s="28"/>
      <c r="W43" s="28"/>
      <c r="X43" s="28"/>
      <c r="Y43" s="28"/>
      <c r="Z43" s="28"/>
      <c r="AA43" s="28"/>
      <c r="AB43" s="28"/>
    </row>
    <row r="44">
      <c r="A44" s="34"/>
      <c r="B44" s="35"/>
      <c r="C44" s="30"/>
      <c r="D44" s="30"/>
      <c r="E44" s="30"/>
      <c r="F44" s="30"/>
      <c r="G44" s="30"/>
      <c r="H44" s="31"/>
      <c r="I44" s="30"/>
      <c r="J44" s="32"/>
      <c r="K44" s="32"/>
      <c r="L44" s="33"/>
      <c r="M44" s="28"/>
      <c r="N44" s="28"/>
      <c r="O44" s="28"/>
      <c r="P44" s="28"/>
      <c r="Q44" s="28"/>
      <c r="R44" s="28"/>
      <c r="S44" s="28"/>
      <c r="T44" s="28"/>
      <c r="U44" s="28"/>
      <c r="V44" s="28"/>
      <c r="W44" s="28"/>
      <c r="X44" s="28"/>
      <c r="Y44" s="28"/>
      <c r="Z44" s="28"/>
      <c r="AA44" s="28"/>
      <c r="AB44" s="28"/>
    </row>
    <row r="45">
      <c r="A45" s="34"/>
      <c r="B45" s="35"/>
      <c r="C45" s="30"/>
      <c r="D45" s="30"/>
      <c r="E45" s="30"/>
      <c r="F45" s="30"/>
      <c r="G45" s="30"/>
      <c r="H45" s="31"/>
      <c r="I45" s="30"/>
      <c r="J45" s="32"/>
      <c r="K45" s="32"/>
      <c r="L45" s="33"/>
      <c r="M45" s="28"/>
      <c r="N45" s="28"/>
      <c r="O45" s="28"/>
      <c r="P45" s="28"/>
      <c r="Q45" s="28"/>
      <c r="R45" s="28"/>
      <c r="S45" s="28"/>
      <c r="T45" s="28"/>
      <c r="U45" s="28"/>
      <c r="V45" s="28"/>
      <c r="W45" s="28"/>
      <c r="X45" s="28"/>
      <c r="Y45" s="28"/>
      <c r="Z45" s="28"/>
      <c r="AA45" s="28"/>
      <c r="AB45" s="28"/>
    </row>
    <row r="46">
      <c r="A46" s="34"/>
      <c r="B46" s="35"/>
      <c r="C46" s="30"/>
      <c r="D46" s="30"/>
      <c r="E46" s="30"/>
      <c r="F46" s="30"/>
      <c r="G46" s="30"/>
      <c r="H46" s="31"/>
      <c r="I46" s="30"/>
      <c r="J46" s="32"/>
      <c r="K46" s="32"/>
      <c r="L46" s="33"/>
      <c r="M46" s="28"/>
      <c r="N46" s="28"/>
      <c r="O46" s="28"/>
      <c r="P46" s="28"/>
      <c r="Q46" s="28"/>
      <c r="R46" s="28"/>
      <c r="S46" s="28"/>
      <c r="T46" s="28"/>
      <c r="U46" s="28"/>
      <c r="V46" s="28"/>
      <c r="W46" s="28"/>
      <c r="X46" s="28"/>
      <c r="Y46" s="28"/>
      <c r="Z46" s="28"/>
      <c r="AA46" s="28"/>
      <c r="AB46" s="28"/>
    </row>
    <row r="47">
      <c r="A47" s="34"/>
      <c r="B47" s="35"/>
      <c r="C47" s="30"/>
      <c r="D47" s="30"/>
      <c r="E47" s="30"/>
      <c r="F47" s="30"/>
      <c r="G47" s="30"/>
      <c r="H47" s="31"/>
      <c r="I47" s="30"/>
      <c r="J47" s="32"/>
      <c r="K47" s="32"/>
      <c r="L47" s="33"/>
      <c r="M47" s="28"/>
      <c r="N47" s="28"/>
      <c r="O47" s="28"/>
      <c r="P47" s="28"/>
      <c r="Q47" s="28"/>
      <c r="R47" s="28"/>
      <c r="S47" s="28"/>
      <c r="T47" s="28"/>
      <c r="U47" s="28"/>
      <c r="V47" s="28"/>
      <c r="W47" s="28"/>
      <c r="X47" s="28"/>
      <c r="Y47" s="28"/>
      <c r="Z47" s="28"/>
      <c r="AA47" s="28"/>
      <c r="AB47" s="28"/>
    </row>
    <row r="48">
      <c r="A48" s="34"/>
      <c r="B48" s="35"/>
      <c r="C48" s="30"/>
      <c r="D48" s="30"/>
      <c r="E48" s="30"/>
      <c r="F48" s="30"/>
      <c r="G48" s="30"/>
      <c r="H48" s="31"/>
      <c r="I48" s="30"/>
      <c r="J48" s="32"/>
      <c r="K48" s="32"/>
      <c r="L48" s="33"/>
      <c r="M48" s="28"/>
      <c r="N48" s="28"/>
      <c r="O48" s="28"/>
      <c r="P48" s="28"/>
      <c r="Q48" s="28"/>
      <c r="R48" s="28"/>
      <c r="S48" s="28"/>
      <c r="T48" s="28"/>
      <c r="U48" s="28"/>
      <c r="V48" s="28"/>
      <c r="W48" s="28"/>
      <c r="X48" s="28"/>
      <c r="Y48" s="28"/>
      <c r="Z48" s="28"/>
      <c r="AA48" s="28"/>
      <c r="AB48" s="28"/>
    </row>
    <row r="49">
      <c r="A49" s="34"/>
      <c r="B49" s="35"/>
      <c r="C49" s="30"/>
      <c r="D49" s="30"/>
      <c r="E49" s="30"/>
      <c r="F49" s="30"/>
      <c r="G49" s="30"/>
      <c r="H49" s="31"/>
      <c r="I49" s="30"/>
      <c r="J49" s="32"/>
      <c r="K49" s="32"/>
      <c r="L49" s="33"/>
      <c r="M49" s="28"/>
      <c r="N49" s="28"/>
      <c r="O49" s="28"/>
      <c r="P49" s="28"/>
      <c r="Q49" s="28"/>
      <c r="R49" s="28"/>
      <c r="S49" s="28"/>
      <c r="T49" s="28"/>
      <c r="U49" s="28"/>
      <c r="V49" s="28"/>
      <c r="W49" s="28"/>
      <c r="X49" s="28"/>
      <c r="Y49" s="28"/>
      <c r="Z49" s="28"/>
      <c r="AA49" s="28"/>
      <c r="AB49" s="28"/>
    </row>
    <row r="50">
      <c r="A50" s="34"/>
      <c r="B50" s="35"/>
      <c r="C50" s="30"/>
      <c r="D50" s="30"/>
      <c r="E50" s="30"/>
      <c r="F50" s="30"/>
      <c r="G50" s="30"/>
      <c r="H50" s="31"/>
      <c r="I50" s="30"/>
      <c r="J50" s="32"/>
      <c r="K50" s="32"/>
      <c r="L50" s="33"/>
      <c r="M50" s="28"/>
      <c r="N50" s="28"/>
      <c r="O50" s="28"/>
      <c r="P50" s="28"/>
      <c r="Q50" s="28"/>
      <c r="R50" s="28"/>
      <c r="S50" s="28"/>
      <c r="T50" s="28"/>
      <c r="U50" s="28"/>
      <c r="V50" s="28"/>
      <c r="W50" s="28"/>
      <c r="X50" s="28"/>
      <c r="Y50" s="28"/>
      <c r="Z50" s="28"/>
      <c r="AA50" s="28"/>
      <c r="AB50" s="28"/>
    </row>
    <row r="51">
      <c r="A51" s="34"/>
      <c r="B51" s="35"/>
      <c r="C51" s="30"/>
      <c r="D51" s="30"/>
      <c r="E51" s="30"/>
      <c r="F51" s="30"/>
      <c r="G51" s="30"/>
      <c r="H51" s="31"/>
      <c r="I51" s="30"/>
      <c r="J51" s="32"/>
      <c r="K51" s="32"/>
      <c r="L51" s="33"/>
      <c r="M51" s="28"/>
      <c r="N51" s="28"/>
      <c r="O51" s="28"/>
      <c r="P51" s="28"/>
      <c r="Q51" s="28"/>
      <c r="R51" s="28"/>
      <c r="S51" s="28"/>
      <c r="T51" s="28"/>
      <c r="U51" s="28"/>
      <c r="V51" s="28"/>
      <c r="W51" s="28"/>
      <c r="X51" s="28"/>
      <c r="Y51" s="28"/>
      <c r="Z51" s="28"/>
      <c r="AA51" s="28"/>
      <c r="AB51" s="28"/>
    </row>
    <row r="52">
      <c r="A52" s="34"/>
      <c r="B52" s="35"/>
      <c r="C52" s="30"/>
      <c r="D52" s="30"/>
      <c r="E52" s="30"/>
      <c r="F52" s="30"/>
      <c r="G52" s="30"/>
      <c r="H52" s="31"/>
      <c r="I52" s="30"/>
      <c r="J52" s="32"/>
      <c r="K52" s="32"/>
      <c r="L52" s="33"/>
      <c r="M52" s="28"/>
      <c r="N52" s="28"/>
      <c r="O52" s="28"/>
      <c r="P52" s="28"/>
      <c r="Q52" s="28"/>
      <c r="R52" s="28"/>
      <c r="S52" s="28"/>
      <c r="T52" s="28"/>
      <c r="U52" s="28"/>
      <c r="V52" s="28"/>
      <c r="W52" s="28"/>
      <c r="X52" s="28"/>
      <c r="Y52" s="28"/>
      <c r="Z52" s="28"/>
      <c r="AA52" s="28"/>
      <c r="AB52" s="28"/>
    </row>
    <row r="53">
      <c r="A53" s="34"/>
      <c r="B53" s="35"/>
      <c r="C53" s="30"/>
      <c r="D53" s="30"/>
      <c r="E53" s="30"/>
      <c r="F53" s="30"/>
      <c r="G53" s="30"/>
      <c r="H53" s="31"/>
      <c r="I53" s="30"/>
      <c r="J53" s="32"/>
      <c r="K53" s="32"/>
      <c r="L53" s="33"/>
      <c r="M53" s="28"/>
      <c r="N53" s="28"/>
      <c r="O53" s="28"/>
      <c r="P53" s="28"/>
      <c r="Q53" s="28"/>
      <c r="R53" s="28"/>
      <c r="S53" s="28"/>
      <c r="T53" s="28"/>
      <c r="U53" s="28"/>
      <c r="V53" s="28"/>
      <c r="W53" s="28"/>
      <c r="X53" s="28"/>
      <c r="Y53" s="28"/>
      <c r="Z53" s="28"/>
      <c r="AA53" s="28"/>
      <c r="AB53" s="28"/>
    </row>
    <row r="54">
      <c r="A54" s="34"/>
      <c r="B54" s="35"/>
      <c r="C54" s="30"/>
      <c r="D54" s="30"/>
      <c r="E54" s="30"/>
      <c r="F54" s="30"/>
      <c r="G54" s="30"/>
      <c r="H54" s="31"/>
      <c r="I54" s="30"/>
      <c r="J54" s="32"/>
      <c r="K54" s="32"/>
      <c r="L54" s="33"/>
      <c r="M54" s="28"/>
      <c r="N54" s="28"/>
      <c r="O54" s="28"/>
      <c r="P54" s="28"/>
      <c r="Q54" s="28"/>
      <c r="R54" s="28"/>
      <c r="S54" s="28"/>
      <c r="T54" s="28"/>
      <c r="U54" s="28"/>
      <c r="V54" s="28"/>
      <c r="W54" s="28"/>
      <c r="X54" s="28"/>
      <c r="Y54" s="28"/>
      <c r="Z54" s="28"/>
      <c r="AA54" s="28"/>
      <c r="AB54" s="28"/>
    </row>
    <row r="55">
      <c r="A55" s="34"/>
      <c r="B55" s="35"/>
      <c r="C55" s="30"/>
      <c r="D55" s="30"/>
      <c r="E55" s="30"/>
      <c r="F55" s="30"/>
      <c r="G55" s="30"/>
      <c r="H55" s="31"/>
      <c r="I55" s="30"/>
      <c r="J55" s="32"/>
      <c r="K55" s="32"/>
      <c r="L55" s="33"/>
      <c r="M55" s="28"/>
      <c r="N55" s="28"/>
      <c r="O55" s="28"/>
      <c r="P55" s="28"/>
      <c r="Q55" s="28"/>
      <c r="R55" s="28"/>
      <c r="S55" s="28"/>
      <c r="T55" s="28"/>
      <c r="U55" s="28"/>
      <c r="V55" s="28"/>
      <c r="W55" s="28"/>
      <c r="X55" s="28"/>
      <c r="Y55" s="28"/>
      <c r="Z55" s="28"/>
      <c r="AA55" s="28"/>
      <c r="AB55" s="28"/>
    </row>
    <row r="56">
      <c r="A56" s="34"/>
      <c r="B56" s="35"/>
      <c r="C56" s="30"/>
      <c r="D56" s="30"/>
      <c r="E56" s="30"/>
      <c r="F56" s="30"/>
      <c r="G56" s="30"/>
      <c r="H56" s="31"/>
      <c r="I56" s="30"/>
      <c r="J56" s="32"/>
      <c r="K56" s="32"/>
      <c r="L56" s="33"/>
      <c r="M56" s="28"/>
      <c r="N56" s="28"/>
      <c r="O56" s="28"/>
      <c r="P56" s="28"/>
      <c r="Q56" s="28"/>
      <c r="R56" s="28"/>
      <c r="S56" s="28"/>
      <c r="T56" s="28"/>
      <c r="U56" s="28"/>
      <c r="V56" s="28"/>
      <c r="W56" s="28"/>
      <c r="X56" s="28"/>
      <c r="Y56" s="28"/>
      <c r="Z56" s="28"/>
      <c r="AA56" s="28"/>
      <c r="AB56" s="28"/>
    </row>
    <row r="57">
      <c r="A57" s="34"/>
      <c r="B57" s="35"/>
      <c r="C57" s="30"/>
      <c r="D57" s="30"/>
      <c r="E57" s="30"/>
      <c r="F57" s="30"/>
      <c r="G57" s="30"/>
      <c r="H57" s="31"/>
      <c r="I57" s="30"/>
      <c r="J57" s="32"/>
      <c r="K57" s="32"/>
      <c r="L57" s="33"/>
      <c r="M57" s="28"/>
      <c r="N57" s="28"/>
      <c r="O57" s="28"/>
      <c r="P57" s="28"/>
      <c r="Q57" s="28"/>
      <c r="R57" s="28"/>
      <c r="S57" s="28"/>
      <c r="T57" s="28"/>
      <c r="U57" s="28"/>
      <c r="V57" s="28"/>
      <c r="W57" s="28"/>
      <c r="X57" s="28"/>
      <c r="Y57" s="28"/>
      <c r="Z57" s="28"/>
      <c r="AA57" s="28"/>
      <c r="AB57" s="28"/>
    </row>
    <row r="58">
      <c r="A58" s="34"/>
      <c r="B58" s="35"/>
      <c r="C58" s="30"/>
      <c r="D58" s="30"/>
      <c r="E58" s="30"/>
      <c r="F58" s="30"/>
      <c r="G58" s="30"/>
      <c r="H58" s="31"/>
      <c r="I58" s="30"/>
      <c r="J58" s="32"/>
      <c r="K58" s="32"/>
      <c r="L58" s="33"/>
      <c r="M58" s="28"/>
      <c r="N58" s="28"/>
      <c r="O58" s="28"/>
      <c r="P58" s="28"/>
      <c r="Q58" s="28"/>
      <c r="R58" s="28"/>
      <c r="S58" s="28"/>
      <c r="T58" s="28"/>
      <c r="U58" s="28"/>
      <c r="V58" s="28"/>
      <c r="W58" s="28"/>
      <c r="X58" s="28"/>
      <c r="Y58" s="28"/>
      <c r="Z58" s="28"/>
      <c r="AA58" s="28"/>
      <c r="AB58" s="28"/>
    </row>
    <row r="59">
      <c r="A59" s="34"/>
      <c r="B59" s="35"/>
      <c r="C59" s="30"/>
      <c r="D59" s="30"/>
      <c r="E59" s="30"/>
      <c r="F59" s="30"/>
      <c r="G59" s="30"/>
      <c r="H59" s="31"/>
      <c r="I59" s="30"/>
      <c r="J59" s="32"/>
      <c r="K59" s="32"/>
      <c r="L59" s="33"/>
      <c r="M59" s="28"/>
      <c r="N59" s="28"/>
      <c r="O59" s="28"/>
      <c r="P59" s="28"/>
      <c r="Q59" s="28"/>
      <c r="R59" s="28"/>
      <c r="S59" s="28"/>
      <c r="T59" s="28"/>
      <c r="U59" s="28"/>
      <c r="V59" s="28"/>
      <c r="W59" s="28"/>
      <c r="X59" s="28"/>
      <c r="Y59" s="28"/>
      <c r="Z59" s="28"/>
      <c r="AA59" s="28"/>
      <c r="AB59" s="28"/>
    </row>
    <row r="60">
      <c r="A60" s="34"/>
      <c r="B60" s="35"/>
      <c r="C60" s="30"/>
      <c r="D60" s="30"/>
      <c r="E60" s="30"/>
      <c r="F60" s="30"/>
      <c r="G60" s="30"/>
      <c r="H60" s="31"/>
      <c r="I60" s="30"/>
      <c r="J60" s="32"/>
      <c r="K60" s="32"/>
      <c r="L60" s="33"/>
      <c r="M60" s="28"/>
      <c r="N60" s="28"/>
      <c r="O60" s="28"/>
      <c r="P60" s="28"/>
      <c r="Q60" s="28"/>
      <c r="R60" s="28"/>
      <c r="S60" s="28"/>
      <c r="T60" s="28"/>
      <c r="U60" s="28"/>
      <c r="V60" s="28"/>
      <c r="W60" s="28"/>
      <c r="X60" s="28"/>
      <c r="Y60" s="28"/>
      <c r="Z60" s="28"/>
      <c r="AA60" s="28"/>
      <c r="AB60" s="28"/>
    </row>
    <row r="61">
      <c r="A61" s="34"/>
      <c r="B61" s="35"/>
      <c r="C61" s="30"/>
      <c r="D61" s="30"/>
      <c r="E61" s="30"/>
      <c r="F61" s="30"/>
      <c r="G61" s="30"/>
      <c r="H61" s="31"/>
      <c r="I61" s="30"/>
      <c r="J61" s="32"/>
      <c r="K61" s="32"/>
      <c r="L61" s="33"/>
      <c r="M61" s="28"/>
      <c r="N61" s="28"/>
      <c r="O61" s="28"/>
      <c r="P61" s="28"/>
      <c r="Q61" s="28"/>
      <c r="R61" s="28"/>
      <c r="S61" s="28"/>
      <c r="T61" s="28"/>
      <c r="U61" s="28"/>
      <c r="V61" s="28"/>
      <c r="W61" s="28"/>
      <c r="X61" s="28"/>
      <c r="Y61" s="28"/>
      <c r="Z61" s="28"/>
      <c r="AA61" s="28"/>
      <c r="AB61" s="28"/>
    </row>
    <row r="62">
      <c r="A62" s="34"/>
      <c r="B62" s="35"/>
      <c r="C62" s="30"/>
      <c r="D62" s="30"/>
      <c r="E62" s="30"/>
      <c r="F62" s="30"/>
      <c r="G62" s="30"/>
      <c r="H62" s="31"/>
      <c r="I62" s="30"/>
      <c r="J62" s="32"/>
      <c r="K62" s="32"/>
      <c r="L62" s="33"/>
      <c r="M62" s="28"/>
      <c r="N62" s="28"/>
      <c r="O62" s="28"/>
      <c r="P62" s="28"/>
      <c r="Q62" s="28"/>
      <c r="R62" s="28"/>
      <c r="S62" s="28"/>
      <c r="T62" s="28"/>
      <c r="U62" s="28"/>
      <c r="V62" s="28"/>
      <c r="W62" s="28"/>
      <c r="X62" s="28"/>
      <c r="Y62" s="28"/>
      <c r="Z62" s="28"/>
      <c r="AA62" s="28"/>
      <c r="AB62" s="28"/>
    </row>
    <row r="63">
      <c r="A63" s="34"/>
      <c r="B63" s="35"/>
      <c r="C63" s="30"/>
      <c r="D63" s="30"/>
      <c r="E63" s="30"/>
      <c r="F63" s="30"/>
      <c r="G63" s="30"/>
      <c r="H63" s="31"/>
      <c r="I63" s="30"/>
      <c r="J63" s="32"/>
      <c r="K63" s="32"/>
      <c r="L63" s="33"/>
      <c r="M63" s="28"/>
      <c r="N63" s="28"/>
      <c r="O63" s="28"/>
      <c r="P63" s="28"/>
      <c r="Q63" s="28"/>
      <c r="R63" s="28"/>
      <c r="S63" s="28"/>
      <c r="T63" s="28"/>
      <c r="U63" s="28"/>
      <c r="V63" s="28"/>
      <c r="W63" s="28"/>
      <c r="X63" s="28"/>
      <c r="Y63" s="28"/>
      <c r="Z63" s="28"/>
      <c r="AA63" s="28"/>
      <c r="AB63" s="28"/>
    </row>
    <row r="64">
      <c r="A64" s="34"/>
      <c r="B64" s="35"/>
      <c r="C64" s="30"/>
      <c r="D64" s="30"/>
      <c r="E64" s="30"/>
      <c r="F64" s="30"/>
      <c r="G64" s="30"/>
      <c r="H64" s="31"/>
      <c r="I64" s="30"/>
      <c r="J64" s="32"/>
      <c r="K64" s="32"/>
      <c r="L64" s="33"/>
      <c r="M64" s="28"/>
      <c r="N64" s="28"/>
      <c r="O64" s="28"/>
      <c r="P64" s="28"/>
      <c r="Q64" s="28"/>
      <c r="R64" s="28"/>
      <c r="S64" s="28"/>
      <c r="T64" s="28"/>
      <c r="U64" s="28"/>
      <c r="V64" s="28"/>
      <c r="W64" s="28"/>
      <c r="X64" s="28"/>
      <c r="Y64" s="28"/>
      <c r="Z64" s="28"/>
      <c r="AA64" s="28"/>
      <c r="AB64" s="28"/>
    </row>
    <row r="65">
      <c r="A65" s="34"/>
      <c r="B65" s="35"/>
      <c r="C65" s="30"/>
      <c r="D65" s="30"/>
      <c r="E65" s="30"/>
      <c r="F65" s="30"/>
      <c r="G65" s="30"/>
      <c r="H65" s="31"/>
      <c r="I65" s="30"/>
      <c r="J65" s="32"/>
      <c r="K65" s="32"/>
      <c r="L65" s="33"/>
      <c r="M65" s="28"/>
      <c r="N65" s="28"/>
      <c r="O65" s="28"/>
      <c r="P65" s="28"/>
      <c r="Q65" s="28"/>
      <c r="R65" s="28"/>
      <c r="S65" s="28"/>
      <c r="T65" s="28"/>
      <c r="U65" s="28"/>
      <c r="V65" s="28"/>
      <c r="W65" s="28"/>
      <c r="X65" s="28"/>
      <c r="Y65" s="28"/>
      <c r="Z65" s="28"/>
      <c r="AA65" s="28"/>
      <c r="AB65" s="28"/>
    </row>
    <row r="66">
      <c r="A66" s="34"/>
      <c r="B66" s="35"/>
      <c r="C66" s="30"/>
      <c r="D66" s="30"/>
      <c r="E66" s="30"/>
      <c r="F66" s="30"/>
      <c r="G66" s="30"/>
      <c r="H66" s="31"/>
      <c r="I66" s="30"/>
      <c r="J66" s="32"/>
      <c r="K66" s="32"/>
      <c r="L66" s="33"/>
      <c r="M66" s="28"/>
      <c r="N66" s="28"/>
      <c r="O66" s="28"/>
      <c r="P66" s="28"/>
      <c r="Q66" s="28"/>
      <c r="R66" s="28"/>
      <c r="S66" s="28"/>
      <c r="T66" s="28"/>
      <c r="U66" s="28"/>
      <c r="V66" s="28"/>
      <c r="W66" s="28"/>
      <c r="X66" s="28"/>
      <c r="Y66" s="28"/>
      <c r="Z66" s="28"/>
      <c r="AA66" s="28"/>
      <c r="AB66" s="28"/>
    </row>
    <row r="67">
      <c r="A67" s="34"/>
      <c r="B67" s="35"/>
      <c r="C67" s="30"/>
      <c r="D67" s="30"/>
      <c r="E67" s="30"/>
      <c r="F67" s="30"/>
      <c r="G67" s="30"/>
      <c r="H67" s="31"/>
      <c r="I67" s="30"/>
      <c r="J67" s="32"/>
      <c r="K67" s="32"/>
      <c r="L67" s="33"/>
      <c r="M67" s="28"/>
      <c r="N67" s="28"/>
      <c r="O67" s="28"/>
      <c r="P67" s="28"/>
      <c r="Q67" s="28"/>
      <c r="R67" s="28"/>
      <c r="S67" s="28"/>
      <c r="T67" s="28"/>
      <c r="U67" s="28"/>
      <c r="V67" s="28"/>
      <c r="W67" s="28"/>
      <c r="X67" s="28"/>
      <c r="Y67" s="28"/>
      <c r="Z67" s="28"/>
      <c r="AA67" s="28"/>
      <c r="AB67" s="28"/>
    </row>
    <row r="68">
      <c r="A68" s="34"/>
      <c r="B68" s="35"/>
      <c r="C68" s="30"/>
      <c r="D68" s="30"/>
      <c r="E68" s="30"/>
      <c r="F68" s="30"/>
      <c r="G68" s="30"/>
      <c r="H68" s="31"/>
      <c r="I68" s="30"/>
      <c r="J68" s="32"/>
      <c r="K68" s="32"/>
      <c r="L68" s="33"/>
      <c r="M68" s="28"/>
      <c r="N68" s="28"/>
      <c r="O68" s="28"/>
      <c r="P68" s="28"/>
      <c r="Q68" s="28"/>
      <c r="R68" s="28"/>
      <c r="S68" s="28"/>
      <c r="T68" s="28"/>
      <c r="U68" s="28"/>
      <c r="V68" s="28"/>
      <c r="W68" s="28"/>
      <c r="X68" s="28"/>
      <c r="Y68" s="28"/>
      <c r="Z68" s="28"/>
      <c r="AA68" s="28"/>
      <c r="AB68" s="28"/>
    </row>
    <row r="69">
      <c r="A69" s="34"/>
      <c r="B69" s="35"/>
      <c r="C69" s="30"/>
      <c r="D69" s="30"/>
      <c r="E69" s="30"/>
      <c r="F69" s="30"/>
      <c r="G69" s="30"/>
      <c r="H69" s="31"/>
      <c r="I69" s="30"/>
      <c r="J69" s="32"/>
      <c r="K69" s="32"/>
      <c r="L69" s="33"/>
      <c r="M69" s="28"/>
      <c r="N69" s="28"/>
      <c r="O69" s="28"/>
      <c r="P69" s="28"/>
      <c r="Q69" s="28"/>
      <c r="R69" s="28"/>
      <c r="S69" s="28"/>
      <c r="T69" s="28"/>
      <c r="U69" s="28"/>
      <c r="V69" s="28"/>
      <c r="W69" s="28"/>
      <c r="X69" s="28"/>
      <c r="Y69" s="28"/>
      <c r="Z69" s="28"/>
      <c r="AA69" s="28"/>
      <c r="AB69" s="28"/>
    </row>
    <row r="70">
      <c r="A70" s="34"/>
      <c r="B70" s="35"/>
      <c r="C70" s="30"/>
      <c r="D70" s="30"/>
      <c r="E70" s="30"/>
      <c r="F70" s="30"/>
      <c r="G70" s="30"/>
      <c r="H70" s="31"/>
      <c r="I70" s="30"/>
      <c r="J70" s="32"/>
      <c r="K70" s="32"/>
      <c r="L70" s="33"/>
      <c r="M70" s="28"/>
      <c r="N70" s="28"/>
      <c r="O70" s="28"/>
      <c r="P70" s="28"/>
      <c r="Q70" s="28"/>
      <c r="R70" s="28"/>
      <c r="S70" s="28"/>
      <c r="T70" s="28"/>
      <c r="U70" s="28"/>
      <c r="V70" s="28"/>
      <c r="W70" s="28"/>
      <c r="X70" s="28"/>
      <c r="Y70" s="28"/>
      <c r="Z70" s="28"/>
      <c r="AA70" s="28"/>
      <c r="AB70" s="28"/>
    </row>
    <row r="71">
      <c r="A71" s="34"/>
      <c r="B71" s="35"/>
      <c r="C71" s="30"/>
      <c r="D71" s="30"/>
      <c r="E71" s="30"/>
      <c r="F71" s="30"/>
      <c r="G71" s="30"/>
      <c r="H71" s="31"/>
      <c r="I71" s="30"/>
      <c r="J71" s="32"/>
      <c r="K71" s="32"/>
      <c r="L71" s="33"/>
      <c r="M71" s="28"/>
      <c r="N71" s="28"/>
      <c r="O71" s="28"/>
      <c r="P71" s="28"/>
      <c r="Q71" s="28"/>
      <c r="R71" s="28"/>
      <c r="S71" s="28"/>
      <c r="T71" s="28"/>
      <c r="U71" s="28"/>
      <c r="V71" s="28"/>
      <c r="W71" s="28"/>
      <c r="X71" s="28"/>
      <c r="Y71" s="28"/>
      <c r="Z71" s="28"/>
      <c r="AA71" s="28"/>
      <c r="AB71" s="28"/>
    </row>
    <row r="72">
      <c r="A72" s="34"/>
      <c r="B72" s="35"/>
      <c r="C72" s="30"/>
      <c r="D72" s="30"/>
      <c r="E72" s="30"/>
      <c r="F72" s="30"/>
      <c r="G72" s="30"/>
      <c r="H72" s="31"/>
      <c r="I72" s="30"/>
      <c r="J72" s="32"/>
      <c r="K72" s="32"/>
      <c r="L72" s="33"/>
      <c r="M72" s="28"/>
      <c r="N72" s="28"/>
      <c r="O72" s="28"/>
      <c r="P72" s="28"/>
      <c r="Q72" s="28"/>
      <c r="R72" s="28"/>
      <c r="S72" s="28"/>
      <c r="T72" s="28"/>
      <c r="U72" s="28"/>
      <c r="V72" s="28"/>
      <c r="W72" s="28"/>
      <c r="X72" s="28"/>
      <c r="Y72" s="28"/>
      <c r="Z72" s="28"/>
      <c r="AA72" s="28"/>
      <c r="AB72" s="28"/>
    </row>
    <row r="73">
      <c r="A73" s="34"/>
      <c r="B73" s="35"/>
      <c r="C73" s="30"/>
      <c r="D73" s="30"/>
      <c r="E73" s="30"/>
      <c r="F73" s="30"/>
      <c r="G73" s="30"/>
      <c r="H73" s="31"/>
      <c r="I73" s="30"/>
      <c r="J73" s="32"/>
      <c r="K73" s="32"/>
      <c r="L73" s="33"/>
      <c r="M73" s="28"/>
      <c r="N73" s="28"/>
      <c r="O73" s="28"/>
      <c r="P73" s="28"/>
      <c r="Q73" s="28"/>
      <c r="R73" s="28"/>
      <c r="S73" s="28"/>
      <c r="T73" s="28"/>
      <c r="U73" s="28"/>
      <c r="V73" s="28"/>
      <c r="W73" s="28"/>
      <c r="X73" s="28"/>
      <c r="Y73" s="28"/>
      <c r="Z73" s="28"/>
      <c r="AA73" s="28"/>
      <c r="AB73" s="28"/>
    </row>
    <row r="74">
      <c r="A74" s="34"/>
      <c r="B74" s="35"/>
      <c r="C74" s="30"/>
      <c r="D74" s="30"/>
      <c r="E74" s="30"/>
      <c r="F74" s="30"/>
      <c r="G74" s="30"/>
      <c r="H74" s="31"/>
      <c r="I74" s="30"/>
      <c r="J74" s="32"/>
      <c r="K74" s="32"/>
      <c r="L74" s="33"/>
      <c r="M74" s="28"/>
      <c r="N74" s="28"/>
      <c r="O74" s="28"/>
      <c r="P74" s="28"/>
      <c r="Q74" s="28"/>
      <c r="R74" s="28"/>
      <c r="S74" s="28"/>
      <c r="T74" s="28"/>
      <c r="U74" s="28"/>
      <c r="V74" s="28"/>
      <c r="W74" s="28"/>
      <c r="X74" s="28"/>
      <c r="Y74" s="28"/>
      <c r="Z74" s="28"/>
      <c r="AA74" s="28"/>
      <c r="AB74" s="28"/>
    </row>
    <row r="75">
      <c r="A75" s="34"/>
      <c r="B75" s="35"/>
      <c r="C75" s="30"/>
      <c r="D75" s="30"/>
      <c r="E75" s="30"/>
      <c r="F75" s="30"/>
      <c r="G75" s="30"/>
      <c r="H75" s="31"/>
      <c r="I75" s="30"/>
      <c r="J75" s="32"/>
      <c r="K75" s="32"/>
      <c r="L75" s="33"/>
      <c r="M75" s="28"/>
      <c r="N75" s="28"/>
      <c r="O75" s="28"/>
      <c r="P75" s="28"/>
      <c r="Q75" s="28"/>
      <c r="R75" s="28"/>
      <c r="S75" s="28"/>
      <c r="T75" s="28"/>
      <c r="U75" s="28"/>
      <c r="V75" s="28"/>
      <c r="W75" s="28"/>
      <c r="X75" s="28"/>
      <c r="Y75" s="28"/>
      <c r="Z75" s="28"/>
      <c r="AA75" s="28"/>
      <c r="AB75" s="28"/>
    </row>
    <row r="76">
      <c r="A76" s="34"/>
      <c r="B76" s="35"/>
      <c r="C76" s="30"/>
      <c r="D76" s="30"/>
      <c r="E76" s="30"/>
      <c r="F76" s="30"/>
      <c r="G76" s="30"/>
      <c r="H76" s="31"/>
      <c r="I76" s="30"/>
      <c r="J76" s="32"/>
      <c r="K76" s="32"/>
      <c r="L76" s="33"/>
      <c r="M76" s="28"/>
      <c r="N76" s="28"/>
      <c r="O76" s="28"/>
      <c r="P76" s="28"/>
      <c r="Q76" s="28"/>
      <c r="R76" s="28"/>
      <c r="S76" s="28"/>
      <c r="T76" s="28"/>
      <c r="U76" s="28"/>
      <c r="V76" s="28"/>
      <c r="W76" s="28"/>
      <c r="X76" s="28"/>
      <c r="Y76" s="28"/>
      <c r="Z76" s="28"/>
      <c r="AA76" s="28"/>
      <c r="AB76" s="28"/>
    </row>
    <row r="77">
      <c r="A77" s="34"/>
      <c r="B77" s="35"/>
      <c r="C77" s="30"/>
      <c r="D77" s="30"/>
      <c r="E77" s="30"/>
      <c r="F77" s="30"/>
      <c r="G77" s="30"/>
      <c r="H77" s="31"/>
      <c r="I77" s="30"/>
      <c r="J77" s="32"/>
      <c r="K77" s="32"/>
      <c r="L77" s="33"/>
      <c r="M77" s="28"/>
      <c r="N77" s="28"/>
      <c r="O77" s="28"/>
      <c r="P77" s="28"/>
      <c r="Q77" s="28"/>
      <c r="R77" s="28"/>
      <c r="S77" s="28"/>
      <c r="T77" s="28"/>
      <c r="U77" s="28"/>
      <c r="V77" s="28"/>
      <c r="W77" s="28"/>
      <c r="X77" s="28"/>
      <c r="Y77" s="28"/>
      <c r="Z77" s="28"/>
      <c r="AA77" s="28"/>
      <c r="AB77" s="28"/>
    </row>
    <row r="78">
      <c r="A78" s="34"/>
      <c r="B78" s="35"/>
      <c r="C78" s="30"/>
      <c r="D78" s="30"/>
      <c r="E78" s="30"/>
      <c r="F78" s="30"/>
      <c r="G78" s="30"/>
      <c r="H78" s="31"/>
      <c r="I78" s="30"/>
      <c r="J78" s="32"/>
      <c r="K78" s="32"/>
      <c r="L78" s="33"/>
      <c r="M78" s="28"/>
      <c r="N78" s="28"/>
      <c r="O78" s="28"/>
      <c r="P78" s="28"/>
      <c r="Q78" s="28"/>
      <c r="R78" s="28"/>
      <c r="S78" s="28"/>
      <c r="T78" s="28"/>
      <c r="U78" s="28"/>
      <c r="V78" s="28"/>
      <c r="W78" s="28"/>
      <c r="X78" s="28"/>
      <c r="Y78" s="28"/>
      <c r="Z78" s="28"/>
      <c r="AA78" s="28"/>
      <c r="AB78" s="28"/>
    </row>
    <row r="79">
      <c r="A79" s="34"/>
      <c r="B79" s="35"/>
      <c r="C79" s="30"/>
      <c r="D79" s="30"/>
      <c r="E79" s="30"/>
      <c r="F79" s="30"/>
      <c r="G79" s="30"/>
      <c r="H79" s="31"/>
      <c r="I79" s="30"/>
      <c r="J79" s="32"/>
      <c r="K79" s="32"/>
      <c r="L79" s="33"/>
      <c r="M79" s="28"/>
      <c r="N79" s="28"/>
      <c r="O79" s="28"/>
      <c r="P79" s="28"/>
      <c r="Q79" s="28"/>
      <c r="R79" s="28"/>
      <c r="S79" s="28"/>
      <c r="T79" s="28"/>
      <c r="U79" s="28"/>
      <c r="V79" s="28"/>
      <c r="W79" s="28"/>
      <c r="X79" s="28"/>
      <c r="Y79" s="28"/>
      <c r="Z79" s="28"/>
      <c r="AA79" s="28"/>
      <c r="AB79" s="28"/>
    </row>
    <row r="80">
      <c r="A80" s="34"/>
      <c r="B80" s="35"/>
      <c r="C80" s="30"/>
      <c r="D80" s="30"/>
      <c r="E80" s="30"/>
      <c r="F80" s="30"/>
      <c r="G80" s="30"/>
      <c r="H80" s="31"/>
      <c r="I80" s="30"/>
      <c r="J80" s="32"/>
      <c r="K80" s="32"/>
      <c r="L80" s="33"/>
      <c r="M80" s="28"/>
      <c r="N80" s="28"/>
      <c r="O80" s="28"/>
      <c r="P80" s="28"/>
      <c r="Q80" s="28"/>
      <c r="R80" s="28"/>
      <c r="S80" s="28"/>
      <c r="T80" s="28"/>
      <c r="U80" s="28"/>
      <c r="V80" s="28"/>
      <c r="W80" s="28"/>
      <c r="X80" s="28"/>
      <c r="Y80" s="28"/>
      <c r="Z80" s="28"/>
      <c r="AA80" s="28"/>
      <c r="AB80" s="28"/>
    </row>
    <row r="81">
      <c r="A81" s="34"/>
      <c r="B81" s="35"/>
      <c r="C81" s="30"/>
      <c r="D81" s="30"/>
      <c r="E81" s="30"/>
      <c r="F81" s="30"/>
      <c r="G81" s="30"/>
      <c r="H81" s="31"/>
      <c r="I81" s="30"/>
      <c r="J81" s="32"/>
      <c r="K81" s="32"/>
      <c r="L81" s="33"/>
      <c r="M81" s="28"/>
      <c r="N81" s="28"/>
      <c r="O81" s="28"/>
      <c r="P81" s="28"/>
      <c r="Q81" s="28"/>
      <c r="R81" s="28"/>
      <c r="S81" s="28"/>
      <c r="T81" s="28"/>
      <c r="U81" s="28"/>
      <c r="V81" s="28"/>
      <c r="W81" s="28"/>
      <c r="X81" s="28"/>
      <c r="Y81" s="28"/>
      <c r="Z81" s="28"/>
      <c r="AA81" s="28"/>
      <c r="AB81" s="28"/>
    </row>
    <row r="82">
      <c r="A82" s="34"/>
      <c r="B82" s="35"/>
      <c r="C82" s="30"/>
      <c r="D82" s="30"/>
      <c r="E82" s="30"/>
      <c r="F82" s="30"/>
      <c r="G82" s="30"/>
      <c r="H82" s="31"/>
      <c r="I82" s="30"/>
      <c r="J82" s="32"/>
      <c r="K82" s="32"/>
      <c r="L82" s="33"/>
      <c r="M82" s="28"/>
      <c r="N82" s="28"/>
      <c r="O82" s="28"/>
      <c r="P82" s="28"/>
      <c r="Q82" s="28"/>
      <c r="R82" s="28"/>
      <c r="S82" s="28"/>
      <c r="T82" s="28"/>
      <c r="U82" s="28"/>
      <c r="V82" s="28"/>
      <c r="W82" s="28"/>
      <c r="X82" s="28"/>
      <c r="Y82" s="28"/>
      <c r="Z82" s="28"/>
      <c r="AA82" s="28"/>
      <c r="AB82" s="28"/>
    </row>
    <row r="83">
      <c r="A83" s="34"/>
      <c r="B83" s="35"/>
      <c r="C83" s="30"/>
      <c r="D83" s="30"/>
      <c r="E83" s="30"/>
      <c r="F83" s="30"/>
      <c r="G83" s="30"/>
      <c r="H83" s="31"/>
      <c r="I83" s="30"/>
      <c r="J83" s="32"/>
      <c r="K83" s="32"/>
      <c r="L83" s="33"/>
      <c r="M83" s="28"/>
      <c r="N83" s="28"/>
      <c r="O83" s="28"/>
      <c r="P83" s="28"/>
      <c r="Q83" s="28"/>
      <c r="R83" s="28"/>
      <c r="S83" s="28"/>
      <c r="T83" s="28"/>
      <c r="U83" s="28"/>
      <c r="V83" s="28"/>
      <c r="W83" s="28"/>
      <c r="X83" s="28"/>
      <c r="Y83" s="28"/>
      <c r="Z83" s="28"/>
      <c r="AA83" s="28"/>
      <c r="AB83" s="28"/>
    </row>
    <row r="84">
      <c r="A84" s="34"/>
      <c r="B84" s="35"/>
      <c r="C84" s="30"/>
      <c r="D84" s="30"/>
      <c r="E84" s="30"/>
      <c r="F84" s="30"/>
      <c r="G84" s="30"/>
      <c r="H84" s="31"/>
      <c r="I84" s="30"/>
      <c r="J84" s="32"/>
      <c r="K84" s="32"/>
      <c r="L84" s="33"/>
      <c r="M84" s="28"/>
      <c r="N84" s="28"/>
      <c r="O84" s="28"/>
      <c r="P84" s="28"/>
      <c r="Q84" s="28"/>
      <c r="R84" s="28"/>
      <c r="S84" s="28"/>
      <c r="T84" s="28"/>
      <c r="U84" s="28"/>
      <c r="V84" s="28"/>
      <c r="W84" s="28"/>
      <c r="X84" s="28"/>
      <c r="Y84" s="28"/>
      <c r="Z84" s="28"/>
      <c r="AA84" s="28"/>
      <c r="AB84" s="28"/>
    </row>
    <row r="85">
      <c r="A85" s="34"/>
      <c r="B85" s="35"/>
      <c r="C85" s="30"/>
      <c r="D85" s="30"/>
      <c r="E85" s="30"/>
      <c r="F85" s="30"/>
      <c r="G85" s="30"/>
      <c r="H85" s="31"/>
      <c r="I85" s="30"/>
      <c r="J85" s="32"/>
      <c r="K85" s="32"/>
      <c r="L85" s="33"/>
      <c r="M85" s="28"/>
      <c r="N85" s="28"/>
      <c r="O85" s="28"/>
      <c r="P85" s="28"/>
      <c r="Q85" s="28"/>
      <c r="R85" s="28"/>
      <c r="S85" s="28"/>
      <c r="T85" s="28"/>
      <c r="U85" s="28"/>
      <c r="V85" s="28"/>
      <c r="W85" s="28"/>
      <c r="X85" s="28"/>
      <c r="Y85" s="28"/>
      <c r="Z85" s="28"/>
      <c r="AA85" s="28"/>
      <c r="AB85" s="28"/>
    </row>
    <row r="86">
      <c r="A86" s="34"/>
      <c r="B86" s="35"/>
      <c r="C86" s="30"/>
      <c r="D86" s="30"/>
      <c r="E86" s="30"/>
      <c r="F86" s="30"/>
      <c r="G86" s="30"/>
      <c r="H86" s="31"/>
      <c r="I86" s="30"/>
      <c r="J86" s="32"/>
      <c r="K86" s="32"/>
      <c r="L86" s="33"/>
      <c r="M86" s="28"/>
      <c r="N86" s="28"/>
      <c r="O86" s="28"/>
      <c r="P86" s="28"/>
      <c r="Q86" s="28"/>
      <c r="R86" s="28"/>
      <c r="S86" s="28"/>
      <c r="T86" s="28"/>
      <c r="U86" s="28"/>
      <c r="V86" s="28"/>
      <c r="W86" s="28"/>
      <c r="X86" s="28"/>
      <c r="Y86" s="28"/>
      <c r="Z86" s="28"/>
      <c r="AA86" s="28"/>
      <c r="AB86" s="28"/>
    </row>
    <row r="87">
      <c r="A87" s="34"/>
      <c r="B87" s="35"/>
      <c r="C87" s="30"/>
      <c r="D87" s="30"/>
      <c r="E87" s="30"/>
      <c r="F87" s="30"/>
      <c r="G87" s="30"/>
      <c r="H87" s="31"/>
      <c r="I87" s="30"/>
      <c r="J87" s="32"/>
      <c r="K87" s="32"/>
      <c r="L87" s="33"/>
      <c r="M87" s="28"/>
      <c r="N87" s="28"/>
      <c r="O87" s="28"/>
      <c r="P87" s="28"/>
      <c r="Q87" s="28"/>
      <c r="R87" s="28"/>
      <c r="S87" s="28"/>
      <c r="T87" s="28"/>
      <c r="U87" s="28"/>
      <c r="V87" s="28"/>
      <c r="W87" s="28"/>
      <c r="X87" s="28"/>
      <c r="Y87" s="28"/>
      <c r="Z87" s="28"/>
      <c r="AA87" s="28"/>
      <c r="AB87" s="28"/>
    </row>
    <row r="88">
      <c r="A88" s="34"/>
      <c r="B88" s="35"/>
      <c r="C88" s="30"/>
      <c r="D88" s="30"/>
      <c r="E88" s="30"/>
      <c r="F88" s="30"/>
      <c r="G88" s="30"/>
      <c r="H88" s="31"/>
      <c r="I88" s="30"/>
      <c r="J88" s="32"/>
      <c r="K88" s="32"/>
      <c r="L88" s="33"/>
      <c r="M88" s="28"/>
      <c r="N88" s="28"/>
      <c r="O88" s="28"/>
      <c r="P88" s="28"/>
      <c r="Q88" s="28"/>
      <c r="R88" s="28"/>
      <c r="S88" s="28"/>
      <c r="T88" s="28"/>
      <c r="U88" s="28"/>
      <c r="V88" s="28"/>
      <c r="W88" s="28"/>
      <c r="X88" s="28"/>
      <c r="Y88" s="28"/>
      <c r="Z88" s="28"/>
      <c r="AA88" s="28"/>
      <c r="AB88" s="28"/>
    </row>
    <row r="89">
      <c r="A89" s="34"/>
      <c r="B89" s="35"/>
      <c r="C89" s="30"/>
      <c r="D89" s="30"/>
      <c r="E89" s="30"/>
      <c r="F89" s="30"/>
      <c r="G89" s="30"/>
      <c r="H89" s="31"/>
      <c r="I89" s="30"/>
      <c r="J89" s="32"/>
      <c r="K89" s="32"/>
      <c r="L89" s="33"/>
      <c r="M89" s="28"/>
      <c r="N89" s="28"/>
      <c r="O89" s="28"/>
      <c r="P89" s="28"/>
      <c r="Q89" s="28"/>
      <c r="R89" s="28"/>
      <c r="S89" s="28"/>
      <c r="T89" s="28"/>
      <c r="U89" s="28"/>
      <c r="V89" s="28"/>
      <c r="W89" s="28"/>
      <c r="X89" s="28"/>
      <c r="Y89" s="28"/>
      <c r="Z89" s="28"/>
      <c r="AA89" s="28"/>
      <c r="AB89" s="28"/>
    </row>
    <row r="90">
      <c r="A90" s="34"/>
      <c r="B90" s="35"/>
      <c r="C90" s="30"/>
      <c r="D90" s="30"/>
      <c r="E90" s="30"/>
      <c r="F90" s="30"/>
      <c r="G90" s="30"/>
      <c r="H90" s="31"/>
      <c r="I90" s="30"/>
      <c r="J90" s="32"/>
      <c r="K90" s="32"/>
      <c r="L90" s="33"/>
      <c r="M90" s="28"/>
      <c r="N90" s="28"/>
      <c r="O90" s="28"/>
      <c r="P90" s="28"/>
      <c r="Q90" s="28"/>
      <c r="R90" s="28"/>
      <c r="S90" s="28"/>
      <c r="T90" s="28"/>
      <c r="U90" s="28"/>
      <c r="V90" s="28"/>
      <c r="W90" s="28"/>
      <c r="X90" s="28"/>
      <c r="Y90" s="28"/>
      <c r="Z90" s="28"/>
      <c r="AA90" s="28"/>
      <c r="AB90" s="28"/>
    </row>
    <row r="91">
      <c r="A91" s="1"/>
      <c r="B91" s="36"/>
      <c r="C91" s="36"/>
      <c r="D91" s="36"/>
      <c r="E91" s="36"/>
      <c r="F91" s="36"/>
      <c r="G91" s="36"/>
      <c r="H91" s="37"/>
      <c r="I91" s="36"/>
      <c r="J91" s="38"/>
      <c r="K91" s="38"/>
      <c r="L91" s="39"/>
      <c r="M91" s="39"/>
      <c r="N91" s="39"/>
      <c r="O91" s="39"/>
      <c r="P91" s="39"/>
      <c r="Q91" s="39"/>
      <c r="R91" s="39"/>
      <c r="S91" s="39"/>
      <c r="T91" s="39"/>
      <c r="U91" s="39"/>
      <c r="V91" s="39"/>
      <c r="W91" s="39"/>
      <c r="X91" s="39"/>
      <c r="Y91" s="39"/>
      <c r="Z91" s="39"/>
      <c r="AA91" s="39"/>
      <c r="AB91" s="39"/>
    </row>
    <row r="92">
      <c r="A92" s="1"/>
      <c r="B92" s="36"/>
      <c r="C92" s="36"/>
      <c r="D92" s="36"/>
      <c r="E92" s="36"/>
      <c r="F92" s="36"/>
      <c r="G92" s="36"/>
      <c r="H92" s="37"/>
      <c r="I92" s="36"/>
      <c r="J92" s="38"/>
      <c r="K92" s="38"/>
      <c r="L92" s="39"/>
      <c r="M92" s="39"/>
      <c r="N92" s="39"/>
      <c r="O92" s="39"/>
      <c r="P92" s="39"/>
      <c r="Q92" s="39"/>
      <c r="R92" s="39"/>
      <c r="S92" s="39"/>
      <c r="T92" s="39"/>
      <c r="U92" s="39"/>
      <c r="V92" s="39"/>
      <c r="W92" s="39"/>
      <c r="X92" s="39"/>
      <c r="Y92" s="39"/>
      <c r="Z92" s="39"/>
      <c r="AA92" s="39"/>
      <c r="AB92" s="39"/>
    </row>
    <row r="93">
      <c r="A93" s="1"/>
      <c r="B93" s="36"/>
      <c r="C93" s="36"/>
      <c r="D93" s="36"/>
      <c r="E93" s="36"/>
      <c r="F93" s="36"/>
      <c r="G93" s="36"/>
      <c r="H93" s="37"/>
      <c r="I93" s="36"/>
      <c r="J93" s="38"/>
      <c r="K93" s="38"/>
      <c r="L93" s="39"/>
      <c r="M93" s="39"/>
      <c r="N93" s="39"/>
      <c r="O93" s="39"/>
      <c r="P93" s="39"/>
      <c r="Q93" s="39"/>
      <c r="R93" s="39"/>
      <c r="S93" s="39"/>
      <c r="T93" s="39"/>
      <c r="U93" s="39"/>
      <c r="V93" s="39"/>
      <c r="W93" s="39"/>
      <c r="X93" s="39"/>
      <c r="Y93" s="39"/>
      <c r="Z93" s="39"/>
      <c r="AA93" s="39"/>
      <c r="AB93" s="39"/>
    </row>
    <row r="94">
      <c r="A94" s="1"/>
      <c r="B94" s="36"/>
      <c r="C94" s="36"/>
      <c r="D94" s="36"/>
      <c r="E94" s="36"/>
      <c r="F94" s="36"/>
      <c r="G94" s="36"/>
      <c r="H94" s="37"/>
      <c r="I94" s="36"/>
      <c r="J94" s="38"/>
      <c r="K94" s="38"/>
      <c r="L94" s="39"/>
      <c r="M94" s="39"/>
      <c r="N94" s="39"/>
      <c r="O94" s="39"/>
      <c r="P94" s="39"/>
      <c r="Q94" s="39"/>
      <c r="R94" s="39"/>
      <c r="S94" s="39"/>
      <c r="T94" s="39"/>
      <c r="U94" s="39"/>
      <c r="V94" s="39"/>
      <c r="W94" s="39"/>
      <c r="X94" s="39"/>
      <c r="Y94" s="39"/>
      <c r="Z94" s="39"/>
      <c r="AA94" s="39"/>
      <c r="AB94" s="39"/>
    </row>
    <row r="95">
      <c r="A95" s="1"/>
      <c r="B95" s="36"/>
      <c r="C95" s="36"/>
      <c r="D95" s="36"/>
      <c r="E95" s="36"/>
      <c r="F95" s="36"/>
      <c r="G95" s="36"/>
      <c r="H95" s="37"/>
      <c r="I95" s="36"/>
      <c r="J95" s="38"/>
      <c r="K95" s="38"/>
      <c r="L95" s="39"/>
      <c r="M95" s="39"/>
      <c r="N95" s="39"/>
      <c r="O95" s="39"/>
      <c r="P95" s="39"/>
      <c r="Q95" s="39"/>
      <c r="R95" s="39"/>
      <c r="S95" s="39"/>
      <c r="T95" s="39"/>
      <c r="U95" s="39"/>
      <c r="V95" s="39"/>
      <c r="W95" s="39"/>
      <c r="X95" s="39"/>
      <c r="Y95" s="39"/>
      <c r="Z95" s="39"/>
      <c r="AA95" s="39"/>
      <c r="AB95" s="39"/>
    </row>
    <row r="96">
      <c r="A96" s="1"/>
      <c r="B96" s="36"/>
      <c r="C96" s="36"/>
      <c r="D96" s="36"/>
      <c r="E96" s="36"/>
      <c r="F96" s="36"/>
      <c r="G96" s="36"/>
      <c r="H96" s="37"/>
      <c r="I96" s="36"/>
      <c r="J96" s="38"/>
      <c r="K96" s="38"/>
      <c r="L96" s="39"/>
      <c r="M96" s="39"/>
      <c r="N96" s="39"/>
      <c r="O96" s="39"/>
      <c r="P96" s="39"/>
      <c r="Q96" s="39"/>
      <c r="R96" s="39"/>
      <c r="S96" s="39"/>
      <c r="T96" s="39"/>
      <c r="U96" s="39"/>
      <c r="V96" s="39"/>
      <c r="W96" s="39"/>
      <c r="X96" s="39"/>
      <c r="Y96" s="39"/>
      <c r="Z96" s="39"/>
      <c r="AA96" s="39"/>
      <c r="AB96" s="39"/>
    </row>
    <row r="97">
      <c r="A97" s="1"/>
      <c r="B97" s="36"/>
      <c r="C97" s="36"/>
      <c r="D97" s="36"/>
      <c r="E97" s="36"/>
      <c r="F97" s="36"/>
      <c r="G97" s="36"/>
      <c r="H97" s="37"/>
      <c r="I97" s="36"/>
      <c r="J97" s="38"/>
      <c r="K97" s="38"/>
      <c r="L97" s="39"/>
      <c r="M97" s="39"/>
      <c r="N97" s="39"/>
      <c r="O97" s="39"/>
      <c r="P97" s="39"/>
      <c r="Q97" s="39"/>
      <c r="R97" s="39"/>
      <c r="S97" s="39"/>
      <c r="T97" s="39"/>
      <c r="U97" s="39"/>
      <c r="V97" s="39"/>
      <c r="W97" s="39"/>
      <c r="X97" s="39"/>
      <c r="Y97" s="39"/>
      <c r="Z97" s="39"/>
      <c r="AA97" s="39"/>
      <c r="AB97" s="39"/>
    </row>
    <row r="98">
      <c r="A98" s="1"/>
      <c r="B98" s="36"/>
      <c r="C98" s="36"/>
      <c r="D98" s="36"/>
      <c r="E98" s="36"/>
      <c r="F98" s="36"/>
      <c r="G98" s="36"/>
      <c r="H98" s="37"/>
      <c r="I98" s="36"/>
      <c r="J98" s="38"/>
      <c r="K98" s="38"/>
      <c r="L98" s="39"/>
      <c r="M98" s="39"/>
      <c r="N98" s="39"/>
      <c r="O98" s="39"/>
      <c r="P98" s="39"/>
      <c r="Q98" s="39"/>
      <c r="R98" s="39"/>
      <c r="S98" s="39"/>
      <c r="T98" s="39"/>
      <c r="U98" s="39"/>
      <c r="V98" s="39"/>
      <c r="W98" s="39"/>
      <c r="X98" s="39"/>
      <c r="Y98" s="39"/>
      <c r="Z98" s="39"/>
      <c r="AA98" s="39"/>
      <c r="AB98" s="39"/>
    </row>
    <row r="99">
      <c r="A99" s="1"/>
      <c r="B99" s="36"/>
      <c r="C99" s="36"/>
      <c r="D99" s="36"/>
      <c r="E99" s="36"/>
      <c r="F99" s="36"/>
      <c r="G99" s="36"/>
      <c r="H99" s="37"/>
      <c r="I99" s="36"/>
      <c r="J99" s="38"/>
      <c r="K99" s="38"/>
      <c r="L99" s="39"/>
      <c r="M99" s="39"/>
      <c r="N99" s="39"/>
      <c r="O99" s="39"/>
      <c r="P99" s="39"/>
      <c r="Q99" s="39"/>
      <c r="R99" s="39"/>
      <c r="S99" s="39"/>
      <c r="T99" s="39"/>
      <c r="U99" s="39"/>
      <c r="V99" s="39"/>
      <c r="W99" s="39"/>
      <c r="X99" s="39"/>
      <c r="Y99" s="39"/>
      <c r="Z99" s="39"/>
      <c r="AA99" s="39"/>
      <c r="AB99" s="39"/>
    </row>
    <row r="100">
      <c r="A100" s="1"/>
      <c r="B100" s="36"/>
      <c r="C100" s="36"/>
      <c r="D100" s="36"/>
      <c r="E100" s="36"/>
      <c r="F100" s="36"/>
      <c r="G100" s="36"/>
      <c r="H100" s="37"/>
      <c r="I100" s="36"/>
      <c r="J100" s="38"/>
      <c r="K100" s="38"/>
      <c r="L100" s="39"/>
      <c r="M100" s="39"/>
      <c r="N100" s="39"/>
      <c r="O100" s="39"/>
      <c r="P100" s="39"/>
      <c r="Q100" s="39"/>
      <c r="R100" s="39"/>
      <c r="S100" s="39"/>
      <c r="T100" s="39"/>
      <c r="U100" s="39"/>
      <c r="V100" s="39"/>
      <c r="W100" s="39"/>
      <c r="X100" s="39"/>
      <c r="Y100" s="39"/>
      <c r="Z100" s="39"/>
      <c r="AA100" s="39"/>
      <c r="AB100" s="39"/>
    </row>
    <row r="101">
      <c r="A101" s="1"/>
      <c r="B101" s="36"/>
      <c r="C101" s="36"/>
      <c r="D101" s="36"/>
      <c r="E101" s="36"/>
      <c r="F101" s="36"/>
      <c r="G101" s="36"/>
      <c r="H101" s="37"/>
      <c r="I101" s="36"/>
      <c r="J101" s="38"/>
      <c r="K101" s="38"/>
      <c r="L101" s="39"/>
      <c r="M101" s="39"/>
      <c r="N101" s="39"/>
      <c r="O101" s="39"/>
      <c r="P101" s="39"/>
      <c r="Q101" s="39"/>
      <c r="R101" s="39"/>
      <c r="S101" s="39"/>
      <c r="T101" s="39"/>
      <c r="U101" s="39"/>
      <c r="V101" s="39"/>
      <c r="W101" s="39"/>
      <c r="X101" s="39"/>
      <c r="Y101" s="39"/>
      <c r="Z101" s="39"/>
      <c r="AA101" s="39"/>
      <c r="AB101" s="39"/>
    </row>
    <row r="102">
      <c r="A102" s="1"/>
      <c r="B102" s="36"/>
      <c r="C102" s="36"/>
      <c r="D102" s="36"/>
      <c r="E102" s="36"/>
      <c r="F102" s="36"/>
      <c r="G102" s="36"/>
      <c r="H102" s="37"/>
      <c r="I102" s="36"/>
      <c r="J102" s="38"/>
      <c r="K102" s="38"/>
      <c r="L102" s="39"/>
      <c r="M102" s="39"/>
      <c r="N102" s="39"/>
      <c r="O102" s="39"/>
      <c r="P102" s="39"/>
      <c r="Q102" s="39"/>
      <c r="R102" s="39"/>
      <c r="S102" s="39"/>
      <c r="T102" s="39"/>
      <c r="U102" s="39"/>
      <c r="V102" s="39"/>
      <c r="W102" s="39"/>
      <c r="X102" s="39"/>
      <c r="Y102" s="39"/>
      <c r="Z102" s="39"/>
      <c r="AA102" s="39"/>
      <c r="AB102" s="39"/>
    </row>
    <row r="103">
      <c r="A103" s="1"/>
      <c r="B103" s="36"/>
      <c r="C103" s="36"/>
      <c r="D103" s="36"/>
      <c r="E103" s="36"/>
      <c r="F103" s="36"/>
      <c r="G103" s="36"/>
      <c r="H103" s="37"/>
      <c r="I103" s="36"/>
      <c r="J103" s="38"/>
      <c r="K103" s="38"/>
      <c r="L103" s="39"/>
      <c r="M103" s="39"/>
      <c r="N103" s="39"/>
      <c r="O103" s="39"/>
      <c r="P103" s="39"/>
      <c r="Q103" s="39"/>
      <c r="R103" s="39"/>
      <c r="S103" s="39"/>
      <c r="T103" s="39"/>
      <c r="U103" s="39"/>
      <c r="V103" s="39"/>
      <c r="W103" s="39"/>
      <c r="X103" s="39"/>
      <c r="Y103" s="39"/>
      <c r="Z103" s="39"/>
      <c r="AA103" s="39"/>
      <c r="AB103" s="39"/>
    </row>
    <row r="104">
      <c r="A104" s="1"/>
      <c r="B104" s="36"/>
      <c r="C104" s="36"/>
      <c r="D104" s="36"/>
      <c r="E104" s="36"/>
      <c r="F104" s="36"/>
      <c r="G104" s="36"/>
      <c r="H104" s="37"/>
      <c r="I104" s="36"/>
      <c r="J104" s="38"/>
      <c r="K104" s="38"/>
      <c r="L104" s="39"/>
      <c r="M104" s="39"/>
      <c r="N104" s="39"/>
      <c r="O104" s="39"/>
      <c r="P104" s="39"/>
      <c r="Q104" s="39"/>
      <c r="R104" s="39"/>
      <c r="S104" s="39"/>
      <c r="T104" s="39"/>
      <c r="U104" s="39"/>
      <c r="V104" s="39"/>
      <c r="W104" s="39"/>
      <c r="X104" s="39"/>
      <c r="Y104" s="39"/>
      <c r="Z104" s="39"/>
      <c r="AA104" s="39"/>
      <c r="AB104" s="39"/>
    </row>
    <row r="105">
      <c r="A105" s="1"/>
      <c r="B105" s="36"/>
      <c r="C105" s="36"/>
      <c r="D105" s="36"/>
      <c r="E105" s="36"/>
      <c r="F105" s="36"/>
      <c r="G105" s="36"/>
      <c r="H105" s="37"/>
      <c r="I105" s="36"/>
      <c r="J105" s="38"/>
      <c r="K105" s="38"/>
      <c r="L105" s="39"/>
      <c r="M105" s="39"/>
      <c r="N105" s="39"/>
      <c r="O105" s="39"/>
      <c r="P105" s="39"/>
      <c r="Q105" s="39"/>
      <c r="R105" s="39"/>
      <c r="S105" s="39"/>
      <c r="T105" s="39"/>
      <c r="U105" s="39"/>
      <c r="V105" s="39"/>
      <c r="W105" s="39"/>
      <c r="X105" s="39"/>
      <c r="Y105" s="39"/>
      <c r="Z105" s="39"/>
      <c r="AA105" s="39"/>
      <c r="AB105" s="39"/>
    </row>
    <row r="106">
      <c r="A106" s="1"/>
      <c r="B106" s="36"/>
      <c r="C106" s="36"/>
      <c r="D106" s="36"/>
      <c r="E106" s="36"/>
      <c r="F106" s="36"/>
      <c r="G106" s="36"/>
      <c r="H106" s="37"/>
      <c r="I106" s="36"/>
      <c r="J106" s="38"/>
      <c r="K106" s="38"/>
      <c r="L106" s="39"/>
      <c r="M106" s="39"/>
      <c r="N106" s="39"/>
      <c r="O106" s="39"/>
      <c r="P106" s="39"/>
      <c r="Q106" s="39"/>
      <c r="R106" s="39"/>
      <c r="S106" s="39"/>
      <c r="T106" s="39"/>
      <c r="U106" s="39"/>
      <c r="V106" s="39"/>
      <c r="W106" s="39"/>
      <c r="X106" s="39"/>
      <c r="Y106" s="39"/>
      <c r="Z106" s="39"/>
      <c r="AA106" s="39"/>
      <c r="AB106" s="39"/>
    </row>
    <row r="107">
      <c r="A107" s="1"/>
      <c r="B107" s="36"/>
      <c r="C107" s="36"/>
      <c r="D107" s="36"/>
      <c r="E107" s="36"/>
      <c r="F107" s="36"/>
      <c r="G107" s="36"/>
      <c r="H107" s="37"/>
      <c r="I107" s="36"/>
      <c r="J107" s="38"/>
      <c r="K107" s="38"/>
      <c r="L107" s="39"/>
      <c r="M107" s="39"/>
      <c r="N107" s="39"/>
      <c r="O107" s="39"/>
      <c r="P107" s="39"/>
      <c r="Q107" s="39"/>
      <c r="R107" s="39"/>
      <c r="S107" s="39"/>
      <c r="T107" s="39"/>
      <c r="U107" s="39"/>
      <c r="V107" s="39"/>
      <c r="W107" s="39"/>
      <c r="X107" s="39"/>
      <c r="Y107" s="39"/>
      <c r="Z107" s="39"/>
      <c r="AA107" s="39"/>
      <c r="AB107" s="39"/>
    </row>
    <row r="108">
      <c r="A108" s="1"/>
      <c r="B108" s="36"/>
      <c r="C108" s="36"/>
      <c r="D108" s="36"/>
      <c r="E108" s="36"/>
      <c r="F108" s="36"/>
      <c r="G108" s="36"/>
      <c r="H108" s="37"/>
      <c r="I108" s="36"/>
      <c r="J108" s="38"/>
      <c r="K108" s="38"/>
      <c r="L108" s="39"/>
      <c r="M108" s="39"/>
      <c r="N108" s="39"/>
      <c r="O108" s="39"/>
      <c r="P108" s="39"/>
      <c r="Q108" s="39"/>
      <c r="R108" s="39"/>
      <c r="S108" s="39"/>
      <c r="T108" s="39"/>
      <c r="U108" s="39"/>
      <c r="V108" s="39"/>
      <c r="W108" s="39"/>
      <c r="X108" s="39"/>
      <c r="Y108" s="39"/>
      <c r="Z108" s="39"/>
      <c r="AA108" s="39"/>
      <c r="AB108" s="39"/>
    </row>
    <row r="109">
      <c r="A109" s="1"/>
      <c r="B109" s="36"/>
      <c r="C109" s="36"/>
      <c r="D109" s="36"/>
      <c r="E109" s="36"/>
      <c r="F109" s="36"/>
      <c r="G109" s="36"/>
      <c r="H109" s="37"/>
      <c r="I109" s="36"/>
      <c r="J109" s="38"/>
      <c r="K109" s="38"/>
      <c r="L109" s="39"/>
      <c r="M109" s="39"/>
      <c r="N109" s="39"/>
      <c r="O109" s="39"/>
      <c r="P109" s="39"/>
      <c r="Q109" s="39"/>
      <c r="R109" s="39"/>
      <c r="S109" s="39"/>
      <c r="T109" s="39"/>
      <c r="U109" s="39"/>
      <c r="V109" s="39"/>
      <c r="W109" s="39"/>
      <c r="X109" s="39"/>
      <c r="Y109" s="39"/>
      <c r="Z109" s="39"/>
      <c r="AA109" s="39"/>
      <c r="AB109" s="39"/>
    </row>
    <row r="110">
      <c r="A110" s="1"/>
      <c r="B110" s="36"/>
      <c r="C110" s="36"/>
      <c r="D110" s="36"/>
      <c r="E110" s="36"/>
      <c r="F110" s="36"/>
      <c r="G110" s="36"/>
      <c r="H110" s="37"/>
      <c r="I110" s="36"/>
      <c r="J110" s="38"/>
      <c r="K110" s="38"/>
      <c r="L110" s="39"/>
      <c r="M110" s="39"/>
      <c r="N110" s="39"/>
      <c r="O110" s="39"/>
      <c r="P110" s="39"/>
      <c r="Q110" s="39"/>
      <c r="R110" s="39"/>
      <c r="S110" s="39"/>
      <c r="T110" s="39"/>
      <c r="U110" s="39"/>
      <c r="V110" s="39"/>
      <c r="W110" s="39"/>
      <c r="X110" s="39"/>
      <c r="Y110" s="39"/>
      <c r="Z110" s="39"/>
      <c r="AA110" s="39"/>
      <c r="AB110" s="39"/>
    </row>
    <row r="111">
      <c r="A111" s="1"/>
      <c r="B111" s="36"/>
      <c r="C111" s="36"/>
      <c r="D111" s="36"/>
      <c r="E111" s="36"/>
      <c r="F111" s="36"/>
      <c r="G111" s="36"/>
      <c r="H111" s="37"/>
      <c r="I111" s="36"/>
      <c r="J111" s="38"/>
      <c r="K111" s="38"/>
      <c r="L111" s="39"/>
      <c r="M111" s="39"/>
      <c r="N111" s="39"/>
      <c r="O111" s="39"/>
      <c r="P111" s="39"/>
      <c r="Q111" s="39"/>
      <c r="R111" s="39"/>
      <c r="S111" s="39"/>
      <c r="T111" s="39"/>
      <c r="U111" s="39"/>
      <c r="V111" s="39"/>
      <c r="W111" s="39"/>
      <c r="X111" s="39"/>
      <c r="Y111" s="39"/>
      <c r="Z111" s="39"/>
      <c r="AA111" s="39"/>
      <c r="AB111" s="39"/>
    </row>
    <row r="112">
      <c r="A112" s="1"/>
      <c r="B112" s="36"/>
      <c r="C112" s="36"/>
      <c r="D112" s="36"/>
      <c r="E112" s="36"/>
      <c r="F112" s="36"/>
      <c r="G112" s="36"/>
      <c r="H112" s="37"/>
      <c r="I112" s="36"/>
      <c r="J112" s="38"/>
      <c r="K112" s="38"/>
      <c r="L112" s="39"/>
      <c r="M112" s="39"/>
      <c r="N112" s="39"/>
      <c r="O112" s="39"/>
      <c r="P112" s="39"/>
      <c r="Q112" s="39"/>
      <c r="R112" s="39"/>
      <c r="S112" s="39"/>
      <c r="T112" s="39"/>
      <c r="U112" s="39"/>
      <c r="V112" s="39"/>
      <c r="W112" s="39"/>
      <c r="X112" s="39"/>
      <c r="Y112" s="39"/>
      <c r="Z112" s="39"/>
      <c r="AA112" s="39"/>
      <c r="AB112" s="39"/>
    </row>
    <row r="113">
      <c r="A113" s="1"/>
      <c r="B113" s="36"/>
      <c r="C113" s="36"/>
      <c r="D113" s="36"/>
      <c r="E113" s="36"/>
      <c r="F113" s="36"/>
      <c r="G113" s="36"/>
      <c r="H113" s="37"/>
      <c r="I113" s="36"/>
      <c r="J113" s="38"/>
      <c r="K113" s="38"/>
      <c r="L113" s="39"/>
      <c r="M113" s="39"/>
      <c r="N113" s="39"/>
      <c r="O113" s="39"/>
      <c r="P113" s="39"/>
      <c r="Q113" s="39"/>
      <c r="R113" s="39"/>
      <c r="S113" s="39"/>
      <c r="T113" s="39"/>
      <c r="U113" s="39"/>
      <c r="V113" s="39"/>
      <c r="W113" s="39"/>
      <c r="X113" s="39"/>
      <c r="Y113" s="39"/>
      <c r="Z113" s="39"/>
      <c r="AA113" s="39"/>
      <c r="AB113" s="39"/>
    </row>
    <row r="114">
      <c r="A114" s="1"/>
      <c r="B114" s="36"/>
      <c r="C114" s="36"/>
      <c r="D114" s="36"/>
      <c r="E114" s="36"/>
      <c r="F114" s="36"/>
      <c r="G114" s="36"/>
      <c r="H114" s="37"/>
      <c r="I114" s="36"/>
      <c r="J114" s="38"/>
      <c r="K114" s="38"/>
      <c r="L114" s="39"/>
      <c r="M114" s="39"/>
      <c r="N114" s="39"/>
      <c r="O114" s="39"/>
      <c r="P114" s="39"/>
      <c r="Q114" s="39"/>
      <c r="R114" s="39"/>
      <c r="S114" s="39"/>
      <c r="T114" s="39"/>
      <c r="U114" s="39"/>
      <c r="V114" s="39"/>
      <c r="W114" s="39"/>
      <c r="X114" s="39"/>
      <c r="Y114" s="39"/>
      <c r="Z114" s="39"/>
      <c r="AA114" s="39"/>
      <c r="AB114" s="39"/>
    </row>
    <row r="115">
      <c r="A115" s="1"/>
      <c r="B115" s="36"/>
      <c r="C115" s="36"/>
      <c r="D115" s="36"/>
      <c r="E115" s="36"/>
      <c r="F115" s="36"/>
      <c r="G115" s="36"/>
      <c r="H115" s="37"/>
      <c r="I115" s="36"/>
      <c r="J115" s="38"/>
      <c r="K115" s="38"/>
      <c r="L115" s="39"/>
      <c r="M115" s="39"/>
      <c r="N115" s="39"/>
      <c r="O115" s="39"/>
      <c r="P115" s="39"/>
      <c r="Q115" s="39"/>
      <c r="R115" s="39"/>
      <c r="S115" s="39"/>
      <c r="T115" s="39"/>
      <c r="U115" s="39"/>
      <c r="V115" s="39"/>
      <c r="W115" s="39"/>
      <c r="X115" s="39"/>
      <c r="Y115" s="39"/>
      <c r="Z115" s="39"/>
      <c r="AA115" s="39"/>
      <c r="AB115" s="39"/>
    </row>
    <row r="116">
      <c r="A116" s="1"/>
      <c r="B116" s="36"/>
      <c r="C116" s="36"/>
      <c r="D116" s="36"/>
      <c r="E116" s="36"/>
      <c r="F116" s="36"/>
      <c r="G116" s="36"/>
      <c r="H116" s="37"/>
      <c r="I116" s="36"/>
      <c r="J116" s="38"/>
      <c r="K116" s="38"/>
      <c r="L116" s="39"/>
      <c r="M116" s="39"/>
      <c r="N116" s="39"/>
      <c r="O116" s="39"/>
      <c r="P116" s="39"/>
      <c r="Q116" s="39"/>
      <c r="R116" s="39"/>
      <c r="S116" s="39"/>
      <c r="T116" s="39"/>
      <c r="U116" s="39"/>
      <c r="V116" s="39"/>
      <c r="W116" s="39"/>
      <c r="X116" s="39"/>
      <c r="Y116" s="39"/>
      <c r="Z116" s="39"/>
      <c r="AA116" s="39"/>
      <c r="AB116" s="39"/>
    </row>
    <row r="117">
      <c r="A117" s="1"/>
      <c r="B117" s="36"/>
      <c r="C117" s="36"/>
      <c r="D117" s="36"/>
      <c r="E117" s="36"/>
      <c r="F117" s="36"/>
      <c r="G117" s="36"/>
      <c r="H117" s="37"/>
      <c r="I117" s="36"/>
      <c r="J117" s="38"/>
      <c r="K117" s="38"/>
      <c r="L117" s="39"/>
      <c r="M117" s="39"/>
      <c r="N117" s="39"/>
      <c r="O117" s="39"/>
      <c r="P117" s="39"/>
      <c r="Q117" s="39"/>
      <c r="R117" s="39"/>
      <c r="S117" s="39"/>
      <c r="T117" s="39"/>
      <c r="U117" s="39"/>
      <c r="V117" s="39"/>
      <c r="W117" s="39"/>
      <c r="X117" s="39"/>
      <c r="Y117" s="39"/>
      <c r="Z117" s="39"/>
      <c r="AA117" s="39"/>
      <c r="AB117" s="39"/>
    </row>
    <row r="118">
      <c r="A118" s="1"/>
      <c r="B118" s="36"/>
      <c r="C118" s="36"/>
      <c r="D118" s="36"/>
      <c r="E118" s="36"/>
      <c r="F118" s="36"/>
      <c r="G118" s="36"/>
      <c r="H118" s="37"/>
      <c r="I118" s="36"/>
      <c r="J118" s="38"/>
      <c r="K118" s="38"/>
      <c r="L118" s="39"/>
      <c r="M118" s="39"/>
      <c r="N118" s="39"/>
      <c r="O118" s="39"/>
      <c r="P118" s="39"/>
      <c r="Q118" s="39"/>
      <c r="R118" s="39"/>
      <c r="S118" s="39"/>
      <c r="T118" s="39"/>
      <c r="U118" s="39"/>
      <c r="V118" s="39"/>
      <c r="W118" s="39"/>
      <c r="X118" s="39"/>
      <c r="Y118" s="39"/>
      <c r="Z118" s="39"/>
      <c r="AA118" s="39"/>
      <c r="AB118" s="39"/>
    </row>
    <row r="119">
      <c r="A119" s="1"/>
      <c r="B119" s="36"/>
      <c r="C119" s="36"/>
      <c r="D119" s="36"/>
      <c r="E119" s="36"/>
      <c r="F119" s="36"/>
      <c r="G119" s="36"/>
      <c r="H119" s="37"/>
      <c r="I119" s="36"/>
      <c r="J119" s="38"/>
      <c r="K119" s="38"/>
      <c r="L119" s="39"/>
      <c r="M119" s="39"/>
      <c r="N119" s="39"/>
      <c r="O119" s="39"/>
      <c r="P119" s="39"/>
      <c r="Q119" s="39"/>
      <c r="R119" s="39"/>
      <c r="S119" s="39"/>
      <c r="T119" s="39"/>
      <c r="U119" s="39"/>
      <c r="V119" s="39"/>
      <c r="W119" s="39"/>
      <c r="X119" s="39"/>
      <c r="Y119" s="39"/>
      <c r="Z119" s="39"/>
      <c r="AA119" s="39"/>
      <c r="AB119" s="39"/>
    </row>
    <row r="120">
      <c r="A120" s="1"/>
      <c r="B120" s="36"/>
      <c r="C120" s="36"/>
      <c r="D120" s="36"/>
      <c r="E120" s="36"/>
      <c r="F120" s="36"/>
      <c r="G120" s="36"/>
      <c r="H120" s="37"/>
      <c r="I120" s="36"/>
      <c r="J120" s="38"/>
      <c r="K120" s="38"/>
      <c r="L120" s="39"/>
      <c r="M120" s="39"/>
      <c r="N120" s="39"/>
      <c r="O120" s="39"/>
      <c r="P120" s="39"/>
      <c r="Q120" s="39"/>
      <c r="R120" s="39"/>
      <c r="S120" s="39"/>
      <c r="T120" s="39"/>
      <c r="U120" s="39"/>
      <c r="V120" s="39"/>
      <c r="W120" s="39"/>
      <c r="X120" s="39"/>
      <c r="Y120" s="39"/>
      <c r="Z120" s="39"/>
      <c r="AA120" s="39"/>
      <c r="AB120" s="39"/>
    </row>
    <row r="121">
      <c r="A121" s="1"/>
      <c r="B121" s="36"/>
      <c r="C121" s="36"/>
      <c r="D121" s="36"/>
      <c r="E121" s="36"/>
      <c r="F121" s="36"/>
      <c r="G121" s="36"/>
      <c r="H121" s="37"/>
      <c r="I121" s="36"/>
      <c r="J121" s="38"/>
      <c r="K121" s="38"/>
      <c r="L121" s="39"/>
      <c r="M121" s="39"/>
      <c r="N121" s="39"/>
      <c r="O121" s="39"/>
      <c r="P121" s="39"/>
      <c r="Q121" s="39"/>
      <c r="R121" s="39"/>
      <c r="S121" s="39"/>
      <c r="T121" s="39"/>
      <c r="U121" s="39"/>
      <c r="V121" s="39"/>
      <c r="W121" s="39"/>
      <c r="X121" s="39"/>
      <c r="Y121" s="39"/>
      <c r="Z121" s="39"/>
      <c r="AA121" s="39"/>
      <c r="AB121" s="39"/>
    </row>
    <row r="122">
      <c r="A122" s="1"/>
      <c r="B122" s="36"/>
      <c r="C122" s="36"/>
      <c r="D122" s="36"/>
      <c r="E122" s="36"/>
      <c r="F122" s="36"/>
      <c r="G122" s="36"/>
      <c r="H122" s="37"/>
      <c r="I122" s="36"/>
      <c r="J122" s="38"/>
      <c r="K122" s="38"/>
      <c r="L122" s="39"/>
      <c r="M122" s="39"/>
      <c r="N122" s="39"/>
      <c r="O122" s="39"/>
      <c r="P122" s="39"/>
      <c r="Q122" s="39"/>
      <c r="R122" s="39"/>
      <c r="S122" s="39"/>
      <c r="T122" s="39"/>
      <c r="U122" s="39"/>
      <c r="V122" s="39"/>
      <c r="W122" s="39"/>
      <c r="X122" s="39"/>
      <c r="Y122" s="39"/>
      <c r="Z122" s="39"/>
      <c r="AA122" s="39"/>
      <c r="AB122" s="39"/>
    </row>
    <row r="123">
      <c r="A123" s="1"/>
      <c r="B123" s="36"/>
      <c r="C123" s="36"/>
      <c r="D123" s="36"/>
      <c r="E123" s="36"/>
      <c r="F123" s="36"/>
      <c r="G123" s="36"/>
      <c r="H123" s="37"/>
      <c r="I123" s="36"/>
      <c r="J123" s="38"/>
      <c r="K123" s="38"/>
      <c r="L123" s="39"/>
      <c r="M123" s="39"/>
      <c r="N123" s="39"/>
      <c r="O123" s="39"/>
      <c r="P123" s="39"/>
      <c r="Q123" s="39"/>
      <c r="R123" s="39"/>
      <c r="S123" s="39"/>
      <c r="T123" s="39"/>
      <c r="U123" s="39"/>
      <c r="V123" s="39"/>
      <c r="W123" s="39"/>
      <c r="X123" s="39"/>
      <c r="Y123" s="39"/>
      <c r="Z123" s="39"/>
      <c r="AA123" s="39"/>
      <c r="AB123" s="39"/>
    </row>
    <row r="124">
      <c r="A124" s="1"/>
      <c r="B124" s="36"/>
      <c r="C124" s="36"/>
      <c r="D124" s="36"/>
      <c r="E124" s="36"/>
      <c r="F124" s="36"/>
      <c r="G124" s="36"/>
      <c r="H124" s="37"/>
      <c r="I124" s="36"/>
      <c r="J124" s="38"/>
      <c r="K124" s="38"/>
      <c r="L124" s="39"/>
      <c r="M124" s="39"/>
      <c r="N124" s="39"/>
      <c r="O124" s="39"/>
      <c r="P124" s="39"/>
      <c r="Q124" s="39"/>
      <c r="R124" s="39"/>
      <c r="S124" s="39"/>
      <c r="T124" s="39"/>
      <c r="U124" s="39"/>
      <c r="V124" s="39"/>
      <c r="W124" s="39"/>
      <c r="X124" s="39"/>
      <c r="Y124" s="39"/>
      <c r="Z124" s="39"/>
      <c r="AA124" s="39"/>
      <c r="AB124" s="39"/>
    </row>
    <row r="125">
      <c r="A125" s="1"/>
      <c r="B125" s="36"/>
      <c r="C125" s="36"/>
      <c r="D125" s="36"/>
      <c r="E125" s="36"/>
      <c r="F125" s="36"/>
      <c r="G125" s="36"/>
      <c r="H125" s="37"/>
      <c r="I125" s="36"/>
      <c r="J125" s="38"/>
      <c r="K125" s="38"/>
      <c r="L125" s="39"/>
      <c r="M125" s="39"/>
      <c r="N125" s="39"/>
      <c r="O125" s="39"/>
      <c r="P125" s="39"/>
      <c r="Q125" s="39"/>
      <c r="R125" s="39"/>
      <c r="S125" s="39"/>
      <c r="T125" s="39"/>
      <c r="U125" s="39"/>
      <c r="V125" s="39"/>
      <c r="W125" s="39"/>
      <c r="X125" s="39"/>
      <c r="Y125" s="39"/>
      <c r="Z125" s="39"/>
      <c r="AA125" s="39"/>
      <c r="AB125" s="39"/>
    </row>
    <row r="126">
      <c r="A126" s="1"/>
      <c r="B126" s="36"/>
      <c r="C126" s="36"/>
      <c r="D126" s="36"/>
      <c r="E126" s="36"/>
      <c r="F126" s="36"/>
      <c r="G126" s="36"/>
      <c r="H126" s="37"/>
      <c r="I126" s="36"/>
      <c r="J126" s="38"/>
      <c r="K126" s="38"/>
      <c r="L126" s="39"/>
      <c r="M126" s="39"/>
      <c r="N126" s="39"/>
      <c r="O126" s="39"/>
      <c r="P126" s="39"/>
      <c r="Q126" s="39"/>
      <c r="R126" s="39"/>
      <c r="S126" s="39"/>
      <c r="T126" s="39"/>
      <c r="U126" s="39"/>
      <c r="V126" s="39"/>
      <c r="W126" s="39"/>
      <c r="X126" s="39"/>
      <c r="Y126" s="39"/>
      <c r="Z126" s="39"/>
      <c r="AA126" s="39"/>
      <c r="AB126" s="39"/>
    </row>
    <row r="127">
      <c r="A127" s="1"/>
      <c r="B127" s="36"/>
      <c r="C127" s="36"/>
      <c r="D127" s="36"/>
      <c r="E127" s="36"/>
      <c r="F127" s="36"/>
      <c r="G127" s="36"/>
      <c r="H127" s="37"/>
      <c r="I127" s="36"/>
      <c r="J127" s="38"/>
      <c r="K127" s="38"/>
      <c r="L127" s="39"/>
      <c r="M127" s="39"/>
      <c r="N127" s="39"/>
      <c r="O127" s="39"/>
      <c r="P127" s="39"/>
      <c r="Q127" s="39"/>
      <c r="R127" s="39"/>
      <c r="S127" s="39"/>
      <c r="T127" s="39"/>
      <c r="U127" s="39"/>
      <c r="V127" s="39"/>
      <c r="W127" s="39"/>
      <c r="X127" s="39"/>
      <c r="Y127" s="39"/>
      <c r="Z127" s="39"/>
      <c r="AA127" s="39"/>
      <c r="AB127" s="39"/>
    </row>
    <row r="128">
      <c r="A128" s="1"/>
      <c r="B128" s="36"/>
      <c r="C128" s="36"/>
      <c r="D128" s="36"/>
      <c r="E128" s="36"/>
      <c r="F128" s="36"/>
      <c r="G128" s="36"/>
      <c r="H128" s="37"/>
      <c r="I128" s="36"/>
      <c r="J128" s="38"/>
      <c r="K128" s="38"/>
      <c r="L128" s="39"/>
      <c r="M128" s="39"/>
      <c r="N128" s="39"/>
      <c r="O128" s="39"/>
      <c r="P128" s="39"/>
      <c r="Q128" s="39"/>
      <c r="R128" s="39"/>
      <c r="S128" s="39"/>
      <c r="T128" s="39"/>
      <c r="U128" s="39"/>
      <c r="V128" s="39"/>
      <c r="W128" s="39"/>
      <c r="X128" s="39"/>
      <c r="Y128" s="39"/>
      <c r="Z128" s="39"/>
      <c r="AA128" s="39"/>
      <c r="AB128" s="39"/>
    </row>
    <row r="129">
      <c r="A129" s="1"/>
      <c r="B129" s="36"/>
      <c r="C129" s="36"/>
      <c r="D129" s="36"/>
      <c r="E129" s="36"/>
      <c r="F129" s="36"/>
      <c r="G129" s="36"/>
      <c r="H129" s="37"/>
      <c r="I129" s="36"/>
      <c r="J129" s="38"/>
      <c r="K129" s="38"/>
      <c r="L129" s="39"/>
      <c r="M129" s="39"/>
      <c r="N129" s="39"/>
      <c r="O129" s="39"/>
      <c r="P129" s="39"/>
      <c r="Q129" s="39"/>
      <c r="R129" s="39"/>
      <c r="S129" s="39"/>
      <c r="T129" s="39"/>
      <c r="U129" s="39"/>
      <c r="V129" s="39"/>
      <c r="W129" s="39"/>
      <c r="X129" s="39"/>
      <c r="Y129" s="39"/>
      <c r="Z129" s="39"/>
      <c r="AA129" s="39"/>
      <c r="AB129" s="39"/>
    </row>
    <row r="130">
      <c r="A130" s="1"/>
      <c r="B130" s="36"/>
      <c r="C130" s="36"/>
      <c r="D130" s="36"/>
      <c r="E130" s="36"/>
      <c r="F130" s="36"/>
      <c r="G130" s="36"/>
      <c r="H130" s="37"/>
      <c r="I130" s="36"/>
      <c r="J130" s="38"/>
      <c r="K130" s="38"/>
      <c r="L130" s="39"/>
      <c r="M130" s="39"/>
      <c r="N130" s="39"/>
      <c r="O130" s="39"/>
      <c r="P130" s="39"/>
      <c r="Q130" s="39"/>
      <c r="R130" s="39"/>
      <c r="S130" s="39"/>
      <c r="T130" s="39"/>
      <c r="U130" s="39"/>
      <c r="V130" s="39"/>
      <c r="W130" s="39"/>
      <c r="X130" s="39"/>
      <c r="Y130" s="39"/>
      <c r="Z130" s="39"/>
      <c r="AA130" s="39"/>
      <c r="AB130" s="39"/>
    </row>
    <row r="131">
      <c r="A131" s="1"/>
      <c r="B131" s="36"/>
      <c r="C131" s="36"/>
      <c r="D131" s="36"/>
      <c r="E131" s="36"/>
      <c r="F131" s="36"/>
      <c r="G131" s="36"/>
      <c r="H131" s="37"/>
      <c r="I131" s="36"/>
      <c r="J131" s="38"/>
      <c r="K131" s="38"/>
      <c r="L131" s="39"/>
      <c r="M131" s="39"/>
      <c r="N131" s="39"/>
      <c r="O131" s="39"/>
      <c r="P131" s="39"/>
      <c r="Q131" s="39"/>
      <c r="R131" s="39"/>
      <c r="S131" s="39"/>
      <c r="T131" s="39"/>
      <c r="U131" s="39"/>
      <c r="V131" s="39"/>
      <c r="W131" s="39"/>
      <c r="X131" s="39"/>
      <c r="Y131" s="39"/>
      <c r="Z131" s="39"/>
      <c r="AA131" s="39"/>
      <c r="AB131" s="39"/>
    </row>
    <row r="132">
      <c r="A132" s="1"/>
      <c r="B132" s="36"/>
      <c r="C132" s="36"/>
      <c r="D132" s="36"/>
      <c r="E132" s="36"/>
      <c r="F132" s="36"/>
      <c r="G132" s="36"/>
      <c r="H132" s="37"/>
      <c r="I132" s="36"/>
      <c r="J132" s="38"/>
      <c r="K132" s="38"/>
      <c r="L132" s="39"/>
      <c r="M132" s="39"/>
      <c r="N132" s="39"/>
      <c r="O132" s="39"/>
      <c r="P132" s="39"/>
      <c r="Q132" s="39"/>
      <c r="R132" s="39"/>
      <c r="S132" s="39"/>
      <c r="T132" s="39"/>
      <c r="U132" s="39"/>
      <c r="V132" s="39"/>
      <c r="W132" s="39"/>
      <c r="X132" s="39"/>
      <c r="Y132" s="39"/>
      <c r="Z132" s="39"/>
      <c r="AA132" s="39"/>
      <c r="AB132" s="39"/>
    </row>
    <row r="133">
      <c r="A133" s="1"/>
      <c r="B133" s="36"/>
      <c r="C133" s="36"/>
      <c r="D133" s="36"/>
      <c r="E133" s="36"/>
      <c r="F133" s="36"/>
      <c r="G133" s="36"/>
      <c r="H133" s="37"/>
      <c r="I133" s="36"/>
      <c r="J133" s="38"/>
      <c r="K133" s="38"/>
      <c r="L133" s="39"/>
      <c r="M133" s="39"/>
      <c r="N133" s="39"/>
      <c r="O133" s="39"/>
      <c r="P133" s="39"/>
      <c r="Q133" s="39"/>
      <c r="R133" s="39"/>
      <c r="S133" s="39"/>
      <c r="T133" s="39"/>
      <c r="U133" s="39"/>
      <c r="V133" s="39"/>
      <c r="W133" s="39"/>
      <c r="X133" s="39"/>
      <c r="Y133" s="39"/>
      <c r="Z133" s="39"/>
      <c r="AA133" s="39"/>
      <c r="AB133" s="39"/>
    </row>
    <row r="134">
      <c r="A134" s="1"/>
      <c r="B134" s="36"/>
      <c r="C134" s="36"/>
      <c r="D134" s="36"/>
      <c r="E134" s="36"/>
      <c r="F134" s="36"/>
      <c r="G134" s="36"/>
      <c r="H134" s="37"/>
      <c r="I134" s="36"/>
      <c r="J134" s="38"/>
      <c r="K134" s="38"/>
      <c r="L134" s="39"/>
      <c r="M134" s="39"/>
      <c r="N134" s="39"/>
      <c r="O134" s="39"/>
      <c r="P134" s="39"/>
      <c r="Q134" s="39"/>
      <c r="R134" s="39"/>
      <c r="S134" s="39"/>
      <c r="T134" s="39"/>
      <c r="U134" s="39"/>
      <c r="V134" s="39"/>
      <c r="W134" s="39"/>
      <c r="X134" s="39"/>
      <c r="Y134" s="39"/>
      <c r="Z134" s="39"/>
      <c r="AA134" s="39"/>
      <c r="AB134" s="39"/>
    </row>
    <row r="135">
      <c r="A135" s="1"/>
      <c r="B135" s="36"/>
      <c r="C135" s="36"/>
      <c r="D135" s="36"/>
      <c r="E135" s="36"/>
      <c r="F135" s="36"/>
      <c r="G135" s="36"/>
      <c r="H135" s="37"/>
      <c r="I135" s="36"/>
      <c r="J135" s="38"/>
      <c r="K135" s="38"/>
      <c r="L135" s="39"/>
      <c r="M135" s="39"/>
      <c r="N135" s="39"/>
      <c r="O135" s="39"/>
      <c r="P135" s="39"/>
      <c r="Q135" s="39"/>
      <c r="R135" s="39"/>
      <c r="S135" s="39"/>
      <c r="T135" s="39"/>
      <c r="U135" s="39"/>
      <c r="V135" s="39"/>
      <c r="W135" s="39"/>
      <c r="X135" s="39"/>
      <c r="Y135" s="39"/>
      <c r="Z135" s="39"/>
      <c r="AA135" s="39"/>
      <c r="AB135" s="39"/>
    </row>
    <row r="136">
      <c r="A136" s="1"/>
      <c r="B136" s="36"/>
      <c r="C136" s="36"/>
      <c r="D136" s="36"/>
      <c r="E136" s="36"/>
      <c r="F136" s="36"/>
      <c r="G136" s="36"/>
      <c r="H136" s="37"/>
      <c r="I136" s="36"/>
      <c r="J136" s="38"/>
      <c r="K136" s="38"/>
      <c r="L136" s="39"/>
      <c r="M136" s="39"/>
      <c r="N136" s="39"/>
      <c r="O136" s="39"/>
      <c r="P136" s="39"/>
      <c r="Q136" s="39"/>
      <c r="R136" s="39"/>
      <c r="S136" s="39"/>
      <c r="T136" s="39"/>
      <c r="U136" s="39"/>
      <c r="V136" s="39"/>
      <c r="W136" s="39"/>
      <c r="X136" s="39"/>
      <c r="Y136" s="39"/>
      <c r="Z136" s="39"/>
      <c r="AA136" s="39"/>
      <c r="AB136" s="39"/>
    </row>
    <row r="137">
      <c r="A137" s="1"/>
      <c r="B137" s="36"/>
      <c r="C137" s="36"/>
      <c r="D137" s="36"/>
      <c r="E137" s="36"/>
      <c r="F137" s="36"/>
      <c r="G137" s="36"/>
      <c r="H137" s="37"/>
      <c r="I137" s="36"/>
      <c r="J137" s="38"/>
      <c r="K137" s="38"/>
      <c r="L137" s="39"/>
      <c r="M137" s="39"/>
      <c r="N137" s="39"/>
      <c r="O137" s="39"/>
      <c r="P137" s="39"/>
      <c r="Q137" s="39"/>
      <c r="R137" s="39"/>
      <c r="S137" s="39"/>
      <c r="T137" s="39"/>
      <c r="U137" s="39"/>
      <c r="V137" s="39"/>
      <c r="W137" s="39"/>
      <c r="X137" s="39"/>
      <c r="Y137" s="39"/>
      <c r="Z137" s="39"/>
      <c r="AA137" s="39"/>
      <c r="AB137" s="39"/>
    </row>
    <row r="138">
      <c r="A138" s="1"/>
      <c r="B138" s="36"/>
      <c r="C138" s="36"/>
      <c r="D138" s="36"/>
      <c r="E138" s="36"/>
      <c r="F138" s="36"/>
      <c r="G138" s="36"/>
      <c r="H138" s="37"/>
      <c r="I138" s="36"/>
      <c r="J138" s="38"/>
      <c r="K138" s="38"/>
      <c r="L138" s="39"/>
      <c r="M138" s="39"/>
      <c r="N138" s="39"/>
      <c r="O138" s="39"/>
      <c r="P138" s="39"/>
      <c r="Q138" s="39"/>
      <c r="R138" s="39"/>
      <c r="S138" s="39"/>
      <c r="T138" s="39"/>
      <c r="U138" s="39"/>
      <c r="V138" s="39"/>
      <c r="W138" s="39"/>
      <c r="X138" s="39"/>
      <c r="Y138" s="39"/>
      <c r="Z138" s="39"/>
      <c r="AA138" s="39"/>
      <c r="AB138" s="39"/>
    </row>
    <row r="139">
      <c r="A139" s="1"/>
      <c r="B139" s="36"/>
      <c r="C139" s="36"/>
      <c r="D139" s="36"/>
      <c r="E139" s="36"/>
      <c r="F139" s="36"/>
      <c r="G139" s="36"/>
      <c r="H139" s="37"/>
      <c r="I139" s="36"/>
      <c r="J139" s="38"/>
      <c r="K139" s="38"/>
      <c r="L139" s="39"/>
      <c r="M139" s="39"/>
      <c r="N139" s="39"/>
      <c r="O139" s="39"/>
      <c r="P139" s="39"/>
      <c r="Q139" s="39"/>
      <c r="R139" s="39"/>
      <c r="S139" s="39"/>
      <c r="T139" s="39"/>
      <c r="U139" s="39"/>
      <c r="V139" s="39"/>
      <c r="W139" s="39"/>
      <c r="X139" s="39"/>
      <c r="Y139" s="39"/>
      <c r="Z139" s="39"/>
      <c r="AA139" s="39"/>
      <c r="AB139" s="39"/>
    </row>
    <row r="140">
      <c r="A140" s="1"/>
      <c r="B140" s="36"/>
      <c r="C140" s="36"/>
      <c r="D140" s="36"/>
      <c r="E140" s="36"/>
      <c r="F140" s="36"/>
      <c r="G140" s="36"/>
      <c r="H140" s="37"/>
      <c r="I140" s="36"/>
      <c r="J140" s="38"/>
      <c r="K140" s="38"/>
      <c r="L140" s="39"/>
      <c r="M140" s="39"/>
      <c r="N140" s="39"/>
      <c r="O140" s="39"/>
      <c r="P140" s="39"/>
      <c r="Q140" s="39"/>
      <c r="R140" s="39"/>
      <c r="S140" s="39"/>
      <c r="T140" s="39"/>
      <c r="U140" s="39"/>
      <c r="V140" s="39"/>
      <c r="W140" s="39"/>
      <c r="X140" s="39"/>
      <c r="Y140" s="39"/>
      <c r="Z140" s="39"/>
      <c r="AA140" s="39"/>
      <c r="AB140" s="39"/>
    </row>
    <row r="141">
      <c r="A141" s="1"/>
      <c r="B141" s="36"/>
      <c r="C141" s="36"/>
      <c r="D141" s="36"/>
      <c r="E141" s="36"/>
      <c r="F141" s="36"/>
      <c r="G141" s="36"/>
      <c r="H141" s="37"/>
      <c r="I141" s="36"/>
      <c r="J141" s="38"/>
      <c r="K141" s="38"/>
      <c r="L141" s="39"/>
      <c r="M141" s="39"/>
      <c r="N141" s="39"/>
      <c r="O141" s="39"/>
      <c r="P141" s="39"/>
      <c r="Q141" s="39"/>
      <c r="R141" s="39"/>
      <c r="S141" s="39"/>
      <c r="T141" s="39"/>
      <c r="U141" s="39"/>
      <c r="V141" s="39"/>
      <c r="W141" s="39"/>
      <c r="X141" s="39"/>
      <c r="Y141" s="39"/>
      <c r="Z141" s="39"/>
      <c r="AA141" s="39"/>
      <c r="AB141" s="39"/>
    </row>
    <row r="142">
      <c r="A142" s="1"/>
      <c r="B142" s="36"/>
      <c r="C142" s="36"/>
      <c r="D142" s="36"/>
      <c r="E142" s="36"/>
      <c r="F142" s="36"/>
      <c r="G142" s="36"/>
      <c r="H142" s="37"/>
      <c r="I142" s="36"/>
      <c r="J142" s="38"/>
      <c r="K142" s="38"/>
      <c r="L142" s="39"/>
      <c r="M142" s="39"/>
      <c r="N142" s="39"/>
      <c r="O142" s="39"/>
      <c r="P142" s="39"/>
      <c r="Q142" s="39"/>
      <c r="R142" s="39"/>
      <c r="S142" s="39"/>
      <c r="T142" s="39"/>
      <c r="U142" s="39"/>
      <c r="V142" s="39"/>
      <c r="W142" s="39"/>
      <c r="X142" s="39"/>
      <c r="Y142" s="39"/>
      <c r="Z142" s="39"/>
      <c r="AA142" s="39"/>
      <c r="AB142" s="39"/>
    </row>
    <row r="143">
      <c r="A143" s="1"/>
      <c r="B143" s="36"/>
      <c r="C143" s="36"/>
      <c r="D143" s="36"/>
      <c r="E143" s="36"/>
      <c r="F143" s="36"/>
      <c r="G143" s="36"/>
      <c r="H143" s="37"/>
      <c r="I143" s="36"/>
      <c r="J143" s="38"/>
      <c r="K143" s="38"/>
      <c r="L143" s="39"/>
      <c r="M143" s="39"/>
      <c r="N143" s="39"/>
      <c r="O143" s="39"/>
      <c r="P143" s="39"/>
      <c r="Q143" s="39"/>
      <c r="R143" s="39"/>
      <c r="S143" s="39"/>
      <c r="T143" s="39"/>
      <c r="U143" s="39"/>
      <c r="V143" s="39"/>
      <c r="W143" s="39"/>
      <c r="X143" s="39"/>
      <c r="Y143" s="39"/>
      <c r="Z143" s="39"/>
      <c r="AA143" s="39"/>
      <c r="AB143" s="39"/>
    </row>
    <row r="144">
      <c r="A144" s="1"/>
      <c r="B144" s="36"/>
      <c r="C144" s="36"/>
      <c r="D144" s="36"/>
      <c r="E144" s="36"/>
      <c r="F144" s="36"/>
      <c r="G144" s="36"/>
      <c r="H144" s="37"/>
      <c r="I144" s="36"/>
      <c r="J144" s="38"/>
      <c r="K144" s="38"/>
      <c r="L144" s="39"/>
      <c r="M144" s="39"/>
      <c r="N144" s="39"/>
      <c r="O144" s="39"/>
      <c r="P144" s="39"/>
      <c r="Q144" s="39"/>
      <c r="R144" s="39"/>
      <c r="S144" s="39"/>
      <c r="T144" s="39"/>
      <c r="U144" s="39"/>
      <c r="V144" s="39"/>
      <c r="W144" s="39"/>
      <c r="X144" s="39"/>
      <c r="Y144" s="39"/>
      <c r="Z144" s="39"/>
      <c r="AA144" s="39"/>
      <c r="AB144" s="39"/>
    </row>
    <row r="145">
      <c r="A145" s="1"/>
      <c r="B145" s="36"/>
      <c r="C145" s="36"/>
      <c r="D145" s="36"/>
      <c r="E145" s="36"/>
      <c r="F145" s="36"/>
      <c r="G145" s="36"/>
      <c r="H145" s="37"/>
      <c r="I145" s="36"/>
      <c r="J145" s="38"/>
      <c r="K145" s="38"/>
      <c r="L145" s="39"/>
      <c r="M145" s="39"/>
      <c r="N145" s="39"/>
      <c r="O145" s="39"/>
      <c r="P145" s="39"/>
      <c r="Q145" s="39"/>
      <c r="R145" s="39"/>
      <c r="S145" s="39"/>
      <c r="T145" s="39"/>
      <c r="U145" s="39"/>
      <c r="V145" s="39"/>
      <c r="W145" s="39"/>
      <c r="X145" s="39"/>
      <c r="Y145" s="39"/>
      <c r="Z145" s="39"/>
      <c r="AA145" s="39"/>
      <c r="AB145" s="39"/>
    </row>
    <row r="146">
      <c r="A146" s="1"/>
      <c r="B146" s="36"/>
      <c r="C146" s="36"/>
      <c r="D146" s="36"/>
      <c r="E146" s="36"/>
      <c r="F146" s="36"/>
      <c r="G146" s="36"/>
      <c r="H146" s="37"/>
      <c r="I146" s="36"/>
      <c r="J146" s="38"/>
      <c r="K146" s="38"/>
      <c r="L146" s="39"/>
      <c r="M146" s="39"/>
      <c r="N146" s="39"/>
      <c r="O146" s="39"/>
      <c r="P146" s="39"/>
      <c r="Q146" s="39"/>
      <c r="R146" s="39"/>
      <c r="S146" s="39"/>
      <c r="T146" s="39"/>
      <c r="U146" s="39"/>
      <c r="V146" s="39"/>
      <c r="W146" s="39"/>
      <c r="X146" s="39"/>
      <c r="Y146" s="39"/>
      <c r="Z146" s="39"/>
      <c r="AA146" s="39"/>
      <c r="AB146" s="39"/>
    </row>
    <row r="147">
      <c r="A147" s="1"/>
      <c r="B147" s="36"/>
      <c r="C147" s="36"/>
      <c r="D147" s="36"/>
      <c r="E147" s="36"/>
      <c r="F147" s="36"/>
      <c r="G147" s="36"/>
      <c r="H147" s="37"/>
      <c r="I147" s="36"/>
      <c r="J147" s="38"/>
      <c r="K147" s="38"/>
      <c r="L147" s="39"/>
      <c r="M147" s="39"/>
      <c r="N147" s="39"/>
      <c r="O147" s="39"/>
      <c r="P147" s="39"/>
      <c r="Q147" s="39"/>
      <c r="R147" s="39"/>
      <c r="S147" s="39"/>
      <c r="T147" s="39"/>
      <c r="U147" s="39"/>
      <c r="V147" s="39"/>
      <c r="W147" s="39"/>
      <c r="X147" s="39"/>
      <c r="Y147" s="39"/>
      <c r="Z147" s="39"/>
      <c r="AA147" s="39"/>
      <c r="AB147" s="39"/>
    </row>
    <row r="148">
      <c r="A148" s="1"/>
      <c r="B148" s="36"/>
      <c r="C148" s="36"/>
      <c r="D148" s="36"/>
      <c r="E148" s="36"/>
      <c r="F148" s="36"/>
      <c r="G148" s="36"/>
      <c r="H148" s="37"/>
      <c r="I148" s="36"/>
      <c r="J148" s="38"/>
      <c r="K148" s="38"/>
      <c r="L148" s="39"/>
      <c r="M148" s="39"/>
      <c r="N148" s="39"/>
      <c r="O148" s="39"/>
      <c r="P148" s="39"/>
      <c r="Q148" s="39"/>
      <c r="R148" s="39"/>
      <c r="S148" s="39"/>
      <c r="T148" s="39"/>
      <c r="U148" s="39"/>
      <c r="V148" s="39"/>
      <c r="W148" s="39"/>
      <c r="X148" s="39"/>
      <c r="Y148" s="39"/>
      <c r="Z148" s="39"/>
      <c r="AA148" s="39"/>
      <c r="AB148" s="39"/>
    </row>
    <row r="149">
      <c r="A149" s="1"/>
      <c r="B149" s="36"/>
      <c r="C149" s="36"/>
      <c r="D149" s="36"/>
      <c r="E149" s="36"/>
      <c r="F149" s="36"/>
      <c r="G149" s="36"/>
      <c r="H149" s="37"/>
      <c r="I149" s="36"/>
      <c r="J149" s="38"/>
      <c r="K149" s="38"/>
      <c r="L149" s="39"/>
      <c r="M149" s="39"/>
      <c r="N149" s="39"/>
      <c r="O149" s="39"/>
      <c r="P149" s="39"/>
      <c r="Q149" s="39"/>
      <c r="R149" s="39"/>
      <c r="S149" s="39"/>
      <c r="T149" s="39"/>
      <c r="U149" s="39"/>
      <c r="V149" s="39"/>
      <c r="W149" s="39"/>
      <c r="X149" s="39"/>
      <c r="Y149" s="39"/>
      <c r="Z149" s="39"/>
      <c r="AA149" s="39"/>
      <c r="AB149" s="39"/>
    </row>
    <row r="150">
      <c r="A150" s="1"/>
      <c r="B150" s="36"/>
      <c r="C150" s="36"/>
      <c r="D150" s="36"/>
      <c r="E150" s="36"/>
      <c r="F150" s="36"/>
      <c r="G150" s="36"/>
      <c r="H150" s="37"/>
      <c r="I150" s="36"/>
      <c r="J150" s="38"/>
      <c r="K150" s="38"/>
      <c r="L150" s="39"/>
      <c r="M150" s="39"/>
      <c r="N150" s="39"/>
      <c r="O150" s="39"/>
      <c r="P150" s="39"/>
      <c r="Q150" s="39"/>
      <c r="R150" s="39"/>
      <c r="S150" s="39"/>
      <c r="T150" s="39"/>
      <c r="U150" s="39"/>
      <c r="V150" s="39"/>
      <c r="W150" s="39"/>
      <c r="X150" s="39"/>
      <c r="Y150" s="39"/>
      <c r="Z150" s="39"/>
      <c r="AA150" s="39"/>
      <c r="AB150" s="39"/>
    </row>
    <row r="151">
      <c r="A151" s="1"/>
      <c r="B151" s="36"/>
      <c r="C151" s="36"/>
      <c r="D151" s="36"/>
      <c r="E151" s="36"/>
      <c r="F151" s="36"/>
      <c r="G151" s="36"/>
      <c r="H151" s="37"/>
      <c r="I151" s="36"/>
      <c r="J151" s="38"/>
      <c r="K151" s="38"/>
      <c r="L151" s="39"/>
      <c r="M151" s="39"/>
      <c r="N151" s="39"/>
      <c r="O151" s="39"/>
      <c r="P151" s="39"/>
      <c r="Q151" s="39"/>
      <c r="R151" s="39"/>
      <c r="S151" s="39"/>
      <c r="T151" s="39"/>
      <c r="U151" s="39"/>
      <c r="V151" s="39"/>
      <c r="W151" s="39"/>
      <c r="X151" s="39"/>
      <c r="Y151" s="39"/>
      <c r="Z151" s="39"/>
      <c r="AA151" s="39"/>
      <c r="AB151" s="39"/>
    </row>
    <row r="152">
      <c r="A152" s="1"/>
      <c r="B152" s="36"/>
      <c r="C152" s="36"/>
      <c r="D152" s="36"/>
      <c r="E152" s="36"/>
      <c r="F152" s="36"/>
      <c r="G152" s="36"/>
      <c r="H152" s="37"/>
      <c r="I152" s="36"/>
      <c r="J152" s="38"/>
      <c r="K152" s="38"/>
      <c r="L152" s="39"/>
      <c r="M152" s="39"/>
      <c r="N152" s="39"/>
      <c r="O152" s="39"/>
      <c r="P152" s="39"/>
      <c r="Q152" s="39"/>
      <c r="R152" s="39"/>
      <c r="S152" s="39"/>
      <c r="T152" s="39"/>
      <c r="U152" s="39"/>
      <c r="V152" s="39"/>
      <c r="W152" s="39"/>
      <c r="X152" s="39"/>
      <c r="Y152" s="39"/>
      <c r="Z152" s="39"/>
      <c r="AA152" s="39"/>
      <c r="AB152" s="39"/>
    </row>
    <row r="153">
      <c r="A153" s="1"/>
      <c r="B153" s="36"/>
      <c r="C153" s="36"/>
      <c r="D153" s="36"/>
      <c r="E153" s="36"/>
      <c r="F153" s="36"/>
      <c r="G153" s="36"/>
      <c r="H153" s="37"/>
      <c r="I153" s="36"/>
      <c r="J153" s="38"/>
      <c r="K153" s="38"/>
      <c r="L153" s="39"/>
      <c r="M153" s="39"/>
      <c r="N153" s="39"/>
      <c r="O153" s="39"/>
      <c r="P153" s="39"/>
      <c r="Q153" s="39"/>
      <c r="R153" s="39"/>
      <c r="S153" s="39"/>
      <c r="T153" s="39"/>
      <c r="U153" s="39"/>
      <c r="V153" s="39"/>
      <c r="W153" s="39"/>
      <c r="X153" s="39"/>
      <c r="Y153" s="39"/>
      <c r="Z153" s="39"/>
      <c r="AA153" s="39"/>
      <c r="AB153" s="39"/>
    </row>
    <row r="154">
      <c r="A154" s="1"/>
      <c r="B154" s="36"/>
      <c r="C154" s="36"/>
      <c r="D154" s="36"/>
      <c r="E154" s="36"/>
      <c r="F154" s="36"/>
      <c r="G154" s="36"/>
      <c r="H154" s="37"/>
      <c r="I154" s="36"/>
      <c r="J154" s="38"/>
      <c r="K154" s="38"/>
      <c r="L154" s="39"/>
      <c r="M154" s="39"/>
      <c r="N154" s="39"/>
      <c r="O154" s="39"/>
      <c r="P154" s="39"/>
      <c r="Q154" s="39"/>
      <c r="R154" s="39"/>
      <c r="S154" s="39"/>
      <c r="T154" s="39"/>
      <c r="U154" s="39"/>
      <c r="V154" s="39"/>
      <c r="W154" s="39"/>
      <c r="X154" s="39"/>
      <c r="Y154" s="39"/>
      <c r="Z154" s="39"/>
      <c r="AA154" s="39"/>
      <c r="AB154" s="39"/>
    </row>
    <row r="155">
      <c r="A155" s="1"/>
      <c r="B155" s="36"/>
      <c r="C155" s="36"/>
      <c r="D155" s="36"/>
      <c r="E155" s="36"/>
      <c r="F155" s="36"/>
      <c r="G155" s="36"/>
      <c r="H155" s="37"/>
      <c r="I155" s="36"/>
      <c r="J155" s="38"/>
      <c r="K155" s="38"/>
      <c r="L155" s="39"/>
      <c r="M155" s="39"/>
      <c r="N155" s="39"/>
      <c r="O155" s="39"/>
      <c r="P155" s="39"/>
      <c r="Q155" s="39"/>
      <c r="R155" s="39"/>
      <c r="S155" s="39"/>
      <c r="T155" s="39"/>
      <c r="U155" s="39"/>
      <c r="V155" s="39"/>
      <c r="W155" s="39"/>
      <c r="X155" s="39"/>
      <c r="Y155" s="39"/>
      <c r="Z155" s="39"/>
      <c r="AA155" s="39"/>
      <c r="AB155" s="39"/>
    </row>
    <row r="156">
      <c r="A156" s="1"/>
      <c r="B156" s="36"/>
      <c r="C156" s="36"/>
      <c r="D156" s="36"/>
      <c r="E156" s="36"/>
      <c r="F156" s="36"/>
      <c r="G156" s="36"/>
      <c r="H156" s="37"/>
      <c r="I156" s="36"/>
      <c r="J156" s="38"/>
      <c r="K156" s="38"/>
      <c r="L156" s="39"/>
      <c r="M156" s="39"/>
      <c r="N156" s="39"/>
      <c r="O156" s="39"/>
      <c r="P156" s="39"/>
      <c r="Q156" s="39"/>
      <c r="R156" s="39"/>
      <c r="S156" s="39"/>
      <c r="T156" s="39"/>
      <c r="U156" s="39"/>
      <c r="V156" s="39"/>
      <c r="W156" s="39"/>
      <c r="X156" s="39"/>
      <c r="Y156" s="39"/>
      <c r="Z156" s="39"/>
      <c r="AA156" s="39"/>
      <c r="AB156" s="39"/>
    </row>
    <row r="157">
      <c r="A157" s="1"/>
      <c r="B157" s="36"/>
      <c r="C157" s="36"/>
      <c r="D157" s="36"/>
      <c r="E157" s="36"/>
      <c r="F157" s="36"/>
      <c r="G157" s="36"/>
      <c r="H157" s="37"/>
      <c r="I157" s="36"/>
      <c r="J157" s="38"/>
      <c r="K157" s="38"/>
      <c r="L157" s="39"/>
      <c r="M157" s="39"/>
      <c r="N157" s="39"/>
      <c r="O157" s="39"/>
      <c r="P157" s="39"/>
      <c r="Q157" s="39"/>
      <c r="R157" s="39"/>
      <c r="S157" s="39"/>
      <c r="T157" s="39"/>
      <c r="U157" s="39"/>
      <c r="V157" s="39"/>
      <c r="W157" s="39"/>
      <c r="X157" s="39"/>
      <c r="Y157" s="39"/>
      <c r="Z157" s="39"/>
      <c r="AA157" s="39"/>
      <c r="AB157" s="39"/>
    </row>
    <row r="158">
      <c r="A158" s="1"/>
      <c r="B158" s="36"/>
      <c r="C158" s="36"/>
      <c r="D158" s="36"/>
      <c r="E158" s="36"/>
      <c r="F158" s="36"/>
      <c r="G158" s="36"/>
      <c r="H158" s="37"/>
      <c r="I158" s="36"/>
      <c r="J158" s="38"/>
      <c r="K158" s="38"/>
      <c r="L158" s="39"/>
      <c r="M158" s="39"/>
      <c r="N158" s="39"/>
      <c r="O158" s="39"/>
      <c r="P158" s="39"/>
      <c r="Q158" s="39"/>
      <c r="R158" s="39"/>
      <c r="S158" s="39"/>
      <c r="T158" s="39"/>
      <c r="U158" s="39"/>
      <c r="V158" s="39"/>
      <c r="W158" s="39"/>
      <c r="X158" s="39"/>
      <c r="Y158" s="39"/>
      <c r="Z158" s="39"/>
      <c r="AA158" s="39"/>
      <c r="AB158" s="39"/>
    </row>
    <row r="159">
      <c r="A159" s="1"/>
      <c r="B159" s="36"/>
      <c r="C159" s="36"/>
      <c r="D159" s="36"/>
      <c r="E159" s="36"/>
      <c r="F159" s="36"/>
      <c r="G159" s="36"/>
      <c r="H159" s="37"/>
      <c r="I159" s="36"/>
      <c r="J159" s="38"/>
      <c r="K159" s="38"/>
      <c r="L159" s="39"/>
      <c r="M159" s="39"/>
      <c r="N159" s="39"/>
      <c r="O159" s="39"/>
      <c r="P159" s="39"/>
      <c r="Q159" s="39"/>
      <c r="R159" s="39"/>
      <c r="S159" s="39"/>
      <c r="T159" s="39"/>
      <c r="U159" s="39"/>
      <c r="V159" s="39"/>
      <c r="W159" s="39"/>
      <c r="X159" s="39"/>
      <c r="Y159" s="39"/>
      <c r="Z159" s="39"/>
      <c r="AA159" s="39"/>
      <c r="AB159" s="39"/>
    </row>
    <row r="160">
      <c r="A160" s="1"/>
      <c r="B160" s="36"/>
      <c r="C160" s="36"/>
      <c r="D160" s="36"/>
      <c r="E160" s="36"/>
      <c r="F160" s="36"/>
      <c r="G160" s="36"/>
      <c r="H160" s="37"/>
      <c r="I160" s="36"/>
      <c r="J160" s="38"/>
      <c r="K160" s="38"/>
      <c r="L160" s="39"/>
      <c r="M160" s="39"/>
      <c r="N160" s="39"/>
      <c r="O160" s="39"/>
      <c r="P160" s="39"/>
      <c r="Q160" s="39"/>
      <c r="R160" s="39"/>
      <c r="S160" s="39"/>
      <c r="T160" s="39"/>
      <c r="U160" s="39"/>
      <c r="V160" s="39"/>
      <c r="W160" s="39"/>
      <c r="X160" s="39"/>
      <c r="Y160" s="39"/>
      <c r="Z160" s="39"/>
      <c r="AA160" s="39"/>
      <c r="AB160" s="39"/>
    </row>
    <row r="161">
      <c r="A161" s="1"/>
      <c r="B161" s="36"/>
      <c r="C161" s="36"/>
      <c r="D161" s="36"/>
      <c r="E161" s="36"/>
      <c r="F161" s="36"/>
      <c r="G161" s="36"/>
      <c r="H161" s="37"/>
      <c r="I161" s="36"/>
      <c r="J161" s="38"/>
      <c r="K161" s="38"/>
      <c r="L161" s="39"/>
      <c r="M161" s="39"/>
      <c r="N161" s="39"/>
      <c r="O161" s="39"/>
      <c r="P161" s="39"/>
      <c r="Q161" s="39"/>
      <c r="R161" s="39"/>
      <c r="S161" s="39"/>
      <c r="T161" s="39"/>
      <c r="U161" s="39"/>
      <c r="V161" s="39"/>
      <c r="W161" s="39"/>
      <c r="X161" s="39"/>
      <c r="Y161" s="39"/>
      <c r="Z161" s="39"/>
      <c r="AA161" s="39"/>
      <c r="AB161" s="39"/>
    </row>
    <row r="162">
      <c r="A162" s="1"/>
      <c r="B162" s="36"/>
      <c r="C162" s="36"/>
      <c r="D162" s="36"/>
      <c r="E162" s="36"/>
      <c r="F162" s="36"/>
      <c r="G162" s="36"/>
      <c r="H162" s="37"/>
      <c r="I162" s="36"/>
      <c r="J162" s="38"/>
      <c r="K162" s="38"/>
      <c r="L162" s="39"/>
      <c r="M162" s="39"/>
      <c r="N162" s="39"/>
      <c r="O162" s="39"/>
      <c r="P162" s="39"/>
      <c r="Q162" s="39"/>
      <c r="R162" s="39"/>
      <c r="S162" s="39"/>
      <c r="T162" s="39"/>
      <c r="U162" s="39"/>
      <c r="V162" s="39"/>
      <c r="W162" s="39"/>
      <c r="X162" s="39"/>
      <c r="Y162" s="39"/>
      <c r="Z162" s="39"/>
      <c r="AA162" s="39"/>
      <c r="AB162" s="39"/>
    </row>
    <row r="163">
      <c r="A163" s="1"/>
      <c r="B163" s="36"/>
      <c r="C163" s="36"/>
      <c r="D163" s="36"/>
      <c r="E163" s="36"/>
      <c r="F163" s="36"/>
      <c r="G163" s="36"/>
      <c r="H163" s="37"/>
      <c r="I163" s="36"/>
      <c r="J163" s="38"/>
      <c r="K163" s="38"/>
      <c r="L163" s="39"/>
      <c r="M163" s="39"/>
      <c r="N163" s="39"/>
      <c r="O163" s="39"/>
      <c r="P163" s="39"/>
      <c r="Q163" s="39"/>
      <c r="R163" s="39"/>
      <c r="S163" s="39"/>
      <c r="T163" s="39"/>
      <c r="U163" s="39"/>
      <c r="V163" s="39"/>
      <c r="W163" s="39"/>
      <c r="X163" s="39"/>
      <c r="Y163" s="39"/>
      <c r="Z163" s="39"/>
      <c r="AA163" s="39"/>
      <c r="AB163" s="39"/>
    </row>
    <row r="164">
      <c r="A164" s="1"/>
      <c r="B164" s="36"/>
      <c r="C164" s="36"/>
      <c r="D164" s="36"/>
      <c r="E164" s="36"/>
      <c r="F164" s="36"/>
      <c r="G164" s="36"/>
      <c r="H164" s="37"/>
      <c r="I164" s="36"/>
      <c r="J164" s="38"/>
      <c r="K164" s="38"/>
      <c r="L164" s="39"/>
      <c r="M164" s="39"/>
      <c r="N164" s="39"/>
      <c r="O164" s="39"/>
      <c r="P164" s="39"/>
      <c r="Q164" s="39"/>
      <c r="R164" s="39"/>
      <c r="S164" s="39"/>
      <c r="T164" s="39"/>
      <c r="U164" s="39"/>
      <c r="V164" s="39"/>
      <c r="W164" s="39"/>
      <c r="X164" s="39"/>
      <c r="Y164" s="39"/>
      <c r="Z164" s="39"/>
      <c r="AA164" s="39"/>
      <c r="AB164" s="39"/>
    </row>
    <row r="165">
      <c r="A165" s="1"/>
      <c r="B165" s="36"/>
      <c r="C165" s="36"/>
      <c r="D165" s="36"/>
      <c r="E165" s="36"/>
      <c r="F165" s="36"/>
      <c r="G165" s="36"/>
      <c r="H165" s="37"/>
      <c r="I165" s="36"/>
      <c r="J165" s="38"/>
      <c r="K165" s="38"/>
      <c r="L165" s="39"/>
      <c r="M165" s="39"/>
      <c r="N165" s="39"/>
      <c r="O165" s="39"/>
      <c r="P165" s="39"/>
      <c r="Q165" s="39"/>
      <c r="R165" s="39"/>
      <c r="S165" s="39"/>
      <c r="T165" s="39"/>
      <c r="U165" s="39"/>
      <c r="V165" s="39"/>
      <c r="W165" s="39"/>
      <c r="X165" s="39"/>
      <c r="Y165" s="39"/>
      <c r="Z165" s="39"/>
      <c r="AA165" s="39"/>
      <c r="AB165" s="39"/>
    </row>
    <row r="166">
      <c r="A166" s="1"/>
      <c r="B166" s="36"/>
      <c r="C166" s="36"/>
      <c r="D166" s="36"/>
      <c r="E166" s="36"/>
      <c r="F166" s="36"/>
      <c r="G166" s="36"/>
      <c r="H166" s="37"/>
      <c r="I166" s="36"/>
      <c r="J166" s="38"/>
      <c r="K166" s="38"/>
      <c r="L166" s="39"/>
      <c r="M166" s="39"/>
      <c r="N166" s="39"/>
      <c r="O166" s="39"/>
      <c r="P166" s="39"/>
      <c r="Q166" s="39"/>
      <c r="R166" s="39"/>
      <c r="S166" s="39"/>
      <c r="T166" s="39"/>
      <c r="U166" s="39"/>
      <c r="V166" s="39"/>
      <c r="W166" s="39"/>
      <c r="X166" s="39"/>
      <c r="Y166" s="39"/>
      <c r="Z166" s="39"/>
      <c r="AA166" s="39"/>
      <c r="AB166" s="39"/>
    </row>
    <row r="167">
      <c r="A167" s="1"/>
      <c r="B167" s="36"/>
      <c r="C167" s="36"/>
      <c r="D167" s="36"/>
      <c r="E167" s="36"/>
      <c r="F167" s="36"/>
      <c r="G167" s="36"/>
      <c r="H167" s="37"/>
      <c r="I167" s="36"/>
      <c r="J167" s="38"/>
      <c r="K167" s="38"/>
      <c r="L167" s="39"/>
      <c r="M167" s="39"/>
      <c r="N167" s="39"/>
      <c r="O167" s="39"/>
      <c r="P167" s="39"/>
      <c r="Q167" s="39"/>
      <c r="R167" s="39"/>
      <c r="S167" s="39"/>
      <c r="T167" s="39"/>
      <c r="U167" s="39"/>
      <c r="V167" s="39"/>
      <c r="W167" s="39"/>
      <c r="X167" s="39"/>
      <c r="Y167" s="39"/>
      <c r="Z167" s="39"/>
      <c r="AA167" s="39"/>
      <c r="AB167" s="39"/>
    </row>
    <row r="168">
      <c r="A168" s="1"/>
      <c r="B168" s="36"/>
      <c r="C168" s="36"/>
      <c r="D168" s="36"/>
      <c r="E168" s="36"/>
      <c r="F168" s="36"/>
      <c r="G168" s="36"/>
      <c r="H168" s="37"/>
      <c r="I168" s="36"/>
      <c r="J168" s="38"/>
      <c r="K168" s="38"/>
      <c r="L168" s="39"/>
      <c r="M168" s="39"/>
      <c r="N168" s="39"/>
      <c r="O168" s="39"/>
      <c r="P168" s="39"/>
      <c r="Q168" s="39"/>
      <c r="R168" s="39"/>
      <c r="S168" s="39"/>
      <c r="T168" s="39"/>
      <c r="U168" s="39"/>
      <c r="V168" s="39"/>
      <c r="W168" s="39"/>
      <c r="X168" s="39"/>
      <c r="Y168" s="39"/>
      <c r="Z168" s="39"/>
      <c r="AA168" s="39"/>
      <c r="AB168" s="39"/>
    </row>
    <row r="169">
      <c r="A169" s="1"/>
      <c r="B169" s="36"/>
      <c r="C169" s="36"/>
      <c r="D169" s="36"/>
      <c r="E169" s="36"/>
      <c r="F169" s="36"/>
      <c r="G169" s="36"/>
      <c r="H169" s="37"/>
      <c r="I169" s="36"/>
      <c r="J169" s="38"/>
      <c r="K169" s="38"/>
      <c r="L169" s="39"/>
      <c r="M169" s="39"/>
      <c r="N169" s="39"/>
      <c r="O169" s="39"/>
      <c r="P169" s="39"/>
      <c r="Q169" s="39"/>
      <c r="R169" s="39"/>
      <c r="S169" s="39"/>
      <c r="T169" s="39"/>
      <c r="U169" s="39"/>
      <c r="V169" s="39"/>
      <c r="W169" s="39"/>
      <c r="X169" s="39"/>
      <c r="Y169" s="39"/>
      <c r="Z169" s="39"/>
      <c r="AA169" s="39"/>
      <c r="AB169" s="39"/>
    </row>
    <row r="170">
      <c r="A170" s="1"/>
      <c r="B170" s="36"/>
      <c r="C170" s="36"/>
      <c r="D170" s="36"/>
      <c r="E170" s="36"/>
      <c r="F170" s="36"/>
      <c r="G170" s="36"/>
      <c r="H170" s="37"/>
      <c r="I170" s="36"/>
      <c r="J170" s="38"/>
      <c r="K170" s="38"/>
      <c r="L170" s="39"/>
      <c r="M170" s="39"/>
      <c r="N170" s="39"/>
      <c r="O170" s="39"/>
      <c r="P170" s="39"/>
      <c r="Q170" s="39"/>
      <c r="R170" s="39"/>
      <c r="S170" s="39"/>
      <c r="T170" s="39"/>
      <c r="U170" s="39"/>
      <c r="V170" s="39"/>
      <c r="W170" s="39"/>
      <c r="X170" s="39"/>
      <c r="Y170" s="39"/>
      <c r="Z170" s="39"/>
      <c r="AA170" s="39"/>
      <c r="AB170" s="39"/>
    </row>
    <row r="171">
      <c r="A171" s="1"/>
      <c r="B171" s="36"/>
      <c r="C171" s="36"/>
      <c r="D171" s="36"/>
      <c r="E171" s="36"/>
      <c r="F171" s="36"/>
      <c r="G171" s="36"/>
      <c r="H171" s="37"/>
      <c r="I171" s="36"/>
      <c r="J171" s="38"/>
      <c r="K171" s="38"/>
      <c r="L171" s="39"/>
      <c r="M171" s="39"/>
      <c r="N171" s="39"/>
      <c r="O171" s="39"/>
      <c r="P171" s="39"/>
      <c r="Q171" s="39"/>
      <c r="R171" s="39"/>
      <c r="S171" s="39"/>
      <c r="T171" s="39"/>
      <c r="U171" s="39"/>
      <c r="V171" s="39"/>
      <c r="W171" s="39"/>
      <c r="X171" s="39"/>
      <c r="Y171" s="39"/>
      <c r="Z171" s="39"/>
      <c r="AA171" s="39"/>
      <c r="AB171" s="39"/>
    </row>
    <row r="172">
      <c r="A172" s="1"/>
      <c r="B172" s="36"/>
      <c r="C172" s="36"/>
      <c r="D172" s="36"/>
      <c r="E172" s="36"/>
      <c r="F172" s="36"/>
      <c r="G172" s="36"/>
      <c r="H172" s="37"/>
      <c r="I172" s="36"/>
      <c r="J172" s="38"/>
      <c r="K172" s="38"/>
      <c r="L172" s="39"/>
      <c r="M172" s="39"/>
      <c r="N172" s="39"/>
      <c r="O172" s="39"/>
      <c r="P172" s="39"/>
      <c r="Q172" s="39"/>
      <c r="R172" s="39"/>
      <c r="S172" s="39"/>
      <c r="T172" s="39"/>
      <c r="U172" s="39"/>
      <c r="V172" s="39"/>
      <c r="W172" s="39"/>
      <c r="X172" s="39"/>
      <c r="Y172" s="39"/>
      <c r="Z172" s="39"/>
      <c r="AA172" s="39"/>
      <c r="AB172" s="39"/>
    </row>
    <row r="173">
      <c r="A173" s="1"/>
      <c r="B173" s="36"/>
      <c r="C173" s="36"/>
      <c r="D173" s="36"/>
      <c r="E173" s="36"/>
      <c r="F173" s="36"/>
      <c r="G173" s="36"/>
      <c r="H173" s="37"/>
      <c r="I173" s="36"/>
      <c r="J173" s="38"/>
      <c r="K173" s="38"/>
      <c r="L173" s="39"/>
      <c r="M173" s="39"/>
      <c r="N173" s="39"/>
      <c r="O173" s="39"/>
      <c r="P173" s="39"/>
      <c r="Q173" s="39"/>
      <c r="R173" s="39"/>
      <c r="S173" s="39"/>
      <c r="T173" s="39"/>
      <c r="U173" s="39"/>
      <c r="V173" s="39"/>
      <c r="W173" s="39"/>
      <c r="X173" s="39"/>
      <c r="Y173" s="39"/>
      <c r="Z173" s="39"/>
      <c r="AA173" s="39"/>
      <c r="AB173" s="39"/>
    </row>
    <row r="174">
      <c r="A174" s="1"/>
      <c r="B174" s="36"/>
      <c r="C174" s="36"/>
      <c r="D174" s="36"/>
      <c r="E174" s="36"/>
      <c r="F174" s="36"/>
      <c r="G174" s="36"/>
      <c r="H174" s="37"/>
      <c r="I174" s="36"/>
      <c r="J174" s="38"/>
      <c r="K174" s="38"/>
      <c r="L174" s="39"/>
      <c r="M174" s="39"/>
      <c r="N174" s="39"/>
      <c r="O174" s="39"/>
      <c r="P174" s="39"/>
      <c r="Q174" s="39"/>
      <c r="R174" s="39"/>
      <c r="S174" s="39"/>
      <c r="T174" s="39"/>
      <c r="U174" s="39"/>
      <c r="V174" s="39"/>
      <c r="W174" s="39"/>
      <c r="X174" s="39"/>
      <c r="Y174" s="39"/>
      <c r="Z174" s="39"/>
      <c r="AA174" s="39"/>
      <c r="AB174" s="39"/>
    </row>
    <row r="175">
      <c r="A175" s="1"/>
      <c r="B175" s="36"/>
      <c r="C175" s="36"/>
      <c r="D175" s="36"/>
      <c r="E175" s="36"/>
      <c r="F175" s="36"/>
      <c r="G175" s="36"/>
      <c r="H175" s="37"/>
      <c r="I175" s="36"/>
      <c r="J175" s="38"/>
      <c r="K175" s="38"/>
      <c r="L175" s="39"/>
      <c r="M175" s="39"/>
      <c r="N175" s="39"/>
      <c r="O175" s="39"/>
      <c r="P175" s="39"/>
      <c r="Q175" s="39"/>
      <c r="R175" s="39"/>
      <c r="S175" s="39"/>
      <c r="T175" s="39"/>
      <c r="U175" s="39"/>
      <c r="V175" s="39"/>
      <c r="W175" s="39"/>
      <c r="X175" s="39"/>
      <c r="Y175" s="39"/>
      <c r="Z175" s="39"/>
      <c r="AA175" s="39"/>
      <c r="AB175" s="39"/>
    </row>
    <row r="176">
      <c r="A176" s="1"/>
      <c r="B176" s="36"/>
      <c r="C176" s="36"/>
      <c r="D176" s="36"/>
      <c r="E176" s="36"/>
      <c r="F176" s="36"/>
      <c r="G176" s="36"/>
      <c r="H176" s="37"/>
      <c r="I176" s="36"/>
      <c r="J176" s="38"/>
      <c r="K176" s="38"/>
      <c r="L176" s="39"/>
      <c r="M176" s="39"/>
      <c r="N176" s="39"/>
      <c r="O176" s="39"/>
      <c r="P176" s="39"/>
      <c r="Q176" s="39"/>
      <c r="R176" s="39"/>
      <c r="S176" s="39"/>
      <c r="T176" s="39"/>
      <c r="U176" s="39"/>
      <c r="V176" s="39"/>
      <c r="W176" s="39"/>
      <c r="X176" s="39"/>
      <c r="Y176" s="39"/>
      <c r="Z176" s="39"/>
      <c r="AA176" s="39"/>
      <c r="AB176" s="39"/>
    </row>
    <row r="177">
      <c r="A177" s="1"/>
      <c r="B177" s="36"/>
      <c r="C177" s="36"/>
      <c r="D177" s="36"/>
      <c r="E177" s="36"/>
      <c r="F177" s="36"/>
      <c r="G177" s="36"/>
      <c r="H177" s="37"/>
      <c r="I177" s="36"/>
      <c r="J177" s="38"/>
      <c r="K177" s="38"/>
      <c r="L177" s="39"/>
      <c r="M177" s="39"/>
      <c r="N177" s="39"/>
      <c r="O177" s="39"/>
      <c r="P177" s="39"/>
      <c r="Q177" s="39"/>
      <c r="R177" s="39"/>
      <c r="S177" s="39"/>
      <c r="T177" s="39"/>
      <c r="U177" s="39"/>
      <c r="V177" s="39"/>
      <c r="W177" s="39"/>
      <c r="X177" s="39"/>
      <c r="Y177" s="39"/>
      <c r="Z177" s="39"/>
      <c r="AA177" s="39"/>
      <c r="AB177" s="39"/>
    </row>
    <row r="178">
      <c r="A178" s="1"/>
      <c r="B178" s="36"/>
      <c r="C178" s="36"/>
      <c r="D178" s="36"/>
      <c r="E178" s="36"/>
      <c r="F178" s="36"/>
      <c r="G178" s="36"/>
      <c r="H178" s="37"/>
      <c r="I178" s="36"/>
      <c r="J178" s="38"/>
      <c r="K178" s="38"/>
      <c r="L178" s="39"/>
      <c r="M178" s="39"/>
      <c r="N178" s="39"/>
      <c r="O178" s="39"/>
      <c r="P178" s="39"/>
      <c r="Q178" s="39"/>
      <c r="R178" s="39"/>
      <c r="S178" s="39"/>
      <c r="T178" s="39"/>
      <c r="U178" s="39"/>
      <c r="V178" s="39"/>
      <c r="W178" s="39"/>
      <c r="X178" s="39"/>
      <c r="Y178" s="39"/>
      <c r="Z178" s="39"/>
      <c r="AA178" s="39"/>
      <c r="AB178" s="39"/>
    </row>
    <row r="179">
      <c r="A179" s="1"/>
      <c r="B179" s="36"/>
      <c r="C179" s="36"/>
      <c r="D179" s="36"/>
      <c r="E179" s="36"/>
      <c r="F179" s="36"/>
      <c r="G179" s="36"/>
      <c r="H179" s="37"/>
      <c r="I179" s="36"/>
      <c r="J179" s="38"/>
      <c r="K179" s="38"/>
      <c r="L179" s="39"/>
      <c r="M179" s="39"/>
      <c r="N179" s="39"/>
      <c r="O179" s="39"/>
      <c r="P179" s="39"/>
      <c r="Q179" s="39"/>
      <c r="R179" s="39"/>
      <c r="S179" s="39"/>
      <c r="T179" s="39"/>
      <c r="U179" s="39"/>
      <c r="V179" s="39"/>
      <c r="W179" s="39"/>
      <c r="X179" s="39"/>
      <c r="Y179" s="39"/>
      <c r="Z179" s="39"/>
      <c r="AA179" s="39"/>
      <c r="AB179" s="39"/>
    </row>
    <row r="180">
      <c r="A180" s="1"/>
      <c r="B180" s="36"/>
      <c r="C180" s="36"/>
      <c r="D180" s="36"/>
      <c r="E180" s="36"/>
      <c r="F180" s="36"/>
      <c r="G180" s="36"/>
      <c r="H180" s="37"/>
      <c r="I180" s="36"/>
      <c r="J180" s="38"/>
      <c r="K180" s="38"/>
      <c r="L180" s="39"/>
      <c r="M180" s="39"/>
      <c r="N180" s="39"/>
      <c r="O180" s="39"/>
      <c r="P180" s="39"/>
      <c r="Q180" s="39"/>
      <c r="R180" s="39"/>
      <c r="S180" s="39"/>
      <c r="T180" s="39"/>
      <c r="U180" s="39"/>
      <c r="V180" s="39"/>
      <c r="W180" s="39"/>
      <c r="X180" s="39"/>
      <c r="Y180" s="39"/>
      <c r="Z180" s="39"/>
      <c r="AA180" s="39"/>
      <c r="AB180" s="39"/>
    </row>
    <row r="181">
      <c r="A181" s="1"/>
      <c r="B181" s="36"/>
      <c r="C181" s="36"/>
      <c r="D181" s="36"/>
      <c r="E181" s="36"/>
      <c r="F181" s="36"/>
      <c r="G181" s="36"/>
      <c r="H181" s="37"/>
      <c r="I181" s="36"/>
      <c r="J181" s="38"/>
      <c r="K181" s="38"/>
      <c r="L181" s="39"/>
      <c r="M181" s="39"/>
      <c r="N181" s="39"/>
      <c r="O181" s="39"/>
      <c r="P181" s="39"/>
      <c r="Q181" s="39"/>
      <c r="R181" s="39"/>
      <c r="S181" s="39"/>
      <c r="T181" s="39"/>
      <c r="U181" s="39"/>
      <c r="V181" s="39"/>
      <c r="W181" s="39"/>
      <c r="X181" s="39"/>
      <c r="Y181" s="39"/>
      <c r="Z181" s="39"/>
      <c r="AA181" s="39"/>
      <c r="AB181" s="39"/>
    </row>
    <row r="182">
      <c r="A182" s="1"/>
      <c r="B182" s="36"/>
      <c r="C182" s="36"/>
      <c r="D182" s="36"/>
      <c r="E182" s="36"/>
      <c r="F182" s="36"/>
      <c r="G182" s="36"/>
      <c r="H182" s="37"/>
      <c r="I182" s="36"/>
      <c r="J182" s="38"/>
      <c r="K182" s="38"/>
      <c r="L182" s="39"/>
      <c r="M182" s="39"/>
      <c r="N182" s="39"/>
      <c r="O182" s="39"/>
      <c r="P182" s="39"/>
      <c r="Q182" s="39"/>
      <c r="R182" s="39"/>
      <c r="S182" s="39"/>
      <c r="T182" s="39"/>
      <c r="U182" s="39"/>
      <c r="V182" s="39"/>
      <c r="W182" s="39"/>
      <c r="X182" s="39"/>
      <c r="Y182" s="39"/>
      <c r="Z182" s="39"/>
      <c r="AA182" s="39"/>
      <c r="AB182" s="39"/>
    </row>
    <row r="183">
      <c r="A183" s="1"/>
      <c r="B183" s="36"/>
      <c r="C183" s="36"/>
      <c r="D183" s="36"/>
      <c r="E183" s="36"/>
      <c r="F183" s="36"/>
      <c r="G183" s="36"/>
      <c r="H183" s="37"/>
      <c r="I183" s="36"/>
      <c r="J183" s="38"/>
      <c r="K183" s="38"/>
      <c r="L183" s="39"/>
      <c r="M183" s="39"/>
      <c r="N183" s="39"/>
      <c r="O183" s="39"/>
      <c r="P183" s="39"/>
      <c r="Q183" s="39"/>
      <c r="R183" s="39"/>
      <c r="S183" s="39"/>
      <c r="T183" s="39"/>
      <c r="U183" s="39"/>
      <c r="V183" s="39"/>
      <c r="W183" s="39"/>
      <c r="X183" s="39"/>
      <c r="Y183" s="39"/>
      <c r="Z183" s="39"/>
      <c r="AA183" s="39"/>
      <c r="AB183" s="39"/>
    </row>
    <row r="184">
      <c r="A184" s="1"/>
      <c r="B184" s="36"/>
      <c r="C184" s="36"/>
      <c r="D184" s="36"/>
      <c r="E184" s="36"/>
      <c r="F184" s="36"/>
      <c r="G184" s="36"/>
      <c r="H184" s="37"/>
      <c r="I184" s="36"/>
      <c r="J184" s="38"/>
      <c r="K184" s="38"/>
      <c r="L184" s="39"/>
      <c r="M184" s="39"/>
      <c r="N184" s="39"/>
      <c r="O184" s="39"/>
      <c r="P184" s="39"/>
      <c r="Q184" s="39"/>
      <c r="R184" s="39"/>
      <c r="S184" s="39"/>
      <c r="T184" s="39"/>
      <c r="U184" s="39"/>
      <c r="V184" s="39"/>
      <c r="W184" s="39"/>
      <c r="X184" s="39"/>
      <c r="Y184" s="39"/>
      <c r="Z184" s="39"/>
      <c r="AA184" s="39"/>
      <c r="AB184" s="39"/>
    </row>
    <row r="185">
      <c r="A185" s="1"/>
      <c r="B185" s="36"/>
      <c r="C185" s="36"/>
      <c r="D185" s="36"/>
      <c r="E185" s="36"/>
      <c r="F185" s="36"/>
      <c r="G185" s="36"/>
      <c r="H185" s="37"/>
      <c r="I185" s="36"/>
      <c r="J185" s="38"/>
      <c r="K185" s="38"/>
      <c r="L185" s="39"/>
      <c r="M185" s="39"/>
      <c r="N185" s="39"/>
      <c r="O185" s="39"/>
      <c r="P185" s="39"/>
      <c r="Q185" s="39"/>
      <c r="R185" s="39"/>
      <c r="S185" s="39"/>
      <c r="T185" s="39"/>
      <c r="U185" s="39"/>
      <c r="V185" s="39"/>
      <c r="W185" s="39"/>
      <c r="X185" s="39"/>
      <c r="Y185" s="39"/>
      <c r="Z185" s="39"/>
      <c r="AA185" s="39"/>
      <c r="AB185" s="39"/>
    </row>
    <row r="186">
      <c r="A186" s="1"/>
      <c r="B186" s="36"/>
      <c r="C186" s="36"/>
      <c r="D186" s="36"/>
      <c r="E186" s="36"/>
      <c r="F186" s="36"/>
      <c r="G186" s="36"/>
      <c r="H186" s="37"/>
      <c r="I186" s="36"/>
      <c r="J186" s="38"/>
      <c r="K186" s="38"/>
      <c r="L186" s="39"/>
      <c r="M186" s="39"/>
      <c r="N186" s="39"/>
      <c r="O186" s="39"/>
      <c r="P186" s="39"/>
      <c r="Q186" s="39"/>
      <c r="R186" s="39"/>
      <c r="S186" s="39"/>
      <c r="T186" s="39"/>
      <c r="U186" s="39"/>
      <c r="V186" s="39"/>
      <c r="W186" s="39"/>
      <c r="X186" s="39"/>
      <c r="Y186" s="39"/>
      <c r="Z186" s="39"/>
      <c r="AA186" s="39"/>
      <c r="AB186" s="39"/>
    </row>
    <row r="187">
      <c r="A187" s="1"/>
      <c r="B187" s="36"/>
      <c r="C187" s="36"/>
      <c r="D187" s="36"/>
      <c r="E187" s="36"/>
      <c r="F187" s="36"/>
      <c r="G187" s="36"/>
      <c r="H187" s="37"/>
      <c r="I187" s="36"/>
      <c r="J187" s="38"/>
      <c r="K187" s="38"/>
      <c r="L187" s="39"/>
      <c r="M187" s="39"/>
      <c r="N187" s="39"/>
      <c r="O187" s="39"/>
      <c r="P187" s="39"/>
      <c r="Q187" s="39"/>
      <c r="R187" s="39"/>
      <c r="S187" s="39"/>
      <c r="T187" s="39"/>
      <c r="U187" s="39"/>
      <c r="V187" s="39"/>
      <c r="W187" s="39"/>
      <c r="X187" s="39"/>
      <c r="Y187" s="39"/>
      <c r="Z187" s="39"/>
      <c r="AA187" s="39"/>
      <c r="AB187" s="39"/>
    </row>
    <row r="188">
      <c r="A188" s="1"/>
      <c r="B188" s="36"/>
      <c r="C188" s="36"/>
      <c r="D188" s="36"/>
      <c r="E188" s="36"/>
      <c r="F188" s="36"/>
      <c r="G188" s="36"/>
      <c r="H188" s="37"/>
      <c r="I188" s="36"/>
      <c r="J188" s="38"/>
      <c r="K188" s="38"/>
      <c r="L188" s="39"/>
      <c r="M188" s="39"/>
      <c r="N188" s="39"/>
      <c r="O188" s="39"/>
      <c r="P188" s="39"/>
      <c r="Q188" s="39"/>
      <c r="R188" s="39"/>
      <c r="S188" s="39"/>
      <c r="T188" s="39"/>
      <c r="U188" s="39"/>
      <c r="V188" s="39"/>
      <c r="W188" s="39"/>
      <c r="X188" s="39"/>
      <c r="Y188" s="39"/>
      <c r="Z188" s="39"/>
      <c r="AA188" s="39"/>
      <c r="AB188" s="39"/>
    </row>
    <row r="189">
      <c r="A189" s="1"/>
      <c r="B189" s="36"/>
      <c r="C189" s="36"/>
      <c r="D189" s="36"/>
      <c r="E189" s="36"/>
      <c r="F189" s="36"/>
      <c r="G189" s="36"/>
      <c r="H189" s="37"/>
      <c r="I189" s="36"/>
      <c r="J189" s="38"/>
      <c r="K189" s="38"/>
      <c r="L189" s="39"/>
      <c r="M189" s="39"/>
      <c r="N189" s="39"/>
      <c r="O189" s="39"/>
      <c r="P189" s="39"/>
      <c r="Q189" s="39"/>
      <c r="R189" s="39"/>
      <c r="S189" s="39"/>
      <c r="T189" s="39"/>
      <c r="U189" s="39"/>
      <c r="V189" s="39"/>
      <c r="W189" s="39"/>
      <c r="X189" s="39"/>
      <c r="Y189" s="39"/>
      <c r="Z189" s="39"/>
      <c r="AA189" s="39"/>
      <c r="AB189" s="39"/>
    </row>
    <row r="190">
      <c r="A190" s="1"/>
      <c r="B190" s="36"/>
      <c r="C190" s="36"/>
      <c r="D190" s="36"/>
      <c r="E190" s="36"/>
      <c r="F190" s="36"/>
      <c r="G190" s="36"/>
      <c r="H190" s="37"/>
      <c r="I190" s="36"/>
      <c r="J190" s="38"/>
      <c r="K190" s="38"/>
      <c r="L190" s="39"/>
      <c r="M190" s="39"/>
      <c r="N190" s="39"/>
      <c r="O190" s="39"/>
      <c r="P190" s="39"/>
      <c r="Q190" s="39"/>
      <c r="R190" s="39"/>
      <c r="S190" s="39"/>
      <c r="T190" s="39"/>
      <c r="U190" s="39"/>
      <c r="V190" s="39"/>
      <c r="W190" s="39"/>
      <c r="X190" s="39"/>
      <c r="Y190" s="39"/>
      <c r="Z190" s="39"/>
      <c r="AA190" s="39"/>
      <c r="AB190" s="39"/>
    </row>
    <row r="191">
      <c r="A191" s="1"/>
      <c r="B191" s="36"/>
      <c r="C191" s="36"/>
      <c r="D191" s="36"/>
      <c r="E191" s="36"/>
      <c r="F191" s="36"/>
      <c r="G191" s="36"/>
      <c r="H191" s="37"/>
      <c r="I191" s="36"/>
      <c r="J191" s="38"/>
      <c r="K191" s="38"/>
      <c r="L191" s="39"/>
      <c r="M191" s="39"/>
      <c r="N191" s="39"/>
      <c r="O191" s="39"/>
      <c r="P191" s="39"/>
      <c r="Q191" s="39"/>
      <c r="R191" s="39"/>
      <c r="S191" s="39"/>
      <c r="T191" s="39"/>
      <c r="U191" s="39"/>
      <c r="V191" s="39"/>
      <c r="W191" s="39"/>
      <c r="X191" s="39"/>
      <c r="Y191" s="39"/>
      <c r="Z191" s="39"/>
      <c r="AA191" s="39"/>
      <c r="AB191" s="39"/>
    </row>
    <row r="192">
      <c r="A192" s="1"/>
      <c r="B192" s="36"/>
      <c r="C192" s="36"/>
      <c r="D192" s="36"/>
      <c r="E192" s="36"/>
      <c r="F192" s="36"/>
      <c r="G192" s="36"/>
      <c r="H192" s="37"/>
      <c r="I192" s="36"/>
      <c r="J192" s="38"/>
      <c r="K192" s="38"/>
      <c r="L192" s="39"/>
      <c r="M192" s="39"/>
      <c r="N192" s="39"/>
      <c r="O192" s="39"/>
      <c r="P192" s="39"/>
      <c r="Q192" s="39"/>
      <c r="R192" s="39"/>
      <c r="S192" s="39"/>
      <c r="T192" s="39"/>
      <c r="U192" s="39"/>
      <c r="V192" s="39"/>
      <c r="W192" s="39"/>
      <c r="X192" s="39"/>
      <c r="Y192" s="39"/>
      <c r="Z192" s="39"/>
      <c r="AA192" s="39"/>
      <c r="AB192" s="39"/>
    </row>
    <row r="193">
      <c r="A193" s="1"/>
      <c r="B193" s="36"/>
      <c r="C193" s="36"/>
      <c r="D193" s="36"/>
      <c r="E193" s="36"/>
      <c r="F193" s="36"/>
      <c r="G193" s="36"/>
      <c r="H193" s="37"/>
      <c r="I193" s="36"/>
      <c r="J193" s="38"/>
      <c r="K193" s="38"/>
      <c r="L193" s="39"/>
      <c r="M193" s="39"/>
      <c r="N193" s="39"/>
      <c r="O193" s="39"/>
      <c r="P193" s="39"/>
      <c r="Q193" s="39"/>
      <c r="R193" s="39"/>
      <c r="S193" s="39"/>
      <c r="T193" s="39"/>
      <c r="U193" s="39"/>
      <c r="V193" s="39"/>
      <c r="W193" s="39"/>
      <c r="X193" s="39"/>
      <c r="Y193" s="39"/>
      <c r="Z193" s="39"/>
      <c r="AA193" s="39"/>
      <c r="AB193" s="39"/>
    </row>
    <row r="194">
      <c r="A194" s="1"/>
      <c r="B194" s="36"/>
      <c r="C194" s="36"/>
      <c r="D194" s="36"/>
      <c r="E194" s="36"/>
      <c r="F194" s="36"/>
      <c r="G194" s="36"/>
      <c r="H194" s="37"/>
      <c r="I194" s="36"/>
      <c r="J194" s="38"/>
      <c r="K194" s="38"/>
      <c r="L194" s="39"/>
      <c r="M194" s="39"/>
      <c r="N194" s="39"/>
      <c r="O194" s="39"/>
      <c r="P194" s="39"/>
      <c r="Q194" s="39"/>
      <c r="R194" s="39"/>
      <c r="S194" s="39"/>
      <c r="T194" s="39"/>
      <c r="U194" s="39"/>
      <c r="V194" s="39"/>
      <c r="W194" s="39"/>
      <c r="X194" s="39"/>
      <c r="Y194" s="39"/>
      <c r="Z194" s="39"/>
      <c r="AA194" s="39"/>
      <c r="AB194" s="39"/>
    </row>
    <row r="195">
      <c r="A195" s="1"/>
      <c r="B195" s="36"/>
      <c r="C195" s="36"/>
      <c r="D195" s="36"/>
      <c r="E195" s="36"/>
      <c r="F195" s="36"/>
      <c r="G195" s="36"/>
      <c r="H195" s="37"/>
      <c r="I195" s="36"/>
      <c r="J195" s="38"/>
      <c r="K195" s="38"/>
      <c r="L195" s="39"/>
      <c r="M195" s="39"/>
      <c r="N195" s="39"/>
      <c r="O195" s="39"/>
      <c r="P195" s="39"/>
      <c r="Q195" s="39"/>
      <c r="R195" s="39"/>
      <c r="S195" s="39"/>
      <c r="T195" s="39"/>
      <c r="U195" s="39"/>
      <c r="V195" s="39"/>
      <c r="W195" s="39"/>
      <c r="X195" s="39"/>
      <c r="Y195" s="39"/>
      <c r="Z195" s="39"/>
      <c r="AA195" s="39"/>
      <c r="AB195" s="39"/>
    </row>
    <row r="196">
      <c r="A196" s="1"/>
      <c r="B196" s="36"/>
      <c r="C196" s="36"/>
      <c r="D196" s="36"/>
      <c r="E196" s="36"/>
      <c r="F196" s="36"/>
      <c r="G196" s="36"/>
      <c r="H196" s="37"/>
      <c r="I196" s="36"/>
      <c r="J196" s="38"/>
      <c r="K196" s="38"/>
      <c r="L196" s="39"/>
      <c r="M196" s="39"/>
      <c r="N196" s="39"/>
      <c r="O196" s="39"/>
      <c r="P196" s="39"/>
      <c r="Q196" s="39"/>
      <c r="R196" s="39"/>
      <c r="S196" s="39"/>
      <c r="T196" s="39"/>
      <c r="U196" s="39"/>
      <c r="V196" s="39"/>
      <c r="W196" s="39"/>
      <c r="X196" s="39"/>
      <c r="Y196" s="39"/>
      <c r="Z196" s="39"/>
      <c r="AA196" s="39"/>
      <c r="AB196" s="39"/>
    </row>
    <row r="197">
      <c r="A197" s="1"/>
      <c r="B197" s="36"/>
      <c r="C197" s="36"/>
      <c r="D197" s="36"/>
      <c r="E197" s="36"/>
      <c r="F197" s="36"/>
      <c r="G197" s="36"/>
      <c r="H197" s="37"/>
      <c r="I197" s="36"/>
      <c r="J197" s="38"/>
      <c r="K197" s="38"/>
      <c r="L197" s="39"/>
      <c r="M197" s="39"/>
      <c r="N197" s="39"/>
      <c r="O197" s="39"/>
      <c r="P197" s="39"/>
      <c r="Q197" s="39"/>
      <c r="R197" s="39"/>
      <c r="S197" s="39"/>
      <c r="T197" s="39"/>
      <c r="U197" s="39"/>
      <c r="V197" s="39"/>
      <c r="W197" s="39"/>
      <c r="X197" s="39"/>
      <c r="Y197" s="39"/>
      <c r="Z197" s="39"/>
      <c r="AA197" s="39"/>
      <c r="AB197" s="39"/>
    </row>
    <row r="198">
      <c r="A198" s="1"/>
      <c r="B198" s="36"/>
      <c r="C198" s="36"/>
      <c r="D198" s="36"/>
      <c r="E198" s="36"/>
      <c r="F198" s="36"/>
      <c r="G198" s="36"/>
      <c r="H198" s="37"/>
      <c r="I198" s="36"/>
      <c r="J198" s="38"/>
      <c r="K198" s="38"/>
      <c r="L198" s="39"/>
      <c r="M198" s="39"/>
      <c r="N198" s="39"/>
      <c r="O198" s="39"/>
      <c r="P198" s="39"/>
      <c r="Q198" s="39"/>
      <c r="R198" s="39"/>
      <c r="S198" s="39"/>
      <c r="T198" s="39"/>
      <c r="U198" s="39"/>
      <c r="V198" s="39"/>
      <c r="W198" s="39"/>
      <c r="X198" s="39"/>
      <c r="Y198" s="39"/>
      <c r="Z198" s="39"/>
      <c r="AA198" s="39"/>
      <c r="AB198" s="39"/>
    </row>
    <row r="199">
      <c r="A199" s="1"/>
      <c r="B199" s="36"/>
      <c r="C199" s="36"/>
      <c r="D199" s="36"/>
      <c r="E199" s="36"/>
      <c r="F199" s="36"/>
      <c r="G199" s="36"/>
      <c r="H199" s="37"/>
      <c r="I199" s="36"/>
      <c r="J199" s="38"/>
      <c r="K199" s="38"/>
      <c r="L199" s="39"/>
      <c r="M199" s="39"/>
      <c r="N199" s="39"/>
      <c r="O199" s="39"/>
      <c r="P199" s="39"/>
      <c r="Q199" s="39"/>
      <c r="R199" s="39"/>
      <c r="S199" s="39"/>
      <c r="T199" s="39"/>
      <c r="U199" s="39"/>
      <c r="V199" s="39"/>
      <c r="W199" s="39"/>
      <c r="X199" s="39"/>
      <c r="Y199" s="39"/>
      <c r="Z199" s="39"/>
      <c r="AA199" s="39"/>
      <c r="AB199" s="39"/>
    </row>
    <row r="200">
      <c r="A200" s="1"/>
      <c r="B200" s="36"/>
      <c r="C200" s="36"/>
      <c r="D200" s="36"/>
      <c r="E200" s="36"/>
      <c r="F200" s="36"/>
      <c r="G200" s="36"/>
      <c r="H200" s="37"/>
      <c r="I200" s="36"/>
      <c r="J200" s="38"/>
      <c r="K200" s="38"/>
      <c r="L200" s="39"/>
      <c r="M200" s="39"/>
      <c r="N200" s="39"/>
      <c r="O200" s="39"/>
      <c r="P200" s="39"/>
      <c r="Q200" s="39"/>
      <c r="R200" s="39"/>
      <c r="S200" s="39"/>
      <c r="T200" s="39"/>
      <c r="U200" s="39"/>
      <c r="V200" s="39"/>
      <c r="W200" s="39"/>
      <c r="X200" s="39"/>
      <c r="Y200" s="39"/>
      <c r="Z200" s="39"/>
      <c r="AA200" s="39"/>
      <c r="AB200" s="39"/>
    </row>
    <row r="201">
      <c r="A201" s="1"/>
      <c r="B201" s="36"/>
      <c r="C201" s="36"/>
      <c r="D201" s="36"/>
      <c r="E201" s="36"/>
      <c r="F201" s="36"/>
      <c r="G201" s="36"/>
      <c r="H201" s="37"/>
      <c r="I201" s="36"/>
      <c r="J201" s="38"/>
      <c r="K201" s="38"/>
      <c r="L201" s="39"/>
      <c r="M201" s="39"/>
      <c r="N201" s="39"/>
      <c r="O201" s="39"/>
      <c r="P201" s="39"/>
      <c r="Q201" s="39"/>
      <c r="R201" s="39"/>
      <c r="S201" s="39"/>
      <c r="T201" s="39"/>
      <c r="U201" s="39"/>
      <c r="V201" s="39"/>
      <c r="W201" s="39"/>
      <c r="X201" s="39"/>
      <c r="Y201" s="39"/>
      <c r="Z201" s="39"/>
      <c r="AA201" s="39"/>
      <c r="AB201" s="39"/>
    </row>
    <row r="202">
      <c r="A202" s="1"/>
      <c r="B202" s="36"/>
      <c r="C202" s="36"/>
      <c r="D202" s="36"/>
      <c r="E202" s="36"/>
      <c r="F202" s="36"/>
      <c r="G202" s="36"/>
      <c r="H202" s="37"/>
      <c r="I202" s="36"/>
      <c r="J202" s="38"/>
      <c r="K202" s="38"/>
      <c r="L202" s="39"/>
      <c r="M202" s="39"/>
      <c r="N202" s="39"/>
      <c r="O202" s="39"/>
      <c r="P202" s="39"/>
      <c r="Q202" s="39"/>
      <c r="R202" s="39"/>
      <c r="S202" s="39"/>
      <c r="T202" s="39"/>
      <c r="U202" s="39"/>
      <c r="V202" s="39"/>
      <c r="W202" s="39"/>
      <c r="X202" s="39"/>
      <c r="Y202" s="39"/>
      <c r="Z202" s="39"/>
      <c r="AA202" s="39"/>
      <c r="AB202" s="39"/>
    </row>
    <row r="203">
      <c r="A203" s="1"/>
      <c r="B203" s="36"/>
      <c r="C203" s="36"/>
      <c r="D203" s="36"/>
      <c r="E203" s="36"/>
      <c r="F203" s="36"/>
      <c r="G203" s="36"/>
      <c r="H203" s="37"/>
      <c r="I203" s="36"/>
      <c r="J203" s="38"/>
      <c r="K203" s="38"/>
      <c r="L203" s="39"/>
      <c r="M203" s="39"/>
      <c r="N203" s="39"/>
      <c r="O203" s="39"/>
      <c r="P203" s="39"/>
      <c r="Q203" s="39"/>
      <c r="R203" s="39"/>
      <c r="S203" s="39"/>
      <c r="T203" s="39"/>
      <c r="U203" s="39"/>
      <c r="V203" s="39"/>
      <c r="W203" s="39"/>
      <c r="X203" s="39"/>
      <c r="Y203" s="39"/>
      <c r="Z203" s="39"/>
      <c r="AA203" s="39"/>
      <c r="AB203" s="39"/>
    </row>
    <row r="204">
      <c r="A204" s="1"/>
      <c r="B204" s="36"/>
      <c r="C204" s="36"/>
      <c r="D204" s="36"/>
      <c r="E204" s="36"/>
      <c r="F204" s="36"/>
      <c r="G204" s="36"/>
      <c r="H204" s="37"/>
      <c r="I204" s="36"/>
      <c r="J204" s="38"/>
      <c r="K204" s="38"/>
      <c r="L204" s="39"/>
      <c r="M204" s="39"/>
      <c r="N204" s="39"/>
      <c r="O204" s="39"/>
      <c r="P204" s="39"/>
      <c r="Q204" s="39"/>
      <c r="R204" s="39"/>
      <c r="S204" s="39"/>
      <c r="T204" s="39"/>
      <c r="U204" s="39"/>
      <c r="V204" s="39"/>
      <c r="W204" s="39"/>
      <c r="X204" s="39"/>
      <c r="Y204" s="39"/>
      <c r="Z204" s="39"/>
      <c r="AA204" s="39"/>
      <c r="AB204" s="39"/>
    </row>
    <row r="205">
      <c r="A205" s="1"/>
      <c r="B205" s="36"/>
      <c r="C205" s="36"/>
      <c r="D205" s="36"/>
      <c r="E205" s="36"/>
      <c r="F205" s="36"/>
      <c r="G205" s="36"/>
      <c r="H205" s="37"/>
      <c r="I205" s="36"/>
      <c r="J205" s="38"/>
      <c r="K205" s="38"/>
      <c r="L205" s="39"/>
      <c r="M205" s="39"/>
      <c r="N205" s="39"/>
      <c r="O205" s="39"/>
      <c r="P205" s="39"/>
      <c r="Q205" s="39"/>
      <c r="R205" s="39"/>
      <c r="S205" s="39"/>
      <c r="T205" s="39"/>
      <c r="U205" s="39"/>
      <c r="V205" s="39"/>
      <c r="W205" s="39"/>
      <c r="X205" s="39"/>
      <c r="Y205" s="39"/>
      <c r="Z205" s="39"/>
      <c r="AA205" s="39"/>
      <c r="AB205" s="39"/>
    </row>
    <row r="206">
      <c r="A206" s="1"/>
      <c r="B206" s="36"/>
      <c r="C206" s="36"/>
      <c r="D206" s="36"/>
      <c r="E206" s="36"/>
      <c r="F206" s="36"/>
      <c r="G206" s="36"/>
      <c r="H206" s="37"/>
      <c r="I206" s="36"/>
      <c r="J206" s="38"/>
      <c r="K206" s="38"/>
      <c r="L206" s="39"/>
      <c r="M206" s="39"/>
      <c r="N206" s="39"/>
      <c r="O206" s="39"/>
      <c r="P206" s="39"/>
      <c r="Q206" s="39"/>
      <c r="R206" s="39"/>
      <c r="S206" s="39"/>
      <c r="T206" s="39"/>
      <c r="U206" s="39"/>
      <c r="V206" s="39"/>
      <c r="W206" s="39"/>
      <c r="X206" s="39"/>
      <c r="Y206" s="39"/>
      <c r="Z206" s="39"/>
      <c r="AA206" s="39"/>
      <c r="AB206" s="39"/>
    </row>
    <row r="207">
      <c r="A207" s="1"/>
      <c r="B207" s="36"/>
      <c r="C207" s="36"/>
      <c r="D207" s="36"/>
      <c r="E207" s="36"/>
      <c r="F207" s="36"/>
      <c r="G207" s="36"/>
      <c r="H207" s="37"/>
      <c r="I207" s="36"/>
      <c r="J207" s="38"/>
      <c r="K207" s="38"/>
      <c r="L207" s="39"/>
      <c r="M207" s="39"/>
      <c r="N207" s="39"/>
      <c r="O207" s="39"/>
      <c r="P207" s="39"/>
      <c r="Q207" s="39"/>
      <c r="R207" s="39"/>
      <c r="S207" s="39"/>
      <c r="T207" s="39"/>
      <c r="U207" s="39"/>
      <c r="V207" s="39"/>
      <c r="W207" s="39"/>
      <c r="X207" s="39"/>
      <c r="Y207" s="39"/>
      <c r="Z207" s="39"/>
      <c r="AA207" s="39"/>
      <c r="AB207" s="39"/>
    </row>
    <row r="208">
      <c r="A208" s="1"/>
      <c r="B208" s="36"/>
      <c r="C208" s="36"/>
      <c r="D208" s="36"/>
      <c r="E208" s="36"/>
      <c r="F208" s="36"/>
      <c r="G208" s="36"/>
      <c r="H208" s="37"/>
      <c r="I208" s="36"/>
      <c r="J208" s="38"/>
      <c r="K208" s="38"/>
      <c r="L208" s="39"/>
      <c r="M208" s="39"/>
      <c r="N208" s="39"/>
      <c r="O208" s="39"/>
      <c r="P208" s="39"/>
      <c r="Q208" s="39"/>
      <c r="R208" s="39"/>
      <c r="S208" s="39"/>
      <c r="T208" s="39"/>
      <c r="U208" s="39"/>
      <c r="V208" s="39"/>
      <c r="W208" s="39"/>
      <c r="X208" s="39"/>
      <c r="Y208" s="39"/>
      <c r="Z208" s="39"/>
      <c r="AA208" s="39"/>
      <c r="AB208" s="39"/>
    </row>
    <row r="209">
      <c r="A209" s="1"/>
      <c r="B209" s="36"/>
      <c r="C209" s="36"/>
      <c r="D209" s="36"/>
      <c r="E209" s="36"/>
      <c r="F209" s="36"/>
      <c r="G209" s="36"/>
      <c r="H209" s="37"/>
      <c r="I209" s="36"/>
      <c r="J209" s="38"/>
      <c r="K209" s="38"/>
      <c r="L209" s="39"/>
      <c r="M209" s="39"/>
      <c r="N209" s="39"/>
      <c r="O209" s="39"/>
      <c r="P209" s="39"/>
      <c r="Q209" s="39"/>
      <c r="R209" s="39"/>
      <c r="S209" s="39"/>
      <c r="T209" s="39"/>
      <c r="U209" s="39"/>
      <c r="V209" s="39"/>
      <c r="W209" s="39"/>
      <c r="X209" s="39"/>
      <c r="Y209" s="39"/>
      <c r="Z209" s="39"/>
      <c r="AA209" s="39"/>
      <c r="AB209" s="39"/>
    </row>
    <row r="210">
      <c r="A210" s="1"/>
      <c r="B210" s="36"/>
      <c r="C210" s="36"/>
      <c r="D210" s="36"/>
      <c r="E210" s="36"/>
      <c r="F210" s="36"/>
      <c r="G210" s="36"/>
      <c r="H210" s="37"/>
      <c r="I210" s="36"/>
      <c r="J210" s="38"/>
      <c r="K210" s="38"/>
      <c r="L210" s="39"/>
      <c r="M210" s="39"/>
      <c r="N210" s="39"/>
      <c r="O210" s="39"/>
      <c r="P210" s="39"/>
      <c r="Q210" s="39"/>
      <c r="R210" s="39"/>
      <c r="S210" s="39"/>
      <c r="T210" s="39"/>
      <c r="U210" s="39"/>
      <c r="V210" s="39"/>
      <c r="W210" s="39"/>
      <c r="X210" s="39"/>
      <c r="Y210" s="39"/>
      <c r="Z210" s="39"/>
      <c r="AA210" s="39"/>
      <c r="AB210" s="39"/>
    </row>
    <row r="211">
      <c r="A211" s="1"/>
      <c r="B211" s="36"/>
      <c r="C211" s="36"/>
      <c r="D211" s="36"/>
      <c r="E211" s="36"/>
      <c r="F211" s="36"/>
      <c r="G211" s="36"/>
      <c r="H211" s="37"/>
      <c r="I211" s="36"/>
      <c r="J211" s="38"/>
      <c r="K211" s="38"/>
      <c r="L211" s="39"/>
      <c r="M211" s="39"/>
      <c r="N211" s="39"/>
      <c r="O211" s="39"/>
      <c r="P211" s="39"/>
      <c r="Q211" s="39"/>
      <c r="R211" s="39"/>
      <c r="S211" s="39"/>
      <c r="T211" s="39"/>
      <c r="U211" s="39"/>
      <c r="V211" s="39"/>
      <c r="W211" s="39"/>
      <c r="X211" s="39"/>
      <c r="Y211" s="39"/>
      <c r="Z211" s="39"/>
      <c r="AA211" s="39"/>
      <c r="AB211" s="39"/>
    </row>
    <row r="212">
      <c r="A212" s="1"/>
      <c r="B212" s="36"/>
      <c r="C212" s="36"/>
      <c r="D212" s="36"/>
      <c r="E212" s="36"/>
      <c r="F212" s="36"/>
      <c r="G212" s="36"/>
      <c r="H212" s="37"/>
      <c r="I212" s="36"/>
      <c r="J212" s="38"/>
      <c r="K212" s="38"/>
      <c r="L212" s="39"/>
      <c r="M212" s="39"/>
      <c r="N212" s="39"/>
      <c r="O212" s="39"/>
      <c r="P212" s="39"/>
      <c r="Q212" s="39"/>
      <c r="R212" s="39"/>
      <c r="S212" s="39"/>
      <c r="T212" s="39"/>
      <c r="U212" s="39"/>
      <c r="V212" s="39"/>
      <c r="W212" s="39"/>
      <c r="X212" s="39"/>
      <c r="Y212" s="39"/>
      <c r="Z212" s="39"/>
      <c r="AA212" s="39"/>
      <c r="AB212" s="39"/>
    </row>
    <row r="213">
      <c r="A213" s="1"/>
      <c r="B213" s="36"/>
      <c r="C213" s="36"/>
      <c r="D213" s="36"/>
      <c r="E213" s="36"/>
      <c r="F213" s="36"/>
      <c r="G213" s="36"/>
      <c r="H213" s="37"/>
      <c r="I213" s="36"/>
      <c r="J213" s="38"/>
      <c r="K213" s="38"/>
      <c r="L213" s="39"/>
      <c r="M213" s="39"/>
      <c r="N213" s="39"/>
      <c r="O213" s="39"/>
      <c r="P213" s="39"/>
      <c r="Q213" s="39"/>
      <c r="R213" s="39"/>
      <c r="S213" s="39"/>
      <c r="T213" s="39"/>
      <c r="U213" s="39"/>
      <c r="V213" s="39"/>
      <c r="W213" s="39"/>
      <c r="X213" s="39"/>
      <c r="Y213" s="39"/>
      <c r="Z213" s="39"/>
      <c r="AA213" s="39"/>
      <c r="AB213" s="39"/>
    </row>
    <row r="214">
      <c r="A214" s="1"/>
      <c r="B214" s="36"/>
      <c r="C214" s="36"/>
      <c r="D214" s="36"/>
      <c r="E214" s="36"/>
      <c r="F214" s="36"/>
      <c r="G214" s="36"/>
      <c r="H214" s="37"/>
      <c r="I214" s="36"/>
      <c r="J214" s="38"/>
      <c r="K214" s="38"/>
      <c r="L214" s="39"/>
      <c r="M214" s="39"/>
      <c r="N214" s="39"/>
      <c r="O214" s="39"/>
      <c r="P214" s="39"/>
      <c r="Q214" s="39"/>
      <c r="R214" s="39"/>
      <c r="S214" s="39"/>
      <c r="T214" s="39"/>
      <c r="U214" s="39"/>
      <c r="V214" s="39"/>
      <c r="W214" s="39"/>
      <c r="X214" s="39"/>
      <c r="Y214" s="39"/>
      <c r="Z214" s="39"/>
      <c r="AA214" s="39"/>
      <c r="AB214" s="39"/>
    </row>
    <row r="215">
      <c r="A215" s="1"/>
      <c r="B215" s="36"/>
      <c r="C215" s="36"/>
      <c r="D215" s="36"/>
      <c r="E215" s="36"/>
      <c r="F215" s="36"/>
      <c r="G215" s="36"/>
      <c r="H215" s="37"/>
      <c r="I215" s="36"/>
      <c r="J215" s="38"/>
      <c r="K215" s="38"/>
      <c r="L215" s="39"/>
      <c r="M215" s="39"/>
      <c r="N215" s="39"/>
      <c r="O215" s="39"/>
      <c r="P215" s="39"/>
      <c r="Q215" s="39"/>
      <c r="R215" s="39"/>
      <c r="S215" s="39"/>
      <c r="T215" s="39"/>
      <c r="U215" s="39"/>
      <c r="V215" s="39"/>
      <c r="W215" s="39"/>
      <c r="X215" s="39"/>
      <c r="Y215" s="39"/>
      <c r="Z215" s="39"/>
      <c r="AA215" s="39"/>
      <c r="AB215" s="39"/>
    </row>
    <row r="216">
      <c r="A216" s="1"/>
      <c r="B216" s="36"/>
      <c r="C216" s="36"/>
      <c r="D216" s="36"/>
      <c r="E216" s="36"/>
      <c r="F216" s="36"/>
      <c r="G216" s="36"/>
      <c r="H216" s="37"/>
      <c r="I216" s="36"/>
      <c r="J216" s="38"/>
      <c r="K216" s="38"/>
      <c r="L216" s="39"/>
      <c r="M216" s="39"/>
      <c r="N216" s="39"/>
      <c r="O216" s="39"/>
      <c r="P216" s="39"/>
      <c r="Q216" s="39"/>
      <c r="R216" s="39"/>
      <c r="S216" s="39"/>
      <c r="T216" s="39"/>
      <c r="U216" s="39"/>
      <c r="V216" s="39"/>
      <c r="W216" s="39"/>
      <c r="X216" s="39"/>
      <c r="Y216" s="39"/>
      <c r="Z216" s="39"/>
      <c r="AA216" s="39"/>
      <c r="AB216" s="39"/>
    </row>
    <row r="217">
      <c r="A217" s="1"/>
      <c r="B217" s="36"/>
      <c r="C217" s="36"/>
      <c r="D217" s="36"/>
      <c r="E217" s="36"/>
      <c r="F217" s="36"/>
      <c r="G217" s="36"/>
      <c r="H217" s="37"/>
      <c r="I217" s="36"/>
      <c r="J217" s="38"/>
      <c r="K217" s="38"/>
      <c r="L217" s="39"/>
      <c r="M217" s="39"/>
      <c r="N217" s="39"/>
      <c r="O217" s="39"/>
      <c r="P217" s="39"/>
      <c r="Q217" s="39"/>
      <c r="R217" s="39"/>
      <c r="S217" s="39"/>
      <c r="T217" s="39"/>
      <c r="U217" s="39"/>
      <c r="V217" s="39"/>
      <c r="W217" s="39"/>
      <c r="X217" s="39"/>
      <c r="Y217" s="39"/>
      <c r="Z217" s="39"/>
      <c r="AA217" s="39"/>
      <c r="AB217" s="39"/>
    </row>
    <row r="218">
      <c r="A218" s="1"/>
      <c r="B218" s="36"/>
      <c r="C218" s="36"/>
      <c r="D218" s="36"/>
      <c r="E218" s="36"/>
      <c r="F218" s="36"/>
      <c r="G218" s="36"/>
      <c r="H218" s="37"/>
      <c r="I218" s="36"/>
      <c r="J218" s="38"/>
      <c r="K218" s="38"/>
      <c r="L218" s="39"/>
      <c r="M218" s="39"/>
      <c r="N218" s="39"/>
      <c r="O218" s="39"/>
      <c r="P218" s="39"/>
      <c r="Q218" s="39"/>
      <c r="R218" s="39"/>
      <c r="S218" s="39"/>
      <c r="T218" s="39"/>
      <c r="U218" s="39"/>
      <c r="V218" s="39"/>
      <c r="W218" s="39"/>
      <c r="X218" s="39"/>
      <c r="Y218" s="39"/>
      <c r="Z218" s="39"/>
      <c r="AA218" s="39"/>
      <c r="AB218" s="39"/>
    </row>
    <row r="219">
      <c r="A219" s="1"/>
      <c r="B219" s="36"/>
      <c r="C219" s="36"/>
      <c r="D219" s="36"/>
      <c r="E219" s="36"/>
      <c r="F219" s="36"/>
      <c r="G219" s="36"/>
      <c r="H219" s="37"/>
      <c r="I219" s="36"/>
      <c r="J219" s="38"/>
      <c r="K219" s="38"/>
      <c r="L219" s="39"/>
      <c r="M219" s="39"/>
      <c r="N219" s="39"/>
      <c r="O219" s="39"/>
      <c r="P219" s="39"/>
      <c r="Q219" s="39"/>
      <c r="R219" s="39"/>
      <c r="S219" s="39"/>
      <c r="T219" s="39"/>
      <c r="U219" s="39"/>
      <c r="V219" s="39"/>
      <c r="W219" s="39"/>
      <c r="X219" s="39"/>
      <c r="Y219" s="39"/>
      <c r="Z219" s="39"/>
      <c r="AA219" s="39"/>
      <c r="AB219" s="39"/>
    </row>
    <row r="220">
      <c r="A220" s="1"/>
      <c r="B220" s="36"/>
      <c r="C220" s="36"/>
      <c r="D220" s="36"/>
      <c r="E220" s="36"/>
      <c r="F220" s="36"/>
      <c r="G220" s="36"/>
      <c r="H220" s="37"/>
      <c r="I220" s="36"/>
      <c r="J220" s="38"/>
      <c r="K220" s="38"/>
      <c r="L220" s="39"/>
      <c r="M220" s="39"/>
      <c r="N220" s="39"/>
      <c r="O220" s="39"/>
      <c r="P220" s="39"/>
      <c r="Q220" s="39"/>
      <c r="R220" s="39"/>
      <c r="S220" s="39"/>
      <c r="T220" s="39"/>
      <c r="U220" s="39"/>
      <c r="V220" s="39"/>
      <c r="W220" s="39"/>
      <c r="X220" s="39"/>
      <c r="Y220" s="39"/>
      <c r="Z220" s="39"/>
      <c r="AA220" s="39"/>
      <c r="AB220" s="39"/>
    </row>
    <row r="221">
      <c r="A221" s="1"/>
      <c r="B221" s="36"/>
      <c r="C221" s="36"/>
      <c r="D221" s="36"/>
      <c r="E221" s="36"/>
      <c r="F221" s="36"/>
      <c r="G221" s="36"/>
      <c r="H221" s="37"/>
      <c r="I221" s="36"/>
      <c r="J221" s="38"/>
      <c r="K221" s="38"/>
      <c r="L221" s="39"/>
      <c r="M221" s="39"/>
      <c r="N221" s="39"/>
      <c r="O221" s="39"/>
      <c r="P221" s="39"/>
      <c r="Q221" s="39"/>
      <c r="R221" s="39"/>
      <c r="S221" s="39"/>
      <c r="T221" s="39"/>
      <c r="U221" s="39"/>
      <c r="V221" s="39"/>
      <c r="W221" s="39"/>
      <c r="X221" s="39"/>
      <c r="Y221" s="39"/>
      <c r="Z221" s="39"/>
      <c r="AA221" s="39"/>
      <c r="AB221" s="39"/>
    </row>
    <row r="222">
      <c r="A222" s="1"/>
      <c r="B222" s="36"/>
      <c r="C222" s="36"/>
      <c r="D222" s="36"/>
      <c r="E222" s="36"/>
      <c r="F222" s="36"/>
      <c r="G222" s="36"/>
      <c r="H222" s="37"/>
      <c r="I222" s="36"/>
      <c r="J222" s="38"/>
      <c r="K222" s="38"/>
      <c r="L222" s="39"/>
      <c r="M222" s="39"/>
      <c r="N222" s="39"/>
      <c r="O222" s="39"/>
      <c r="P222" s="39"/>
      <c r="Q222" s="39"/>
      <c r="R222" s="39"/>
      <c r="S222" s="39"/>
      <c r="T222" s="39"/>
      <c r="U222" s="39"/>
      <c r="V222" s="39"/>
      <c r="W222" s="39"/>
      <c r="X222" s="39"/>
      <c r="Y222" s="39"/>
      <c r="Z222" s="39"/>
      <c r="AA222" s="39"/>
      <c r="AB222" s="39"/>
    </row>
    <row r="223">
      <c r="A223" s="1"/>
      <c r="B223" s="36"/>
      <c r="C223" s="36"/>
      <c r="D223" s="36"/>
      <c r="E223" s="36"/>
      <c r="F223" s="36"/>
      <c r="G223" s="36"/>
      <c r="H223" s="37"/>
      <c r="I223" s="36"/>
      <c r="J223" s="38"/>
      <c r="K223" s="38"/>
      <c r="L223" s="39"/>
      <c r="M223" s="39"/>
      <c r="N223" s="39"/>
      <c r="O223" s="39"/>
      <c r="P223" s="39"/>
      <c r="Q223" s="39"/>
      <c r="R223" s="39"/>
      <c r="S223" s="39"/>
      <c r="T223" s="39"/>
      <c r="U223" s="39"/>
      <c r="V223" s="39"/>
      <c r="W223" s="39"/>
      <c r="X223" s="39"/>
      <c r="Y223" s="39"/>
      <c r="Z223" s="39"/>
      <c r="AA223" s="39"/>
      <c r="AB223" s="39"/>
    </row>
    <row r="224">
      <c r="A224" s="1"/>
      <c r="B224" s="36"/>
      <c r="C224" s="36"/>
      <c r="D224" s="36"/>
      <c r="E224" s="36"/>
      <c r="F224" s="36"/>
      <c r="G224" s="36"/>
      <c r="H224" s="37"/>
      <c r="I224" s="36"/>
      <c r="J224" s="38"/>
      <c r="K224" s="38"/>
      <c r="L224" s="39"/>
      <c r="M224" s="39"/>
      <c r="N224" s="39"/>
      <c r="O224" s="39"/>
      <c r="P224" s="39"/>
      <c r="Q224" s="39"/>
      <c r="R224" s="39"/>
      <c r="S224" s="39"/>
      <c r="T224" s="39"/>
      <c r="U224" s="39"/>
      <c r="V224" s="39"/>
      <c r="W224" s="39"/>
      <c r="X224" s="39"/>
      <c r="Y224" s="39"/>
      <c r="Z224" s="39"/>
      <c r="AA224" s="39"/>
      <c r="AB224" s="39"/>
    </row>
    <row r="225">
      <c r="A225" s="1"/>
      <c r="B225" s="36"/>
      <c r="C225" s="36"/>
      <c r="D225" s="36"/>
      <c r="E225" s="36"/>
      <c r="F225" s="36"/>
      <c r="G225" s="36"/>
      <c r="H225" s="37"/>
      <c r="I225" s="36"/>
      <c r="J225" s="38"/>
      <c r="K225" s="38"/>
      <c r="L225" s="39"/>
      <c r="M225" s="39"/>
      <c r="N225" s="39"/>
      <c r="O225" s="39"/>
      <c r="P225" s="39"/>
      <c r="Q225" s="39"/>
      <c r="R225" s="39"/>
      <c r="S225" s="39"/>
      <c r="T225" s="39"/>
      <c r="U225" s="39"/>
      <c r="V225" s="39"/>
      <c r="W225" s="39"/>
      <c r="X225" s="39"/>
      <c r="Y225" s="39"/>
      <c r="Z225" s="39"/>
      <c r="AA225" s="39"/>
      <c r="AB225" s="39"/>
    </row>
    <row r="226">
      <c r="A226" s="1"/>
      <c r="B226" s="36"/>
      <c r="C226" s="36"/>
      <c r="D226" s="36"/>
      <c r="E226" s="36"/>
      <c r="F226" s="36"/>
      <c r="G226" s="36"/>
      <c r="H226" s="37"/>
      <c r="I226" s="36"/>
      <c r="J226" s="38"/>
      <c r="K226" s="38"/>
      <c r="L226" s="39"/>
      <c r="M226" s="39"/>
      <c r="N226" s="39"/>
      <c r="O226" s="39"/>
      <c r="P226" s="39"/>
      <c r="Q226" s="39"/>
      <c r="R226" s="39"/>
      <c r="S226" s="39"/>
      <c r="T226" s="39"/>
      <c r="U226" s="39"/>
      <c r="V226" s="39"/>
      <c r="W226" s="39"/>
      <c r="X226" s="39"/>
      <c r="Y226" s="39"/>
      <c r="Z226" s="39"/>
      <c r="AA226" s="39"/>
      <c r="AB226" s="39"/>
    </row>
    <row r="227">
      <c r="A227" s="1"/>
      <c r="B227" s="36"/>
      <c r="C227" s="36"/>
      <c r="D227" s="36"/>
      <c r="E227" s="36"/>
      <c r="F227" s="36"/>
      <c r="G227" s="36"/>
      <c r="H227" s="37"/>
      <c r="I227" s="36"/>
      <c r="J227" s="38"/>
      <c r="K227" s="38"/>
      <c r="L227" s="39"/>
      <c r="M227" s="39"/>
      <c r="N227" s="39"/>
      <c r="O227" s="39"/>
      <c r="P227" s="39"/>
      <c r="Q227" s="39"/>
      <c r="R227" s="39"/>
      <c r="S227" s="39"/>
      <c r="T227" s="39"/>
      <c r="U227" s="39"/>
      <c r="V227" s="39"/>
      <c r="W227" s="39"/>
      <c r="X227" s="39"/>
      <c r="Y227" s="39"/>
      <c r="Z227" s="39"/>
      <c r="AA227" s="39"/>
      <c r="AB227" s="39"/>
    </row>
    <row r="228">
      <c r="A228" s="1"/>
      <c r="B228" s="36"/>
      <c r="C228" s="36"/>
      <c r="D228" s="36"/>
      <c r="E228" s="36"/>
      <c r="F228" s="36"/>
      <c r="G228" s="36"/>
      <c r="H228" s="37"/>
      <c r="I228" s="36"/>
      <c r="J228" s="38"/>
      <c r="K228" s="38"/>
      <c r="L228" s="39"/>
      <c r="M228" s="39"/>
      <c r="N228" s="39"/>
      <c r="O228" s="39"/>
      <c r="P228" s="39"/>
      <c r="Q228" s="39"/>
      <c r="R228" s="39"/>
      <c r="S228" s="39"/>
      <c r="T228" s="39"/>
      <c r="U228" s="39"/>
      <c r="V228" s="39"/>
      <c r="W228" s="39"/>
      <c r="X228" s="39"/>
      <c r="Y228" s="39"/>
      <c r="Z228" s="39"/>
      <c r="AA228" s="39"/>
      <c r="AB228" s="39"/>
    </row>
    <row r="229">
      <c r="A229" s="1"/>
      <c r="B229" s="36"/>
      <c r="C229" s="36"/>
      <c r="D229" s="36"/>
      <c r="E229" s="36"/>
      <c r="F229" s="36"/>
      <c r="G229" s="36"/>
      <c r="H229" s="37"/>
      <c r="I229" s="36"/>
      <c r="J229" s="38"/>
      <c r="K229" s="38"/>
      <c r="L229" s="39"/>
      <c r="M229" s="39"/>
      <c r="N229" s="39"/>
      <c r="O229" s="39"/>
      <c r="P229" s="39"/>
      <c r="Q229" s="39"/>
      <c r="R229" s="39"/>
      <c r="S229" s="39"/>
      <c r="T229" s="39"/>
      <c r="U229" s="39"/>
      <c r="V229" s="39"/>
      <c r="W229" s="39"/>
      <c r="X229" s="39"/>
      <c r="Y229" s="39"/>
      <c r="Z229" s="39"/>
      <c r="AA229" s="39"/>
      <c r="AB229" s="39"/>
    </row>
    <row r="230">
      <c r="A230" s="1"/>
      <c r="B230" s="36"/>
      <c r="C230" s="36"/>
      <c r="D230" s="36"/>
      <c r="E230" s="36"/>
      <c r="F230" s="36"/>
      <c r="G230" s="36"/>
      <c r="H230" s="37"/>
      <c r="I230" s="36"/>
      <c r="J230" s="38"/>
      <c r="K230" s="38"/>
      <c r="L230" s="39"/>
      <c r="M230" s="39"/>
      <c r="N230" s="39"/>
      <c r="O230" s="39"/>
      <c r="P230" s="39"/>
      <c r="Q230" s="39"/>
      <c r="R230" s="39"/>
      <c r="S230" s="39"/>
      <c r="T230" s="39"/>
      <c r="U230" s="39"/>
      <c r="V230" s="39"/>
      <c r="W230" s="39"/>
      <c r="X230" s="39"/>
      <c r="Y230" s="39"/>
      <c r="Z230" s="39"/>
      <c r="AA230" s="39"/>
      <c r="AB230" s="39"/>
    </row>
    <row r="231">
      <c r="A231" s="1"/>
      <c r="B231" s="36"/>
      <c r="C231" s="36"/>
      <c r="D231" s="36"/>
      <c r="E231" s="36"/>
      <c r="F231" s="36"/>
      <c r="G231" s="36"/>
      <c r="H231" s="37"/>
      <c r="I231" s="36"/>
      <c r="J231" s="38"/>
      <c r="K231" s="38"/>
      <c r="L231" s="39"/>
      <c r="M231" s="39"/>
      <c r="N231" s="39"/>
      <c r="O231" s="39"/>
      <c r="P231" s="39"/>
      <c r="Q231" s="39"/>
      <c r="R231" s="39"/>
      <c r="S231" s="39"/>
      <c r="T231" s="39"/>
      <c r="U231" s="39"/>
      <c r="V231" s="39"/>
      <c r="W231" s="39"/>
      <c r="X231" s="39"/>
      <c r="Y231" s="39"/>
      <c r="Z231" s="39"/>
      <c r="AA231" s="39"/>
      <c r="AB231" s="39"/>
    </row>
    <row r="232">
      <c r="A232" s="1"/>
      <c r="B232" s="36"/>
      <c r="C232" s="36"/>
      <c r="D232" s="36"/>
      <c r="E232" s="36"/>
      <c r="F232" s="36"/>
      <c r="G232" s="36"/>
      <c r="H232" s="37"/>
      <c r="I232" s="36"/>
      <c r="J232" s="38"/>
      <c r="K232" s="38"/>
      <c r="L232" s="39"/>
      <c r="M232" s="39"/>
      <c r="N232" s="39"/>
      <c r="O232" s="39"/>
      <c r="P232" s="39"/>
      <c r="Q232" s="39"/>
      <c r="R232" s="39"/>
      <c r="S232" s="39"/>
      <c r="T232" s="39"/>
      <c r="U232" s="39"/>
      <c r="V232" s="39"/>
      <c r="W232" s="39"/>
      <c r="X232" s="39"/>
      <c r="Y232" s="39"/>
      <c r="Z232" s="39"/>
      <c r="AA232" s="39"/>
      <c r="AB232" s="39"/>
    </row>
    <row r="233">
      <c r="A233" s="1"/>
      <c r="B233" s="36"/>
      <c r="C233" s="36"/>
      <c r="D233" s="36"/>
      <c r="E233" s="36"/>
      <c r="F233" s="36"/>
      <c r="G233" s="36"/>
      <c r="H233" s="37"/>
      <c r="I233" s="36"/>
      <c r="J233" s="38"/>
      <c r="K233" s="38"/>
      <c r="L233" s="39"/>
      <c r="M233" s="39"/>
      <c r="N233" s="39"/>
      <c r="O233" s="39"/>
      <c r="P233" s="39"/>
      <c r="Q233" s="39"/>
      <c r="R233" s="39"/>
      <c r="S233" s="39"/>
      <c r="T233" s="39"/>
      <c r="U233" s="39"/>
      <c r="V233" s="39"/>
      <c r="W233" s="39"/>
      <c r="X233" s="39"/>
      <c r="Y233" s="39"/>
      <c r="Z233" s="39"/>
      <c r="AA233" s="39"/>
      <c r="AB233" s="39"/>
    </row>
    <row r="234">
      <c r="A234" s="1"/>
      <c r="B234" s="36"/>
      <c r="C234" s="36"/>
      <c r="D234" s="36"/>
      <c r="E234" s="36"/>
      <c r="F234" s="36"/>
      <c r="G234" s="36"/>
      <c r="H234" s="37"/>
      <c r="I234" s="36"/>
      <c r="J234" s="38"/>
      <c r="K234" s="38"/>
      <c r="L234" s="39"/>
      <c r="M234" s="39"/>
      <c r="N234" s="39"/>
      <c r="O234" s="39"/>
      <c r="P234" s="39"/>
      <c r="Q234" s="39"/>
      <c r="R234" s="39"/>
      <c r="S234" s="39"/>
      <c r="T234" s="39"/>
      <c r="U234" s="39"/>
      <c r="V234" s="39"/>
      <c r="W234" s="39"/>
      <c r="X234" s="39"/>
      <c r="Y234" s="39"/>
      <c r="Z234" s="39"/>
      <c r="AA234" s="39"/>
      <c r="AB234" s="39"/>
    </row>
    <row r="235">
      <c r="A235" s="1"/>
      <c r="B235" s="36"/>
      <c r="C235" s="36"/>
      <c r="D235" s="36"/>
      <c r="E235" s="36"/>
      <c r="F235" s="36"/>
      <c r="G235" s="36"/>
      <c r="H235" s="37"/>
      <c r="I235" s="36"/>
      <c r="J235" s="38"/>
      <c r="K235" s="38"/>
      <c r="L235" s="39"/>
      <c r="M235" s="39"/>
      <c r="N235" s="39"/>
      <c r="O235" s="39"/>
      <c r="P235" s="39"/>
      <c r="Q235" s="39"/>
      <c r="R235" s="39"/>
      <c r="S235" s="39"/>
      <c r="T235" s="39"/>
      <c r="U235" s="39"/>
      <c r="V235" s="39"/>
      <c r="W235" s="39"/>
      <c r="X235" s="39"/>
      <c r="Y235" s="39"/>
      <c r="Z235" s="39"/>
      <c r="AA235" s="39"/>
      <c r="AB235" s="39"/>
    </row>
    <row r="236">
      <c r="A236" s="1"/>
      <c r="B236" s="36"/>
      <c r="C236" s="36"/>
      <c r="D236" s="36"/>
      <c r="E236" s="36"/>
      <c r="F236" s="36"/>
      <c r="G236" s="36"/>
      <c r="H236" s="37"/>
      <c r="I236" s="36"/>
      <c r="J236" s="38"/>
      <c r="K236" s="38"/>
      <c r="L236" s="39"/>
      <c r="M236" s="39"/>
      <c r="N236" s="39"/>
      <c r="O236" s="39"/>
      <c r="P236" s="39"/>
      <c r="Q236" s="39"/>
      <c r="R236" s="39"/>
      <c r="S236" s="39"/>
      <c r="T236" s="39"/>
      <c r="U236" s="39"/>
      <c r="V236" s="39"/>
      <c r="W236" s="39"/>
      <c r="X236" s="39"/>
      <c r="Y236" s="39"/>
      <c r="Z236" s="39"/>
      <c r="AA236" s="39"/>
      <c r="AB236" s="39"/>
    </row>
    <row r="237">
      <c r="A237" s="1"/>
      <c r="B237" s="36"/>
      <c r="C237" s="36"/>
      <c r="D237" s="36"/>
      <c r="E237" s="36"/>
      <c r="F237" s="36"/>
      <c r="G237" s="36"/>
      <c r="H237" s="37"/>
      <c r="I237" s="36"/>
      <c r="J237" s="38"/>
      <c r="K237" s="38"/>
      <c r="L237" s="39"/>
      <c r="M237" s="39"/>
      <c r="N237" s="39"/>
      <c r="O237" s="39"/>
      <c r="P237" s="39"/>
      <c r="Q237" s="39"/>
      <c r="R237" s="39"/>
      <c r="S237" s="39"/>
      <c r="T237" s="39"/>
      <c r="U237" s="39"/>
      <c r="V237" s="39"/>
      <c r="W237" s="39"/>
      <c r="X237" s="39"/>
      <c r="Y237" s="39"/>
      <c r="Z237" s="39"/>
      <c r="AA237" s="39"/>
      <c r="AB237" s="39"/>
    </row>
    <row r="238">
      <c r="A238" s="1"/>
      <c r="B238" s="36"/>
      <c r="C238" s="36"/>
      <c r="D238" s="36"/>
      <c r="E238" s="36"/>
      <c r="F238" s="36"/>
      <c r="G238" s="36"/>
      <c r="H238" s="37"/>
      <c r="I238" s="36"/>
      <c r="J238" s="38"/>
      <c r="K238" s="38"/>
      <c r="L238" s="39"/>
      <c r="M238" s="39"/>
      <c r="N238" s="39"/>
      <c r="O238" s="39"/>
      <c r="P238" s="39"/>
      <c r="Q238" s="39"/>
      <c r="R238" s="39"/>
      <c r="S238" s="39"/>
      <c r="T238" s="39"/>
      <c r="U238" s="39"/>
      <c r="V238" s="39"/>
      <c r="W238" s="39"/>
      <c r="X238" s="39"/>
      <c r="Y238" s="39"/>
      <c r="Z238" s="39"/>
      <c r="AA238" s="39"/>
      <c r="AB238" s="39"/>
    </row>
    <row r="239">
      <c r="A239" s="1"/>
      <c r="B239" s="36"/>
      <c r="C239" s="36"/>
      <c r="D239" s="36"/>
      <c r="E239" s="36"/>
      <c r="F239" s="36"/>
      <c r="G239" s="36"/>
      <c r="H239" s="37"/>
      <c r="I239" s="36"/>
      <c r="J239" s="38"/>
      <c r="K239" s="38"/>
      <c r="L239" s="39"/>
      <c r="M239" s="39"/>
      <c r="N239" s="39"/>
      <c r="O239" s="39"/>
      <c r="P239" s="39"/>
      <c r="Q239" s="39"/>
      <c r="R239" s="39"/>
      <c r="S239" s="39"/>
      <c r="T239" s="39"/>
      <c r="U239" s="39"/>
      <c r="V239" s="39"/>
      <c r="W239" s="39"/>
      <c r="X239" s="39"/>
      <c r="Y239" s="39"/>
      <c r="Z239" s="39"/>
      <c r="AA239" s="39"/>
      <c r="AB239" s="39"/>
    </row>
    <row r="240">
      <c r="A240" s="1"/>
      <c r="B240" s="36"/>
      <c r="C240" s="36"/>
      <c r="D240" s="36"/>
      <c r="E240" s="36"/>
      <c r="F240" s="36"/>
      <c r="G240" s="36"/>
      <c r="H240" s="37"/>
      <c r="I240" s="36"/>
      <c r="J240" s="38"/>
      <c r="K240" s="38"/>
      <c r="L240" s="39"/>
      <c r="M240" s="39"/>
      <c r="N240" s="39"/>
      <c r="O240" s="39"/>
      <c r="P240" s="39"/>
      <c r="Q240" s="39"/>
      <c r="R240" s="39"/>
      <c r="S240" s="39"/>
      <c r="T240" s="39"/>
      <c r="U240" s="39"/>
      <c r="V240" s="39"/>
      <c r="W240" s="39"/>
      <c r="X240" s="39"/>
      <c r="Y240" s="39"/>
      <c r="Z240" s="39"/>
      <c r="AA240" s="39"/>
      <c r="AB240" s="39"/>
    </row>
    <row r="241">
      <c r="A241" s="1"/>
      <c r="B241" s="36"/>
      <c r="C241" s="36"/>
      <c r="D241" s="36"/>
      <c r="E241" s="36"/>
      <c r="F241" s="36"/>
      <c r="G241" s="36"/>
      <c r="H241" s="37"/>
      <c r="I241" s="36"/>
      <c r="J241" s="38"/>
      <c r="K241" s="38"/>
      <c r="L241" s="39"/>
      <c r="M241" s="39"/>
      <c r="N241" s="39"/>
      <c r="O241" s="39"/>
      <c r="P241" s="39"/>
      <c r="Q241" s="39"/>
      <c r="R241" s="39"/>
      <c r="S241" s="39"/>
      <c r="T241" s="39"/>
      <c r="U241" s="39"/>
      <c r="V241" s="39"/>
      <c r="W241" s="39"/>
      <c r="X241" s="39"/>
      <c r="Y241" s="39"/>
      <c r="Z241" s="39"/>
      <c r="AA241" s="39"/>
      <c r="AB241" s="39"/>
    </row>
    <row r="242">
      <c r="A242" s="1"/>
      <c r="B242" s="36"/>
      <c r="C242" s="36"/>
      <c r="D242" s="36"/>
      <c r="E242" s="36"/>
      <c r="F242" s="36"/>
      <c r="G242" s="36"/>
      <c r="H242" s="37"/>
      <c r="I242" s="36"/>
      <c r="J242" s="38"/>
      <c r="K242" s="38"/>
      <c r="L242" s="39"/>
      <c r="M242" s="39"/>
      <c r="N242" s="39"/>
      <c r="O242" s="39"/>
      <c r="P242" s="39"/>
      <c r="Q242" s="39"/>
      <c r="R242" s="39"/>
      <c r="S242" s="39"/>
      <c r="T242" s="39"/>
      <c r="U242" s="39"/>
      <c r="V242" s="39"/>
      <c r="W242" s="39"/>
      <c r="X242" s="39"/>
      <c r="Y242" s="39"/>
      <c r="Z242" s="39"/>
      <c r="AA242" s="39"/>
      <c r="AB242" s="39"/>
    </row>
    <row r="243">
      <c r="A243" s="1"/>
      <c r="B243" s="36"/>
      <c r="C243" s="36"/>
      <c r="D243" s="36"/>
      <c r="E243" s="36"/>
      <c r="F243" s="36"/>
      <c r="G243" s="36"/>
      <c r="H243" s="37"/>
      <c r="I243" s="36"/>
      <c r="J243" s="38"/>
      <c r="K243" s="38"/>
      <c r="L243" s="39"/>
      <c r="M243" s="39"/>
      <c r="N243" s="39"/>
      <c r="O243" s="39"/>
      <c r="P243" s="39"/>
      <c r="Q243" s="39"/>
      <c r="R243" s="39"/>
      <c r="S243" s="39"/>
      <c r="T243" s="39"/>
      <c r="U243" s="39"/>
      <c r="V243" s="39"/>
      <c r="W243" s="39"/>
      <c r="X243" s="39"/>
      <c r="Y243" s="39"/>
      <c r="Z243" s="39"/>
      <c r="AA243" s="39"/>
      <c r="AB243" s="39"/>
    </row>
    <row r="244">
      <c r="A244" s="1"/>
      <c r="B244" s="36"/>
      <c r="C244" s="36"/>
      <c r="D244" s="36"/>
      <c r="E244" s="36"/>
      <c r="F244" s="36"/>
      <c r="G244" s="36"/>
      <c r="H244" s="37"/>
      <c r="I244" s="36"/>
      <c r="J244" s="38"/>
      <c r="K244" s="38"/>
      <c r="L244" s="39"/>
      <c r="M244" s="39"/>
      <c r="N244" s="39"/>
      <c r="O244" s="39"/>
      <c r="P244" s="39"/>
      <c r="Q244" s="39"/>
      <c r="R244" s="39"/>
      <c r="S244" s="39"/>
      <c r="T244" s="39"/>
      <c r="U244" s="39"/>
      <c r="V244" s="39"/>
      <c r="W244" s="39"/>
      <c r="X244" s="39"/>
      <c r="Y244" s="39"/>
      <c r="Z244" s="39"/>
      <c r="AA244" s="39"/>
      <c r="AB244" s="39"/>
    </row>
    <row r="245">
      <c r="A245" s="1"/>
      <c r="B245" s="36"/>
      <c r="C245" s="36"/>
      <c r="D245" s="36"/>
      <c r="E245" s="36"/>
      <c r="F245" s="36"/>
      <c r="G245" s="36"/>
      <c r="H245" s="37"/>
      <c r="I245" s="36"/>
      <c r="J245" s="38"/>
      <c r="K245" s="38"/>
      <c r="L245" s="39"/>
      <c r="M245" s="39"/>
      <c r="N245" s="39"/>
      <c r="O245" s="39"/>
      <c r="P245" s="39"/>
      <c r="Q245" s="39"/>
      <c r="R245" s="39"/>
      <c r="S245" s="39"/>
      <c r="T245" s="39"/>
      <c r="U245" s="39"/>
      <c r="V245" s="39"/>
      <c r="W245" s="39"/>
      <c r="X245" s="39"/>
      <c r="Y245" s="39"/>
      <c r="Z245" s="39"/>
      <c r="AA245" s="39"/>
      <c r="AB245" s="39"/>
    </row>
    <row r="246">
      <c r="A246" s="1"/>
      <c r="B246" s="36"/>
      <c r="C246" s="36"/>
      <c r="D246" s="36"/>
      <c r="E246" s="36"/>
      <c r="F246" s="36"/>
      <c r="G246" s="36"/>
      <c r="H246" s="37"/>
      <c r="I246" s="36"/>
      <c r="J246" s="38"/>
      <c r="K246" s="38"/>
      <c r="L246" s="39"/>
      <c r="M246" s="39"/>
      <c r="N246" s="39"/>
      <c r="O246" s="39"/>
      <c r="P246" s="39"/>
      <c r="Q246" s="39"/>
      <c r="R246" s="39"/>
      <c r="S246" s="39"/>
      <c r="T246" s="39"/>
      <c r="U246" s="39"/>
      <c r="V246" s="39"/>
      <c r="W246" s="39"/>
      <c r="X246" s="39"/>
      <c r="Y246" s="39"/>
      <c r="Z246" s="39"/>
      <c r="AA246" s="39"/>
      <c r="AB246" s="39"/>
    </row>
    <row r="247">
      <c r="A247" s="1"/>
      <c r="B247" s="36"/>
      <c r="C247" s="36"/>
      <c r="D247" s="36"/>
      <c r="E247" s="36"/>
      <c r="F247" s="36"/>
      <c r="G247" s="36"/>
      <c r="H247" s="37"/>
      <c r="I247" s="36"/>
      <c r="J247" s="38"/>
      <c r="K247" s="38"/>
      <c r="L247" s="39"/>
      <c r="M247" s="39"/>
      <c r="N247" s="39"/>
      <c r="O247" s="39"/>
      <c r="P247" s="39"/>
      <c r="Q247" s="39"/>
      <c r="R247" s="39"/>
      <c r="S247" s="39"/>
      <c r="T247" s="39"/>
      <c r="U247" s="39"/>
      <c r="V247" s="39"/>
      <c r="W247" s="39"/>
      <c r="X247" s="39"/>
      <c r="Y247" s="39"/>
      <c r="Z247" s="39"/>
      <c r="AA247" s="39"/>
      <c r="AB247" s="39"/>
    </row>
    <row r="248">
      <c r="A248" s="1"/>
      <c r="B248" s="36"/>
      <c r="C248" s="36"/>
      <c r="D248" s="36"/>
      <c r="E248" s="36"/>
      <c r="F248" s="36"/>
      <c r="G248" s="36"/>
      <c r="H248" s="37"/>
      <c r="I248" s="36"/>
      <c r="J248" s="38"/>
      <c r="K248" s="38"/>
      <c r="L248" s="39"/>
      <c r="M248" s="39"/>
      <c r="N248" s="39"/>
      <c r="O248" s="39"/>
      <c r="P248" s="39"/>
      <c r="Q248" s="39"/>
      <c r="R248" s="39"/>
      <c r="S248" s="39"/>
      <c r="T248" s="39"/>
      <c r="U248" s="39"/>
      <c r="V248" s="39"/>
      <c r="W248" s="39"/>
      <c r="X248" s="39"/>
      <c r="Y248" s="39"/>
      <c r="Z248" s="39"/>
      <c r="AA248" s="39"/>
      <c r="AB248" s="39"/>
    </row>
    <row r="249">
      <c r="A249" s="1"/>
      <c r="B249" s="36"/>
      <c r="C249" s="36"/>
      <c r="D249" s="36"/>
      <c r="E249" s="36"/>
      <c r="F249" s="36"/>
      <c r="G249" s="36"/>
      <c r="H249" s="37"/>
      <c r="I249" s="36"/>
      <c r="J249" s="38"/>
      <c r="K249" s="38"/>
      <c r="L249" s="39"/>
      <c r="M249" s="39"/>
      <c r="N249" s="39"/>
      <c r="O249" s="39"/>
      <c r="P249" s="39"/>
      <c r="Q249" s="39"/>
      <c r="R249" s="39"/>
      <c r="S249" s="39"/>
      <c r="T249" s="39"/>
      <c r="U249" s="39"/>
      <c r="V249" s="39"/>
      <c r="W249" s="39"/>
      <c r="X249" s="39"/>
      <c r="Y249" s="39"/>
      <c r="Z249" s="39"/>
      <c r="AA249" s="39"/>
      <c r="AB249" s="39"/>
    </row>
    <row r="250">
      <c r="A250" s="1"/>
      <c r="B250" s="36"/>
      <c r="C250" s="36"/>
      <c r="D250" s="36"/>
      <c r="E250" s="36"/>
      <c r="F250" s="36"/>
      <c r="G250" s="36"/>
      <c r="H250" s="37"/>
      <c r="I250" s="36"/>
      <c r="J250" s="38"/>
      <c r="K250" s="38"/>
      <c r="L250" s="39"/>
      <c r="M250" s="39"/>
      <c r="N250" s="39"/>
      <c r="O250" s="39"/>
      <c r="P250" s="39"/>
      <c r="Q250" s="39"/>
      <c r="R250" s="39"/>
      <c r="S250" s="39"/>
      <c r="T250" s="39"/>
      <c r="U250" s="39"/>
      <c r="V250" s="39"/>
      <c r="W250" s="39"/>
      <c r="X250" s="39"/>
      <c r="Y250" s="39"/>
      <c r="Z250" s="39"/>
      <c r="AA250" s="39"/>
      <c r="AB250" s="39"/>
    </row>
    <row r="251">
      <c r="A251" s="1"/>
      <c r="B251" s="36"/>
      <c r="C251" s="36"/>
      <c r="D251" s="36"/>
      <c r="E251" s="36"/>
      <c r="F251" s="36"/>
      <c r="G251" s="36"/>
      <c r="H251" s="37"/>
      <c r="I251" s="36"/>
      <c r="J251" s="38"/>
      <c r="K251" s="38"/>
      <c r="L251" s="39"/>
      <c r="M251" s="39"/>
      <c r="N251" s="39"/>
      <c r="O251" s="39"/>
      <c r="P251" s="39"/>
      <c r="Q251" s="39"/>
      <c r="R251" s="39"/>
      <c r="S251" s="39"/>
      <c r="T251" s="39"/>
      <c r="U251" s="39"/>
      <c r="V251" s="39"/>
      <c r="W251" s="39"/>
      <c r="X251" s="39"/>
      <c r="Y251" s="39"/>
      <c r="Z251" s="39"/>
      <c r="AA251" s="39"/>
      <c r="AB251" s="39"/>
    </row>
    <row r="252">
      <c r="A252" s="1"/>
      <c r="B252" s="36"/>
      <c r="C252" s="36"/>
      <c r="D252" s="36"/>
      <c r="E252" s="36"/>
      <c r="F252" s="36"/>
      <c r="G252" s="36"/>
      <c r="H252" s="37"/>
      <c r="I252" s="36"/>
      <c r="J252" s="38"/>
      <c r="K252" s="38"/>
      <c r="L252" s="39"/>
      <c r="M252" s="39"/>
      <c r="N252" s="39"/>
      <c r="O252" s="39"/>
      <c r="P252" s="39"/>
      <c r="Q252" s="39"/>
      <c r="R252" s="39"/>
      <c r="S252" s="39"/>
      <c r="T252" s="39"/>
      <c r="U252" s="39"/>
      <c r="V252" s="39"/>
      <c r="W252" s="39"/>
      <c r="X252" s="39"/>
      <c r="Y252" s="39"/>
      <c r="Z252" s="39"/>
      <c r="AA252" s="39"/>
      <c r="AB252" s="39"/>
    </row>
    <row r="253">
      <c r="A253" s="1"/>
      <c r="B253" s="36"/>
      <c r="C253" s="36"/>
      <c r="D253" s="36"/>
      <c r="E253" s="36"/>
      <c r="F253" s="36"/>
      <c r="G253" s="36"/>
      <c r="H253" s="37"/>
      <c r="I253" s="36"/>
      <c r="J253" s="38"/>
      <c r="K253" s="38"/>
      <c r="L253" s="39"/>
      <c r="M253" s="39"/>
      <c r="N253" s="39"/>
      <c r="O253" s="39"/>
      <c r="P253" s="39"/>
      <c r="Q253" s="39"/>
      <c r="R253" s="39"/>
      <c r="S253" s="39"/>
      <c r="T253" s="39"/>
      <c r="U253" s="39"/>
      <c r="V253" s="39"/>
      <c r="W253" s="39"/>
      <c r="X253" s="39"/>
      <c r="Y253" s="39"/>
      <c r="Z253" s="39"/>
      <c r="AA253" s="39"/>
      <c r="AB253" s="39"/>
    </row>
    <row r="254">
      <c r="A254" s="1"/>
      <c r="B254" s="36"/>
      <c r="C254" s="36"/>
      <c r="D254" s="36"/>
      <c r="E254" s="36"/>
      <c r="F254" s="36"/>
      <c r="G254" s="36"/>
      <c r="H254" s="37"/>
      <c r="I254" s="36"/>
      <c r="J254" s="38"/>
      <c r="K254" s="38"/>
      <c r="L254" s="39"/>
      <c r="M254" s="39"/>
      <c r="N254" s="39"/>
      <c r="O254" s="39"/>
      <c r="P254" s="39"/>
      <c r="Q254" s="39"/>
      <c r="R254" s="39"/>
      <c r="S254" s="39"/>
      <c r="T254" s="39"/>
      <c r="U254" s="39"/>
      <c r="V254" s="39"/>
      <c r="W254" s="39"/>
      <c r="X254" s="39"/>
      <c r="Y254" s="39"/>
      <c r="Z254" s="39"/>
      <c r="AA254" s="39"/>
      <c r="AB254" s="39"/>
    </row>
    <row r="255">
      <c r="A255" s="1"/>
      <c r="B255" s="36"/>
      <c r="C255" s="36"/>
      <c r="D255" s="36"/>
      <c r="E255" s="36"/>
      <c r="F255" s="36"/>
      <c r="G255" s="36"/>
      <c r="H255" s="37"/>
      <c r="I255" s="36"/>
      <c r="J255" s="38"/>
      <c r="K255" s="38"/>
      <c r="L255" s="39"/>
      <c r="M255" s="39"/>
      <c r="N255" s="39"/>
      <c r="O255" s="39"/>
      <c r="P255" s="39"/>
      <c r="Q255" s="39"/>
      <c r="R255" s="39"/>
      <c r="S255" s="39"/>
      <c r="T255" s="39"/>
      <c r="U255" s="39"/>
      <c r="V255" s="39"/>
      <c r="W255" s="39"/>
      <c r="X255" s="39"/>
      <c r="Y255" s="39"/>
      <c r="Z255" s="39"/>
      <c r="AA255" s="39"/>
      <c r="AB255" s="39"/>
    </row>
    <row r="256">
      <c r="A256" s="1"/>
      <c r="B256" s="36"/>
      <c r="C256" s="36"/>
      <c r="D256" s="36"/>
      <c r="E256" s="36"/>
      <c r="F256" s="36"/>
      <c r="G256" s="36"/>
      <c r="H256" s="37"/>
      <c r="I256" s="36"/>
      <c r="J256" s="38"/>
      <c r="K256" s="38"/>
      <c r="L256" s="39"/>
      <c r="M256" s="39"/>
      <c r="N256" s="39"/>
      <c r="O256" s="39"/>
      <c r="P256" s="39"/>
      <c r="Q256" s="39"/>
      <c r="R256" s="39"/>
      <c r="S256" s="39"/>
      <c r="T256" s="39"/>
      <c r="U256" s="39"/>
      <c r="V256" s="39"/>
      <c r="W256" s="39"/>
      <c r="X256" s="39"/>
      <c r="Y256" s="39"/>
      <c r="Z256" s="39"/>
      <c r="AA256" s="39"/>
      <c r="AB256" s="39"/>
    </row>
    <row r="257">
      <c r="A257" s="1"/>
      <c r="B257" s="36"/>
      <c r="C257" s="36"/>
      <c r="D257" s="36"/>
      <c r="E257" s="36"/>
      <c r="F257" s="36"/>
      <c r="G257" s="36"/>
      <c r="H257" s="37"/>
      <c r="I257" s="36"/>
      <c r="J257" s="38"/>
      <c r="K257" s="38"/>
      <c r="L257" s="39"/>
      <c r="M257" s="39"/>
      <c r="N257" s="39"/>
      <c r="O257" s="39"/>
      <c r="P257" s="39"/>
      <c r="Q257" s="39"/>
      <c r="R257" s="39"/>
      <c r="S257" s="39"/>
      <c r="T257" s="39"/>
      <c r="U257" s="39"/>
      <c r="V257" s="39"/>
      <c r="W257" s="39"/>
      <c r="X257" s="39"/>
      <c r="Y257" s="39"/>
      <c r="Z257" s="39"/>
      <c r="AA257" s="39"/>
      <c r="AB257" s="39"/>
    </row>
    <row r="258">
      <c r="A258" s="1"/>
      <c r="B258" s="36"/>
      <c r="C258" s="36"/>
      <c r="D258" s="36"/>
      <c r="E258" s="36"/>
      <c r="F258" s="36"/>
      <c r="G258" s="36"/>
      <c r="H258" s="37"/>
      <c r="I258" s="36"/>
      <c r="J258" s="38"/>
      <c r="K258" s="38"/>
      <c r="L258" s="39"/>
      <c r="M258" s="39"/>
      <c r="N258" s="39"/>
      <c r="O258" s="39"/>
      <c r="P258" s="39"/>
      <c r="Q258" s="39"/>
      <c r="R258" s="39"/>
      <c r="S258" s="39"/>
      <c r="T258" s="39"/>
      <c r="U258" s="39"/>
      <c r="V258" s="39"/>
      <c r="W258" s="39"/>
      <c r="X258" s="39"/>
      <c r="Y258" s="39"/>
      <c r="Z258" s="39"/>
      <c r="AA258" s="39"/>
      <c r="AB258" s="39"/>
    </row>
    <row r="259">
      <c r="A259" s="1"/>
      <c r="B259" s="36"/>
      <c r="C259" s="36"/>
      <c r="D259" s="36"/>
      <c r="E259" s="36"/>
      <c r="F259" s="36"/>
      <c r="G259" s="36"/>
      <c r="H259" s="37"/>
      <c r="I259" s="36"/>
      <c r="J259" s="38"/>
      <c r="K259" s="38"/>
      <c r="L259" s="39"/>
      <c r="M259" s="39"/>
      <c r="N259" s="39"/>
      <c r="O259" s="39"/>
      <c r="P259" s="39"/>
      <c r="Q259" s="39"/>
      <c r="R259" s="39"/>
      <c r="S259" s="39"/>
      <c r="T259" s="39"/>
      <c r="U259" s="39"/>
      <c r="V259" s="39"/>
      <c r="W259" s="39"/>
      <c r="X259" s="39"/>
      <c r="Y259" s="39"/>
      <c r="Z259" s="39"/>
      <c r="AA259" s="39"/>
      <c r="AB259" s="39"/>
    </row>
    <row r="260">
      <c r="A260" s="1"/>
      <c r="B260" s="36"/>
      <c r="C260" s="36"/>
      <c r="D260" s="36"/>
      <c r="E260" s="36"/>
      <c r="F260" s="36"/>
      <c r="G260" s="36"/>
      <c r="H260" s="37"/>
      <c r="I260" s="36"/>
      <c r="J260" s="38"/>
      <c r="K260" s="38"/>
      <c r="L260" s="39"/>
      <c r="M260" s="39"/>
      <c r="N260" s="39"/>
      <c r="O260" s="39"/>
      <c r="P260" s="39"/>
      <c r="Q260" s="39"/>
      <c r="R260" s="39"/>
      <c r="S260" s="39"/>
      <c r="T260" s="39"/>
      <c r="U260" s="39"/>
      <c r="V260" s="39"/>
      <c r="W260" s="39"/>
      <c r="X260" s="39"/>
      <c r="Y260" s="39"/>
      <c r="Z260" s="39"/>
      <c r="AA260" s="39"/>
      <c r="AB260" s="39"/>
    </row>
    <row r="261">
      <c r="A261" s="1"/>
      <c r="B261" s="36"/>
      <c r="C261" s="36"/>
      <c r="D261" s="36"/>
      <c r="E261" s="36"/>
      <c r="F261" s="36"/>
      <c r="G261" s="36"/>
      <c r="H261" s="37"/>
      <c r="I261" s="36"/>
      <c r="J261" s="38"/>
      <c r="K261" s="38"/>
      <c r="L261" s="39"/>
      <c r="M261" s="39"/>
      <c r="N261" s="39"/>
      <c r="O261" s="39"/>
      <c r="P261" s="39"/>
      <c r="Q261" s="39"/>
      <c r="R261" s="39"/>
      <c r="S261" s="39"/>
      <c r="T261" s="39"/>
      <c r="U261" s="39"/>
      <c r="V261" s="39"/>
      <c r="W261" s="39"/>
      <c r="X261" s="39"/>
      <c r="Y261" s="39"/>
      <c r="Z261" s="39"/>
      <c r="AA261" s="39"/>
      <c r="AB261" s="39"/>
    </row>
    <row r="262">
      <c r="A262" s="1"/>
      <c r="B262" s="36"/>
      <c r="C262" s="36"/>
      <c r="D262" s="36"/>
      <c r="E262" s="36"/>
      <c r="F262" s="36"/>
      <c r="G262" s="36"/>
      <c r="H262" s="37"/>
      <c r="I262" s="36"/>
      <c r="J262" s="38"/>
      <c r="K262" s="38"/>
      <c r="L262" s="39"/>
      <c r="M262" s="39"/>
      <c r="N262" s="39"/>
      <c r="O262" s="39"/>
      <c r="P262" s="39"/>
      <c r="Q262" s="39"/>
      <c r="R262" s="39"/>
      <c r="S262" s="39"/>
      <c r="T262" s="39"/>
      <c r="U262" s="39"/>
      <c r="V262" s="39"/>
      <c r="W262" s="39"/>
      <c r="X262" s="39"/>
      <c r="Y262" s="39"/>
      <c r="Z262" s="39"/>
      <c r="AA262" s="39"/>
      <c r="AB262" s="39"/>
    </row>
    <row r="263">
      <c r="A263" s="1"/>
      <c r="B263" s="36"/>
      <c r="C263" s="36"/>
      <c r="D263" s="36"/>
      <c r="E263" s="36"/>
      <c r="F263" s="36"/>
      <c r="G263" s="36"/>
      <c r="H263" s="37"/>
      <c r="I263" s="36"/>
      <c r="J263" s="38"/>
      <c r="K263" s="38"/>
      <c r="L263" s="39"/>
      <c r="M263" s="39"/>
      <c r="N263" s="39"/>
      <c r="O263" s="39"/>
      <c r="P263" s="39"/>
      <c r="Q263" s="39"/>
      <c r="R263" s="39"/>
      <c r="S263" s="39"/>
      <c r="T263" s="39"/>
      <c r="U263" s="39"/>
      <c r="V263" s="39"/>
      <c r="W263" s="39"/>
      <c r="X263" s="39"/>
      <c r="Y263" s="39"/>
      <c r="Z263" s="39"/>
      <c r="AA263" s="39"/>
      <c r="AB263" s="39"/>
    </row>
    <row r="264">
      <c r="A264" s="1"/>
      <c r="B264" s="36"/>
      <c r="C264" s="36"/>
      <c r="D264" s="36"/>
      <c r="E264" s="36"/>
      <c r="F264" s="36"/>
      <c r="G264" s="36"/>
      <c r="H264" s="37"/>
      <c r="I264" s="36"/>
      <c r="J264" s="38"/>
      <c r="K264" s="38"/>
      <c r="L264" s="39"/>
      <c r="M264" s="39"/>
      <c r="N264" s="39"/>
      <c r="O264" s="39"/>
      <c r="P264" s="39"/>
      <c r="Q264" s="39"/>
      <c r="R264" s="39"/>
      <c r="S264" s="39"/>
      <c r="T264" s="39"/>
      <c r="U264" s="39"/>
      <c r="V264" s="39"/>
      <c r="W264" s="39"/>
      <c r="X264" s="39"/>
      <c r="Y264" s="39"/>
      <c r="Z264" s="39"/>
      <c r="AA264" s="39"/>
      <c r="AB264" s="39"/>
    </row>
    <row r="265">
      <c r="A265" s="1"/>
      <c r="B265" s="36"/>
      <c r="C265" s="36"/>
      <c r="D265" s="36"/>
      <c r="E265" s="36"/>
      <c r="F265" s="36"/>
      <c r="G265" s="36"/>
      <c r="H265" s="37"/>
      <c r="I265" s="36"/>
      <c r="J265" s="38"/>
      <c r="K265" s="38"/>
      <c r="L265" s="39"/>
      <c r="M265" s="39"/>
      <c r="N265" s="39"/>
      <c r="O265" s="39"/>
      <c r="P265" s="39"/>
      <c r="Q265" s="39"/>
      <c r="R265" s="39"/>
      <c r="S265" s="39"/>
      <c r="T265" s="39"/>
      <c r="U265" s="39"/>
      <c r="V265" s="39"/>
      <c r="W265" s="39"/>
      <c r="X265" s="39"/>
      <c r="Y265" s="39"/>
      <c r="Z265" s="39"/>
      <c r="AA265" s="39"/>
      <c r="AB265" s="39"/>
    </row>
    <row r="266">
      <c r="A266" s="1"/>
      <c r="B266" s="36"/>
      <c r="C266" s="36"/>
      <c r="D266" s="36"/>
      <c r="E266" s="36"/>
      <c r="F266" s="36"/>
      <c r="G266" s="36"/>
      <c r="H266" s="37"/>
      <c r="I266" s="36"/>
      <c r="J266" s="38"/>
      <c r="K266" s="38"/>
      <c r="L266" s="39"/>
      <c r="M266" s="39"/>
      <c r="N266" s="39"/>
      <c r="O266" s="39"/>
      <c r="P266" s="39"/>
      <c r="Q266" s="39"/>
      <c r="R266" s="39"/>
      <c r="S266" s="39"/>
      <c r="T266" s="39"/>
      <c r="U266" s="39"/>
      <c r="V266" s="39"/>
      <c r="W266" s="39"/>
      <c r="X266" s="39"/>
      <c r="Y266" s="39"/>
      <c r="Z266" s="39"/>
      <c r="AA266" s="39"/>
      <c r="AB266" s="39"/>
    </row>
    <row r="267">
      <c r="A267" s="1"/>
      <c r="B267" s="36"/>
      <c r="C267" s="36"/>
      <c r="D267" s="36"/>
      <c r="E267" s="36"/>
      <c r="F267" s="36"/>
      <c r="G267" s="36"/>
      <c r="H267" s="37"/>
      <c r="I267" s="36"/>
      <c r="J267" s="38"/>
      <c r="K267" s="38"/>
      <c r="L267" s="39"/>
      <c r="M267" s="39"/>
      <c r="N267" s="39"/>
      <c r="O267" s="39"/>
      <c r="P267" s="39"/>
      <c r="Q267" s="39"/>
      <c r="R267" s="39"/>
      <c r="S267" s="39"/>
      <c r="T267" s="39"/>
      <c r="U267" s="39"/>
      <c r="V267" s="39"/>
      <c r="W267" s="39"/>
      <c r="X267" s="39"/>
      <c r="Y267" s="39"/>
      <c r="Z267" s="39"/>
      <c r="AA267" s="39"/>
      <c r="AB267" s="39"/>
    </row>
    <row r="268">
      <c r="A268" s="1"/>
      <c r="B268" s="36"/>
      <c r="C268" s="36"/>
      <c r="D268" s="36"/>
      <c r="E268" s="36"/>
      <c r="F268" s="36"/>
      <c r="G268" s="36"/>
      <c r="H268" s="37"/>
      <c r="I268" s="36"/>
      <c r="J268" s="38"/>
      <c r="K268" s="38"/>
      <c r="L268" s="39"/>
      <c r="M268" s="39"/>
      <c r="N268" s="39"/>
      <c r="O268" s="39"/>
      <c r="P268" s="39"/>
      <c r="Q268" s="39"/>
      <c r="R268" s="39"/>
      <c r="S268" s="39"/>
      <c r="T268" s="39"/>
      <c r="U268" s="39"/>
      <c r="V268" s="39"/>
      <c r="W268" s="39"/>
      <c r="X268" s="39"/>
      <c r="Y268" s="39"/>
      <c r="Z268" s="39"/>
      <c r="AA268" s="39"/>
      <c r="AB268" s="39"/>
    </row>
    <row r="269">
      <c r="A269" s="1"/>
      <c r="B269" s="36"/>
      <c r="C269" s="36"/>
      <c r="D269" s="36"/>
      <c r="E269" s="36"/>
      <c r="F269" s="36"/>
      <c r="G269" s="36"/>
      <c r="H269" s="37"/>
      <c r="I269" s="36"/>
      <c r="J269" s="38"/>
      <c r="K269" s="38"/>
      <c r="L269" s="39"/>
      <c r="M269" s="39"/>
      <c r="N269" s="39"/>
      <c r="O269" s="39"/>
      <c r="P269" s="39"/>
      <c r="Q269" s="39"/>
      <c r="R269" s="39"/>
      <c r="S269" s="39"/>
      <c r="T269" s="39"/>
      <c r="U269" s="39"/>
      <c r="V269" s="39"/>
      <c r="W269" s="39"/>
      <c r="X269" s="39"/>
      <c r="Y269" s="39"/>
      <c r="Z269" s="39"/>
      <c r="AA269" s="39"/>
      <c r="AB269" s="39"/>
    </row>
    <row r="270">
      <c r="A270" s="1"/>
      <c r="B270" s="36"/>
      <c r="C270" s="36"/>
      <c r="D270" s="36"/>
      <c r="E270" s="36"/>
      <c r="F270" s="36"/>
      <c r="G270" s="36"/>
      <c r="H270" s="37"/>
      <c r="I270" s="36"/>
      <c r="J270" s="38"/>
      <c r="K270" s="38"/>
      <c r="L270" s="39"/>
      <c r="M270" s="39"/>
      <c r="N270" s="39"/>
      <c r="O270" s="39"/>
      <c r="P270" s="39"/>
      <c r="Q270" s="39"/>
      <c r="R270" s="39"/>
      <c r="S270" s="39"/>
      <c r="T270" s="39"/>
      <c r="U270" s="39"/>
      <c r="V270" s="39"/>
      <c r="W270" s="39"/>
      <c r="X270" s="39"/>
      <c r="Y270" s="39"/>
      <c r="Z270" s="39"/>
      <c r="AA270" s="39"/>
      <c r="AB270" s="39"/>
    </row>
    <row r="271">
      <c r="A271" s="1"/>
      <c r="B271" s="36"/>
      <c r="C271" s="36"/>
      <c r="D271" s="36"/>
      <c r="E271" s="36"/>
      <c r="F271" s="36"/>
      <c r="G271" s="36"/>
      <c r="H271" s="37"/>
      <c r="I271" s="36"/>
      <c r="J271" s="38"/>
      <c r="K271" s="38"/>
      <c r="L271" s="39"/>
      <c r="M271" s="39"/>
      <c r="N271" s="39"/>
      <c r="O271" s="39"/>
      <c r="P271" s="39"/>
      <c r="Q271" s="39"/>
      <c r="R271" s="39"/>
      <c r="S271" s="39"/>
      <c r="T271" s="39"/>
      <c r="U271" s="39"/>
      <c r="V271" s="39"/>
      <c r="W271" s="39"/>
      <c r="X271" s="39"/>
      <c r="Y271" s="39"/>
      <c r="Z271" s="39"/>
      <c r="AA271" s="39"/>
      <c r="AB271" s="39"/>
    </row>
    <row r="272">
      <c r="A272" s="1"/>
      <c r="B272" s="36"/>
      <c r="C272" s="36"/>
      <c r="D272" s="36"/>
      <c r="E272" s="36"/>
      <c r="F272" s="36"/>
      <c r="G272" s="36"/>
      <c r="H272" s="37"/>
      <c r="I272" s="36"/>
      <c r="J272" s="38"/>
      <c r="K272" s="38"/>
      <c r="L272" s="39"/>
      <c r="M272" s="39"/>
      <c r="N272" s="39"/>
      <c r="O272" s="39"/>
      <c r="P272" s="39"/>
      <c r="Q272" s="39"/>
      <c r="R272" s="39"/>
      <c r="S272" s="39"/>
      <c r="T272" s="39"/>
      <c r="U272" s="39"/>
      <c r="V272" s="39"/>
      <c r="W272" s="39"/>
      <c r="X272" s="39"/>
      <c r="Y272" s="39"/>
      <c r="Z272" s="39"/>
      <c r="AA272" s="39"/>
      <c r="AB272" s="39"/>
    </row>
    <row r="273">
      <c r="A273" s="1"/>
      <c r="B273" s="36"/>
      <c r="C273" s="36"/>
      <c r="D273" s="36"/>
      <c r="E273" s="36"/>
      <c r="F273" s="36"/>
      <c r="G273" s="36"/>
      <c r="H273" s="37"/>
      <c r="I273" s="36"/>
      <c r="J273" s="38"/>
      <c r="K273" s="38"/>
      <c r="L273" s="39"/>
      <c r="M273" s="39"/>
      <c r="N273" s="39"/>
      <c r="O273" s="39"/>
      <c r="P273" s="39"/>
      <c r="Q273" s="39"/>
      <c r="R273" s="39"/>
      <c r="S273" s="39"/>
      <c r="T273" s="39"/>
      <c r="U273" s="39"/>
      <c r="V273" s="39"/>
      <c r="W273" s="39"/>
      <c r="X273" s="39"/>
      <c r="Y273" s="39"/>
      <c r="Z273" s="39"/>
      <c r="AA273" s="39"/>
      <c r="AB273" s="39"/>
    </row>
    <row r="274">
      <c r="A274" s="1"/>
      <c r="B274" s="36"/>
      <c r="C274" s="36"/>
      <c r="D274" s="36"/>
      <c r="E274" s="36"/>
      <c r="F274" s="36"/>
      <c r="G274" s="36"/>
      <c r="H274" s="37"/>
      <c r="I274" s="36"/>
      <c r="J274" s="38"/>
      <c r="K274" s="38"/>
      <c r="L274" s="39"/>
      <c r="M274" s="39"/>
      <c r="N274" s="39"/>
      <c r="O274" s="39"/>
      <c r="P274" s="39"/>
      <c r="Q274" s="39"/>
      <c r="R274" s="39"/>
      <c r="S274" s="39"/>
      <c r="T274" s="39"/>
      <c r="U274" s="39"/>
      <c r="V274" s="39"/>
      <c r="W274" s="39"/>
      <c r="X274" s="39"/>
      <c r="Y274" s="39"/>
      <c r="Z274" s="39"/>
      <c r="AA274" s="39"/>
      <c r="AB274" s="39"/>
    </row>
    <row r="275">
      <c r="A275" s="1"/>
      <c r="B275" s="36"/>
      <c r="C275" s="36"/>
      <c r="D275" s="36"/>
      <c r="E275" s="36"/>
      <c r="F275" s="36"/>
      <c r="G275" s="36"/>
      <c r="H275" s="37"/>
      <c r="I275" s="36"/>
      <c r="J275" s="38"/>
      <c r="K275" s="38"/>
      <c r="L275" s="39"/>
      <c r="M275" s="39"/>
      <c r="N275" s="39"/>
      <c r="O275" s="39"/>
      <c r="P275" s="39"/>
      <c r="Q275" s="39"/>
      <c r="R275" s="39"/>
      <c r="S275" s="39"/>
      <c r="T275" s="39"/>
      <c r="U275" s="39"/>
      <c r="V275" s="39"/>
      <c r="W275" s="39"/>
      <c r="X275" s="39"/>
      <c r="Y275" s="39"/>
      <c r="Z275" s="39"/>
      <c r="AA275" s="39"/>
      <c r="AB275" s="39"/>
    </row>
    <row r="276">
      <c r="A276" s="1"/>
      <c r="B276" s="36"/>
      <c r="C276" s="36"/>
      <c r="D276" s="36"/>
      <c r="E276" s="36"/>
      <c r="F276" s="36"/>
      <c r="G276" s="36"/>
      <c r="H276" s="37"/>
      <c r="I276" s="36"/>
      <c r="J276" s="38"/>
      <c r="K276" s="38"/>
      <c r="L276" s="39"/>
      <c r="M276" s="39"/>
      <c r="N276" s="39"/>
      <c r="O276" s="39"/>
      <c r="P276" s="39"/>
      <c r="Q276" s="39"/>
      <c r="R276" s="39"/>
      <c r="S276" s="39"/>
      <c r="T276" s="39"/>
      <c r="U276" s="39"/>
      <c r="V276" s="39"/>
      <c r="W276" s="39"/>
      <c r="X276" s="39"/>
      <c r="Y276" s="39"/>
      <c r="Z276" s="39"/>
      <c r="AA276" s="39"/>
      <c r="AB276" s="39"/>
    </row>
    <row r="277">
      <c r="A277" s="1"/>
      <c r="B277" s="36"/>
      <c r="C277" s="36"/>
      <c r="D277" s="36"/>
      <c r="E277" s="36"/>
      <c r="F277" s="36"/>
      <c r="G277" s="36"/>
      <c r="H277" s="37"/>
      <c r="I277" s="36"/>
      <c r="J277" s="38"/>
      <c r="K277" s="38"/>
      <c r="L277" s="39"/>
      <c r="M277" s="39"/>
      <c r="N277" s="39"/>
      <c r="O277" s="39"/>
      <c r="P277" s="39"/>
      <c r="Q277" s="39"/>
      <c r="R277" s="39"/>
      <c r="S277" s="39"/>
      <c r="T277" s="39"/>
      <c r="U277" s="39"/>
      <c r="V277" s="39"/>
      <c r="W277" s="39"/>
      <c r="X277" s="39"/>
      <c r="Y277" s="39"/>
      <c r="Z277" s="39"/>
      <c r="AA277" s="39"/>
      <c r="AB277" s="39"/>
    </row>
    <row r="278">
      <c r="A278" s="1"/>
      <c r="B278" s="36"/>
      <c r="C278" s="36"/>
      <c r="D278" s="36"/>
      <c r="E278" s="36"/>
      <c r="F278" s="36"/>
      <c r="G278" s="36"/>
      <c r="H278" s="37"/>
      <c r="I278" s="36"/>
      <c r="J278" s="38"/>
      <c r="K278" s="38"/>
      <c r="L278" s="39"/>
      <c r="M278" s="39"/>
      <c r="N278" s="39"/>
      <c r="O278" s="39"/>
      <c r="P278" s="39"/>
      <c r="Q278" s="39"/>
      <c r="R278" s="39"/>
      <c r="S278" s="39"/>
      <c r="T278" s="39"/>
      <c r="U278" s="39"/>
      <c r="V278" s="39"/>
      <c r="W278" s="39"/>
      <c r="X278" s="39"/>
      <c r="Y278" s="39"/>
      <c r="Z278" s="39"/>
      <c r="AA278" s="39"/>
      <c r="AB278" s="39"/>
    </row>
    <row r="279">
      <c r="A279" s="1"/>
      <c r="B279" s="36"/>
      <c r="C279" s="36"/>
      <c r="D279" s="36"/>
      <c r="E279" s="36"/>
      <c r="F279" s="36"/>
      <c r="G279" s="36"/>
      <c r="H279" s="37"/>
      <c r="I279" s="36"/>
      <c r="J279" s="38"/>
      <c r="K279" s="38"/>
      <c r="L279" s="39"/>
      <c r="M279" s="39"/>
      <c r="N279" s="39"/>
      <c r="O279" s="39"/>
      <c r="P279" s="39"/>
      <c r="Q279" s="39"/>
      <c r="R279" s="39"/>
      <c r="S279" s="39"/>
      <c r="T279" s="39"/>
      <c r="U279" s="39"/>
      <c r="V279" s="39"/>
      <c r="W279" s="39"/>
      <c r="X279" s="39"/>
      <c r="Y279" s="39"/>
      <c r="Z279" s="39"/>
      <c r="AA279" s="39"/>
      <c r="AB279" s="39"/>
    </row>
    <row r="280">
      <c r="A280" s="1"/>
      <c r="B280" s="36"/>
      <c r="C280" s="36"/>
      <c r="D280" s="36"/>
      <c r="E280" s="36"/>
      <c r="F280" s="36"/>
      <c r="G280" s="36"/>
      <c r="H280" s="37"/>
      <c r="I280" s="36"/>
      <c r="J280" s="38"/>
      <c r="K280" s="38"/>
      <c r="L280" s="39"/>
      <c r="M280" s="39"/>
      <c r="N280" s="39"/>
      <c r="O280" s="39"/>
      <c r="P280" s="39"/>
      <c r="Q280" s="39"/>
      <c r="R280" s="39"/>
      <c r="S280" s="39"/>
      <c r="T280" s="39"/>
      <c r="U280" s="39"/>
      <c r="V280" s="39"/>
      <c r="W280" s="39"/>
      <c r="X280" s="39"/>
      <c r="Y280" s="39"/>
      <c r="Z280" s="39"/>
      <c r="AA280" s="39"/>
      <c r="AB280" s="39"/>
    </row>
    <row r="281">
      <c r="A281" s="1"/>
      <c r="B281" s="36"/>
      <c r="C281" s="36"/>
      <c r="D281" s="36"/>
      <c r="E281" s="36"/>
      <c r="F281" s="36"/>
      <c r="G281" s="36"/>
      <c r="H281" s="37"/>
      <c r="I281" s="36"/>
      <c r="J281" s="38"/>
      <c r="K281" s="38"/>
      <c r="L281" s="39"/>
      <c r="M281" s="39"/>
      <c r="N281" s="39"/>
      <c r="O281" s="39"/>
      <c r="P281" s="39"/>
      <c r="Q281" s="39"/>
      <c r="R281" s="39"/>
      <c r="S281" s="39"/>
      <c r="T281" s="39"/>
      <c r="U281" s="39"/>
      <c r="V281" s="39"/>
      <c r="W281" s="39"/>
      <c r="X281" s="39"/>
      <c r="Y281" s="39"/>
      <c r="Z281" s="39"/>
      <c r="AA281" s="39"/>
      <c r="AB281" s="39"/>
    </row>
    <row r="282">
      <c r="A282" s="1"/>
      <c r="B282" s="36"/>
      <c r="C282" s="36"/>
      <c r="D282" s="36"/>
      <c r="E282" s="36"/>
      <c r="F282" s="36"/>
      <c r="G282" s="36"/>
      <c r="H282" s="37"/>
      <c r="I282" s="36"/>
      <c r="J282" s="38"/>
      <c r="K282" s="38"/>
      <c r="L282" s="39"/>
      <c r="M282" s="39"/>
      <c r="N282" s="39"/>
      <c r="O282" s="39"/>
      <c r="P282" s="39"/>
      <c r="Q282" s="39"/>
      <c r="R282" s="39"/>
      <c r="S282" s="39"/>
      <c r="T282" s="39"/>
      <c r="U282" s="39"/>
      <c r="V282" s="39"/>
      <c r="W282" s="39"/>
      <c r="X282" s="39"/>
      <c r="Y282" s="39"/>
      <c r="Z282" s="39"/>
      <c r="AA282" s="39"/>
      <c r="AB282" s="39"/>
    </row>
    <row r="283">
      <c r="A283" s="1"/>
      <c r="B283" s="36"/>
      <c r="C283" s="36"/>
      <c r="D283" s="36"/>
      <c r="E283" s="36"/>
      <c r="F283" s="36"/>
      <c r="G283" s="36"/>
      <c r="H283" s="37"/>
      <c r="I283" s="36"/>
      <c r="J283" s="38"/>
      <c r="K283" s="38"/>
      <c r="L283" s="39"/>
      <c r="M283" s="39"/>
      <c r="N283" s="39"/>
      <c r="O283" s="39"/>
      <c r="P283" s="39"/>
      <c r="Q283" s="39"/>
      <c r="R283" s="39"/>
      <c r="S283" s="39"/>
      <c r="T283" s="39"/>
      <c r="U283" s="39"/>
      <c r="V283" s="39"/>
      <c r="W283" s="39"/>
      <c r="X283" s="39"/>
      <c r="Y283" s="39"/>
      <c r="Z283" s="39"/>
      <c r="AA283" s="39"/>
      <c r="AB283" s="39"/>
    </row>
    <row r="284">
      <c r="A284" s="1"/>
      <c r="B284" s="36"/>
      <c r="C284" s="36"/>
      <c r="D284" s="36"/>
      <c r="E284" s="36"/>
      <c r="F284" s="36"/>
      <c r="G284" s="36"/>
      <c r="H284" s="37"/>
      <c r="I284" s="36"/>
      <c r="J284" s="38"/>
      <c r="K284" s="38"/>
      <c r="L284" s="39"/>
      <c r="M284" s="39"/>
      <c r="N284" s="39"/>
      <c r="O284" s="39"/>
      <c r="P284" s="39"/>
      <c r="Q284" s="39"/>
      <c r="R284" s="39"/>
      <c r="S284" s="39"/>
      <c r="T284" s="39"/>
      <c r="U284" s="39"/>
      <c r="V284" s="39"/>
      <c r="W284" s="39"/>
      <c r="X284" s="39"/>
      <c r="Y284" s="39"/>
      <c r="Z284" s="39"/>
      <c r="AA284" s="39"/>
      <c r="AB284" s="39"/>
    </row>
    <row r="285">
      <c r="A285" s="1"/>
      <c r="B285" s="36"/>
      <c r="C285" s="36"/>
      <c r="D285" s="36"/>
      <c r="E285" s="36"/>
      <c r="F285" s="36"/>
      <c r="G285" s="36"/>
      <c r="H285" s="37"/>
      <c r="I285" s="36"/>
      <c r="J285" s="38"/>
      <c r="K285" s="38"/>
      <c r="L285" s="39"/>
      <c r="M285" s="39"/>
      <c r="N285" s="39"/>
      <c r="O285" s="39"/>
      <c r="P285" s="39"/>
      <c r="Q285" s="39"/>
      <c r="R285" s="39"/>
      <c r="S285" s="39"/>
      <c r="T285" s="39"/>
      <c r="U285" s="39"/>
      <c r="V285" s="39"/>
      <c r="W285" s="39"/>
      <c r="X285" s="39"/>
      <c r="Y285" s="39"/>
      <c r="Z285" s="39"/>
      <c r="AA285" s="39"/>
      <c r="AB285" s="39"/>
    </row>
    <row r="286">
      <c r="A286" s="1"/>
      <c r="B286" s="36"/>
      <c r="C286" s="36"/>
      <c r="D286" s="36"/>
      <c r="E286" s="36"/>
      <c r="F286" s="36"/>
      <c r="G286" s="36"/>
      <c r="H286" s="37"/>
      <c r="I286" s="36"/>
      <c r="J286" s="38"/>
      <c r="K286" s="38"/>
      <c r="L286" s="39"/>
      <c r="M286" s="39"/>
      <c r="N286" s="39"/>
      <c r="O286" s="39"/>
      <c r="P286" s="39"/>
      <c r="Q286" s="39"/>
      <c r="R286" s="39"/>
      <c r="S286" s="39"/>
      <c r="T286" s="39"/>
      <c r="U286" s="39"/>
      <c r="V286" s="39"/>
      <c r="W286" s="39"/>
      <c r="X286" s="39"/>
      <c r="Y286" s="39"/>
      <c r="Z286" s="39"/>
      <c r="AA286" s="39"/>
      <c r="AB286" s="39"/>
    </row>
    <row r="287">
      <c r="A287" s="1"/>
      <c r="B287" s="36"/>
      <c r="C287" s="36"/>
      <c r="D287" s="36"/>
      <c r="E287" s="36"/>
      <c r="F287" s="36"/>
      <c r="G287" s="36"/>
      <c r="H287" s="37"/>
      <c r="I287" s="36"/>
      <c r="J287" s="38"/>
      <c r="K287" s="38"/>
      <c r="L287" s="39"/>
      <c r="M287" s="39"/>
      <c r="N287" s="39"/>
      <c r="O287" s="39"/>
      <c r="P287" s="39"/>
      <c r="Q287" s="39"/>
      <c r="R287" s="39"/>
      <c r="S287" s="39"/>
      <c r="T287" s="39"/>
      <c r="U287" s="39"/>
      <c r="V287" s="39"/>
      <c r="W287" s="39"/>
      <c r="X287" s="39"/>
      <c r="Y287" s="39"/>
      <c r="Z287" s="39"/>
      <c r="AA287" s="39"/>
      <c r="AB287" s="39"/>
    </row>
    <row r="288">
      <c r="A288" s="1"/>
      <c r="B288" s="36"/>
      <c r="C288" s="36"/>
      <c r="D288" s="36"/>
      <c r="E288" s="36"/>
      <c r="F288" s="36"/>
      <c r="G288" s="36"/>
      <c r="H288" s="37"/>
      <c r="I288" s="36"/>
      <c r="J288" s="38"/>
      <c r="K288" s="38"/>
      <c r="L288" s="39"/>
      <c r="M288" s="39"/>
      <c r="N288" s="39"/>
      <c r="O288" s="39"/>
      <c r="P288" s="39"/>
      <c r="Q288" s="39"/>
      <c r="R288" s="39"/>
      <c r="S288" s="39"/>
      <c r="T288" s="39"/>
      <c r="U288" s="39"/>
      <c r="V288" s="39"/>
      <c r="W288" s="39"/>
      <c r="X288" s="39"/>
      <c r="Y288" s="39"/>
      <c r="Z288" s="39"/>
      <c r="AA288" s="39"/>
      <c r="AB288" s="39"/>
    </row>
    <row r="289">
      <c r="A289" s="1"/>
      <c r="B289" s="36"/>
      <c r="C289" s="36"/>
      <c r="D289" s="36"/>
      <c r="E289" s="36"/>
      <c r="F289" s="36"/>
      <c r="G289" s="36"/>
      <c r="H289" s="37"/>
      <c r="I289" s="36"/>
      <c r="J289" s="38"/>
      <c r="K289" s="38"/>
      <c r="L289" s="39"/>
      <c r="M289" s="39"/>
      <c r="N289" s="39"/>
      <c r="O289" s="39"/>
      <c r="P289" s="39"/>
      <c r="Q289" s="39"/>
      <c r="R289" s="39"/>
      <c r="S289" s="39"/>
      <c r="T289" s="39"/>
      <c r="U289" s="39"/>
      <c r="V289" s="39"/>
      <c r="W289" s="39"/>
      <c r="X289" s="39"/>
      <c r="Y289" s="39"/>
      <c r="Z289" s="39"/>
      <c r="AA289" s="39"/>
      <c r="AB289" s="39"/>
    </row>
    <row r="290">
      <c r="A290" s="1"/>
      <c r="B290" s="36"/>
      <c r="C290" s="36"/>
      <c r="D290" s="36"/>
      <c r="E290" s="36"/>
      <c r="F290" s="36"/>
      <c r="G290" s="36"/>
      <c r="H290" s="37"/>
      <c r="I290" s="36"/>
      <c r="J290" s="38"/>
      <c r="K290" s="38"/>
      <c r="L290" s="39"/>
      <c r="M290" s="39"/>
      <c r="N290" s="39"/>
      <c r="O290" s="39"/>
      <c r="P290" s="39"/>
      <c r="Q290" s="39"/>
      <c r="R290" s="39"/>
      <c r="S290" s="39"/>
      <c r="T290" s="39"/>
      <c r="U290" s="39"/>
      <c r="V290" s="39"/>
      <c r="W290" s="39"/>
      <c r="X290" s="39"/>
      <c r="Y290" s="39"/>
      <c r="Z290" s="39"/>
      <c r="AA290" s="39"/>
      <c r="AB290" s="39"/>
    </row>
    <row r="291">
      <c r="A291" s="1"/>
      <c r="B291" s="36"/>
      <c r="C291" s="36"/>
      <c r="D291" s="36"/>
      <c r="E291" s="36"/>
      <c r="F291" s="36"/>
      <c r="G291" s="36"/>
      <c r="H291" s="37"/>
      <c r="I291" s="36"/>
      <c r="J291" s="38"/>
      <c r="K291" s="38"/>
      <c r="L291" s="39"/>
      <c r="M291" s="39"/>
      <c r="N291" s="39"/>
      <c r="O291" s="39"/>
      <c r="P291" s="39"/>
      <c r="Q291" s="39"/>
      <c r="R291" s="39"/>
      <c r="S291" s="39"/>
      <c r="T291" s="39"/>
      <c r="U291" s="39"/>
      <c r="V291" s="39"/>
      <c r="W291" s="39"/>
      <c r="X291" s="39"/>
      <c r="Y291" s="39"/>
      <c r="Z291" s="39"/>
      <c r="AA291" s="39"/>
      <c r="AB291" s="39"/>
    </row>
    <row r="292">
      <c r="A292" s="1"/>
      <c r="B292" s="36"/>
      <c r="C292" s="36"/>
      <c r="D292" s="36"/>
      <c r="E292" s="36"/>
      <c r="F292" s="36"/>
      <c r="G292" s="36"/>
      <c r="H292" s="37"/>
      <c r="I292" s="36"/>
      <c r="J292" s="38"/>
      <c r="K292" s="38"/>
      <c r="L292" s="39"/>
      <c r="M292" s="39"/>
      <c r="N292" s="39"/>
      <c r="O292" s="39"/>
      <c r="P292" s="39"/>
      <c r="Q292" s="39"/>
      <c r="R292" s="39"/>
      <c r="S292" s="39"/>
      <c r="T292" s="39"/>
      <c r="U292" s="39"/>
      <c r="V292" s="39"/>
      <c r="W292" s="39"/>
      <c r="X292" s="39"/>
      <c r="Y292" s="39"/>
      <c r="Z292" s="39"/>
      <c r="AA292" s="39"/>
      <c r="AB292" s="39"/>
    </row>
    <row r="293">
      <c r="A293" s="1"/>
      <c r="B293" s="36"/>
      <c r="C293" s="36"/>
      <c r="D293" s="36"/>
      <c r="E293" s="36"/>
      <c r="F293" s="36"/>
      <c r="G293" s="36"/>
      <c r="H293" s="37"/>
      <c r="I293" s="36"/>
      <c r="J293" s="38"/>
      <c r="K293" s="38"/>
      <c r="L293" s="39"/>
      <c r="M293" s="39"/>
      <c r="N293" s="39"/>
      <c r="O293" s="39"/>
      <c r="P293" s="39"/>
      <c r="Q293" s="39"/>
      <c r="R293" s="39"/>
      <c r="S293" s="39"/>
      <c r="T293" s="39"/>
      <c r="U293" s="39"/>
      <c r="V293" s="39"/>
      <c r="W293" s="39"/>
      <c r="X293" s="39"/>
      <c r="Y293" s="39"/>
      <c r="Z293" s="39"/>
      <c r="AA293" s="39"/>
      <c r="AB293" s="39"/>
    </row>
    <row r="294">
      <c r="A294" s="1"/>
      <c r="B294" s="36"/>
      <c r="C294" s="36"/>
      <c r="D294" s="36"/>
      <c r="E294" s="36"/>
      <c r="F294" s="36"/>
      <c r="G294" s="36"/>
      <c r="H294" s="37"/>
      <c r="I294" s="36"/>
      <c r="J294" s="38"/>
      <c r="K294" s="38"/>
      <c r="L294" s="39"/>
      <c r="M294" s="39"/>
      <c r="N294" s="39"/>
      <c r="O294" s="39"/>
      <c r="P294" s="39"/>
      <c r="Q294" s="39"/>
      <c r="R294" s="39"/>
      <c r="S294" s="39"/>
      <c r="T294" s="39"/>
      <c r="U294" s="39"/>
      <c r="V294" s="39"/>
      <c r="W294" s="39"/>
      <c r="X294" s="39"/>
      <c r="Y294" s="39"/>
      <c r="Z294" s="39"/>
      <c r="AA294" s="39"/>
      <c r="AB294" s="39"/>
    </row>
    <row r="295">
      <c r="A295" s="1"/>
      <c r="B295" s="36"/>
      <c r="C295" s="36"/>
      <c r="D295" s="36"/>
      <c r="E295" s="36"/>
      <c r="F295" s="36"/>
      <c r="G295" s="36"/>
      <c r="H295" s="37"/>
      <c r="I295" s="36"/>
      <c r="J295" s="38"/>
      <c r="K295" s="38"/>
      <c r="L295" s="39"/>
      <c r="M295" s="39"/>
      <c r="N295" s="39"/>
      <c r="O295" s="39"/>
      <c r="P295" s="39"/>
      <c r="Q295" s="39"/>
      <c r="R295" s="39"/>
      <c r="S295" s="39"/>
      <c r="T295" s="39"/>
      <c r="U295" s="39"/>
      <c r="V295" s="39"/>
      <c r="W295" s="39"/>
      <c r="X295" s="39"/>
      <c r="Y295" s="39"/>
      <c r="Z295" s="39"/>
      <c r="AA295" s="39"/>
      <c r="AB295" s="39"/>
    </row>
    <row r="296">
      <c r="A296" s="1"/>
      <c r="B296" s="36"/>
      <c r="C296" s="36"/>
      <c r="D296" s="36"/>
      <c r="E296" s="36"/>
      <c r="F296" s="36"/>
      <c r="G296" s="36"/>
      <c r="H296" s="37"/>
      <c r="I296" s="36"/>
      <c r="J296" s="38"/>
      <c r="K296" s="38"/>
      <c r="L296" s="39"/>
      <c r="M296" s="39"/>
      <c r="N296" s="39"/>
      <c r="O296" s="39"/>
      <c r="P296" s="39"/>
      <c r="Q296" s="39"/>
      <c r="R296" s="39"/>
      <c r="S296" s="39"/>
      <c r="T296" s="39"/>
      <c r="U296" s="39"/>
      <c r="V296" s="39"/>
      <c r="W296" s="39"/>
      <c r="X296" s="39"/>
      <c r="Y296" s="39"/>
      <c r="Z296" s="39"/>
      <c r="AA296" s="39"/>
      <c r="AB296" s="39"/>
    </row>
    <row r="297">
      <c r="A297" s="1"/>
      <c r="B297" s="36"/>
      <c r="C297" s="36"/>
      <c r="D297" s="36"/>
      <c r="E297" s="36"/>
      <c r="F297" s="36"/>
      <c r="G297" s="36"/>
      <c r="H297" s="37"/>
      <c r="I297" s="36"/>
      <c r="J297" s="38"/>
      <c r="K297" s="38"/>
      <c r="L297" s="39"/>
      <c r="M297" s="39"/>
      <c r="N297" s="39"/>
      <c r="O297" s="39"/>
      <c r="P297" s="39"/>
      <c r="Q297" s="39"/>
      <c r="R297" s="39"/>
      <c r="S297" s="39"/>
      <c r="T297" s="39"/>
      <c r="U297" s="39"/>
      <c r="V297" s="39"/>
      <c r="W297" s="39"/>
      <c r="X297" s="39"/>
      <c r="Y297" s="39"/>
      <c r="Z297" s="39"/>
      <c r="AA297" s="39"/>
      <c r="AB297" s="39"/>
    </row>
    <row r="298">
      <c r="A298" s="1"/>
      <c r="B298" s="36"/>
      <c r="C298" s="36"/>
      <c r="D298" s="36"/>
      <c r="E298" s="36"/>
      <c r="F298" s="36"/>
      <c r="G298" s="36"/>
      <c r="H298" s="37"/>
      <c r="I298" s="36"/>
      <c r="J298" s="38"/>
      <c r="K298" s="38"/>
      <c r="L298" s="39"/>
      <c r="M298" s="39"/>
      <c r="N298" s="39"/>
      <c r="O298" s="39"/>
      <c r="P298" s="39"/>
      <c r="Q298" s="39"/>
      <c r="R298" s="39"/>
      <c r="S298" s="39"/>
      <c r="T298" s="39"/>
      <c r="U298" s="39"/>
      <c r="V298" s="39"/>
      <c r="W298" s="39"/>
      <c r="X298" s="39"/>
      <c r="Y298" s="39"/>
      <c r="Z298" s="39"/>
      <c r="AA298" s="39"/>
      <c r="AB298" s="39"/>
    </row>
    <row r="299">
      <c r="A299" s="1"/>
      <c r="B299" s="36"/>
      <c r="C299" s="36"/>
      <c r="D299" s="36"/>
      <c r="E299" s="36"/>
      <c r="F299" s="36"/>
      <c r="G299" s="36"/>
      <c r="H299" s="37"/>
      <c r="I299" s="36"/>
      <c r="J299" s="38"/>
      <c r="K299" s="38"/>
      <c r="L299" s="39"/>
      <c r="M299" s="39"/>
      <c r="N299" s="39"/>
      <c r="O299" s="39"/>
      <c r="P299" s="39"/>
      <c r="Q299" s="39"/>
      <c r="R299" s="39"/>
      <c r="S299" s="39"/>
      <c r="T299" s="39"/>
      <c r="U299" s="39"/>
      <c r="V299" s="39"/>
      <c r="W299" s="39"/>
      <c r="X299" s="39"/>
      <c r="Y299" s="39"/>
      <c r="Z299" s="39"/>
      <c r="AA299" s="39"/>
      <c r="AB299" s="39"/>
    </row>
    <row r="300">
      <c r="A300" s="1"/>
      <c r="B300" s="36"/>
      <c r="C300" s="36"/>
      <c r="D300" s="36"/>
      <c r="E300" s="36"/>
      <c r="F300" s="36"/>
      <c r="G300" s="36"/>
      <c r="H300" s="37"/>
      <c r="I300" s="36"/>
      <c r="J300" s="38"/>
      <c r="K300" s="38"/>
      <c r="L300" s="39"/>
      <c r="M300" s="39"/>
      <c r="N300" s="39"/>
      <c r="O300" s="39"/>
      <c r="P300" s="39"/>
      <c r="Q300" s="39"/>
      <c r="R300" s="39"/>
      <c r="S300" s="39"/>
      <c r="T300" s="39"/>
      <c r="U300" s="39"/>
      <c r="V300" s="39"/>
      <c r="W300" s="39"/>
      <c r="X300" s="39"/>
      <c r="Y300" s="39"/>
      <c r="Z300" s="39"/>
      <c r="AA300" s="39"/>
      <c r="AB300" s="39"/>
    </row>
    <row r="301">
      <c r="A301" s="1"/>
      <c r="B301" s="36"/>
      <c r="C301" s="36"/>
      <c r="D301" s="36"/>
      <c r="E301" s="36"/>
      <c r="F301" s="36"/>
      <c r="G301" s="36"/>
      <c r="H301" s="37"/>
      <c r="I301" s="36"/>
      <c r="J301" s="38"/>
      <c r="K301" s="38"/>
      <c r="L301" s="39"/>
      <c r="M301" s="39"/>
      <c r="N301" s="39"/>
      <c r="O301" s="39"/>
      <c r="P301" s="39"/>
      <c r="Q301" s="39"/>
      <c r="R301" s="39"/>
      <c r="S301" s="39"/>
      <c r="T301" s="39"/>
      <c r="U301" s="39"/>
      <c r="V301" s="39"/>
      <c r="W301" s="39"/>
      <c r="X301" s="39"/>
      <c r="Y301" s="39"/>
      <c r="Z301" s="39"/>
      <c r="AA301" s="39"/>
      <c r="AB301" s="39"/>
    </row>
    <row r="302">
      <c r="A302" s="1"/>
      <c r="B302" s="36"/>
      <c r="C302" s="36"/>
      <c r="D302" s="36"/>
      <c r="E302" s="36"/>
      <c r="F302" s="36"/>
      <c r="G302" s="36"/>
      <c r="H302" s="37"/>
      <c r="I302" s="36"/>
      <c r="J302" s="38"/>
      <c r="K302" s="38"/>
      <c r="L302" s="39"/>
      <c r="M302" s="39"/>
      <c r="N302" s="39"/>
      <c r="O302" s="39"/>
      <c r="P302" s="39"/>
      <c r="Q302" s="39"/>
      <c r="R302" s="39"/>
      <c r="S302" s="39"/>
      <c r="T302" s="39"/>
      <c r="U302" s="39"/>
      <c r="V302" s="39"/>
      <c r="W302" s="39"/>
      <c r="X302" s="39"/>
      <c r="Y302" s="39"/>
      <c r="Z302" s="39"/>
      <c r="AA302" s="39"/>
      <c r="AB302" s="39"/>
    </row>
    <row r="303">
      <c r="A303" s="1"/>
      <c r="B303" s="36"/>
      <c r="C303" s="36"/>
      <c r="D303" s="36"/>
      <c r="E303" s="36"/>
      <c r="F303" s="36"/>
      <c r="G303" s="36"/>
      <c r="H303" s="37"/>
      <c r="I303" s="36"/>
      <c r="J303" s="38"/>
      <c r="K303" s="38"/>
      <c r="L303" s="39"/>
      <c r="M303" s="39"/>
      <c r="N303" s="39"/>
      <c r="O303" s="39"/>
      <c r="P303" s="39"/>
      <c r="Q303" s="39"/>
      <c r="R303" s="39"/>
      <c r="S303" s="39"/>
      <c r="T303" s="39"/>
      <c r="U303" s="39"/>
      <c r="V303" s="39"/>
      <c r="W303" s="39"/>
      <c r="X303" s="39"/>
      <c r="Y303" s="39"/>
      <c r="Z303" s="39"/>
      <c r="AA303" s="39"/>
      <c r="AB303" s="39"/>
    </row>
    <row r="304">
      <c r="A304" s="1"/>
      <c r="B304" s="36"/>
      <c r="C304" s="36"/>
      <c r="D304" s="36"/>
      <c r="E304" s="36"/>
      <c r="F304" s="36"/>
      <c r="G304" s="36"/>
      <c r="H304" s="37"/>
      <c r="I304" s="36"/>
      <c r="J304" s="38"/>
      <c r="K304" s="38"/>
      <c r="L304" s="39"/>
      <c r="M304" s="39"/>
      <c r="N304" s="39"/>
      <c r="O304" s="39"/>
      <c r="P304" s="39"/>
      <c r="Q304" s="39"/>
      <c r="R304" s="39"/>
      <c r="S304" s="39"/>
      <c r="T304" s="39"/>
      <c r="U304" s="39"/>
      <c r="V304" s="39"/>
      <c r="W304" s="39"/>
      <c r="X304" s="39"/>
      <c r="Y304" s="39"/>
      <c r="Z304" s="39"/>
      <c r="AA304" s="39"/>
      <c r="AB304" s="39"/>
    </row>
    <row r="305">
      <c r="A305" s="1"/>
      <c r="B305" s="36"/>
      <c r="C305" s="36"/>
      <c r="D305" s="36"/>
      <c r="E305" s="36"/>
      <c r="F305" s="36"/>
      <c r="G305" s="36"/>
      <c r="H305" s="37"/>
      <c r="I305" s="36"/>
      <c r="J305" s="38"/>
      <c r="K305" s="38"/>
      <c r="L305" s="39"/>
      <c r="M305" s="39"/>
      <c r="N305" s="39"/>
      <c r="O305" s="39"/>
      <c r="P305" s="39"/>
      <c r="Q305" s="39"/>
      <c r="R305" s="39"/>
      <c r="S305" s="39"/>
      <c r="T305" s="39"/>
      <c r="U305" s="39"/>
      <c r="V305" s="39"/>
      <c r="W305" s="39"/>
      <c r="X305" s="39"/>
      <c r="Y305" s="39"/>
      <c r="Z305" s="39"/>
      <c r="AA305" s="39"/>
      <c r="AB305" s="39"/>
    </row>
    <row r="306">
      <c r="A306" s="1"/>
      <c r="B306" s="36"/>
      <c r="C306" s="36"/>
      <c r="D306" s="36"/>
      <c r="E306" s="36"/>
      <c r="F306" s="36"/>
      <c r="G306" s="36"/>
      <c r="H306" s="37"/>
      <c r="I306" s="36"/>
      <c r="J306" s="38"/>
      <c r="K306" s="38"/>
      <c r="L306" s="39"/>
      <c r="M306" s="39"/>
      <c r="N306" s="39"/>
      <c r="O306" s="39"/>
      <c r="P306" s="39"/>
      <c r="Q306" s="39"/>
      <c r="R306" s="39"/>
      <c r="S306" s="39"/>
      <c r="T306" s="39"/>
      <c r="U306" s="39"/>
      <c r="V306" s="39"/>
      <c r="W306" s="39"/>
      <c r="X306" s="39"/>
      <c r="Y306" s="39"/>
      <c r="Z306" s="39"/>
      <c r="AA306" s="39"/>
      <c r="AB306" s="39"/>
    </row>
    <row r="307">
      <c r="A307" s="1"/>
      <c r="B307" s="36"/>
      <c r="C307" s="36"/>
      <c r="D307" s="36"/>
      <c r="E307" s="36"/>
      <c r="F307" s="36"/>
      <c r="G307" s="36"/>
      <c r="H307" s="37"/>
      <c r="I307" s="36"/>
      <c r="J307" s="38"/>
      <c r="K307" s="38"/>
      <c r="L307" s="39"/>
      <c r="M307" s="39"/>
      <c r="N307" s="39"/>
      <c r="O307" s="39"/>
      <c r="P307" s="39"/>
      <c r="Q307" s="39"/>
      <c r="R307" s="39"/>
      <c r="S307" s="39"/>
      <c r="T307" s="39"/>
      <c r="U307" s="39"/>
      <c r="V307" s="39"/>
      <c r="W307" s="39"/>
      <c r="X307" s="39"/>
      <c r="Y307" s="39"/>
      <c r="Z307" s="39"/>
      <c r="AA307" s="39"/>
      <c r="AB307" s="39"/>
    </row>
    <row r="308">
      <c r="A308" s="1"/>
      <c r="B308" s="36"/>
      <c r="C308" s="36"/>
      <c r="D308" s="36"/>
      <c r="E308" s="36"/>
      <c r="F308" s="36"/>
      <c r="G308" s="36"/>
      <c r="H308" s="37"/>
      <c r="I308" s="36"/>
      <c r="J308" s="38"/>
      <c r="K308" s="38"/>
      <c r="L308" s="39"/>
      <c r="M308" s="39"/>
      <c r="N308" s="39"/>
      <c r="O308" s="39"/>
      <c r="P308" s="39"/>
      <c r="Q308" s="39"/>
      <c r="R308" s="39"/>
      <c r="S308" s="39"/>
      <c r="T308" s="39"/>
      <c r="U308" s="39"/>
      <c r="V308" s="39"/>
      <c r="W308" s="39"/>
      <c r="X308" s="39"/>
      <c r="Y308" s="39"/>
      <c r="Z308" s="39"/>
      <c r="AA308" s="39"/>
      <c r="AB308" s="39"/>
    </row>
    <row r="309">
      <c r="A309" s="1"/>
      <c r="B309" s="36"/>
      <c r="C309" s="36"/>
      <c r="D309" s="36"/>
      <c r="E309" s="36"/>
      <c r="F309" s="36"/>
      <c r="G309" s="36"/>
      <c r="H309" s="37"/>
      <c r="I309" s="36"/>
      <c r="J309" s="38"/>
      <c r="K309" s="38"/>
      <c r="L309" s="39"/>
      <c r="M309" s="39"/>
      <c r="N309" s="39"/>
      <c r="O309" s="39"/>
      <c r="P309" s="39"/>
      <c r="Q309" s="39"/>
      <c r="R309" s="39"/>
      <c r="S309" s="39"/>
      <c r="T309" s="39"/>
      <c r="U309" s="39"/>
      <c r="V309" s="39"/>
      <c r="W309" s="39"/>
      <c r="X309" s="39"/>
      <c r="Y309" s="39"/>
      <c r="Z309" s="39"/>
      <c r="AA309" s="39"/>
      <c r="AB309" s="39"/>
    </row>
    <row r="310">
      <c r="A310" s="1"/>
      <c r="B310" s="36"/>
      <c r="C310" s="36"/>
      <c r="D310" s="36"/>
      <c r="E310" s="36"/>
      <c r="F310" s="36"/>
      <c r="G310" s="36"/>
      <c r="H310" s="37"/>
      <c r="I310" s="36"/>
      <c r="J310" s="38"/>
      <c r="K310" s="38"/>
      <c r="L310" s="39"/>
      <c r="M310" s="39"/>
      <c r="N310" s="39"/>
      <c r="O310" s="39"/>
      <c r="P310" s="39"/>
      <c r="Q310" s="39"/>
      <c r="R310" s="39"/>
      <c r="S310" s="39"/>
      <c r="T310" s="39"/>
      <c r="U310" s="39"/>
      <c r="V310" s="39"/>
      <c r="W310" s="39"/>
      <c r="X310" s="39"/>
      <c r="Y310" s="39"/>
      <c r="Z310" s="39"/>
      <c r="AA310" s="39"/>
      <c r="AB310" s="39"/>
    </row>
    <row r="311">
      <c r="A311" s="1"/>
      <c r="B311" s="36"/>
      <c r="C311" s="36"/>
      <c r="D311" s="36"/>
      <c r="E311" s="36"/>
      <c r="F311" s="36"/>
      <c r="G311" s="36"/>
      <c r="H311" s="37"/>
      <c r="I311" s="36"/>
      <c r="J311" s="38"/>
      <c r="K311" s="38"/>
      <c r="L311" s="39"/>
      <c r="M311" s="39"/>
      <c r="N311" s="39"/>
      <c r="O311" s="39"/>
      <c r="P311" s="39"/>
      <c r="Q311" s="39"/>
      <c r="R311" s="39"/>
      <c r="S311" s="39"/>
      <c r="T311" s="39"/>
      <c r="U311" s="39"/>
      <c r="V311" s="39"/>
      <c r="W311" s="39"/>
      <c r="X311" s="39"/>
      <c r="Y311" s="39"/>
      <c r="Z311" s="39"/>
      <c r="AA311" s="39"/>
      <c r="AB311" s="39"/>
    </row>
    <row r="312">
      <c r="A312" s="1"/>
      <c r="B312" s="36"/>
      <c r="C312" s="36"/>
      <c r="D312" s="36"/>
      <c r="E312" s="36"/>
      <c r="F312" s="36"/>
      <c r="G312" s="36"/>
      <c r="H312" s="37"/>
      <c r="I312" s="36"/>
      <c r="J312" s="38"/>
      <c r="K312" s="38"/>
      <c r="L312" s="39"/>
      <c r="M312" s="39"/>
      <c r="N312" s="39"/>
      <c r="O312" s="39"/>
      <c r="P312" s="39"/>
      <c r="Q312" s="39"/>
      <c r="R312" s="39"/>
      <c r="S312" s="39"/>
      <c r="T312" s="39"/>
      <c r="U312" s="39"/>
      <c r="V312" s="39"/>
      <c r="W312" s="39"/>
      <c r="X312" s="39"/>
      <c r="Y312" s="39"/>
      <c r="Z312" s="39"/>
      <c r="AA312" s="39"/>
      <c r="AB312" s="39"/>
    </row>
    <row r="313">
      <c r="A313" s="1"/>
      <c r="B313" s="36"/>
      <c r="C313" s="36"/>
      <c r="D313" s="36"/>
      <c r="E313" s="36"/>
      <c r="F313" s="36"/>
      <c r="G313" s="36"/>
      <c r="H313" s="37"/>
      <c r="I313" s="36"/>
      <c r="J313" s="38"/>
      <c r="K313" s="38"/>
      <c r="L313" s="39"/>
      <c r="M313" s="39"/>
      <c r="N313" s="39"/>
      <c r="O313" s="39"/>
      <c r="P313" s="39"/>
      <c r="Q313" s="39"/>
      <c r="R313" s="39"/>
      <c r="S313" s="39"/>
      <c r="T313" s="39"/>
      <c r="U313" s="39"/>
      <c r="V313" s="39"/>
      <c r="W313" s="39"/>
      <c r="X313" s="39"/>
      <c r="Y313" s="39"/>
      <c r="Z313" s="39"/>
      <c r="AA313" s="39"/>
      <c r="AB313" s="39"/>
    </row>
    <row r="314">
      <c r="A314" s="1"/>
      <c r="B314" s="36"/>
      <c r="C314" s="36"/>
      <c r="D314" s="36"/>
      <c r="E314" s="36"/>
      <c r="F314" s="36"/>
      <c r="G314" s="36"/>
      <c r="H314" s="37"/>
      <c r="I314" s="36"/>
      <c r="J314" s="38"/>
      <c r="K314" s="38"/>
      <c r="L314" s="39"/>
      <c r="M314" s="39"/>
      <c r="N314" s="39"/>
      <c r="O314" s="39"/>
      <c r="P314" s="39"/>
      <c r="Q314" s="39"/>
      <c r="R314" s="39"/>
      <c r="S314" s="39"/>
      <c r="T314" s="39"/>
      <c r="U314" s="39"/>
      <c r="V314" s="39"/>
      <c r="W314" s="39"/>
      <c r="X314" s="39"/>
      <c r="Y314" s="39"/>
      <c r="Z314" s="39"/>
      <c r="AA314" s="39"/>
      <c r="AB314" s="39"/>
    </row>
    <row r="315">
      <c r="A315" s="1"/>
      <c r="B315" s="36"/>
      <c r="C315" s="36"/>
      <c r="D315" s="36"/>
      <c r="E315" s="36"/>
      <c r="F315" s="36"/>
      <c r="G315" s="36"/>
      <c r="H315" s="37"/>
      <c r="I315" s="36"/>
      <c r="J315" s="38"/>
      <c r="K315" s="38"/>
      <c r="L315" s="39"/>
      <c r="M315" s="39"/>
      <c r="N315" s="39"/>
      <c r="O315" s="39"/>
      <c r="P315" s="39"/>
      <c r="Q315" s="39"/>
      <c r="R315" s="39"/>
      <c r="S315" s="39"/>
      <c r="T315" s="39"/>
      <c r="U315" s="39"/>
      <c r="V315" s="39"/>
      <c r="W315" s="39"/>
      <c r="X315" s="39"/>
      <c r="Y315" s="39"/>
      <c r="Z315" s="39"/>
      <c r="AA315" s="39"/>
      <c r="AB315" s="39"/>
    </row>
    <row r="316">
      <c r="A316" s="1"/>
      <c r="B316" s="36"/>
      <c r="C316" s="36"/>
      <c r="D316" s="36"/>
      <c r="E316" s="36"/>
      <c r="F316" s="36"/>
      <c r="G316" s="36"/>
      <c r="H316" s="37"/>
      <c r="I316" s="36"/>
      <c r="J316" s="38"/>
      <c r="K316" s="38"/>
      <c r="L316" s="39"/>
      <c r="M316" s="39"/>
      <c r="N316" s="39"/>
      <c r="O316" s="39"/>
      <c r="P316" s="39"/>
      <c r="Q316" s="39"/>
      <c r="R316" s="39"/>
      <c r="S316" s="39"/>
      <c r="T316" s="39"/>
      <c r="U316" s="39"/>
      <c r="V316" s="39"/>
      <c r="W316" s="39"/>
      <c r="X316" s="39"/>
      <c r="Y316" s="39"/>
      <c r="Z316" s="39"/>
      <c r="AA316" s="39"/>
      <c r="AB316" s="39"/>
    </row>
    <row r="317">
      <c r="A317" s="1"/>
      <c r="B317" s="36"/>
      <c r="C317" s="36"/>
      <c r="D317" s="36"/>
      <c r="E317" s="36"/>
      <c r="F317" s="36"/>
      <c r="G317" s="36"/>
      <c r="H317" s="37"/>
      <c r="I317" s="36"/>
      <c r="J317" s="38"/>
      <c r="K317" s="38"/>
      <c r="L317" s="39"/>
      <c r="M317" s="39"/>
      <c r="N317" s="39"/>
      <c r="O317" s="39"/>
      <c r="P317" s="39"/>
      <c r="Q317" s="39"/>
      <c r="R317" s="39"/>
      <c r="S317" s="39"/>
      <c r="T317" s="39"/>
      <c r="U317" s="39"/>
      <c r="V317" s="39"/>
      <c r="W317" s="39"/>
      <c r="X317" s="39"/>
      <c r="Y317" s="39"/>
      <c r="Z317" s="39"/>
      <c r="AA317" s="39"/>
      <c r="AB317" s="39"/>
    </row>
    <row r="318">
      <c r="A318" s="1"/>
      <c r="B318" s="36"/>
      <c r="C318" s="36"/>
      <c r="D318" s="36"/>
      <c r="E318" s="36"/>
      <c r="F318" s="36"/>
      <c r="G318" s="36"/>
      <c r="H318" s="37"/>
      <c r="I318" s="36"/>
      <c r="J318" s="38"/>
      <c r="K318" s="38"/>
      <c r="L318" s="39"/>
      <c r="M318" s="39"/>
      <c r="N318" s="39"/>
      <c r="O318" s="39"/>
      <c r="P318" s="39"/>
      <c r="Q318" s="39"/>
      <c r="R318" s="39"/>
      <c r="S318" s="39"/>
      <c r="T318" s="39"/>
      <c r="U318" s="39"/>
      <c r="V318" s="39"/>
      <c r="W318" s="39"/>
      <c r="X318" s="39"/>
      <c r="Y318" s="39"/>
      <c r="Z318" s="39"/>
      <c r="AA318" s="39"/>
      <c r="AB318" s="39"/>
    </row>
    <row r="319">
      <c r="A319" s="1"/>
      <c r="B319" s="36"/>
      <c r="C319" s="36"/>
      <c r="D319" s="36"/>
      <c r="E319" s="36"/>
      <c r="F319" s="36"/>
      <c r="G319" s="36"/>
      <c r="H319" s="37"/>
      <c r="I319" s="36"/>
      <c r="J319" s="38"/>
      <c r="K319" s="38"/>
      <c r="L319" s="39"/>
      <c r="M319" s="39"/>
      <c r="N319" s="39"/>
      <c r="O319" s="39"/>
      <c r="P319" s="39"/>
      <c r="Q319" s="39"/>
      <c r="R319" s="39"/>
      <c r="S319" s="39"/>
      <c r="T319" s="39"/>
      <c r="U319" s="39"/>
      <c r="V319" s="39"/>
      <c r="W319" s="39"/>
      <c r="X319" s="39"/>
      <c r="Y319" s="39"/>
      <c r="Z319" s="39"/>
      <c r="AA319" s="39"/>
      <c r="AB319" s="39"/>
    </row>
    <row r="320">
      <c r="A320" s="1"/>
      <c r="B320" s="36"/>
      <c r="C320" s="36"/>
      <c r="D320" s="36"/>
      <c r="E320" s="36"/>
      <c r="F320" s="36"/>
      <c r="G320" s="36"/>
      <c r="H320" s="37"/>
      <c r="I320" s="36"/>
      <c r="J320" s="38"/>
      <c r="K320" s="38"/>
      <c r="L320" s="39"/>
      <c r="M320" s="39"/>
      <c r="N320" s="39"/>
      <c r="O320" s="39"/>
      <c r="P320" s="39"/>
      <c r="Q320" s="39"/>
      <c r="R320" s="39"/>
      <c r="S320" s="39"/>
      <c r="T320" s="39"/>
      <c r="U320" s="39"/>
      <c r="V320" s="39"/>
      <c r="W320" s="39"/>
      <c r="X320" s="39"/>
      <c r="Y320" s="39"/>
      <c r="Z320" s="39"/>
      <c r="AA320" s="39"/>
      <c r="AB320" s="39"/>
    </row>
    <row r="321">
      <c r="A321" s="1"/>
      <c r="B321" s="36"/>
      <c r="C321" s="36"/>
      <c r="D321" s="36"/>
      <c r="E321" s="36"/>
      <c r="F321" s="36"/>
      <c r="G321" s="36"/>
      <c r="H321" s="37"/>
      <c r="I321" s="36"/>
      <c r="J321" s="38"/>
      <c r="K321" s="38"/>
      <c r="L321" s="39"/>
      <c r="M321" s="39"/>
      <c r="N321" s="39"/>
      <c r="O321" s="39"/>
      <c r="P321" s="39"/>
      <c r="Q321" s="39"/>
      <c r="R321" s="39"/>
      <c r="S321" s="39"/>
      <c r="T321" s="39"/>
      <c r="U321" s="39"/>
      <c r="V321" s="39"/>
      <c r="W321" s="39"/>
      <c r="X321" s="39"/>
      <c r="Y321" s="39"/>
      <c r="Z321" s="39"/>
      <c r="AA321" s="39"/>
      <c r="AB321" s="39"/>
    </row>
    <row r="322">
      <c r="A322" s="1"/>
      <c r="B322" s="36"/>
      <c r="C322" s="36"/>
      <c r="D322" s="36"/>
      <c r="E322" s="36"/>
      <c r="F322" s="36"/>
      <c r="G322" s="36"/>
      <c r="H322" s="37"/>
      <c r="I322" s="36"/>
      <c r="J322" s="38"/>
      <c r="K322" s="38"/>
      <c r="L322" s="39"/>
      <c r="M322" s="39"/>
      <c r="N322" s="39"/>
      <c r="O322" s="39"/>
      <c r="P322" s="39"/>
      <c r="Q322" s="39"/>
      <c r="R322" s="39"/>
      <c r="S322" s="39"/>
      <c r="T322" s="39"/>
      <c r="U322" s="39"/>
      <c r="V322" s="39"/>
      <c r="W322" s="39"/>
      <c r="X322" s="39"/>
      <c r="Y322" s="39"/>
      <c r="Z322" s="39"/>
      <c r="AA322" s="39"/>
      <c r="AB322" s="39"/>
    </row>
    <row r="323">
      <c r="A323" s="1"/>
      <c r="B323" s="36"/>
      <c r="C323" s="36"/>
      <c r="D323" s="36"/>
      <c r="E323" s="36"/>
      <c r="F323" s="36"/>
      <c r="G323" s="36"/>
      <c r="H323" s="37"/>
      <c r="I323" s="36"/>
      <c r="J323" s="38"/>
      <c r="K323" s="38"/>
      <c r="L323" s="39"/>
      <c r="M323" s="39"/>
      <c r="N323" s="39"/>
      <c r="O323" s="39"/>
      <c r="P323" s="39"/>
      <c r="Q323" s="39"/>
      <c r="R323" s="39"/>
      <c r="S323" s="39"/>
      <c r="T323" s="39"/>
      <c r="U323" s="39"/>
      <c r="V323" s="39"/>
      <c r="W323" s="39"/>
      <c r="X323" s="39"/>
      <c r="Y323" s="39"/>
      <c r="Z323" s="39"/>
      <c r="AA323" s="39"/>
      <c r="AB323" s="39"/>
    </row>
    <row r="324">
      <c r="A324" s="1"/>
      <c r="B324" s="36"/>
      <c r="C324" s="36"/>
      <c r="D324" s="36"/>
      <c r="E324" s="36"/>
      <c r="F324" s="36"/>
      <c r="G324" s="36"/>
      <c r="H324" s="37"/>
      <c r="I324" s="36"/>
      <c r="J324" s="38"/>
      <c r="K324" s="38"/>
      <c r="L324" s="39"/>
      <c r="M324" s="39"/>
      <c r="N324" s="39"/>
      <c r="O324" s="39"/>
      <c r="P324" s="39"/>
      <c r="Q324" s="39"/>
      <c r="R324" s="39"/>
      <c r="S324" s="39"/>
      <c r="T324" s="39"/>
      <c r="U324" s="39"/>
      <c r="V324" s="39"/>
      <c r="W324" s="39"/>
      <c r="X324" s="39"/>
      <c r="Y324" s="39"/>
      <c r="Z324" s="39"/>
      <c r="AA324" s="39"/>
      <c r="AB324" s="39"/>
    </row>
    <row r="325">
      <c r="A325" s="1"/>
      <c r="B325" s="36"/>
      <c r="C325" s="36"/>
      <c r="D325" s="36"/>
      <c r="E325" s="36"/>
      <c r="F325" s="36"/>
      <c r="G325" s="36"/>
      <c r="H325" s="37"/>
      <c r="I325" s="36"/>
      <c r="J325" s="38"/>
      <c r="K325" s="38"/>
      <c r="L325" s="39"/>
      <c r="M325" s="39"/>
      <c r="N325" s="39"/>
      <c r="O325" s="39"/>
      <c r="P325" s="39"/>
      <c r="Q325" s="39"/>
      <c r="R325" s="39"/>
      <c r="S325" s="39"/>
      <c r="T325" s="39"/>
      <c r="U325" s="39"/>
      <c r="V325" s="39"/>
      <c r="W325" s="39"/>
      <c r="X325" s="39"/>
      <c r="Y325" s="39"/>
      <c r="Z325" s="39"/>
      <c r="AA325" s="39"/>
      <c r="AB325" s="39"/>
    </row>
    <row r="326">
      <c r="A326" s="1"/>
      <c r="B326" s="36"/>
      <c r="C326" s="36"/>
      <c r="D326" s="36"/>
      <c r="E326" s="36"/>
      <c r="F326" s="36"/>
      <c r="G326" s="36"/>
      <c r="H326" s="37"/>
      <c r="I326" s="36"/>
      <c r="J326" s="38"/>
      <c r="K326" s="38"/>
      <c r="L326" s="39"/>
      <c r="M326" s="39"/>
      <c r="N326" s="39"/>
      <c r="O326" s="39"/>
      <c r="P326" s="39"/>
      <c r="Q326" s="39"/>
      <c r="R326" s="39"/>
      <c r="S326" s="39"/>
      <c r="T326" s="39"/>
      <c r="U326" s="39"/>
      <c r="V326" s="39"/>
      <c r="W326" s="39"/>
      <c r="X326" s="39"/>
      <c r="Y326" s="39"/>
      <c r="Z326" s="39"/>
      <c r="AA326" s="39"/>
      <c r="AB326" s="39"/>
    </row>
    <row r="327">
      <c r="A327" s="1"/>
      <c r="B327" s="36"/>
      <c r="C327" s="36"/>
      <c r="D327" s="36"/>
      <c r="E327" s="36"/>
      <c r="F327" s="36"/>
      <c r="G327" s="36"/>
      <c r="H327" s="37"/>
      <c r="I327" s="36"/>
      <c r="J327" s="38"/>
      <c r="K327" s="38"/>
      <c r="L327" s="39"/>
      <c r="M327" s="39"/>
      <c r="N327" s="39"/>
      <c r="O327" s="39"/>
      <c r="P327" s="39"/>
      <c r="Q327" s="39"/>
      <c r="R327" s="39"/>
      <c r="S327" s="39"/>
      <c r="T327" s="39"/>
      <c r="U327" s="39"/>
      <c r="V327" s="39"/>
      <c r="W327" s="39"/>
      <c r="X327" s="39"/>
      <c r="Y327" s="39"/>
      <c r="Z327" s="39"/>
      <c r="AA327" s="39"/>
      <c r="AB327" s="39"/>
    </row>
    <row r="328">
      <c r="A328" s="1"/>
      <c r="B328" s="36"/>
      <c r="C328" s="36"/>
      <c r="D328" s="36"/>
      <c r="E328" s="36"/>
      <c r="F328" s="36"/>
      <c r="G328" s="36"/>
      <c r="H328" s="37"/>
      <c r="I328" s="36"/>
      <c r="J328" s="38"/>
      <c r="K328" s="38"/>
      <c r="L328" s="39"/>
      <c r="M328" s="39"/>
      <c r="N328" s="39"/>
      <c r="O328" s="39"/>
      <c r="P328" s="39"/>
      <c r="Q328" s="39"/>
      <c r="R328" s="39"/>
      <c r="S328" s="39"/>
      <c r="T328" s="39"/>
      <c r="U328" s="39"/>
      <c r="V328" s="39"/>
      <c r="W328" s="39"/>
      <c r="X328" s="39"/>
      <c r="Y328" s="39"/>
      <c r="Z328" s="39"/>
      <c r="AA328" s="39"/>
      <c r="AB328" s="39"/>
    </row>
    <row r="329">
      <c r="A329" s="1"/>
      <c r="B329" s="36"/>
      <c r="C329" s="36"/>
      <c r="D329" s="36"/>
      <c r="E329" s="36"/>
      <c r="F329" s="36"/>
      <c r="G329" s="36"/>
      <c r="H329" s="37"/>
      <c r="I329" s="36"/>
      <c r="J329" s="38"/>
      <c r="K329" s="38"/>
      <c r="L329" s="39"/>
      <c r="M329" s="39"/>
      <c r="N329" s="39"/>
      <c r="O329" s="39"/>
      <c r="P329" s="39"/>
      <c r="Q329" s="39"/>
      <c r="R329" s="39"/>
      <c r="S329" s="39"/>
      <c r="T329" s="39"/>
      <c r="U329" s="39"/>
      <c r="V329" s="39"/>
      <c r="W329" s="39"/>
      <c r="X329" s="39"/>
      <c r="Y329" s="39"/>
      <c r="Z329" s="39"/>
      <c r="AA329" s="39"/>
      <c r="AB329" s="39"/>
    </row>
    <row r="330">
      <c r="A330" s="1"/>
      <c r="B330" s="36"/>
      <c r="C330" s="36"/>
      <c r="D330" s="36"/>
      <c r="E330" s="36"/>
      <c r="F330" s="36"/>
      <c r="G330" s="36"/>
      <c r="H330" s="37"/>
      <c r="I330" s="36"/>
      <c r="J330" s="38"/>
      <c r="K330" s="38"/>
      <c r="L330" s="39"/>
      <c r="M330" s="39"/>
      <c r="N330" s="39"/>
      <c r="O330" s="39"/>
      <c r="P330" s="39"/>
      <c r="Q330" s="39"/>
      <c r="R330" s="39"/>
      <c r="S330" s="39"/>
      <c r="T330" s="39"/>
      <c r="U330" s="39"/>
      <c r="V330" s="39"/>
      <c r="W330" s="39"/>
      <c r="X330" s="39"/>
      <c r="Y330" s="39"/>
      <c r="Z330" s="39"/>
      <c r="AA330" s="39"/>
      <c r="AB330" s="39"/>
    </row>
    <row r="331">
      <c r="A331" s="1"/>
      <c r="B331" s="36"/>
      <c r="C331" s="36"/>
      <c r="D331" s="36"/>
      <c r="E331" s="36"/>
      <c r="F331" s="36"/>
      <c r="G331" s="36"/>
      <c r="H331" s="37"/>
      <c r="I331" s="36"/>
      <c r="J331" s="38"/>
      <c r="K331" s="38"/>
      <c r="L331" s="39"/>
      <c r="M331" s="39"/>
      <c r="N331" s="39"/>
      <c r="O331" s="39"/>
      <c r="P331" s="39"/>
      <c r="Q331" s="39"/>
      <c r="R331" s="39"/>
      <c r="S331" s="39"/>
      <c r="T331" s="39"/>
      <c r="U331" s="39"/>
      <c r="V331" s="39"/>
      <c r="W331" s="39"/>
      <c r="X331" s="39"/>
      <c r="Y331" s="39"/>
      <c r="Z331" s="39"/>
      <c r="AA331" s="39"/>
      <c r="AB331" s="39"/>
    </row>
    <row r="332">
      <c r="A332" s="1"/>
      <c r="B332" s="36"/>
      <c r="C332" s="36"/>
      <c r="D332" s="36"/>
      <c r="E332" s="36"/>
      <c r="F332" s="36"/>
      <c r="G332" s="36"/>
      <c r="H332" s="37"/>
      <c r="I332" s="36"/>
      <c r="J332" s="38"/>
      <c r="K332" s="38"/>
      <c r="L332" s="39"/>
      <c r="M332" s="39"/>
      <c r="N332" s="39"/>
      <c r="O332" s="39"/>
      <c r="P332" s="39"/>
      <c r="Q332" s="39"/>
      <c r="R332" s="39"/>
      <c r="S332" s="39"/>
      <c r="T332" s="39"/>
      <c r="U332" s="39"/>
      <c r="V332" s="39"/>
      <c r="W332" s="39"/>
      <c r="X332" s="39"/>
      <c r="Y332" s="39"/>
      <c r="Z332" s="39"/>
      <c r="AA332" s="39"/>
      <c r="AB332" s="39"/>
    </row>
    <row r="333">
      <c r="A333" s="1"/>
      <c r="B333" s="36"/>
      <c r="C333" s="36"/>
      <c r="D333" s="36"/>
      <c r="E333" s="36"/>
      <c r="F333" s="36"/>
      <c r="G333" s="36"/>
      <c r="H333" s="37"/>
      <c r="I333" s="36"/>
      <c r="J333" s="38"/>
      <c r="K333" s="38"/>
      <c r="L333" s="39"/>
      <c r="M333" s="39"/>
      <c r="N333" s="39"/>
      <c r="O333" s="39"/>
      <c r="P333" s="39"/>
      <c r="Q333" s="39"/>
      <c r="R333" s="39"/>
      <c r="S333" s="39"/>
      <c r="T333" s="39"/>
      <c r="U333" s="39"/>
      <c r="V333" s="39"/>
      <c r="W333" s="39"/>
      <c r="X333" s="39"/>
      <c r="Y333" s="39"/>
      <c r="Z333" s="39"/>
      <c r="AA333" s="39"/>
      <c r="AB333" s="39"/>
    </row>
    <row r="334">
      <c r="A334" s="1"/>
      <c r="B334" s="36"/>
      <c r="C334" s="36"/>
      <c r="D334" s="36"/>
      <c r="E334" s="36"/>
      <c r="F334" s="36"/>
      <c r="G334" s="36"/>
      <c r="H334" s="37"/>
      <c r="I334" s="36"/>
      <c r="J334" s="38"/>
      <c r="K334" s="38"/>
      <c r="L334" s="39"/>
      <c r="M334" s="39"/>
      <c r="N334" s="39"/>
      <c r="O334" s="39"/>
      <c r="P334" s="39"/>
      <c r="Q334" s="39"/>
      <c r="R334" s="39"/>
      <c r="S334" s="39"/>
      <c r="T334" s="39"/>
      <c r="U334" s="39"/>
      <c r="V334" s="39"/>
      <c r="W334" s="39"/>
      <c r="X334" s="39"/>
      <c r="Y334" s="39"/>
      <c r="Z334" s="39"/>
      <c r="AA334" s="39"/>
      <c r="AB334" s="39"/>
    </row>
    <row r="335">
      <c r="A335" s="1"/>
      <c r="B335" s="36"/>
      <c r="C335" s="36"/>
      <c r="D335" s="36"/>
      <c r="E335" s="36"/>
      <c r="F335" s="36"/>
      <c r="G335" s="36"/>
      <c r="H335" s="37"/>
      <c r="I335" s="36"/>
      <c r="J335" s="38"/>
      <c r="K335" s="38"/>
      <c r="L335" s="39"/>
      <c r="M335" s="39"/>
      <c r="N335" s="39"/>
      <c r="O335" s="39"/>
      <c r="P335" s="39"/>
      <c r="Q335" s="39"/>
      <c r="R335" s="39"/>
      <c r="S335" s="39"/>
      <c r="T335" s="39"/>
      <c r="U335" s="39"/>
      <c r="V335" s="39"/>
      <c r="W335" s="39"/>
      <c r="X335" s="39"/>
      <c r="Y335" s="39"/>
      <c r="Z335" s="39"/>
      <c r="AA335" s="39"/>
      <c r="AB335" s="39"/>
    </row>
    <row r="336">
      <c r="A336" s="1"/>
      <c r="B336" s="36"/>
      <c r="C336" s="36"/>
      <c r="D336" s="36"/>
      <c r="E336" s="36"/>
      <c r="F336" s="36"/>
      <c r="G336" s="36"/>
      <c r="H336" s="37"/>
      <c r="I336" s="36"/>
      <c r="J336" s="38"/>
      <c r="K336" s="38"/>
      <c r="L336" s="39"/>
      <c r="M336" s="39"/>
      <c r="N336" s="39"/>
      <c r="O336" s="39"/>
      <c r="P336" s="39"/>
      <c r="Q336" s="39"/>
      <c r="R336" s="39"/>
      <c r="S336" s="39"/>
      <c r="T336" s="39"/>
      <c r="U336" s="39"/>
      <c r="V336" s="39"/>
      <c r="W336" s="39"/>
      <c r="X336" s="39"/>
      <c r="Y336" s="39"/>
      <c r="Z336" s="39"/>
      <c r="AA336" s="39"/>
      <c r="AB336" s="39"/>
    </row>
    <row r="337">
      <c r="A337" s="1"/>
      <c r="B337" s="36"/>
      <c r="C337" s="36"/>
      <c r="D337" s="36"/>
      <c r="E337" s="36"/>
      <c r="F337" s="36"/>
      <c r="G337" s="36"/>
      <c r="H337" s="37"/>
      <c r="I337" s="36"/>
      <c r="J337" s="38"/>
      <c r="K337" s="38"/>
      <c r="L337" s="39"/>
      <c r="M337" s="39"/>
      <c r="N337" s="39"/>
      <c r="O337" s="39"/>
      <c r="P337" s="39"/>
      <c r="Q337" s="39"/>
      <c r="R337" s="39"/>
      <c r="S337" s="39"/>
      <c r="T337" s="39"/>
      <c r="U337" s="39"/>
      <c r="V337" s="39"/>
      <c r="W337" s="39"/>
      <c r="X337" s="39"/>
      <c r="Y337" s="39"/>
      <c r="Z337" s="39"/>
      <c r="AA337" s="39"/>
      <c r="AB337" s="39"/>
    </row>
    <row r="338">
      <c r="A338" s="1"/>
      <c r="B338" s="36"/>
      <c r="C338" s="36"/>
      <c r="D338" s="36"/>
      <c r="E338" s="36"/>
      <c r="F338" s="36"/>
      <c r="G338" s="36"/>
      <c r="H338" s="37"/>
      <c r="I338" s="36"/>
      <c r="J338" s="38"/>
      <c r="K338" s="38"/>
      <c r="L338" s="39"/>
      <c r="M338" s="39"/>
      <c r="N338" s="39"/>
      <c r="O338" s="39"/>
      <c r="P338" s="39"/>
      <c r="Q338" s="39"/>
      <c r="R338" s="39"/>
      <c r="S338" s="39"/>
      <c r="T338" s="39"/>
      <c r="U338" s="39"/>
      <c r="V338" s="39"/>
      <c r="W338" s="39"/>
      <c r="X338" s="39"/>
      <c r="Y338" s="39"/>
      <c r="Z338" s="39"/>
      <c r="AA338" s="39"/>
      <c r="AB338" s="39"/>
    </row>
    <row r="339">
      <c r="A339" s="1"/>
      <c r="B339" s="36"/>
      <c r="C339" s="36"/>
      <c r="D339" s="36"/>
      <c r="E339" s="36"/>
      <c r="F339" s="36"/>
      <c r="G339" s="36"/>
      <c r="H339" s="37"/>
      <c r="I339" s="36"/>
      <c r="J339" s="38"/>
      <c r="K339" s="38"/>
      <c r="L339" s="39"/>
      <c r="M339" s="39"/>
      <c r="N339" s="39"/>
      <c r="O339" s="39"/>
      <c r="P339" s="39"/>
      <c r="Q339" s="39"/>
      <c r="R339" s="39"/>
      <c r="S339" s="39"/>
      <c r="T339" s="39"/>
      <c r="U339" s="39"/>
      <c r="V339" s="39"/>
      <c r="W339" s="39"/>
      <c r="X339" s="39"/>
      <c r="Y339" s="39"/>
      <c r="Z339" s="39"/>
      <c r="AA339" s="39"/>
      <c r="AB339" s="39"/>
    </row>
    <row r="340">
      <c r="A340" s="1"/>
      <c r="B340" s="36"/>
      <c r="C340" s="36"/>
      <c r="D340" s="36"/>
      <c r="E340" s="36"/>
      <c r="F340" s="36"/>
      <c r="G340" s="36"/>
      <c r="H340" s="37"/>
      <c r="I340" s="36"/>
      <c r="J340" s="38"/>
      <c r="K340" s="38"/>
      <c r="L340" s="39"/>
      <c r="M340" s="39"/>
      <c r="N340" s="39"/>
      <c r="O340" s="39"/>
      <c r="P340" s="39"/>
      <c r="Q340" s="39"/>
      <c r="R340" s="39"/>
      <c r="S340" s="39"/>
      <c r="T340" s="39"/>
      <c r="U340" s="39"/>
      <c r="V340" s="39"/>
      <c r="W340" s="39"/>
      <c r="X340" s="39"/>
      <c r="Y340" s="39"/>
      <c r="Z340" s="39"/>
      <c r="AA340" s="39"/>
      <c r="AB340" s="39"/>
    </row>
    <row r="341">
      <c r="A341" s="1"/>
      <c r="B341" s="36"/>
      <c r="C341" s="36"/>
      <c r="D341" s="36"/>
      <c r="E341" s="36"/>
      <c r="F341" s="36"/>
      <c r="G341" s="36"/>
      <c r="H341" s="37"/>
      <c r="I341" s="36"/>
      <c r="J341" s="38"/>
      <c r="K341" s="38"/>
      <c r="L341" s="39"/>
      <c r="M341" s="39"/>
      <c r="N341" s="39"/>
      <c r="O341" s="39"/>
      <c r="P341" s="39"/>
      <c r="Q341" s="39"/>
      <c r="R341" s="39"/>
      <c r="S341" s="39"/>
      <c r="T341" s="39"/>
      <c r="U341" s="39"/>
      <c r="V341" s="39"/>
      <c r="W341" s="39"/>
      <c r="X341" s="39"/>
      <c r="Y341" s="39"/>
      <c r="Z341" s="39"/>
      <c r="AA341" s="39"/>
      <c r="AB341" s="39"/>
    </row>
    <row r="342">
      <c r="A342" s="1"/>
      <c r="B342" s="36"/>
      <c r="C342" s="36"/>
      <c r="D342" s="36"/>
      <c r="E342" s="36"/>
      <c r="F342" s="36"/>
      <c r="G342" s="36"/>
      <c r="H342" s="37"/>
      <c r="I342" s="36"/>
      <c r="J342" s="38"/>
      <c r="K342" s="38"/>
      <c r="L342" s="39"/>
      <c r="M342" s="39"/>
      <c r="N342" s="39"/>
      <c r="O342" s="39"/>
      <c r="P342" s="39"/>
      <c r="Q342" s="39"/>
      <c r="R342" s="39"/>
      <c r="S342" s="39"/>
      <c r="T342" s="39"/>
      <c r="U342" s="39"/>
      <c r="V342" s="39"/>
      <c r="W342" s="39"/>
      <c r="X342" s="39"/>
      <c r="Y342" s="39"/>
      <c r="Z342" s="39"/>
      <c r="AA342" s="39"/>
      <c r="AB342" s="39"/>
    </row>
    <row r="343">
      <c r="A343" s="1"/>
      <c r="B343" s="36"/>
      <c r="C343" s="36"/>
      <c r="D343" s="36"/>
      <c r="E343" s="36"/>
      <c r="F343" s="36"/>
      <c r="G343" s="36"/>
      <c r="H343" s="37"/>
      <c r="I343" s="36"/>
      <c r="J343" s="38"/>
      <c r="K343" s="38"/>
      <c r="L343" s="39"/>
      <c r="M343" s="39"/>
      <c r="N343" s="39"/>
      <c r="O343" s="39"/>
      <c r="P343" s="39"/>
      <c r="Q343" s="39"/>
      <c r="R343" s="39"/>
      <c r="S343" s="39"/>
      <c r="T343" s="39"/>
      <c r="U343" s="39"/>
      <c r="V343" s="39"/>
      <c r="W343" s="39"/>
      <c r="X343" s="39"/>
      <c r="Y343" s="39"/>
      <c r="Z343" s="39"/>
      <c r="AA343" s="39"/>
      <c r="AB343" s="39"/>
    </row>
    <row r="344">
      <c r="A344" s="1"/>
      <c r="B344" s="36"/>
      <c r="C344" s="36"/>
      <c r="D344" s="36"/>
      <c r="E344" s="36"/>
      <c r="F344" s="36"/>
      <c r="G344" s="36"/>
      <c r="H344" s="37"/>
      <c r="I344" s="36"/>
      <c r="J344" s="38"/>
      <c r="K344" s="38"/>
      <c r="L344" s="39"/>
      <c r="M344" s="39"/>
      <c r="N344" s="39"/>
      <c r="O344" s="39"/>
      <c r="P344" s="39"/>
      <c r="Q344" s="39"/>
      <c r="R344" s="39"/>
      <c r="S344" s="39"/>
      <c r="T344" s="39"/>
      <c r="U344" s="39"/>
      <c r="V344" s="39"/>
      <c r="W344" s="39"/>
      <c r="X344" s="39"/>
      <c r="Y344" s="39"/>
      <c r="Z344" s="39"/>
      <c r="AA344" s="39"/>
      <c r="AB344" s="39"/>
    </row>
    <row r="345">
      <c r="A345" s="1"/>
      <c r="B345" s="36"/>
      <c r="C345" s="36"/>
      <c r="D345" s="36"/>
      <c r="E345" s="36"/>
      <c r="F345" s="36"/>
      <c r="G345" s="36"/>
      <c r="H345" s="37"/>
      <c r="I345" s="36"/>
      <c r="J345" s="38"/>
      <c r="K345" s="38"/>
      <c r="L345" s="39"/>
      <c r="M345" s="39"/>
      <c r="N345" s="39"/>
      <c r="O345" s="39"/>
      <c r="P345" s="39"/>
      <c r="Q345" s="39"/>
      <c r="R345" s="39"/>
      <c r="S345" s="39"/>
      <c r="T345" s="39"/>
      <c r="U345" s="39"/>
      <c r="V345" s="39"/>
      <c r="W345" s="39"/>
      <c r="X345" s="39"/>
      <c r="Y345" s="39"/>
      <c r="Z345" s="39"/>
      <c r="AA345" s="39"/>
      <c r="AB345" s="39"/>
    </row>
    <row r="346">
      <c r="A346" s="1"/>
      <c r="B346" s="36"/>
      <c r="C346" s="36"/>
      <c r="D346" s="36"/>
      <c r="E346" s="36"/>
      <c r="F346" s="36"/>
      <c r="G346" s="36"/>
      <c r="H346" s="37"/>
      <c r="I346" s="36"/>
      <c r="J346" s="38"/>
      <c r="K346" s="38"/>
      <c r="L346" s="39"/>
      <c r="M346" s="39"/>
      <c r="N346" s="39"/>
      <c r="O346" s="39"/>
      <c r="P346" s="39"/>
      <c r="Q346" s="39"/>
      <c r="R346" s="39"/>
      <c r="S346" s="39"/>
      <c r="T346" s="39"/>
      <c r="U346" s="39"/>
      <c r="V346" s="39"/>
      <c r="W346" s="39"/>
      <c r="X346" s="39"/>
      <c r="Y346" s="39"/>
      <c r="Z346" s="39"/>
      <c r="AA346" s="39"/>
      <c r="AB346" s="39"/>
    </row>
    <row r="347">
      <c r="A347" s="1"/>
      <c r="B347" s="36"/>
      <c r="C347" s="36"/>
      <c r="D347" s="36"/>
      <c r="E347" s="36"/>
      <c r="F347" s="36"/>
      <c r="G347" s="36"/>
      <c r="H347" s="37"/>
      <c r="I347" s="36"/>
      <c r="J347" s="38"/>
      <c r="K347" s="38"/>
      <c r="L347" s="39"/>
      <c r="M347" s="39"/>
      <c r="N347" s="39"/>
      <c r="O347" s="39"/>
      <c r="P347" s="39"/>
      <c r="Q347" s="39"/>
      <c r="R347" s="39"/>
      <c r="S347" s="39"/>
      <c r="T347" s="39"/>
      <c r="U347" s="39"/>
      <c r="V347" s="39"/>
      <c r="W347" s="39"/>
      <c r="X347" s="39"/>
      <c r="Y347" s="39"/>
      <c r="Z347" s="39"/>
      <c r="AA347" s="39"/>
      <c r="AB347" s="39"/>
    </row>
    <row r="348">
      <c r="A348" s="1"/>
      <c r="B348" s="36"/>
      <c r="C348" s="36"/>
      <c r="D348" s="36"/>
      <c r="E348" s="36"/>
      <c r="F348" s="36"/>
      <c r="G348" s="36"/>
      <c r="H348" s="37"/>
      <c r="I348" s="36"/>
      <c r="J348" s="38"/>
      <c r="K348" s="38"/>
      <c r="L348" s="39"/>
      <c r="M348" s="39"/>
      <c r="N348" s="39"/>
      <c r="O348" s="39"/>
      <c r="P348" s="39"/>
      <c r="Q348" s="39"/>
      <c r="R348" s="39"/>
      <c r="S348" s="39"/>
      <c r="T348" s="39"/>
      <c r="U348" s="39"/>
      <c r="V348" s="39"/>
      <c r="W348" s="39"/>
      <c r="X348" s="39"/>
      <c r="Y348" s="39"/>
      <c r="Z348" s="39"/>
      <c r="AA348" s="39"/>
      <c r="AB348" s="39"/>
    </row>
    <row r="349">
      <c r="A349" s="1"/>
      <c r="B349" s="36"/>
      <c r="C349" s="36"/>
      <c r="D349" s="36"/>
      <c r="E349" s="36"/>
      <c r="F349" s="36"/>
      <c r="G349" s="36"/>
      <c r="H349" s="37"/>
      <c r="I349" s="36"/>
      <c r="J349" s="38"/>
      <c r="K349" s="38"/>
      <c r="L349" s="39"/>
      <c r="M349" s="39"/>
      <c r="N349" s="39"/>
      <c r="O349" s="39"/>
      <c r="P349" s="39"/>
      <c r="Q349" s="39"/>
      <c r="R349" s="39"/>
      <c r="S349" s="39"/>
      <c r="T349" s="39"/>
      <c r="U349" s="39"/>
      <c r="V349" s="39"/>
      <c r="W349" s="39"/>
      <c r="X349" s="39"/>
      <c r="Y349" s="39"/>
      <c r="Z349" s="39"/>
      <c r="AA349" s="39"/>
      <c r="AB349" s="39"/>
    </row>
    <row r="350">
      <c r="A350" s="1"/>
      <c r="B350" s="36"/>
      <c r="C350" s="36"/>
      <c r="D350" s="36"/>
      <c r="E350" s="36"/>
      <c r="F350" s="36"/>
      <c r="G350" s="36"/>
      <c r="H350" s="37"/>
      <c r="I350" s="36"/>
      <c r="J350" s="38"/>
      <c r="K350" s="38"/>
      <c r="L350" s="39"/>
      <c r="M350" s="39"/>
      <c r="N350" s="39"/>
      <c r="O350" s="39"/>
      <c r="P350" s="39"/>
      <c r="Q350" s="39"/>
      <c r="R350" s="39"/>
      <c r="S350" s="39"/>
      <c r="T350" s="39"/>
      <c r="U350" s="39"/>
      <c r="V350" s="39"/>
      <c r="W350" s="39"/>
      <c r="X350" s="39"/>
      <c r="Y350" s="39"/>
      <c r="Z350" s="39"/>
      <c r="AA350" s="39"/>
      <c r="AB350" s="39"/>
    </row>
    <row r="351">
      <c r="A351" s="1"/>
      <c r="B351" s="36"/>
      <c r="C351" s="36"/>
      <c r="D351" s="36"/>
      <c r="E351" s="36"/>
      <c r="F351" s="36"/>
      <c r="G351" s="36"/>
      <c r="H351" s="37"/>
      <c r="I351" s="36"/>
      <c r="J351" s="38"/>
      <c r="K351" s="38"/>
      <c r="L351" s="39"/>
      <c r="M351" s="39"/>
      <c r="N351" s="39"/>
      <c r="O351" s="39"/>
      <c r="P351" s="39"/>
      <c r="Q351" s="39"/>
      <c r="R351" s="39"/>
      <c r="S351" s="39"/>
      <c r="T351" s="39"/>
      <c r="U351" s="39"/>
      <c r="V351" s="39"/>
      <c r="W351" s="39"/>
      <c r="X351" s="39"/>
      <c r="Y351" s="39"/>
      <c r="Z351" s="39"/>
      <c r="AA351" s="39"/>
      <c r="AB351" s="39"/>
    </row>
    <row r="352">
      <c r="A352" s="1"/>
      <c r="B352" s="36"/>
      <c r="C352" s="36"/>
      <c r="D352" s="36"/>
      <c r="E352" s="36"/>
      <c r="F352" s="36"/>
      <c r="G352" s="36"/>
      <c r="H352" s="37"/>
      <c r="I352" s="36"/>
      <c r="J352" s="38"/>
      <c r="K352" s="38"/>
      <c r="L352" s="39"/>
      <c r="M352" s="39"/>
      <c r="N352" s="39"/>
      <c r="O352" s="39"/>
      <c r="P352" s="39"/>
      <c r="Q352" s="39"/>
      <c r="R352" s="39"/>
      <c r="S352" s="39"/>
      <c r="T352" s="39"/>
      <c r="U352" s="39"/>
      <c r="V352" s="39"/>
      <c r="W352" s="39"/>
      <c r="X352" s="39"/>
      <c r="Y352" s="39"/>
      <c r="Z352" s="39"/>
      <c r="AA352" s="39"/>
      <c r="AB352" s="39"/>
    </row>
    <row r="353">
      <c r="A353" s="1"/>
      <c r="B353" s="36"/>
      <c r="C353" s="36"/>
      <c r="D353" s="36"/>
      <c r="E353" s="36"/>
      <c r="F353" s="36"/>
      <c r="G353" s="36"/>
      <c r="H353" s="37"/>
      <c r="I353" s="36"/>
      <c r="J353" s="38"/>
      <c r="K353" s="38"/>
      <c r="L353" s="39"/>
      <c r="M353" s="39"/>
      <c r="N353" s="39"/>
      <c r="O353" s="39"/>
      <c r="P353" s="39"/>
      <c r="Q353" s="39"/>
      <c r="R353" s="39"/>
      <c r="S353" s="39"/>
      <c r="T353" s="39"/>
      <c r="U353" s="39"/>
      <c r="V353" s="39"/>
      <c r="W353" s="39"/>
      <c r="X353" s="39"/>
      <c r="Y353" s="39"/>
      <c r="Z353" s="39"/>
      <c r="AA353" s="39"/>
      <c r="AB353" s="39"/>
    </row>
    <row r="354">
      <c r="A354" s="1"/>
      <c r="B354" s="36"/>
      <c r="C354" s="36"/>
      <c r="D354" s="36"/>
      <c r="E354" s="36"/>
      <c r="F354" s="36"/>
      <c r="G354" s="36"/>
      <c r="H354" s="37"/>
      <c r="I354" s="36"/>
      <c r="J354" s="38"/>
      <c r="K354" s="38"/>
      <c r="L354" s="39"/>
      <c r="M354" s="39"/>
      <c r="N354" s="39"/>
      <c r="O354" s="39"/>
      <c r="P354" s="39"/>
      <c r="Q354" s="39"/>
      <c r="R354" s="39"/>
      <c r="S354" s="39"/>
      <c r="T354" s="39"/>
      <c r="U354" s="39"/>
      <c r="V354" s="39"/>
      <c r="W354" s="39"/>
      <c r="X354" s="39"/>
      <c r="Y354" s="39"/>
      <c r="Z354" s="39"/>
      <c r="AA354" s="39"/>
      <c r="AB354" s="39"/>
    </row>
    <row r="355">
      <c r="A355" s="1"/>
      <c r="B355" s="36"/>
      <c r="C355" s="36"/>
      <c r="D355" s="36"/>
      <c r="E355" s="36"/>
      <c r="F355" s="36"/>
      <c r="G355" s="36"/>
      <c r="H355" s="37"/>
      <c r="I355" s="36"/>
      <c r="J355" s="38"/>
      <c r="K355" s="38"/>
      <c r="L355" s="39"/>
      <c r="M355" s="39"/>
      <c r="N355" s="39"/>
      <c r="O355" s="39"/>
      <c r="P355" s="39"/>
      <c r="Q355" s="39"/>
      <c r="R355" s="39"/>
      <c r="S355" s="39"/>
      <c r="T355" s="39"/>
      <c r="U355" s="39"/>
      <c r="V355" s="39"/>
      <c r="W355" s="39"/>
      <c r="X355" s="39"/>
      <c r="Y355" s="39"/>
      <c r="Z355" s="39"/>
      <c r="AA355" s="39"/>
      <c r="AB355" s="39"/>
    </row>
    <row r="356">
      <c r="A356" s="1"/>
      <c r="B356" s="36"/>
      <c r="C356" s="36"/>
      <c r="D356" s="36"/>
      <c r="E356" s="36"/>
      <c r="F356" s="36"/>
      <c r="G356" s="36"/>
      <c r="H356" s="37"/>
      <c r="I356" s="36"/>
      <c r="J356" s="38"/>
      <c r="K356" s="38"/>
      <c r="L356" s="39"/>
      <c r="M356" s="39"/>
      <c r="N356" s="39"/>
      <c r="O356" s="39"/>
      <c r="P356" s="39"/>
      <c r="Q356" s="39"/>
      <c r="R356" s="39"/>
      <c r="S356" s="39"/>
      <c r="T356" s="39"/>
      <c r="U356" s="39"/>
      <c r="V356" s="39"/>
      <c r="W356" s="39"/>
      <c r="X356" s="39"/>
      <c r="Y356" s="39"/>
      <c r="Z356" s="39"/>
      <c r="AA356" s="39"/>
      <c r="AB356" s="39"/>
    </row>
    <row r="357">
      <c r="A357" s="1"/>
      <c r="B357" s="36"/>
      <c r="C357" s="36"/>
      <c r="D357" s="36"/>
      <c r="E357" s="36"/>
      <c r="F357" s="36"/>
      <c r="G357" s="36"/>
      <c r="H357" s="37"/>
      <c r="I357" s="36"/>
      <c r="J357" s="38"/>
      <c r="K357" s="38"/>
      <c r="L357" s="39"/>
      <c r="M357" s="39"/>
      <c r="N357" s="39"/>
      <c r="O357" s="39"/>
      <c r="P357" s="39"/>
      <c r="Q357" s="39"/>
      <c r="R357" s="39"/>
      <c r="S357" s="39"/>
      <c r="T357" s="39"/>
      <c r="U357" s="39"/>
      <c r="V357" s="39"/>
      <c r="W357" s="39"/>
      <c r="X357" s="39"/>
      <c r="Y357" s="39"/>
      <c r="Z357" s="39"/>
      <c r="AA357" s="39"/>
      <c r="AB357" s="39"/>
    </row>
    <row r="358">
      <c r="A358" s="1"/>
      <c r="B358" s="36"/>
      <c r="C358" s="36"/>
      <c r="D358" s="36"/>
      <c r="E358" s="36"/>
      <c r="F358" s="36"/>
      <c r="G358" s="36"/>
      <c r="H358" s="37"/>
      <c r="I358" s="36"/>
      <c r="J358" s="38"/>
      <c r="K358" s="38"/>
      <c r="L358" s="39"/>
      <c r="M358" s="39"/>
      <c r="N358" s="39"/>
      <c r="O358" s="39"/>
      <c r="P358" s="39"/>
      <c r="Q358" s="39"/>
      <c r="R358" s="39"/>
      <c r="S358" s="39"/>
      <c r="T358" s="39"/>
      <c r="U358" s="39"/>
      <c r="V358" s="39"/>
      <c r="W358" s="39"/>
      <c r="X358" s="39"/>
      <c r="Y358" s="39"/>
      <c r="Z358" s="39"/>
      <c r="AA358" s="39"/>
      <c r="AB358" s="39"/>
    </row>
    <row r="359">
      <c r="A359" s="1"/>
      <c r="B359" s="36"/>
      <c r="C359" s="36"/>
      <c r="D359" s="36"/>
      <c r="E359" s="36"/>
      <c r="F359" s="36"/>
      <c r="G359" s="36"/>
      <c r="H359" s="37"/>
      <c r="I359" s="36"/>
      <c r="J359" s="38"/>
      <c r="K359" s="38"/>
      <c r="L359" s="39"/>
      <c r="M359" s="39"/>
      <c r="N359" s="39"/>
      <c r="O359" s="39"/>
      <c r="P359" s="39"/>
      <c r="Q359" s="39"/>
      <c r="R359" s="39"/>
      <c r="S359" s="39"/>
      <c r="T359" s="39"/>
      <c r="U359" s="39"/>
      <c r="V359" s="39"/>
      <c r="W359" s="39"/>
      <c r="X359" s="39"/>
      <c r="Y359" s="39"/>
      <c r="Z359" s="39"/>
      <c r="AA359" s="39"/>
      <c r="AB359" s="39"/>
    </row>
    <row r="360">
      <c r="A360" s="1"/>
      <c r="B360" s="36"/>
      <c r="C360" s="36"/>
      <c r="D360" s="36"/>
      <c r="E360" s="36"/>
      <c r="F360" s="36"/>
      <c r="G360" s="36"/>
      <c r="H360" s="37"/>
      <c r="I360" s="36"/>
      <c r="J360" s="38"/>
      <c r="K360" s="38"/>
      <c r="L360" s="39"/>
      <c r="M360" s="39"/>
      <c r="N360" s="39"/>
      <c r="O360" s="39"/>
      <c r="P360" s="39"/>
      <c r="Q360" s="39"/>
      <c r="R360" s="39"/>
      <c r="S360" s="39"/>
      <c r="T360" s="39"/>
      <c r="U360" s="39"/>
      <c r="V360" s="39"/>
      <c r="W360" s="39"/>
      <c r="X360" s="39"/>
      <c r="Y360" s="39"/>
      <c r="Z360" s="39"/>
      <c r="AA360" s="39"/>
      <c r="AB360" s="39"/>
    </row>
    <row r="361">
      <c r="A361" s="1"/>
      <c r="B361" s="36"/>
      <c r="C361" s="36"/>
      <c r="D361" s="36"/>
      <c r="E361" s="36"/>
      <c r="F361" s="36"/>
      <c r="G361" s="36"/>
      <c r="H361" s="37"/>
      <c r="I361" s="36"/>
      <c r="J361" s="38"/>
      <c r="K361" s="38"/>
      <c r="L361" s="39"/>
      <c r="M361" s="39"/>
      <c r="N361" s="39"/>
      <c r="O361" s="39"/>
      <c r="P361" s="39"/>
      <c r="Q361" s="39"/>
      <c r="R361" s="39"/>
      <c r="S361" s="39"/>
      <c r="T361" s="39"/>
      <c r="U361" s="39"/>
      <c r="V361" s="39"/>
      <c r="W361" s="39"/>
      <c r="X361" s="39"/>
      <c r="Y361" s="39"/>
      <c r="Z361" s="39"/>
      <c r="AA361" s="39"/>
      <c r="AB361" s="39"/>
    </row>
    <row r="362">
      <c r="A362" s="1"/>
      <c r="B362" s="36"/>
      <c r="C362" s="36"/>
      <c r="D362" s="36"/>
      <c r="E362" s="36"/>
      <c r="F362" s="36"/>
      <c r="G362" s="36"/>
      <c r="H362" s="37"/>
      <c r="I362" s="36"/>
      <c r="J362" s="38"/>
      <c r="K362" s="38"/>
      <c r="L362" s="39"/>
      <c r="M362" s="39"/>
      <c r="N362" s="39"/>
      <c r="O362" s="39"/>
      <c r="P362" s="39"/>
      <c r="Q362" s="39"/>
      <c r="R362" s="39"/>
      <c r="S362" s="39"/>
      <c r="T362" s="39"/>
      <c r="U362" s="39"/>
      <c r="V362" s="39"/>
      <c r="W362" s="39"/>
      <c r="X362" s="39"/>
      <c r="Y362" s="39"/>
      <c r="Z362" s="39"/>
      <c r="AA362" s="39"/>
      <c r="AB362" s="39"/>
    </row>
    <row r="363">
      <c r="A363" s="1"/>
      <c r="B363" s="36"/>
      <c r="C363" s="36"/>
      <c r="D363" s="36"/>
      <c r="E363" s="36"/>
      <c r="F363" s="36"/>
      <c r="G363" s="36"/>
      <c r="H363" s="37"/>
      <c r="I363" s="36"/>
      <c r="J363" s="38"/>
      <c r="K363" s="38"/>
      <c r="L363" s="39"/>
      <c r="M363" s="39"/>
      <c r="N363" s="39"/>
      <c r="O363" s="39"/>
      <c r="P363" s="39"/>
      <c r="Q363" s="39"/>
      <c r="R363" s="39"/>
      <c r="S363" s="39"/>
      <c r="T363" s="39"/>
      <c r="U363" s="39"/>
      <c r="V363" s="39"/>
      <c r="W363" s="39"/>
      <c r="X363" s="39"/>
      <c r="Y363" s="39"/>
      <c r="Z363" s="39"/>
      <c r="AA363" s="39"/>
      <c r="AB363" s="39"/>
    </row>
    <row r="364">
      <c r="A364" s="1"/>
      <c r="B364" s="36"/>
      <c r="C364" s="36"/>
      <c r="D364" s="36"/>
      <c r="E364" s="36"/>
      <c r="F364" s="36"/>
      <c r="G364" s="36"/>
      <c r="H364" s="37"/>
      <c r="I364" s="36"/>
      <c r="J364" s="38"/>
      <c r="K364" s="38"/>
      <c r="L364" s="39"/>
      <c r="M364" s="39"/>
      <c r="N364" s="39"/>
      <c r="O364" s="39"/>
      <c r="P364" s="39"/>
      <c r="Q364" s="39"/>
      <c r="R364" s="39"/>
      <c r="S364" s="39"/>
      <c r="T364" s="39"/>
      <c r="U364" s="39"/>
      <c r="V364" s="39"/>
      <c r="W364" s="39"/>
      <c r="X364" s="39"/>
      <c r="Y364" s="39"/>
      <c r="Z364" s="39"/>
      <c r="AA364" s="39"/>
      <c r="AB364" s="39"/>
    </row>
    <row r="365">
      <c r="A365" s="1"/>
      <c r="B365" s="36"/>
      <c r="C365" s="36"/>
      <c r="D365" s="36"/>
      <c r="E365" s="36"/>
      <c r="F365" s="36"/>
      <c r="G365" s="36"/>
      <c r="H365" s="37"/>
      <c r="I365" s="36"/>
      <c r="J365" s="38"/>
      <c r="K365" s="38"/>
      <c r="L365" s="39"/>
      <c r="M365" s="39"/>
      <c r="N365" s="39"/>
      <c r="O365" s="39"/>
      <c r="P365" s="39"/>
      <c r="Q365" s="39"/>
      <c r="R365" s="39"/>
      <c r="S365" s="39"/>
      <c r="T365" s="39"/>
      <c r="U365" s="39"/>
      <c r="V365" s="39"/>
      <c r="W365" s="39"/>
      <c r="X365" s="39"/>
      <c r="Y365" s="39"/>
      <c r="Z365" s="39"/>
      <c r="AA365" s="39"/>
      <c r="AB365" s="39"/>
    </row>
    <row r="366">
      <c r="A366" s="1"/>
      <c r="B366" s="36"/>
      <c r="C366" s="36"/>
      <c r="D366" s="36"/>
      <c r="E366" s="36"/>
      <c r="F366" s="36"/>
      <c r="G366" s="36"/>
      <c r="H366" s="37"/>
      <c r="I366" s="36"/>
      <c r="J366" s="38"/>
      <c r="K366" s="38"/>
      <c r="L366" s="39"/>
      <c r="M366" s="39"/>
      <c r="N366" s="39"/>
      <c r="O366" s="39"/>
      <c r="P366" s="39"/>
      <c r="Q366" s="39"/>
      <c r="R366" s="39"/>
      <c r="S366" s="39"/>
      <c r="T366" s="39"/>
      <c r="U366" s="39"/>
      <c r="V366" s="39"/>
      <c r="W366" s="39"/>
      <c r="X366" s="39"/>
      <c r="Y366" s="39"/>
      <c r="Z366" s="39"/>
      <c r="AA366" s="39"/>
      <c r="AB366" s="39"/>
    </row>
    <row r="367">
      <c r="A367" s="1"/>
      <c r="B367" s="36"/>
      <c r="C367" s="36"/>
      <c r="D367" s="36"/>
      <c r="E367" s="36"/>
      <c r="F367" s="36"/>
      <c r="G367" s="36"/>
      <c r="H367" s="37"/>
      <c r="I367" s="36"/>
      <c r="J367" s="38"/>
      <c r="K367" s="38"/>
      <c r="L367" s="39"/>
      <c r="M367" s="39"/>
      <c r="N367" s="39"/>
      <c r="O367" s="39"/>
      <c r="P367" s="39"/>
      <c r="Q367" s="39"/>
      <c r="R367" s="39"/>
      <c r="S367" s="39"/>
      <c r="T367" s="39"/>
      <c r="U367" s="39"/>
      <c r="V367" s="39"/>
      <c r="W367" s="39"/>
      <c r="X367" s="39"/>
      <c r="Y367" s="39"/>
      <c r="Z367" s="39"/>
      <c r="AA367" s="39"/>
      <c r="AB367" s="39"/>
    </row>
    <row r="368">
      <c r="A368" s="1"/>
      <c r="B368" s="36"/>
      <c r="C368" s="36"/>
      <c r="D368" s="36"/>
      <c r="E368" s="36"/>
      <c r="F368" s="36"/>
      <c r="G368" s="36"/>
      <c r="H368" s="37"/>
      <c r="I368" s="36"/>
      <c r="J368" s="38"/>
      <c r="K368" s="38"/>
      <c r="L368" s="39"/>
      <c r="M368" s="39"/>
      <c r="N368" s="39"/>
      <c r="O368" s="39"/>
      <c r="P368" s="39"/>
      <c r="Q368" s="39"/>
      <c r="R368" s="39"/>
      <c r="S368" s="39"/>
      <c r="T368" s="39"/>
      <c r="U368" s="39"/>
      <c r="V368" s="39"/>
      <c r="W368" s="39"/>
      <c r="X368" s="39"/>
      <c r="Y368" s="39"/>
      <c r="Z368" s="39"/>
      <c r="AA368" s="39"/>
      <c r="AB368" s="39"/>
    </row>
    <row r="369">
      <c r="A369" s="1"/>
      <c r="B369" s="36"/>
      <c r="C369" s="36"/>
      <c r="D369" s="36"/>
      <c r="E369" s="36"/>
      <c r="F369" s="36"/>
      <c r="G369" s="36"/>
      <c r="H369" s="37"/>
      <c r="I369" s="36"/>
      <c r="J369" s="38"/>
      <c r="K369" s="38"/>
      <c r="L369" s="39"/>
      <c r="M369" s="39"/>
      <c r="N369" s="39"/>
      <c r="O369" s="39"/>
      <c r="P369" s="39"/>
      <c r="Q369" s="39"/>
      <c r="R369" s="39"/>
      <c r="S369" s="39"/>
      <c r="T369" s="39"/>
      <c r="U369" s="39"/>
      <c r="V369" s="39"/>
      <c r="W369" s="39"/>
      <c r="X369" s="39"/>
      <c r="Y369" s="39"/>
      <c r="Z369" s="39"/>
      <c r="AA369" s="39"/>
      <c r="AB369" s="39"/>
    </row>
    <row r="370">
      <c r="A370" s="1"/>
      <c r="B370" s="36"/>
      <c r="C370" s="36"/>
      <c r="D370" s="36"/>
      <c r="E370" s="36"/>
      <c r="F370" s="36"/>
      <c r="G370" s="36"/>
      <c r="H370" s="37"/>
      <c r="I370" s="36"/>
      <c r="J370" s="38"/>
      <c r="K370" s="38"/>
      <c r="L370" s="39"/>
      <c r="M370" s="39"/>
      <c r="N370" s="39"/>
      <c r="O370" s="39"/>
      <c r="P370" s="39"/>
      <c r="Q370" s="39"/>
      <c r="R370" s="39"/>
      <c r="S370" s="39"/>
      <c r="T370" s="39"/>
      <c r="U370" s="39"/>
      <c r="V370" s="39"/>
      <c r="W370" s="39"/>
      <c r="X370" s="39"/>
      <c r="Y370" s="39"/>
      <c r="Z370" s="39"/>
      <c r="AA370" s="39"/>
      <c r="AB370" s="39"/>
    </row>
    <row r="371">
      <c r="A371" s="1"/>
      <c r="B371" s="36"/>
      <c r="C371" s="36"/>
      <c r="D371" s="36"/>
      <c r="E371" s="36"/>
      <c r="F371" s="36"/>
      <c r="G371" s="36"/>
      <c r="H371" s="37"/>
      <c r="I371" s="36"/>
      <c r="J371" s="38"/>
      <c r="K371" s="38"/>
      <c r="L371" s="39"/>
      <c r="M371" s="39"/>
      <c r="N371" s="39"/>
      <c r="O371" s="39"/>
      <c r="P371" s="39"/>
      <c r="Q371" s="39"/>
      <c r="R371" s="39"/>
      <c r="S371" s="39"/>
      <c r="T371" s="39"/>
      <c r="U371" s="39"/>
      <c r="V371" s="39"/>
      <c r="W371" s="39"/>
      <c r="X371" s="39"/>
      <c r="Y371" s="39"/>
      <c r="Z371" s="39"/>
      <c r="AA371" s="39"/>
      <c r="AB371" s="39"/>
    </row>
    <row r="372">
      <c r="A372" s="1"/>
      <c r="B372" s="36"/>
      <c r="C372" s="36"/>
      <c r="D372" s="36"/>
      <c r="E372" s="36"/>
      <c r="F372" s="36"/>
      <c r="G372" s="36"/>
      <c r="H372" s="37"/>
      <c r="I372" s="36"/>
      <c r="J372" s="38"/>
      <c r="K372" s="38"/>
      <c r="L372" s="39"/>
      <c r="M372" s="39"/>
      <c r="N372" s="39"/>
      <c r="O372" s="39"/>
      <c r="P372" s="39"/>
      <c r="Q372" s="39"/>
      <c r="R372" s="39"/>
      <c r="S372" s="39"/>
      <c r="T372" s="39"/>
      <c r="U372" s="39"/>
      <c r="V372" s="39"/>
      <c r="W372" s="39"/>
      <c r="X372" s="39"/>
      <c r="Y372" s="39"/>
      <c r="Z372" s="39"/>
      <c r="AA372" s="39"/>
      <c r="AB372" s="39"/>
    </row>
    <row r="373">
      <c r="A373" s="1"/>
      <c r="B373" s="36"/>
      <c r="C373" s="36"/>
      <c r="D373" s="36"/>
      <c r="E373" s="36"/>
      <c r="F373" s="36"/>
      <c r="G373" s="36"/>
      <c r="H373" s="37"/>
      <c r="I373" s="36"/>
      <c r="J373" s="38"/>
      <c r="K373" s="38"/>
      <c r="L373" s="39"/>
      <c r="M373" s="39"/>
      <c r="N373" s="39"/>
      <c r="O373" s="39"/>
      <c r="P373" s="39"/>
      <c r="Q373" s="39"/>
      <c r="R373" s="39"/>
      <c r="S373" s="39"/>
      <c r="T373" s="39"/>
      <c r="U373" s="39"/>
      <c r="V373" s="39"/>
      <c r="W373" s="39"/>
      <c r="X373" s="39"/>
      <c r="Y373" s="39"/>
      <c r="Z373" s="39"/>
      <c r="AA373" s="39"/>
      <c r="AB373" s="39"/>
    </row>
    <row r="374">
      <c r="A374" s="1"/>
      <c r="B374" s="36"/>
      <c r="C374" s="36"/>
      <c r="D374" s="36"/>
      <c r="E374" s="36"/>
      <c r="F374" s="36"/>
      <c r="G374" s="36"/>
      <c r="H374" s="37"/>
      <c r="I374" s="36"/>
      <c r="J374" s="38"/>
      <c r="K374" s="38"/>
      <c r="L374" s="39"/>
      <c r="M374" s="39"/>
      <c r="N374" s="39"/>
      <c r="O374" s="39"/>
      <c r="P374" s="39"/>
      <c r="Q374" s="39"/>
      <c r="R374" s="39"/>
      <c r="S374" s="39"/>
      <c r="T374" s="39"/>
      <c r="U374" s="39"/>
      <c r="V374" s="39"/>
      <c r="W374" s="39"/>
      <c r="X374" s="39"/>
      <c r="Y374" s="39"/>
      <c r="Z374" s="39"/>
      <c r="AA374" s="39"/>
      <c r="AB374" s="39"/>
    </row>
    <row r="375">
      <c r="A375" s="1"/>
      <c r="B375" s="36"/>
      <c r="C375" s="36"/>
      <c r="D375" s="36"/>
      <c r="E375" s="36"/>
      <c r="F375" s="36"/>
      <c r="G375" s="36"/>
      <c r="H375" s="37"/>
      <c r="I375" s="36"/>
      <c r="J375" s="38"/>
      <c r="K375" s="38"/>
      <c r="L375" s="39"/>
      <c r="M375" s="39"/>
      <c r="N375" s="39"/>
      <c r="O375" s="39"/>
      <c r="P375" s="39"/>
      <c r="Q375" s="39"/>
      <c r="R375" s="39"/>
      <c r="S375" s="39"/>
      <c r="T375" s="39"/>
      <c r="U375" s="39"/>
      <c r="V375" s="39"/>
      <c r="W375" s="39"/>
      <c r="X375" s="39"/>
      <c r="Y375" s="39"/>
      <c r="Z375" s="39"/>
      <c r="AA375" s="39"/>
      <c r="AB375" s="39"/>
    </row>
    <row r="376">
      <c r="A376" s="1"/>
      <c r="B376" s="36"/>
      <c r="C376" s="36"/>
      <c r="D376" s="36"/>
      <c r="E376" s="36"/>
      <c r="F376" s="36"/>
      <c r="G376" s="36"/>
      <c r="H376" s="37"/>
      <c r="I376" s="36"/>
      <c r="J376" s="38"/>
      <c r="K376" s="38"/>
      <c r="L376" s="39"/>
      <c r="M376" s="39"/>
      <c r="N376" s="39"/>
      <c r="O376" s="39"/>
      <c r="P376" s="39"/>
      <c r="Q376" s="39"/>
      <c r="R376" s="39"/>
      <c r="S376" s="39"/>
      <c r="T376" s="39"/>
      <c r="U376" s="39"/>
      <c r="V376" s="39"/>
      <c r="W376" s="39"/>
      <c r="X376" s="39"/>
      <c r="Y376" s="39"/>
      <c r="Z376" s="39"/>
      <c r="AA376" s="39"/>
      <c r="AB376" s="39"/>
    </row>
    <row r="377">
      <c r="A377" s="1"/>
      <c r="B377" s="36"/>
      <c r="C377" s="36"/>
      <c r="D377" s="36"/>
      <c r="E377" s="36"/>
      <c r="F377" s="36"/>
      <c r="G377" s="36"/>
      <c r="H377" s="37"/>
      <c r="I377" s="36"/>
      <c r="J377" s="38"/>
      <c r="K377" s="38"/>
      <c r="L377" s="39"/>
      <c r="M377" s="39"/>
      <c r="N377" s="39"/>
      <c r="O377" s="39"/>
      <c r="P377" s="39"/>
      <c r="Q377" s="39"/>
      <c r="R377" s="39"/>
      <c r="S377" s="39"/>
      <c r="T377" s="39"/>
      <c r="U377" s="39"/>
      <c r="V377" s="39"/>
      <c r="W377" s="39"/>
      <c r="X377" s="39"/>
      <c r="Y377" s="39"/>
      <c r="Z377" s="39"/>
      <c r="AA377" s="39"/>
      <c r="AB377" s="39"/>
    </row>
    <row r="378">
      <c r="A378" s="1"/>
      <c r="B378" s="36"/>
      <c r="C378" s="36"/>
      <c r="D378" s="36"/>
      <c r="E378" s="36"/>
      <c r="F378" s="36"/>
      <c r="G378" s="36"/>
      <c r="H378" s="37"/>
      <c r="I378" s="36"/>
      <c r="J378" s="38"/>
      <c r="K378" s="38"/>
      <c r="L378" s="39"/>
      <c r="M378" s="39"/>
      <c r="N378" s="39"/>
      <c r="O378" s="39"/>
      <c r="P378" s="39"/>
      <c r="Q378" s="39"/>
      <c r="R378" s="39"/>
      <c r="S378" s="39"/>
      <c r="T378" s="39"/>
      <c r="U378" s="39"/>
      <c r="V378" s="39"/>
      <c r="W378" s="39"/>
      <c r="X378" s="39"/>
      <c r="Y378" s="39"/>
      <c r="Z378" s="39"/>
      <c r="AA378" s="39"/>
      <c r="AB378" s="39"/>
    </row>
    <row r="379">
      <c r="A379" s="1"/>
      <c r="B379" s="36"/>
      <c r="C379" s="36"/>
      <c r="D379" s="36"/>
      <c r="E379" s="36"/>
      <c r="F379" s="36"/>
      <c r="G379" s="36"/>
      <c r="H379" s="37"/>
      <c r="I379" s="36"/>
      <c r="J379" s="38"/>
      <c r="K379" s="38"/>
      <c r="L379" s="39"/>
      <c r="M379" s="39"/>
      <c r="N379" s="39"/>
      <c r="O379" s="39"/>
      <c r="P379" s="39"/>
      <c r="Q379" s="39"/>
      <c r="R379" s="39"/>
      <c r="S379" s="39"/>
      <c r="T379" s="39"/>
      <c r="U379" s="39"/>
      <c r="V379" s="39"/>
      <c r="W379" s="39"/>
      <c r="X379" s="39"/>
      <c r="Y379" s="39"/>
      <c r="Z379" s="39"/>
      <c r="AA379" s="39"/>
      <c r="AB379" s="39"/>
    </row>
    <row r="380">
      <c r="A380" s="1"/>
      <c r="B380" s="36"/>
      <c r="C380" s="36"/>
      <c r="D380" s="36"/>
      <c r="E380" s="36"/>
      <c r="F380" s="36"/>
      <c r="G380" s="36"/>
      <c r="H380" s="37"/>
      <c r="I380" s="36"/>
      <c r="J380" s="38"/>
      <c r="K380" s="38"/>
      <c r="L380" s="39"/>
      <c r="M380" s="39"/>
      <c r="N380" s="39"/>
      <c r="O380" s="39"/>
      <c r="P380" s="39"/>
      <c r="Q380" s="39"/>
      <c r="R380" s="39"/>
      <c r="S380" s="39"/>
      <c r="T380" s="39"/>
      <c r="U380" s="39"/>
      <c r="V380" s="39"/>
      <c r="W380" s="39"/>
      <c r="X380" s="39"/>
      <c r="Y380" s="39"/>
      <c r="Z380" s="39"/>
      <c r="AA380" s="39"/>
      <c r="AB380" s="39"/>
    </row>
    <row r="381">
      <c r="A381" s="1"/>
      <c r="B381" s="36"/>
      <c r="C381" s="36"/>
      <c r="D381" s="36"/>
      <c r="E381" s="36"/>
      <c r="F381" s="36"/>
      <c r="G381" s="36"/>
      <c r="H381" s="37"/>
      <c r="I381" s="36"/>
      <c r="J381" s="38"/>
      <c r="K381" s="38"/>
      <c r="L381" s="39"/>
      <c r="M381" s="39"/>
      <c r="N381" s="39"/>
      <c r="O381" s="39"/>
      <c r="P381" s="39"/>
      <c r="Q381" s="39"/>
      <c r="R381" s="39"/>
      <c r="S381" s="39"/>
      <c r="T381" s="39"/>
      <c r="U381" s="39"/>
      <c r="V381" s="39"/>
      <c r="W381" s="39"/>
      <c r="X381" s="39"/>
      <c r="Y381" s="39"/>
      <c r="Z381" s="39"/>
      <c r="AA381" s="39"/>
      <c r="AB381" s="39"/>
    </row>
    <row r="382">
      <c r="A382" s="1"/>
      <c r="B382" s="36"/>
      <c r="C382" s="36"/>
      <c r="D382" s="36"/>
      <c r="E382" s="36"/>
      <c r="F382" s="36"/>
      <c r="G382" s="36"/>
      <c r="H382" s="37"/>
      <c r="I382" s="36"/>
      <c r="J382" s="38"/>
      <c r="K382" s="38"/>
      <c r="L382" s="39"/>
      <c r="M382" s="39"/>
      <c r="N382" s="39"/>
      <c r="O382" s="39"/>
      <c r="P382" s="39"/>
      <c r="Q382" s="39"/>
      <c r="R382" s="39"/>
      <c r="S382" s="39"/>
      <c r="T382" s="39"/>
      <c r="U382" s="39"/>
      <c r="V382" s="39"/>
      <c r="W382" s="39"/>
      <c r="X382" s="39"/>
      <c r="Y382" s="39"/>
      <c r="Z382" s="39"/>
      <c r="AA382" s="39"/>
      <c r="AB382" s="39"/>
    </row>
    <row r="383">
      <c r="A383" s="1"/>
      <c r="B383" s="36"/>
      <c r="C383" s="36"/>
      <c r="D383" s="36"/>
      <c r="E383" s="36"/>
      <c r="F383" s="36"/>
      <c r="G383" s="36"/>
      <c r="H383" s="37"/>
      <c r="I383" s="36"/>
      <c r="J383" s="38"/>
      <c r="K383" s="38"/>
      <c r="L383" s="39"/>
      <c r="M383" s="39"/>
      <c r="N383" s="39"/>
      <c r="O383" s="39"/>
      <c r="P383" s="39"/>
      <c r="Q383" s="39"/>
      <c r="R383" s="39"/>
      <c r="S383" s="39"/>
      <c r="T383" s="39"/>
      <c r="U383" s="39"/>
      <c r="V383" s="39"/>
      <c r="W383" s="39"/>
      <c r="X383" s="39"/>
      <c r="Y383" s="39"/>
      <c r="Z383" s="39"/>
      <c r="AA383" s="39"/>
      <c r="AB383" s="39"/>
    </row>
    <row r="384">
      <c r="A384" s="1"/>
      <c r="B384" s="36"/>
      <c r="C384" s="36"/>
      <c r="D384" s="36"/>
      <c r="E384" s="36"/>
      <c r="F384" s="36"/>
      <c r="G384" s="36"/>
      <c r="H384" s="37"/>
      <c r="I384" s="36"/>
      <c r="J384" s="38"/>
      <c r="K384" s="38"/>
      <c r="L384" s="39"/>
      <c r="M384" s="39"/>
      <c r="N384" s="39"/>
      <c r="O384" s="39"/>
      <c r="P384" s="39"/>
      <c r="Q384" s="39"/>
      <c r="R384" s="39"/>
      <c r="S384" s="39"/>
      <c r="T384" s="39"/>
      <c r="U384" s="39"/>
      <c r="V384" s="39"/>
      <c r="W384" s="39"/>
      <c r="X384" s="39"/>
      <c r="Y384" s="39"/>
      <c r="Z384" s="39"/>
      <c r="AA384" s="39"/>
      <c r="AB384" s="39"/>
    </row>
    <row r="385">
      <c r="A385" s="1"/>
      <c r="B385" s="36"/>
      <c r="C385" s="36"/>
      <c r="D385" s="36"/>
      <c r="E385" s="36"/>
      <c r="F385" s="36"/>
      <c r="G385" s="36"/>
      <c r="H385" s="37"/>
      <c r="I385" s="36"/>
      <c r="J385" s="38"/>
      <c r="K385" s="38"/>
      <c r="L385" s="39"/>
      <c r="M385" s="39"/>
      <c r="N385" s="39"/>
      <c r="O385" s="39"/>
      <c r="P385" s="39"/>
      <c r="Q385" s="39"/>
      <c r="R385" s="39"/>
      <c r="S385" s="39"/>
      <c r="T385" s="39"/>
      <c r="U385" s="39"/>
      <c r="V385" s="39"/>
      <c r="W385" s="39"/>
      <c r="X385" s="39"/>
      <c r="Y385" s="39"/>
      <c r="Z385" s="39"/>
      <c r="AA385" s="39"/>
      <c r="AB385" s="39"/>
    </row>
    <row r="386">
      <c r="A386" s="1"/>
      <c r="B386" s="36"/>
      <c r="C386" s="36"/>
      <c r="D386" s="36"/>
      <c r="E386" s="36"/>
      <c r="F386" s="36"/>
      <c r="G386" s="36"/>
      <c r="H386" s="37"/>
      <c r="I386" s="36"/>
      <c r="J386" s="38"/>
      <c r="K386" s="38"/>
      <c r="L386" s="39"/>
      <c r="M386" s="39"/>
      <c r="N386" s="39"/>
      <c r="O386" s="39"/>
      <c r="P386" s="39"/>
      <c r="Q386" s="39"/>
      <c r="R386" s="39"/>
      <c r="S386" s="39"/>
      <c r="T386" s="39"/>
      <c r="U386" s="39"/>
      <c r="V386" s="39"/>
      <c r="W386" s="39"/>
      <c r="X386" s="39"/>
      <c r="Y386" s="39"/>
      <c r="Z386" s="39"/>
      <c r="AA386" s="39"/>
      <c r="AB386" s="39"/>
    </row>
    <row r="387">
      <c r="A387" s="1"/>
      <c r="B387" s="36"/>
      <c r="C387" s="36"/>
      <c r="D387" s="36"/>
      <c r="E387" s="36"/>
      <c r="F387" s="36"/>
      <c r="G387" s="36"/>
      <c r="H387" s="37"/>
      <c r="I387" s="36"/>
      <c r="J387" s="38"/>
      <c r="K387" s="38"/>
      <c r="L387" s="39"/>
      <c r="M387" s="39"/>
      <c r="N387" s="39"/>
      <c r="O387" s="39"/>
      <c r="P387" s="39"/>
      <c r="Q387" s="39"/>
      <c r="R387" s="39"/>
      <c r="S387" s="39"/>
      <c r="T387" s="39"/>
      <c r="U387" s="39"/>
      <c r="V387" s="39"/>
      <c r="W387" s="39"/>
      <c r="X387" s="39"/>
      <c r="Y387" s="39"/>
      <c r="Z387" s="39"/>
      <c r="AA387" s="39"/>
      <c r="AB387" s="39"/>
    </row>
    <row r="388">
      <c r="A388" s="1"/>
      <c r="B388" s="36"/>
      <c r="C388" s="36"/>
      <c r="D388" s="36"/>
      <c r="E388" s="36"/>
      <c r="F388" s="36"/>
      <c r="G388" s="36"/>
      <c r="H388" s="37"/>
      <c r="I388" s="36"/>
      <c r="J388" s="38"/>
      <c r="K388" s="38"/>
      <c r="L388" s="39"/>
      <c r="M388" s="39"/>
      <c r="N388" s="39"/>
      <c r="O388" s="39"/>
      <c r="P388" s="39"/>
      <c r="Q388" s="39"/>
      <c r="R388" s="39"/>
      <c r="S388" s="39"/>
      <c r="T388" s="39"/>
      <c r="U388" s="39"/>
      <c r="V388" s="39"/>
      <c r="W388" s="39"/>
      <c r="X388" s="39"/>
      <c r="Y388" s="39"/>
      <c r="Z388" s="39"/>
      <c r="AA388" s="39"/>
      <c r="AB388" s="39"/>
    </row>
    <row r="389">
      <c r="A389" s="1"/>
      <c r="B389" s="36"/>
      <c r="C389" s="36"/>
      <c r="D389" s="36"/>
      <c r="E389" s="36"/>
      <c r="F389" s="36"/>
      <c r="G389" s="36"/>
      <c r="H389" s="37"/>
      <c r="I389" s="36"/>
      <c r="J389" s="38"/>
      <c r="K389" s="38"/>
      <c r="L389" s="39"/>
      <c r="M389" s="39"/>
      <c r="N389" s="39"/>
      <c r="O389" s="39"/>
      <c r="P389" s="39"/>
      <c r="Q389" s="39"/>
      <c r="R389" s="39"/>
      <c r="S389" s="39"/>
      <c r="T389" s="39"/>
      <c r="U389" s="39"/>
      <c r="V389" s="39"/>
      <c r="W389" s="39"/>
      <c r="X389" s="39"/>
      <c r="Y389" s="39"/>
      <c r="Z389" s="39"/>
      <c r="AA389" s="39"/>
      <c r="AB389" s="39"/>
    </row>
    <row r="390">
      <c r="A390" s="1"/>
      <c r="B390" s="36"/>
      <c r="C390" s="36"/>
      <c r="D390" s="36"/>
      <c r="E390" s="36"/>
      <c r="F390" s="36"/>
      <c r="G390" s="36"/>
      <c r="H390" s="37"/>
      <c r="I390" s="36"/>
      <c r="J390" s="38"/>
      <c r="K390" s="38"/>
      <c r="L390" s="39"/>
      <c r="M390" s="39"/>
      <c r="N390" s="39"/>
      <c r="O390" s="39"/>
      <c r="P390" s="39"/>
      <c r="Q390" s="39"/>
      <c r="R390" s="39"/>
      <c r="S390" s="39"/>
      <c r="T390" s="39"/>
      <c r="U390" s="39"/>
      <c r="V390" s="39"/>
      <c r="W390" s="39"/>
      <c r="X390" s="39"/>
      <c r="Y390" s="39"/>
      <c r="Z390" s="39"/>
      <c r="AA390" s="39"/>
      <c r="AB390" s="39"/>
    </row>
    <row r="391">
      <c r="A391" s="1"/>
      <c r="B391" s="36"/>
      <c r="C391" s="36"/>
      <c r="D391" s="36"/>
      <c r="E391" s="36"/>
      <c r="F391" s="36"/>
      <c r="G391" s="36"/>
      <c r="H391" s="37"/>
      <c r="I391" s="36"/>
      <c r="J391" s="38"/>
      <c r="K391" s="38"/>
      <c r="L391" s="39"/>
      <c r="M391" s="39"/>
      <c r="N391" s="39"/>
      <c r="O391" s="39"/>
      <c r="P391" s="39"/>
      <c r="Q391" s="39"/>
      <c r="R391" s="39"/>
      <c r="S391" s="39"/>
      <c r="T391" s="39"/>
      <c r="U391" s="39"/>
      <c r="V391" s="39"/>
      <c r="W391" s="39"/>
      <c r="X391" s="39"/>
      <c r="Y391" s="39"/>
      <c r="Z391" s="39"/>
      <c r="AA391" s="39"/>
      <c r="AB391" s="39"/>
    </row>
    <row r="392">
      <c r="A392" s="1"/>
      <c r="B392" s="36"/>
      <c r="C392" s="36"/>
      <c r="D392" s="36"/>
      <c r="E392" s="36"/>
      <c r="F392" s="36"/>
      <c r="G392" s="36"/>
      <c r="H392" s="37"/>
      <c r="I392" s="36"/>
      <c r="J392" s="38"/>
      <c r="K392" s="38"/>
      <c r="L392" s="39"/>
      <c r="M392" s="39"/>
      <c r="N392" s="39"/>
      <c r="O392" s="39"/>
      <c r="P392" s="39"/>
      <c r="Q392" s="39"/>
      <c r="R392" s="39"/>
      <c r="S392" s="39"/>
      <c r="T392" s="39"/>
      <c r="U392" s="39"/>
      <c r="V392" s="39"/>
      <c r="W392" s="39"/>
      <c r="X392" s="39"/>
      <c r="Y392" s="39"/>
      <c r="Z392" s="39"/>
      <c r="AA392" s="39"/>
      <c r="AB392" s="39"/>
    </row>
    <row r="393">
      <c r="A393" s="1"/>
      <c r="B393" s="36"/>
      <c r="C393" s="36"/>
      <c r="D393" s="36"/>
      <c r="E393" s="36"/>
      <c r="F393" s="36"/>
      <c r="G393" s="36"/>
      <c r="H393" s="37"/>
      <c r="I393" s="36"/>
      <c r="J393" s="38"/>
      <c r="K393" s="38"/>
      <c r="L393" s="39"/>
      <c r="M393" s="39"/>
      <c r="N393" s="39"/>
      <c r="O393" s="39"/>
      <c r="P393" s="39"/>
      <c r="Q393" s="39"/>
      <c r="R393" s="39"/>
      <c r="S393" s="39"/>
      <c r="T393" s="39"/>
      <c r="U393" s="39"/>
      <c r="V393" s="39"/>
      <c r="W393" s="39"/>
      <c r="X393" s="39"/>
      <c r="Y393" s="39"/>
      <c r="Z393" s="39"/>
      <c r="AA393" s="39"/>
      <c r="AB393" s="39"/>
    </row>
    <row r="394">
      <c r="A394" s="1"/>
      <c r="B394" s="36"/>
      <c r="C394" s="36"/>
      <c r="D394" s="36"/>
      <c r="E394" s="36"/>
      <c r="F394" s="36"/>
      <c r="G394" s="36"/>
      <c r="H394" s="37"/>
      <c r="I394" s="36"/>
      <c r="J394" s="38"/>
      <c r="K394" s="38"/>
      <c r="L394" s="39"/>
      <c r="M394" s="39"/>
      <c r="N394" s="39"/>
      <c r="O394" s="39"/>
      <c r="P394" s="39"/>
      <c r="Q394" s="39"/>
      <c r="R394" s="39"/>
      <c r="S394" s="39"/>
      <c r="T394" s="39"/>
      <c r="U394" s="39"/>
      <c r="V394" s="39"/>
      <c r="W394" s="39"/>
      <c r="X394" s="39"/>
      <c r="Y394" s="39"/>
      <c r="Z394" s="39"/>
      <c r="AA394" s="39"/>
      <c r="AB394" s="39"/>
    </row>
    <row r="395">
      <c r="A395" s="1"/>
      <c r="B395" s="36"/>
      <c r="C395" s="36"/>
      <c r="D395" s="36"/>
      <c r="E395" s="36"/>
      <c r="F395" s="36"/>
      <c r="G395" s="36"/>
      <c r="H395" s="37"/>
      <c r="I395" s="36"/>
      <c r="J395" s="38"/>
      <c r="K395" s="38"/>
      <c r="L395" s="39"/>
      <c r="M395" s="39"/>
      <c r="N395" s="39"/>
      <c r="O395" s="39"/>
      <c r="P395" s="39"/>
      <c r="Q395" s="39"/>
      <c r="R395" s="39"/>
      <c r="S395" s="39"/>
      <c r="T395" s="39"/>
      <c r="U395" s="39"/>
      <c r="V395" s="39"/>
      <c r="W395" s="39"/>
      <c r="X395" s="39"/>
      <c r="Y395" s="39"/>
      <c r="Z395" s="39"/>
      <c r="AA395" s="39"/>
      <c r="AB395" s="39"/>
    </row>
    <row r="396">
      <c r="A396" s="1"/>
      <c r="B396" s="36"/>
      <c r="C396" s="36"/>
      <c r="D396" s="36"/>
      <c r="E396" s="36"/>
      <c r="F396" s="36"/>
      <c r="G396" s="36"/>
      <c r="H396" s="37"/>
      <c r="I396" s="36"/>
      <c r="J396" s="38"/>
      <c r="K396" s="38"/>
      <c r="L396" s="39"/>
      <c r="M396" s="39"/>
      <c r="N396" s="39"/>
      <c r="O396" s="39"/>
      <c r="P396" s="39"/>
      <c r="Q396" s="39"/>
      <c r="R396" s="39"/>
      <c r="S396" s="39"/>
      <c r="T396" s="39"/>
      <c r="U396" s="39"/>
      <c r="V396" s="39"/>
      <c r="W396" s="39"/>
      <c r="X396" s="39"/>
      <c r="Y396" s="39"/>
      <c r="Z396" s="39"/>
      <c r="AA396" s="39"/>
      <c r="AB396" s="39"/>
    </row>
    <row r="397">
      <c r="A397" s="1"/>
      <c r="B397" s="36"/>
      <c r="C397" s="36"/>
      <c r="D397" s="36"/>
      <c r="E397" s="36"/>
      <c r="F397" s="36"/>
      <c r="G397" s="36"/>
      <c r="H397" s="37"/>
      <c r="I397" s="36"/>
      <c r="J397" s="38"/>
      <c r="K397" s="38"/>
      <c r="L397" s="39"/>
      <c r="M397" s="39"/>
      <c r="N397" s="39"/>
      <c r="O397" s="39"/>
      <c r="P397" s="39"/>
      <c r="Q397" s="39"/>
      <c r="R397" s="39"/>
      <c r="S397" s="39"/>
      <c r="T397" s="39"/>
      <c r="U397" s="39"/>
      <c r="V397" s="39"/>
      <c r="W397" s="39"/>
      <c r="X397" s="39"/>
      <c r="Y397" s="39"/>
      <c r="Z397" s="39"/>
      <c r="AA397" s="39"/>
      <c r="AB397" s="39"/>
    </row>
    <row r="398">
      <c r="A398" s="1"/>
      <c r="B398" s="36"/>
      <c r="C398" s="36"/>
      <c r="D398" s="36"/>
      <c r="E398" s="36"/>
      <c r="F398" s="36"/>
      <c r="G398" s="36"/>
      <c r="H398" s="37"/>
      <c r="I398" s="36"/>
      <c r="J398" s="38"/>
      <c r="K398" s="38"/>
      <c r="L398" s="39"/>
      <c r="M398" s="39"/>
      <c r="N398" s="39"/>
      <c r="O398" s="39"/>
      <c r="P398" s="39"/>
      <c r="Q398" s="39"/>
      <c r="R398" s="39"/>
      <c r="S398" s="39"/>
      <c r="T398" s="39"/>
      <c r="U398" s="39"/>
      <c r="V398" s="39"/>
      <c r="W398" s="39"/>
      <c r="X398" s="39"/>
      <c r="Y398" s="39"/>
      <c r="Z398" s="39"/>
      <c r="AA398" s="39"/>
      <c r="AB398" s="39"/>
    </row>
    <row r="399">
      <c r="A399" s="1"/>
      <c r="B399" s="36"/>
      <c r="C399" s="36"/>
      <c r="D399" s="36"/>
      <c r="E399" s="36"/>
      <c r="F399" s="36"/>
      <c r="G399" s="36"/>
      <c r="H399" s="37"/>
      <c r="I399" s="36"/>
      <c r="J399" s="38"/>
      <c r="K399" s="38"/>
      <c r="L399" s="39"/>
      <c r="M399" s="39"/>
      <c r="N399" s="39"/>
      <c r="O399" s="39"/>
      <c r="P399" s="39"/>
      <c r="Q399" s="39"/>
      <c r="R399" s="39"/>
      <c r="S399" s="39"/>
      <c r="T399" s="39"/>
      <c r="U399" s="39"/>
      <c r="V399" s="39"/>
      <c r="W399" s="39"/>
      <c r="X399" s="39"/>
      <c r="Y399" s="39"/>
      <c r="Z399" s="39"/>
      <c r="AA399" s="39"/>
      <c r="AB399" s="39"/>
    </row>
    <row r="400">
      <c r="A400" s="1"/>
      <c r="B400" s="36"/>
      <c r="C400" s="36"/>
      <c r="D400" s="36"/>
      <c r="E400" s="36"/>
      <c r="F400" s="36"/>
      <c r="G400" s="36"/>
      <c r="H400" s="37"/>
      <c r="I400" s="36"/>
      <c r="J400" s="38"/>
      <c r="K400" s="38"/>
      <c r="L400" s="39"/>
      <c r="M400" s="39"/>
      <c r="N400" s="39"/>
      <c r="O400" s="39"/>
      <c r="P400" s="39"/>
      <c r="Q400" s="39"/>
      <c r="R400" s="39"/>
      <c r="S400" s="39"/>
      <c r="T400" s="39"/>
      <c r="U400" s="39"/>
      <c r="V400" s="39"/>
      <c r="W400" s="39"/>
      <c r="X400" s="39"/>
      <c r="Y400" s="39"/>
      <c r="Z400" s="39"/>
      <c r="AA400" s="39"/>
      <c r="AB400" s="39"/>
    </row>
    <row r="401">
      <c r="A401" s="1"/>
      <c r="B401" s="36"/>
      <c r="C401" s="36"/>
      <c r="D401" s="36"/>
      <c r="E401" s="36"/>
      <c r="F401" s="36"/>
      <c r="G401" s="36"/>
      <c r="H401" s="37"/>
      <c r="I401" s="36"/>
      <c r="J401" s="38"/>
      <c r="K401" s="38"/>
      <c r="L401" s="39"/>
      <c r="M401" s="39"/>
      <c r="N401" s="39"/>
      <c r="O401" s="39"/>
      <c r="P401" s="39"/>
      <c r="Q401" s="39"/>
      <c r="R401" s="39"/>
      <c r="S401" s="39"/>
      <c r="T401" s="39"/>
      <c r="U401" s="39"/>
      <c r="V401" s="39"/>
      <c r="W401" s="39"/>
      <c r="X401" s="39"/>
      <c r="Y401" s="39"/>
      <c r="Z401" s="39"/>
      <c r="AA401" s="39"/>
      <c r="AB401" s="39"/>
    </row>
    <row r="402">
      <c r="A402" s="1"/>
      <c r="B402" s="36"/>
      <c r="C402" s="36"/>
      <c r="D402" s="36"/>
      <c r="E402" s="36"/>
      <c r="F402" s="36"/>
      <c r="G402" s="36"/>
      <c r="H402" s="37"/>
      <c r="I402" s="36"/>
      <c r="J402" s="38"/>
      <c r="K402" s="38"/>
      <c r="L402" s="39"/>
      <c r="M402" s="39"/>
      <c r="N402" s="39"/>
      <c r="O402" s="39"/>
      <c r="P402" s="39"/>
      <c r="Q402" s="39"/>
      <c r="R402" s="39"/>
      <c r="S402" s="39"/>
      <c r="T402" s="39"/>
      <c r="U402" s="39"/>
      <c r="V402" s="39"/>
      <c r="W402" s="39"/>
      <c r="X402" s="39"/>
      <c r="Y402" s="39"/>
      <c r="Z402" s="39"/>
      <c r="AA402" s="39"/>
      <c r="AB402" s="39"/>
    </row>
    <row r="403">
      <c r="A403" s="1"/>
      <c r="B403" s="36"/>
      <c r="C403" s="36"/>
      <c r="D403" s="36"/>
      <c r="E403" s="36"/>
      <c r="F403" s="36"/>
      <c r="G403" s="36"/>
      <c r="H403" s="37"/>
      <c r="I403" s="36"/>
      <c r="J403" s="38"/>
      <c r="K403" s="38"/>
      <c r="L403" s="39"/>
      <c r="M403" s="39"/>
      <c r="N403" s="39"/>
      <c r="O403" s="39"/>
      <c r="P403" s="39"/>
      <c r="Q403" s="39"/>
      <c r="R403" s="39"/>
      <c r="S403" s="39"/>
      <c r="T403" s="39"/>
      <c r="U403" s="39"/>
      <c r="V403" s="39"/>
      <c r="W403" s="39"/>
      <c r="X403" s="39"/>
      <c r="Y403" s="39"/>
      <c r="Z403" s="39"/>
      <c r="AA403" s="39"/>
      <c r="AB403" s="39"/>
    </row>
    <row r="404">
      <c r="A404" s="1"/>
      <c r="B404" s="36"/>
      <c r="C404" s="36"/>
      <c r="D404" s="36"/>
      <c r="E404" s="36"/>
      <c r="F404" s="36"/>
      <c r="G404" s="36"/>
      <c r="H404" s="37"/>
      <c r="I404" s="36"/>
      <c r="J404" s="38"/>
      <c r="K404" s="38"/>
      <c r="L404" s="39"/>
      <c r="M404" s="39"/>
      <c r="N404" s="39"/>
      <c r="O404" s="39"/>
      <c r="P404" s="39"/>
      <c r="Q404" s="39"/>
      <c r="R404" s="39"/>
      <c r="S404" s="39"/>
      <c r="T404" s="39"/>
      <c r="U404" s="39"/>
      <c r="V404" s="39"/>
      <c r="W404" s="39"/>
      <c r="X404" s="39"/>
      <c r="Y404" s="39"/>
      <c r="Z404" s="39"/>
      <c r="AA404" s="39"/>
      <c r="AB404" s="39"/>
    </row>
    <row r="405">
      <c r="A405" s="1"/>
      <c r="B405" s="36"/>
      <c r="C405" s="36"/>
      <c r="D405" s="36"/>
      <c r="E405" s="36"/>
      <c r="F405" s="36"/>
      <c r="G405" s="36"/>
      <c r="H405" s="37"/>
      <c r="I405" s="36"/>
      <c r="J405" s="38"/>
      <c r="K405" s="38"/>
      <c r="L405" s="39"/>
      <c r="M405" s="39"/>
      <c r="N405" s="39"/>
      <c r="O405" s="39"/>
      <c r="P405" s="39"/>
      <c r="Q405" s="39"/>
      <c r="R405" s="39"/>
      <c r="S405" s="39"/>
      <c r="T405" s="39"/>
      <c r="U405" s="39"/>
      <c r="V405" s="39"/>
      <c r="W405" s="39"/>
      <c r="X405" s="39"/>
      <c r="Y405" s="39"/>
      <c r="Z405" s="39"/>
      <c r="AA405" s="39"/>
      <c r="AB405" s="39"/>
    </row>
    <row r="406">
      <c r="A406" s="1"/>
      <c r="B406" s="36"/>
      <c r="C406" s="36"/>
      <c r="D406" s="36"/>
      <c r="E406" s="36"/>
      <c r="F406" s="36"/>
      <c r="G406" s="36"/>
      <c r="H406" s="37"/>
      <c r="I406" s="36"/>
      <c r="J406" s="38"/>
      <c r="K406" s="38"/>
      <c r="L406" s="39"/>
      <c r="M406" s="39"/>
      <c r="N406" s="39"/>
      <c r="O406" s="39"/>
      <c r="P406" s="39"/>
      <c r="Q406" s="39"/>
      <c r="R406" s="39"/>
      <c r="S406" s="39"/>
      <c r="T406" s="39"/>
      <c r="U406" s="39"/>
      <c r="V406" s="39"/>
      <c r="W406" s="39"/>
      <c r="X406" s="39"/>
      <c r="Y406" s="39"/>
      <c r="Z406" s="39"/>
      <c r="AA406" s="39"/>
      <c r="AB406" s="39"/>
    </row>
    <row r="407">
      <c r="A407" s="1"/>
      <c r="B407" s="36"/>
      <c r="C407" s="36"/>
      <c r="D407" s="36"/>
      <c r="E407" s="36"/>
      <c r="F407" s="36"/>
      <c r="G407" s="36"/>
      <c r="H407" s="37"/>
      <c r="I407" s="36"/>
      <c r="J407" s="38"/>
      <c r="K407" s="38"/>
      <c r="L407" s="39"/>
      <c r="M407" s="39"/>
      <c r="N407" s="39"/>
      <c r="O407" s="39"/>
      <c r="P407" s="39"/>
      <c r="Q407" s="39"/>
      <c r="R407" s="39"/>
      <c r="S407" s="39"/>
      <c r="T407" s="39"/>
      <c r="U407" s="39"/>
      <c r="V407" s="39"/>
      <c r="W407" s="39"/>
      <c r="X407" s="39"/>
      <c r="Y407" s="39"/>
      <c r="Z407" s="39"/>
      <c r="AA407" s="39"/>
      <c r="AB407" s="39"/>
    </row>
    <row r="408">
      <c r="A408" s="1"/>
      <c r="B408" s="36"/>
      <c r="C408" s="36"/>
      <c r="D408" s="36"/>
      <c r="E408" s="36"/>
      <c r="F408" s="36"/>
      <c r="G408" s="36"/>
      <c r="H408" s="37"/>
      <c r="I408" s="36"/>
      <c r="J408" s="38"/>
      <c r="K408" s="38"/>
      <c r="L408" s="39"/>
      <c r="M408" s="39"/>
      <c r="N408" s="39"/>
      <c r="O408" s="39"/>
      <c r="P408" s="39"/>
      <c r="Q408" s="39"/>
      <c r="R408" s="39"/>
      <c r="S408" s="39"/>
      <c r="T408" s="39"/>
      <c r="U408" s="39"/>
      <c r="V408" s="39"/>
      <c r="W408" s="39"/>
      <c r="X408" s="39"/>
      <c r="Y408" s="39"/>
      <c r="Z408" s="39"/>
      <c r="AA408" s="39"/>
      <c r="AB408" s="39"/>
    </row>
    <row r="409">
      <c r="A409" s="1"/>
      <c r="B409" s="36"/>
      <c r="C409" s="36"/>
      <c r="D409" s="36"/>
      <c r="E409" s="36"/>
      <c r="F409" s="36"/>
      <c r="G409" s="36"/>
      <c r="H409" s="37"/>
      <c r="I409" s="36"/>
      <c r="J409" s="38"/>
      <c r="K409" s="38"/>
      <c r="L409" s="39"/>
      <c r="M409" s="39"/>
      <c r="N409" s="39"/>
      <c r="O409" s="39"/>
      <c r="P409" s="39"/>
      <c r="Q409" s="39"/>
      <c r="R409" s="39"/>
      <c r="S409" s="39"/>
      <c r="T409" s="39"/>
      <c r="U409" s="39"/>
      <c r="V409" s="39"/>
      <c r="W409" s="39"/>
      <c r="X409" s="39"/>
      <c r="Y409" s="39"/>
      <c r="Z409" s="39"/>
      <c r="AA409" s="39"/>
      <c r="AB409" s="39"/>
    </row>
    <row r="410">
      <c r="A410" s="1"/>
      <c r="B410" s="36"/>
      <c r="C410" s="36"/>
      <c r="D410" s="36"/>
      <c r="E410" s="36"/>
      <c r="F410" s="36"/>
      <c r="G410" s="36"/>
      <c r="H410" s="37"/>
      <c r="I410" s="36"/>
      <c r="J410" s="38"/>
      <c r="K410" s="38"/>
      <c r="L410" s="39"/>
      <c r="M410" s="39"/>
      <c r="N410" s="39"/>
      <c r="O410" s="39"/>
      <c r="P410" s="39"/>
      <c r="Q410" s="39"/>
      <c r="R410" s="39"/>
      <c r="S410" s="39"/>
      <c r="T410" s="39"/>
      <c r="U410" s="39"/>
      <c r="V410" s="39"/>
      <c r="W410" s="39"/>
      <c r="X410" s="39"/>
      <c r="Y410" s="39"/>
      <c r="Z410" s="39"/>
      <c r="AA410" s="39"/>
      <c r="AB410" s="39"/>
    </row>
    <row r="411">
      <c r="A411" s="1"/>
      <c r="B411" s="36"/>
      <c r="C411" s="36"/>
      <c r="D411" s="36"/>
      <c r="E411" s="36"/>
      <c r="F411" s="36"/>
      <c r="G411" s="36"/>
      <c r="H411" s="37"/>
      <c r="I411" s="36"/>
      <c r="J411" s="38"/>
      <c r="K411" s="38"/>
      <c r="L411" s="39"/>
      <c r="M411" s="39"/>
      <c r="N411" s="39"/>
      <c r="O411" s="39"/>
      <c r="P411" s="39"/>
      <c r="Q411" s="39"/>
      <c r="R411" s="39"/>
      <c r="S411" s="39"/>
      <c r="T411" s="39"/>
      <c r="U411" s="39"/>
      <c r="V411" s="39"/>
      <c r="W411" s="39"/>
      <c r="X411" s="39"/>
      <c r="Y411" s="39"/>
      <c r="Z411" s="39"/>
      <c r="AA411" s="39"/>
      <c r="AB411" s="39"/>
    </row>
    <row r="412">
      <c r="A412" s="1"/>
      <c r="B412" s="36"/>
      <c r="C412" s="36"/>
      <c r="D412" s="36"/>
      <c r="E412" s="36"/>
      <c r="F412" s="36"/>
      <c r="G412" s="36"/>
      <c r="H412" s="37"/>
      <c r="I412" s="36"/>
      <c r="J412" s="38"/>
      <c r="K412" s="38"/>
      <c r="L412" s="39"/>
      <c r="M412" s="39"/>
      <c r="N412" s="39"/>
      <c r="O412" s="39"/>
      <c r="P412" s="39"/>
      <c r="Q412" s="39"/>
      <c r="R412" s="39"/>
      <c r="S412" s="39"/>
      <c r="T412" s="39"/>
      <c r="U412" s="39"/>
      <c r="V412" s="39"/>
      <c r="W412" s="39"/>
      <c r="X412" s="39"/>
      <c r="Y412" s="39"/>
      <c r="Z412" s="39"/>
      <c r="AA412" s="39"/>
      <c r="AB412" s="39"/>
    </row>
    <row r="413">
      <c r="A413" s="1"/>
      <c r="B413" s="36"/>
      <c r="C413" s="36"/>
      <c r="D413" s="36"/>
      <c r="E413" s="36"/>
      <c r="F413" s="36"/>
      <c r="G413" s="36"/>
      <c r="H413" s="37"/>
      <c r="I413" s="36"/>
      <c r="J413" s="38"/>
      <c r="K413" s="38"/>
      <c r="L413" s="39"/>
      <c r="M413" s="39"/>
      <c r="N413" s="39"/>
      <c r="O413" s="39"/>
      <c r="P413" s="39"/>
      <c r="Q413" s="39"/>
      <c r="R413" s="39"/>
      <c r="S413" s="39"/>
      <c r="T413" s="39"/>
      <c r="U413" s="39"/>
      <c r="V413" s="39"/>
      <c r="W413" s="39"/>
      <c r="X413" s="39"/>
      <c r="Y413" s="39"/>
      <c r="Z413" s="39"/>
      <c r="AA413" s="39"/>
      <c r="AB413" s="39"/>
    </row>
    <row r="414">
      <c r="A414" s="1"/>
      <c r="B414" s="36"/>
      <c r="C414" s="36"/>
      <c r="D414" s="36"/>
      <c r="E414" s="36"/>
      <c r="F414" s="36"/>
      <c r="G414" s="36"/>
      <c r="H414" s="37"/>
      <c r="I414" s="36"/>
      <c r="J414" s="38"/>
      <c r="K414" s="38"/>
      <c r="L414" s="39"/>
      <c r="M414" s="39"/>
      <c r="N414" s="39"/>
      <c r="O414" s="39"/>
      <c r="P414" s="39"/>
      <c r="Q414" s="39"/>
      <c r="R414" s="39"/>
      <c r="S414" s="39"/>
      <c r="T414" s="39"/>
      <c r="U414" s="39"/>
      <c r="V414" s="39"/>
      <c r="W414" s="39"/>
      <c r="X414" s="39"/>
      <c r="Y414" s="39"/>
      <c r="Z414" s="39"/>
      <c r="AA414" s="39"/>
      <c r="AB414" s="39"/>
    </row>
    <row r="415">
      <c r="A415" s="1"/>
      <c r="B415" s="36"/>
      <c r="C415" s="36"/>
      <c r="D415" s="36"/>
      <c r="E415" s="36"/>
      <c r="F415" s="36"/>
      <c r="G415" s="36"/>
      <c r="H415" s="37"/>
      <c r="I415" s="36"/>
      <c r="J415" s="38"/>
      <c r="K415" s="38"/>
      <c r="L415" s="39"/>
      <c r="M415" s="39"/>
      <c r="N415" s="39"/>
      <c r="O415" s="39"/>
      <c r="P415" s="39"/>
      <c r="Q415" s="39"/>
      <c r="R415" s="39"/>
      <c r="S415" s="39"/>
      <c r="T415" s="39"/>
      <c r="U415" s="39"/>
      <c r="V415" s="39"/>
      <c r="W415" s="39"/>
      <c r="X415" s="39"/>
      <c r="Y415" s="39"/>
      <c r="Z415" s="39"/>
      <c r="AA415" s="39"/>
      <c r="AB415" s="39"/>
    </row>
    <row r="416">
      <c r="A416" s="1"/>
      <c r="B416" s="36"/>
      <c r="C416" s="36"/>
      <c r="D416" s="36"/>
      <c r="E416" s="36"/>
      <c r="F416" s="36"/>
      <c r="G416" s="36"/>
      <c r="H416" s="37"/>
      <c r="I416" s="36"/>
      <c r="J416" s="38"/>
      <c r="K416" s="38"/>
      <c r="L416" s="39"/>
      <c r="M416" s="39"/>
      <c r="N416" s="39"/>
      <c r="O416" s="39"/>
      <c r="P416" s="39"/>
      <c r="Q416" s="39"/>
      <c r="R416" s="39"/>
      <c r="S416" s="39"/>
      <c r="T416" s="39"/>
      <c r="U416" s="39"/>
      <c r="V416" s="39"/>
      <c r="W416" s="39"/>
      <c r="X416" s="39"/>
      <c r="Y416" s="39"/>
      <c r="Z416" s="39"/>
      <c r="AA416" s="39"/>
      <c r="AB416" s="39"/>
    </row>
    <row r="417">
      <c r="A417" s="1"/>
      <c r="B417" s="36"/>
      <c r="C417" s="36"/>
      <c r="D417" s="36"/>
      <c r="E417" s="36"/>
      <c r="F417" s="36"/>
      <c r="G417" s="36"/>
      <c r="H417" s="37"/>
      <c r="I417" s="36"/>
      <c r="J417" s="38"/>
      <c r="K417" s="38"/>
      <c r="L417" s="39"/>
      <c r="M417" s="39"/>
      <c r="N417" s="39"/>
      <c r="O417" s="39"/>
      <c r="P417" s="39"/>
      <c r="Q417" s="39"/>
      <c r="R417" s="39"/>
      <c r="S417" s="39"/>
      <c r="T417" s="39"/>
      <c r="U417" s="39"/>
      <c r="V417" s="39"/>
      <c r="W417" s="39"/>
      <c r="X417" s="39"/>
      <c r="Y417" s="39"/>
      <c r="Z417" s="39"/>
      <c r="AA417" s="39"/>
      <c r="AB417" s="39"/>
    </row>
    <row r="418">
      <c r="A418" s="1"/>
      <c r="B418" s="36"/>
      <c r="C418" s="36"/>
      <c r="D418" s="36"/>
      <c r="E418" s="36"/>
      <c r="F418" s="36"/>
      <c r="G418" s="36"/>
      <c r="H418" s="37"/>
      <c r="I418" s="36"/>
      <c r="J418" s="38"/>
      <c r="K418" s="38"/>
      <c r="L418" s="39"/>
      <c r="M418" s="39"/>
      <c r="N418" s="39"/>
      <c r="O418" s="39"/>
      <c r="P418" s="39"/>
      <c r="Q418" s="39"/>
      <c r="R418" s="39"/>
      <c r="S418" s="39"/>
      <c r="T418" s="39"/>
      <c r="U418" s="39"/>
      <c r="V418" s="39"/>
      <c r="W418" s="39"/>
      <c r="X418" s="39"/>
      <c r="Y418" s="39"/>
      <c r="Z418" s="39"/>
      <c r="AA418" s="39"/>
      <c r="AB418" s="39"/>
    </row>
    <row r="419">
      <c r="A419" s="1"/>
      <c r="B419" s="36"/>
      <c r="C419" s="36"/>
      <c r="D419" s="36"/>
      <c r="E419" s="36"/>
      <c r="F419" s="36"/>
      <c r="G419" s="36"/>
      <c r="H419" s="37"/>
      <c r="I419" s="36"/>
      <c r="J419" s="38"/>
      <c r="K419" s="38"/>
      <c r="L419" s="39"/>
      <c r="M419" s="39"/>
      <c r="N419" s="39"/>
      <c r="O419" s="39"/>
      <c r="P419" s="39"/>
      <c r="Q419" s="39"/>
      <c r="R419" s="39"/>
      <c r="S419" s="39"/>
      <c r="T419" s="39"/>
      <c r="U419" s="39"/>
      <c r="V419" s="39"/>
      <c r="W419" s="39"/>
      <c r="X419" s="39"/>
      <c r="Y419" s="39"/>
      <c r="Z419" s="39"/>
      <c r="AA419" s="39"/>
      <c r="AB419" s="39"/>
    </row>
    <row r="420">
      <c r="A420" s="1"/>
      <c r="B420" s="36"/>
      <c r="C420" s="36"/>
      <c r="D420" s="36"/>
      <c r="E420" s="36"/>
      <c r="F420" s="36"/>
      <c r="G420" s="36"/>
      <c r="H420" s="37"/>
      <c r="I420" s="36"/>
      <c r="J420" s="38"/>
      <c r="K420" s="38"/>
      <c r="L420" s="39"/>
      <c r="M420" s="39"/>
      <c r="N420" s="39"/>
      <c r="O420" s="39"/>
      <c r="P420" s="39"/>
      <c r="Q420" s="39"/>
      <c r="R420" s="39"/>
      <c r="S420" s="39"/>
      <c r="T420" s="39"/>
      <c r="U420" s="39"/>
      <c r="V420" s="39"/>
      <c r="W420" s="39"/>
      <c r="X420" s="39"/>
      <c r="Y420" s="39"/>
      <c r="Z420" s="39"/>
      <c r="AA420" s="39"/>
      <c r="AB420" s="39"/>
    </row>
    <row r="421">
      <c r="A421" s="1"/>
      <c r="B421" s="36"/>
      <c r="C421" s="36"/>
      <c r="D421" s="36"/>
      <c r="E421" s="36"/>
      <c r="F421" s="36"/>
      <c r="G421" s="36"/>
      <c r="H421" s="37"/>
      <c r="I421" s="36"/>
      <c r="J421" s="38"/>
      <c r="K421" s="38"/>
      <c r="L421" s="39"/>
      <c r="M421" s="39"/>
      <c r="N421" s="39"/>
      <c r="O421" s="39"/>
      <c r="P421" s="39"/>
      <c r="Q421" s="39"/>
      <c r="R421" s="39"/>
      <c r="S421" s="39"/>
      <c r="T421" s="39"/>
      <c r="U421" s="39"/>
      <c r="V421" s="39"/>
      <c r="W421" s="39"/>
      <c r="X421" s="39"/>
      <c r="Y421" s="39"/>
      <c r="Z421" s="39"/>
      <c r="AA421" s="39"/>
      <c r="AB421" s="39"/>
    </row>
    <row r="422">
      <c r="A422" s="1"/>
      <c r="B422" s="36"/>
      <c r="C422" s="36"/>
      <c r="D422" s="36"/>
      <c r="E422" s="36"/>
      <c r="F422" s="36"/>
      <c r="G422" s="36"/>
      <c r="H422" s="37"/>
      <c r="I422" s="36"/>
      <c r="J422" s="38"/>
      <c r="K422" s="38"/>
      <c r="L422" s="39"/>
      <c r="M422" s="39"/>
      <c r="N422" s="39"/>
      <c r="O422" s="39"/>
      <c r="P422" s="39"/>
      <c r="Q422" s="39"/>
      <c r="R422" s="39"/>
      <c r="S422" s="39"/>
      <c r="T422" s="39"/>
      <c r="U422" s="39"/>
      <c r="V422" s="39"/>
      <c r="W422" s="39"/>
      <c r="X422" s="39"/>
      <c r="Y422" s="39"/>
      <c r="Z422" s="39"/>
      <c r="AA422" s="39"/>
      <c r="AB422" s="39"/>
    </row>
    <row r="423">
      <c r="A423" s="1"/>
      <c r="B423" s="36"/>
      <c r="C423" s="36"/>
      <c r="D423" s="36"/>
      <c r="E423" s="36"/>
      <c r="F423" s="36"/>
      <c r="G423" s="36"/>
      <c r="H423" s="37"/>
      <c r="I423" s="36"/>
      <c r="J423" s="38"/>
      <c r="K423" s="38"/>
      <c r="L423" s="39"/>
      <c r="M423" s="39"/>
      <c r="N423" s="39"/>
      <c r="O423" s="39"/>
      <c r="P423" s="39"/>
      <c r="Q423" s="39"/>
      <c r="R423" s="39"/>
      <c r="S423" s="39"/>
      <c r="T423" s="39"/>
      <c r="U423" s="39"/>
      <c r="V423" s="39"/>
      <c r="W423" s="39"/>
      <c r="X423" s="39"/>
      <c r="Y423" s="39"/>
      <c r="Z423" s="39"/>
      <c r="AA423" s="39"/>
      <c r="AB423" s="39"/>
    </row>
    <row r="424">
      <c r="A424" s="1"/>
      <c r="B424" s="36"/>
      <c r="C424" s="36"/>
      <c r="D424" s="36"/>
      <c r="E424" s="36"/>
      <c r="F424" s="36"/>
      <c r="G424" s="36"/>
      <c r="H424" s="37"/>
      <c r="I424" s="36"/>
      <c r="J424" s="38"/>
      <c r="K424" s="38"/>
      <c r="L424" s="39"/>
      <c r="M424" s="39"/>
      <c r="N424" s="39"/>
      <c r="O424" s="39"/>
      <c r="P424" s="39"/>
      <c r="Q424" s="39"/>
      <c r="R424" s="39"/>
      <c r="S424" s="39"/>
      <c r="T424" s="39"/>
      <c r="U424" s="39"/>
      <c r="V424" s="39"/>
      <c r="W424" s="39"/>
      <c r="X424" s="39"/>
      <c r="Y424" s="39"/>
      <c r="Z424" s="39"/>
      <c r="AA424" s="39"/>
      <c r="AB424" s="39"/>
    </row>
    <row r="425">
      <c r="A425" s="1"/>
      <c r="B425" s="36"/>
      <c r="C425" s="36"/>
      <c r="D425" s="36"/>
      <c r="E425" s="36"/>
      <c r="F425" s="36"/>
      <c r="G425" s="36"/>
      <c r="H425" s="37"/>
      <c r="I425" s="36"/>
      <c r="J425" s="38"/>
      <c r="K425" s="38"/>
      <c r="L425" s="39"/>
      <c r="M425" s="39"/>
      <c r="N425" s="39"/>
      <c r="O425" s="39"/>
      <c r="P425" s="39"/>
      <c r="Q425" s="39"/>
      <c r="R425" s="39"/>
      <c r="S425" s="39"/>
      <c r="T425" s="39"/>
      <c r="U425" s="39"/>
      <c r="V425" s="39"/>
      <c r="W425" s="39"/>
      <c r="X425" s="39"/>
      <c r="Y425" s="39"/>
      <c r="Z425" s="39"/>
      <c r="AA425" s="39"/>
      <c r="AB425" s="39"/>
    </row>
    <row r="426">
      <c r="A426" s="1"/>
      <c r="B426" s="36"/>
      <c r="C426" s="36"/>
      <c r="D426" s="36"/>
      <c r="E426" s="36"/>
      <c r="F426" s="36"/>
      <c r="G426" s="36"/>
      <c r="H426" s="37"/>
      <c r="I426" s="36"/>
      <c r="J426" s="38"/>
      <c r="K426" s="38"/>
      <c r="L426" s="39"/>
      <c r="M426" s="39"/>
      <c r="N426" s="39"/>
      <c r="O426" s="39"/>
      <c r="P426" s="39"/>
      <c r="Q426" s="39"/>
      <c r="R426" s="39"/>
      <c r="S426" s="39"/>
      <c r="T426" s="39"/>
      <c r="U426" s="39"/>
      <c r="V426" s="39"/>
      <c r="W426" s="39"/>
      <c r="X426" s="39"/>
      <c r="Y426" s="39"/>
      <c r="Z426" s="39"/>
      <c r="AA426" s="39"/>
      <c r="AB426" s="39"/>
    </row>
    <row r="427">
      <c r="A427" s="1"/>
      <c r="B427" s="36"/>
      <c r="C427" s="36"/>
      <c r="D427" s="36"/>
      <c r="E427" s="36"/>
      <c r="F427" s="36"/>
      <c r="G427" s="36"/>
      <c r="H427" s="37"/>
      <c r="I427" s="36"/>
      <c r="J427" s="38"/>
      <c r="K427" s="38"/>
      <c r="L427" s="39"/>
      <c r="M427" s="39"/>
      <c r="N427" s="39"/>
      <c r="O427" s="39"/>
      <c r="P427" s="39"/>
      <c r="Q427" s="39"/>
      <c r="R427" s="39"/>
      <c r="S427" s="39"/>
      <c r="T427" s="39"/>
      <c r="U427" s="39"/>
      <c r="V427" s="39"/>
      <c r="W427" s="39"/>
      <c r="X427" s="39"/>
      <c r="Y427" s="39"/>
      <c r="Z427" s="39"/>
      <c r="AA427" s="39"/>
      <c r="AB427" s="39"/>
    </row>
    <row r="428">
      <c r="A428" s="1"/>
      <c r="B428" s="36"/>
      <c r="C428" s="36"/>
      <c r="D428" s="36"/>
      <c r="E428" s="36"/>
      <c r="F428" s="36"/>
      <c r="G428" s="36"/>
      <c r="H428" s="37"/>
      <c r="I428" s="36"/>
      <c r="J428" s="38"/>
      <c r="K428" s="38"/>
      <c r="L428" s="39"/>
      <c r="M428" s="39"/>
      <c r="N428" s="39"/>
      <c r="O428" s="39"/>
      <c r="P428" s="39"/>
      <c r="Q428" s="39"/>
      <c r="R428" s="39"/>
      <c r="S428" s="39"/>
      <c r="T428" s="39"/>
      <c r="U428" s="39"/>
      <c r="V428" s="39"/>
      <c r="W428" s="39"/>
      <c r="X428" s="39"/>
      <c r="Y428" s="39"/>
      <c r="Z428" s="39"/>
      <c r="AA428" s="39"/>
      <c r="AB428" s="39"/>
    </row>
    <row r="429">
      <c r="A429" s="1"/>
      <c r="B429" s="36"/>
      <c r="C429" s="36"/>
      <c r="D429" s="36"/>
      <c r="E429" s="36"/>
      <c r="F429" s="36"/>
      <c r="G429" s="36"/>
      <c r="H429" s="37"/>
      <c r="I429" s="36"/>
      <c r="J429" s="38"/>
      <c r="K429" s="38"/>
      <c r="L429" s="39"/>
      <c r="M429" s="39"/>
      <c r="N429" s="39"/>
      <c r="O429" s="39"/>
      <c r="P429" s="39"/>
      <c r="Q429" s="39"/>
      <c r="R429" s="39"/>
      <c r="S429" s="39"/>
      <c r="T429" s="39"/>
      <c r="U429" s="39"/>
      <c r="V429" s="39"/>
      <c r="W429" s="39"/>
      <c r="X429" s="39"/>
      <c r="Y429" s="39"/>
      <c r="Z429" s="39"/>
      <c r="AA429" s="39"/>
      <c r="AB429" s="39"/>
    </row>
    <row r="430">
      <c r="A430" s="1"/>
      <c r="B430" s="36"/>
      <c r="C430" s="36"/>
      <c r="D430" s="36"/>
      <c r="E430" s="36"/>
      <c r="F430" s="36"/>
      <c r="G430" s="36"/>
      <c r="H430" s="37"/>
      <c r="I430" s="36"/>
      <c r="J430" s="38"/>
      <c r="K430" s="38"/>
      <c r="L430" s="39"/>
      <c r="M430" s="39"/>
      <c r="N430" s="39"/>
      <c r="O430" s="39"/>
      <c r="P430" s="39"/>
      <c r="Q430" s="39"/>
      <c r="R430" s="39"/>
      <c r="S430" s="39"/>
      <c r="T430" s="39"/>
      <c r="U430" s="39"/>
      <c r="V430" s="39"/>
      <c r="W430" s="39"/>
      <c r="X430" s="39"/>
      <c r="Y430" s="39"/>
      <c r="Z430" s="39"/>
      <c r="AA430" s="39"/>
      <c r="AB430" s="39"/>
    </row>
    <row r="431">
      <c r="A431" s="1"/>
      <c r="B431" s="36"/>
      <c r="C431" s="36"/>
      <c r="D431" s="36"/>
      <c r="E431" s="36"/>
      <c r="F431" s="36"/>
      <c r="G431" s="36"/>
      <c r="H431" s="37"/>
      <c r="I431" s="36"/>
      <c r="J431" s="38"/>
      <c r="K431" s="38"/>
      <c r="L431" s="39"/>
      <c r="M431" s="39"/>
      <c r="N431" s="39"/>
      <c r="O431" s="39"/>
      <c r="P431" s="39"/>
      <c r="Q431" s="39"/>
      <c r="R431" s="39"/>
      <c r="S431" s="39"/>
      <c r="T431" s="39"/>
      <c r="U431" s="39"/>
      <c r="V431" s="39"/>
      <c r="W431" s="39"/>
      <c r="X431" s="39"/>
      <c r="Y431" s="39"/>
      <c r="Z431" s="39"/>
      <c r="AA431" s="39"/>
      <c r="AB431" s="39"/>
    </row>
    <row r="432">
      <c r="A432" s="1"/>
      <c r="B432" s="36"/>
      <c r="C432" s="36"/>
      <c r="D432" s="36"/>
      <c r="E432" s="36"/>
      <c r="F432" s="36"/>
      <c r="G432" s="36"/>
      <c r="H432" s="37"/>
      <c r="I432" s="36"/>
      <c r="J432" s="38"/>
      <c r="K432" s="38"/>
      <c r="L432" s="39"/>
      <c r="M432" s="39"/>
      <c r="N432" s="39"/>
      <c r="O432" s="39"/>
      <c r="P432" s="39"/>
      <c r="Q432" s="39"/>
      <c r="R432" s="39"/>
      <c r="S432" s="39"/>
      <c r="T432" s="39"/>
      <c r="U432" s="39"/>
      <c r="V432" s="39"/>
      <c r="W432" s="39"/>
      <c r="X432" s="39"/>
      <c r="Y432" s="39"/>
      <c r="Z432" s="39"/>
      <c r="AA432" s="39"/>
      <c r="AB432" s="39"/>
    </row>
    <row r="433">
      <c r="A433" s="1"/>
      <c r="B433" s="36"/>
      <c r="C433" s="36"/>
      <c r="D433" s="36"/>
      <c r="E433" s="36"/>
      <c r="F433" s="36"/>
      <c r="G433" s="36"/>
      <c r="H433" s="37"/>
      <c r="I433" s="36"/>
      <c r="J433" s="38"/>
      <c r="K433" s="38"/>
      <c r="L433" s="39"/>
      <c r="M433" s="39"/>
      <c r="N433" s="39"/>
      <c r="O433" s="39"/>
      <c r="P433" s="39"/>
      <c r="Q433" s="39"/>
      <c r="R433" s="39"/>
      <c r="S433" s="39"/>
      <c r="T433" s="39"/>
      <c r="U433" s="39"/>
      <c r="V433" s="39"/>
      <c r="W433" s="39"/>
      <c r="X433" s="39"/>
      <c r="Y433" s="39"/>
      <c r="Z433" s="39"/>
      <c r="AA433" s="39"/>
      <c r="AB433" s="39"/>
    </row>
    <row r="434">
      <c r="A434" s="1"/>
      <c r="B434" s="36"/>
      <c r="C434" s="36"/>
      <c r="D434" s="36"/>
      <c r="E434" s="36"/>
      <c r="F434" s="36"/>
      <c r="G434" s="36"/>
      <c r="H434" s="37"/>
      <c r="I434" s="36"/>
      <c r="J434" s="38"/>
      <c r="K434" s="38"/>
      <c r="L434" s="39"/>
      <c r="M434" s="39"/>
      <c r="N434" s="39"/>
      <c r="O434" s="39"/>
      <c r="P434" s="39"/>
      <c r="Q434" s="39"/>
      <c r="R434" s="39"/>
      <c r="S434" s="39"/>
      <c r="T434" s="39"/>
      <c r="U434" s="39"/>
      <c r="V434" s="39"/>
      <c r="W434" s="39"/>
      <c r="X434" s="39"/>
      <c r="Y434" s="39"/>
      <c r="Z434" s="39"/>
      <c r="AA434" s="39"/>
      <c r="AB434" s="39"/>
    </row>
    <row r="435">
      <c r="A435" s="1"/>
      <c r="B435" s="36"/>
      <c r="C435" s="36"/>
      <c r="D435" s="36"/>
      <c r="E435" s="36"/>
      <c r="F435" s="36"/>
      <c r="G435" s="36"/>
      <c r="H435" s="37"/>
      <c r="I435" s="36"/>
      <c r="J435" s="38"/>
      <c r="K435" s="38"/>
      <c r="L435" s="39"/>
      <c r="M435" s="39"/>
      <c r="N435" s="39"/>
      <c r="O435" s="39"/>
      <c r="P435" s="39"/>
      <c r="Q435" s="39"/>
      <c r="R435" s="39"/>
      <c r="S435" s="39"/>
      <c r="T435" s="39"/>
      <c r="U435" s="39"/>
      <c r="V435" s="39"/>
      <c r="W435" s="39"/>
      <c r="X435" s="39"/>
      <c r="Y435" s="39"/>
      <c r="Z435" s="39"/>
      <c r="AA435" s="39"/>
      <c r="AB435" s="39"/>
    </row>
    <row r="436">
      <c r="A436" s="1"/>
      <c r="B436" s="36"/>
      <c r="C436" s="36"/>
      <c r="D436" s="36"/>
      <c r="E436" s="36"/>
      <c r="F436" s="36"/>
      <c r="G436" s="36"/>
      <c r="H436" s="37"/>
      <c r="I436" s="36"/>
      <c r="J436" s="38"/>
      <c r="K436" s="38"/>
      <c r="L436" s="39"/>
      <c r="M436" s="39"/>
      <c r="N436" s="39"/>
      <c r="O436" s="39"/>
      <c r="P436" s="39"/>
      <c r="Q436" s="39"/>
      <c r="R436" s="39"/>
      <c r="S436" s="39"/>
      <c r="T436" s="39"/>
      <c r="U436" s="39"/>
      <c r="V436" s="39"/>
      <c r="W436" s="39"/>
      <c r="X436" s="39"/>
      <c r="Y436" s="39"/>
      <c r="Z436" s="39"/>
      <c r="AA436" s="39"/>
      <c r="AB436" s="39"/>
    </row>
    <row r="437">
      <c r="A437" s="1"/>
      <c r="B437" s="36"/>
      <c r="C437" s="36"/>
      <c r="D437" s="36"/>
      <c r="E437" s="36"/>
      <c r="F437" s="36"/>
      <c r="G437" s="36"/>
      <c r="H437" s="37"/>
      <c r="I437" s="36"/>
      <c r="J437" s="38"/>
      <c r="K437" s="38"/>
      <c r="L437" s="39"/>
      <c r="M437" s="39"/>
      <c r="N437" s="39"/>
      <c r="O437" s="39"/>
      <c r="P437" s="39"/>
      <c r="Q437" s="39"/>
      <c r="R437" s="39"/>
      <c r="S437" s="39"/>
      <c r="T437" s="39"/>
      <c r="U437" s="39"/>
      <c r="V437" s="39"/>
      <c r="W437" s="39"/>
      <c r="X437" s="39"/>
      <c r="Y437" s="39"/>
      <c r="Z437" s="39"/>
      <c r="AA437" s="39"/>
      <c r="AB437" s="39"/>
    </row>
    <row r="438">
      <c r="A438" s="1"/>
      <c r="B438" s="36"/>
      <c r="C438" s="36"/>
      <c r="D438" s="36"/>
      <c r="E438" s="36"/>
      <c r="F438" s="36"/>
      <c r="G438" s="36"/>
      <c r="H438" s="37"/>
      <c r="I438" s="36"/>
      <c r="J438" s="38"/>
      <c r="K438" s="38"/>
      <c r="L438" s="39"/>
      <c r="M438" s="39"/>
      <c r="N438" s="39"/>
      <c r="O438" s="39"/>
      <c r="P438" s="39"/>
      <c r="Q438" s="39"/>
      <c r="R438" s="39"/>
      <c r="S438" s="39"/>
      <c r="T438" s="39"/>
      <c r="U438" s="39"/>
      <c r="V438" s="39"/>
      <c r="W438" s="39"/>
      <c r="X438" s="39"/>
      <c r="Y438" s="39"/>
      <c r="Z438" s="39"/>
      <c r="AA438" s="39"/>
      <c r="AB438" s="39"/>
    </row>
    <row r="439">
      <c r="A439" s="1"/>
      <c r="B439" s="36"/>
      <c r="C439" s="36"/>
      <c r="D439" s="36"/>
      <c r="E439" s="36"/>
      <c r="F439" s="36"/>
      <c r="G439" s="36"/>
      <c r="H439" s="37"/>
      <c r="I439" s="36"/>
      <c r="J439" s="38"/>
      <c r="K439" s="38"/>
      <c r="L439" s="39"/>
      <c r="M439" s="39"/>
      <c r="N439" s="39"/>
      <c r="O439" s="39"/>
      <c r="P439" s="39"/>
      <c r="Q439" s="39"/>
      <c r="R439" s="39"/>
      <c r="S439" s="39"/>
      <c r="T439" s="39"/>
      <c r="U439" s="39"/>
      <c r="V439" s="39"/>
      <c r="W439" s="39"/>
      <c r="X439" s="39"/>
      <c r="Y439" s="39"/>
      <c r="Z439" s="39"/>
      <c r="AA439" s="39"/>
      <c r="AB439" s="39"/>
    </row>
    <row r="440">
      <c r="A440" s="1"/>
      <c r="B440" s="36"/>
      <c r="C440" s="36"/>
      <c r="D440" s="36"/>
      <c r="E440" s="36"/>
      <c r="F440" s="36"/>
      <c r="G440" s="36"/>
      <c r="H440" s="37"/>
      <c r="I440" s="36"/>
      <c r="J440" s="38"/>
      <c r="K440" s="38"/>
      <c r="L440" s="39"/>
      <c r="M440" s="39"/>
      <c r="N440" s="39"/>
      <c r="O440" s="39"/>
      <c r="P440" s="39"/>
      <c r="Q440" s="39"/>
      <c r="R440" s="39"/>
      <c r="S440" s="39"/>
      <c r="T440" s="39"/>
      <c r="U440" s="39"/>
      <c r="V440" s="39"/>
      <c r="W440" s="39"/>
      <c r="X440" s="39"/>
      <c r="Y440" s="39"/>
      <c r="Z440" s="39"/>
      <c r="AA440" s="39"/>
      <c r="AB440" s="39"/>
    </row>
    <row r="441">
      <c r="A441" s="1"/>
      <c r="B441" s="36"/>
      <c r="C441" s="36"/>
      <c r="D441" s="36"/>
      <c r="E441" s="36"/>
      <c r="F441" s="36"/>
      <c r="G441" s="36"/>
      <c r="H441" s="37"/>
      <c r="I441" s="36"/>
      <c r="J441" s="38"/>
      <c r="K441" s="38"/>
      <c r="L441" s="39"/>
      <c r="M441" s="39"/>
      <c r="N441" s="39"/>
      <c r="O441" s="39"/>
      <c r="P441" s="39"/>
      <c r="Q441" s="39"/>
      <c r="R441" s="39"/>
      <c r="S441" s="39"/>
      <c r="T441" s="39"/>
      <c r="U441" s="39"/>
      <c r="V441" s="39"/>
      <c r="W441" s="39"/>
      <c r="X441" s="39"/>
      <c r="Y441" s="39"/>
      <c r="Z441" s="39"/>
      <c r="AA441" s="39"/>
      <c r="AB441" s="39"/>
    </row>
    <row r="442">
      <c r="A442" s="1"/>
      <c r="B442" s="36"/>
      <c r="C442" s="36"/>
      <c r="D442" s="36"/>
      <c r="E442" s="36"/>
      <c r="F442" s="36"/>
      <c r="G442" s="36"/>
      <c r="H442" s="37"/>
      <c r="I442" s="36"/>
      <c r="J442" s="38"/>
      <c r="K442" s="38"/>
      <c r="L442" s="39"/>
      <c r="M442" s="39"/>
      <c r="N442" s="39"/>
      <c r="O442" s="39"/>
      <c r="P442" s="39"/>
      <c r="Q442" s="39"/>
      <c r="R442" s="39"/>
      <c r="S442" s="39"/>
      <c r="T442" s="39"/>
      <c r="U442" s="39"/>
      <c r="V442" s="39"/>
      <c r="W442" s="39"/>
      <c r="X442" s="39"/>
      <c r="Y442" s="39"/>
      <c r="Z442" s="39"/>
      <c r="AA442" s="39"/>
      <c r="AB442" s="39"/>
    </row>
    <row r="443">
      <c r="A443" s="1"/>
      <c r="B443" s="36"/>
      <c r="C443" s="36"/>
      <c r="D443" s="36"/>
      <c r="E443" s="36"/>
      <c r="F443" s="36"/>
      <c r="G443" s="36"/>
      <c r="H443" s="37"/>
      <c r="I443" s="36"/>
      <c r="J443" s="38"/>
      <c r="K443" s="38"/>
      <c r="L443" s="39"/>
      <c r="M443" s="39"/>
      <c r="N443" s="39"/>
      <c r="O443" s="39"/>
      <c r="P443" s="39"/>
      <c r="Q443" s="39"/>
      <c r="R443" s="39"/>
      <c r="S443" s="39"/>
      <c r="T443" s="39"/>
      <c r="U443" s="39"/>
      <c r="V443" s="39"/>
      <c r="W443" s="39"/>
      <c r="X443" s="39"/>
      <c r="Y443" s="39"/>
      <c r="Z443" s="39"/>
      <c r="AA443" s="39"/>
      <c r="AB443" s="39"/>
    </row>
    <row r="444">
      <c r="A444" s="1"/>
      <c r="B444" s="36"/>
      <c r="C444" s="36"/>
      <c r="D444" s="36"/>
      <c r="E444" s="36"/>
      <c r="F444" s="36"/>
      <c r="G444" s="36"/>
      <c r="H444" s="37"/>
      <c r="I444" s="36"/>
      <c r="J444" s="38"/>
      <c r="K444" s="38"/>
      <c r="L444" s="39"/>
      <c r="M444" s="39"/>
      <c r="N444" s="39"/>
      <c r="O444" s="39"/>
      <c r="P444" s="39"/>
      <c r="Q444" s="39"/>
      <c r="R444" s="39"/>
      <c r="S444" s="39"/>
      <c r="T444" s="39"/>
      <c r="U444" s="39"/>
      <c r="V444" s="39"/>
      <c r="W444" s="39"/>
      <c r="X444" s="39"/>
      <c r="Y444" s="39"/>
      <c r="Z444" s="39"/>
      <c r="AA444" s="39"/>
      <c r="AB444" s="39"/>
    </row>
    <row r="445">
      <c r="A445" s="1"/>
      <c r="B445" s="36"/>
      <c r="C445" s="36"/>
      <c r="D445" s="36"/>
      <c r="E445" s="36"/>
      <c r="F445" s="36"/>
      <c r="G445" s="36"/>
      <c r="H445" s="37"/>
      <c r="I445" s="36"/>
      <c r="J445" s="38"/>
      <c r="K445" s="38"/>
      <c r="L445" s="39"/>
      <c r="M445" s="39"/>
      <c r="N445" s="39"/>
      <c r="O445" s="39"/>
      <c r="P445" s="39"/>
      <c r="Q445" s="39"/>
      <c r="R445" s="39"/>
      <c r="S445" s="39"/>
      <c r="T445" s="39"/>
      <c r="U445" s="39"/>
      <c r="V445" s="39"/>
      <c r="W445" s="39"/>
      <c r="X445" s="39"/>
      <c r="Y445" s="39"/>
      <c r="Z445" s="39"/>
      <c r="AA445" s="39"/>
      <c r="AB445" s="39"/>
    </row>
    <row r="446">
      <c r="A446" s="1"/>
      <c r="B446" s="36"/>
      <c r="C446" s="36"/>
      <c r="D446" s="36"/>
      <c r="E446" s="36"/>
      <c r="F446" s="36"/>
      <c r="G446" s="36"/>
      <c r="H446" s="37"/>
      <c r="I446" s="36"/>
      <c r="J446" s="38"/>
      <c r="K446" s="38"/>
      <c r="L446" s="39"/>
      <c r="M446" s="39"/>
      <c r="N446" s="39"/>
      <c r="O446" s="39"/>
      <c r="P446" s="39"/>
      <c r="Q446" s="39"/>
      <c r="R446" s="39"/>
      <c r="S446" s="39"/>
      <c r="T446" s="39"/>
      <c r="U446" s="39"/>
      <c r="V446" s="39"/>
      <c r="W446" s="39"/>
      <c r="X446" s="39"/>
      <c r="Y446" s="39"/>
      <c r="Z446" s="39"/>
      <c r="AA446" s="39"/>
      <c r="AB446" s="39"/>
    </row>
    <row r="447">
      <c r="A447" s="1"/>
      <c r="B447" s="36"/>
      <c r="C447" s="36"/>
      <c r="D447" s="36"/>
      <c r="E447" s="36"/>
      <c r="F447" s="36"/>
      <c r="G447" s="36"/>
      <c r="H447" s="37"/>
      <c r="I447" s="36"/>
      <c r="J447" s="38"/>
      <c r="K447" s="38"/>
      <c r="L447" s="39"/>
      <c r="M447" s="39"/>
      <c r="N447" s="39"/>
      <c r="O447" s="39"/>
      <c r="P447" s="39"/>
      <c r="Q447" s="39"/>
      <c r="R447" s="39"/>
      <c r="S447" s="39"/>
      <c r="T447" s="39"/>
      <c r="U447" s="39"/>
      <c r="V447" s="39"/>
      <c r="W447" s="39"/>
      <c r="X447" s="39"/>
      <c r="Y447" s="39"/>
      <c r="Z447" s="39"/>
      <c r="AA447" s="39"/>
      <c r="AB447" s="39"/>
    </row>
    <row r="448">
      <c r="A448" s="1"/>
      <c r="B448" s="36"/>
      <c r="C448" s="36"/>
      <c r="D448" s="36"/>
      <c r="E448" s="36"/>
      <c r="F448" s="36"/>
      <c r="G448" s="36"/>
      <c r="H448" s="37"/>
      <c r="I448" s="36"/>
      <c r="J448" s="38"/>
      <c r="K448" s="38"/>
      <c r="L448" s="39"/>
      <c r="M448" s="39"/>
      <c r="N448" s="39"/>
      <c r="O448" s="39"/>
      <c r="P448" s="39"/>
      <c r="Q448" s="39"/>
      <c r="R448" s="39"/>
      <c r="S448" s="39"/>
      <c r="T448" s="39"/>
      <c r="U448" s="39"/>
      <c r="V448" s="39"/>
      <c r="W448" s="39"/>
      <c r="X448" s="39"/>
      <c r="Y448" s="39"/>
      <c r="Z448" s="39"/>
      <c r="AA448" s="39"/>
      <c r="AB448" s="39"/>
    </row>
    <row r="449">
      <c r="A449" s="1"/>
      <c r="B449" s="36"/>
      <c r="C449" s="36"/>
      <c r="D449" s="36"/>
      <c r="E449" s="36"/>
      <c r="F449" s="36"/>
      <c r="G449" s="36"/>
      <c r="H449" s="37"/>
      <c r="I449" s="36"/>
      <c r="J449" s="38"/>
      <c r="K449" s="38"/>
      <c r="L449" s="39"/>
      <c r="M449" s="39"/>
      <c r="N449" s="39"/>
      <c r="O449" s="39"/>
      <c r="P449" s="39"/>
      <c r="Q449" s="39"/>
      <c r="R449" s="39"/>
      <c r="S449" s="39"/>
      <c r="T449" s="39"/>
      <c r="U449" s="39"/>
      <c r="V449" s="39"/>
      <c r="W449" s="39"/>
      <c r="X449" s="39"/>
      <c r="Y449" s="39"/>
      <c r="Z449" s="39"/>
      <c r="AA449" s="39"/>
      <c r="AB449" s="39"/>
    </row>
    <row r="450">
      <c r="A450" s="1"/>
      <c r="B450" s="36"/>
      <c r="C450" s="36"/>
      <c r="D450" s="36"/>
      <c r="E450" s="36"/>
      <c r="F450" s="36"/>
      <c r="G450" s="36"/>
      <c r="H450" s="37"/>
      <c r="I450" s="36"/>
      <c r="J450" s="38"/>
      <c r="K450" s="38"/>
      <c r="L450" s="39"/>
      <c r="M450" s="39"/>
      <c r="N450" s="39"/>
      <c r="O450" s="39"/>
      <c r="P450" s="39"/>
      <c r="Q450" s="39"/>
      <c r="R450" s="39"/>
      <c r="S450" s="39"/>
      <c r="T450" s="39"/>
      <c r="U450" s="39"/>
      <c r="V450" s="39"/>
      <c r="W450" s="39"/>
      <c r="X450" s="39"/>
      <c r="Y450" s="39"/>
      <c r="Z450" s="39"/>
      <c r="AA450" s="39"/>
      <c r="AB450" s="39"/>
    </row>
    <row r="451">
      <c r="A451" s="1"/>
      <c r="B451" s="36"/>
      <c r="C451" s="36"/>
      <c r="D451" s="36"/>
      <c r="E451" s="36"/>
      <c r="F451" s="36"/>
      <c r="G451" s="36"/>
      <c r="H451" s="37"/>
      <c r="I451" s="36"/>
      <c r="J451" s="38"/>
      <c r="K451" s="38"/>
      <c r="L451" s="39"/>
      <c r="M451" s="39"/>
      <c r="N451" s="39"/>
      <c r="O451" s="39"/>
      <c r="P451" s="39"/>
      <c r="Q451" s="39"/>
      <c r="R451" s="39"/>
      <c r="S451" s="39"/>
      <c r="T451" s="39"/>
      <c r="U451" s="39"/>
      <c r="V451" s="39"/>
      <c r="W451" s="39"/>
      <c r="X451" s="39"/>
      <c r="Y451" s="39"/>
      <c r="Z451" s="39"/>
      <c r="AA451" s="39"/>
      <c r="AB451" s="39"/>
    </row>
    <row r="452">
      <c r="A452" s="1"/>
      <c r="B452" s="36"/>
      <c r="C452" s="36"/>
      <c r="D452" s="36"/>
      <c r="E452" s="36"/>
      <c r="F452" s="36"/>
      <c r="G452" s="36"/>
      <c r="H452" s="37"/>
      <c r="I452" s="36"/>
      <c r="J452" s="38"/>
      <c r="K452" s="38"/>
      <c r="L452" s="39"/>
      <c r="M452" s="39"/>
      <c r="N452" s="39"/>
      <c r="O452" s="39"/>
      <c r="P452" s="39"/>
      <c r="Q452" s="39"/>
      <c r="R452" s="39"/>
      <c r="S452" s="39"/>
      <c r="T452" s="39"/>
      <c r="U452" s="39"/>
      <c r="V452" s="39"/>
      <c r="W452" s="39"/>
      <c r="X452" s="39"/>
      <c r="Y452" s="39"/>
      <c r="Z452" s="39"/>
      <c r="AA452" s="39"/>
      <c r="AB452" s="39"/>
    </row>
    <row r="453">
      <c r="A453" s="1"/>
      <c r="B453" s="36"/>
      <c r="C453" s="36"/>
      <c r="D453" s="36"/>
      <c r="E453" s="36"/>
      <c r="F453" s="36"/>
      <c r="G453" s="36"/>
      <c r="H453" s="37"/>
      <c r="I453" s="36"/>
      <c r="J453" s="38"/>
      <c r="K453" s="38"/>
      <c r="L453" s="39"/>
      <c r="M453" s="39"/>
      <c r="N453" s="39"/>
      <c r="O453" s="39"/>
      <c r="P453" s="39"/>
      <c r="Q453" s="39"/>
      <c r="R453" s="39"/>
      <c r="S453" s="39"/>
      <c r="T453" s="39"/>
      <c r="U453" s="39"/>
      <c r="V453" s="39"/>
      <c r="W453" s="39"/>
      <c r="X453" s="39"/>
      <c r="Y453" s="39"/>
      <c r="Z453" s="39"/>
      <c r="AA453" s="39"/>
      <c r="AB453" s="39"/>
    </row>
    <row r="454">
      <c r="A454" s="1"/>
      <c r="B454" s="36"/>
      <c r="C454" s="36"/>
      <c r="D454" s="36"/>
      <c r="E454" s="36"/>
      <c r="F454" s="36"/>
      <c r="G454" s="36"/>
      <c r="H454" s="37"/>
      <c r="I454" s="36"/>
      <c r="J454" s="38"/>
      <c r="K454" s="38"/>
      <c r="L454" s="39"/>
      <c r="M454" s="39"/>
      <c r="N454" s="39"/>
      <c r="O454" s="39"/>
      <c r="P454" s="39"/>
      <c r="Q454" s="39"/>
      <c r="R454" s="39"/>
      <c r="S454" s="39"/>
      <c r="T454" s="39"/>
      <c r="U454" s="39"/>
      <c r="V454" s="39"/>
      <c r="W454" s="39"/>
      <c r="X454" s="39"/>
      <c r="Y454" s="39"/>
      <c r="Z454" s="39"/>
      <c r="AA454" s="39"/>
      <c r="AB454" s="39"/>
    </row>
    <row r="455">
      <c r="A455" s="1"/>
      <c r="B455" s="36"/>
      <c r="C455" s="36"/>
      <c r="D455" s="36"/>
      <c r="E455" s="36"/>
      <c r="F455" s="36"/>
      <c r="G455" s="36"/>
      <c r="H455" s="37"/>
      <c r="I455" s="36"/>
      <c r="J455" s="38"/>
      <c r="K455" s="38"/>
      <c r="L455" s="39"/>
      <c r="M455" s="39"/>
      <c r="N455" s="39"/>
      <c r="O455" s="39"/>
      <c r="P455" s="39"/>
      <c r="Q455" s="39"/>
      <c r="R455" s="39"/>
      <c r="S455" s="39"/>
      <c r="T455" s="39"/>
      <c r="U455" s="39"/>
      <c r="V455" s="39"/>
      <c r="W455" s="39"/>
      <c r="X455" s="39"/>
      <c r="Y455" s="39"/>
      <c r="Z455" s="39"/>
      <c r="AA455" s="39"/>
      <c r="AB455" s="39"/>
    </row>
    <row r="456">
      <c r="A456" s="1"/>
      <c r="B456" s="36"/>
      <c r="C456" s="36"/>
      <c r="D456" s="36"/>
      <c r="E456" s="36"/>
      <c r="F456" s="36"/>
      <c r="G456" s="36"/>
      <c r="H456" s="37"/>
      <c r="I456" s="36"/>
      <c r="J456" s="38"/>
      <c r="K456" s="38"/>
      <c r="L456" s="39"/>
      <c r="M456" s="39"/>
      <c r="N456" s="39"/>
      <c r="O456" s="39"/>
      <c r="P456" s="39"/>
      <c r="Q456" s="39"/>
      <c r="R456" s="39"/>
      <c r="S456" s="39"/>
      <c r="T456" s="39"/>
      <c r="U456" s="39"/>
      <c r="V456" s="39"/>
      <c r="W456" s="39"/>
      <c r="X456" s="39"/>
      <c r="Y456" s="39"/>
      <c r="Z456" s="39"/>
      <c r="AA456" s="39"/>
      <c r="AB456" s="39"/>
    </row>
    <row r="457">
      <c r="A457" s="1"/>
      <c r="B457" s="36"/>
      <c r="C457" s="36"/>
      <c r="D457" s="36"/>
      <c r="E457" s="36"/>
      <c r="F457" s="36"/>
      <c r="G457" s="36"/>
      <c r="H457" s="37"/>
      <c r="I457" s="36"/>
      <c r="J457" s="38"/>
      <c r="K457" s="38"/>
      <c r="L457" s="39"/>
      <c r="M457" s="39"/>
      <c r="N457" s="39"/>
      <c r="O457" s="39"/>
      <c r="P457" s="39"/>
      <c r="Q457" s="39"/>
      <c r="R457" s="39"/>
      <c r="S457" s="39"/>
      <c r="T457" s="39"/>
      <c r="U457" s="39"/>
      <c r="V457" s="39"/>
      <c r="W457" s="39"/>
      <c r="X457" s="39"/>
      <c r="Y457" s="39"/>
      <c r="Z457" s="39"/>
      <c r="AA457" s="39"/>
      <c r="AB457" s="39"/>
    </row>
    <row r="458">
      <c r="A458" s="1"/>
      <c r="B458" s="36"/>
      <c r="C458" s="36"/>
      <c r="D458" s="36"/>
      <c r="E458" s="36"/>
      <c r="F458" s="36"/>
      <c r="G458" s="36"/>
      <c r="H458" s="37"/>
      <c r="I458" s="36"/>
      <c r="J458" s="38"/>
      <c r="K458" s="38"/>
      <c r="L458" s="39"/>
      <c r="M458" s="39"/>
      <c r="N458" s="39"/>
      <c r="O458" s="39"/>
      <c r="P458" s="39"/>
      <c r="Q458" s="39"/>
      <c r="R458" s="39"/>
      <c r="S458" s="39"/>
      <c r="T458" s="39"/>
      <c r="U458" s="39"/>
      <c r="V458" s="39"/>
      <c r="W458" s="39"/>
      <c r="X458" s="39"/>
      <c r="Y458" s="39"/>
      <c r="Z458" s="39"/>
      <c r="AA458" s="39"/>
      <c r="AB458" s="39"/>
    </row>
    <row r="459">
      <c r="A459" s="1"/>
      <c r="B459" s="36"/>
      <c r="C459" s="36"/>
      <c r="D459" s="36"/>
      <c r="E459" s="36"/>
      <c r="F459" s="36"/>
      <c r="G459" s="36"/>
      <c r="H459" s="37"/>
      <c r="I459" s="36"/>
      <c r="J459" s="38"/>
      <c r="K459" s="38"/>
      <c r="L459" s="39"/>
      <c r="M459" s="39"/>
      <c r="N459" s="39"/>
      <c r="O459" s="39"/>
      <c r="P459" s="39"/>
      <c r="Q459" s="39"/>
      <c r="R459" s="39"/>
      <c r="S459" s="39"/>
      <c r="T459" s="39"/>
      <c r="U459" s="39"/>
      <c r="V459" s="39"/>
      <c r="W459" s="39"/>
      <c r="X459" s="39"/>
      <c r="Y459" s="39"/>
      <c r="Z459" s="39"/>
      <c r="AA459" s="39"/>
      <c r="AB459" s="39"/>
    </row>
    <row r="460">
      <c r="A460" s="1"/>
      <c r="B460" s="36"/>
      <c r="C460" s="36"/>
      <c r="D460" s="36"/>
      <c r="E460" s="36"/>
      <c r="F460" s="36"/>
      <c r="G460" s="36"/>
      <c r="H460" s="37"/>
      <c r="I460" s="36"/>
      <c r="J460" s="38"/>
      <c r="K460" s="38"/>
      <c r="L460" s="39"/>
      <c r="M460" s="39"/>
      <c r="N460" s="39"/>
      <c r="O460" s="39"/>
      <c r="P460" s="39"/>
      <c r="Q460" s="39"/>
      <c r="R460" s="39"/>
      <c r="S460" s="39"/>
      <c r="T460" s="39"/>
      <c r="U460" s="39"/>
      <c r="V460" s="39"/>
      <c r="W460" s="39"/>
      <c r="X460" s="39"/>
      <c r="Y460" s="39"/>
      <c r="Z460" s="39"/>
      <c r="AA460" s="39"/>
      <c r="AB460" s="39"/>
    </row>
    <row r="461">
      <c r="A461" s="1"/>
      <c r="B461" s="36"/>
      <c r="C461" s="36"/>
      <c r="D461" s="36"/>
      <c r="E461" s="36"/>
      <c r="F461" s="36"/>
      <c r="G461" s="36"/>
      <c r="H461" s="37"/>
      <c r="I461" s="36"/>
      <c r="J461" s="38"/>
      <c r="K461" s="38"/>
      <c r="L461" s="39"/>
      <c r="M461" s="39"/>
      <c r="N461" s="39"/>
      <c r="O461" s="39"/>
      <c r="P461" s="39"/>
      <c r="Q461" s="39"/>
      <c r="R461" s="39"/>
      <c r="S461" s="39"/>
      <c r="T461" s="39"/>
      <c r="U461" s="39"/>
      <c r="V461" s="39"/>
      <c r="W461" s="39"/>
      <c r="X461" s="39"/>
      <c r="Y461" s="39"/>
      <c r="Z461" s="39"/>
      <c r="AA461" s="39"/>
      <c r="AB461" s="39"/>
    </row>
    <row r="462">
      <c r="A462" s="1"/>
      <c r="B462" s="36"/>
      <c r="C462" s="36"/>
      <c r="D462" s="36"/>
      <c r="E462" s="36"/>
      <c r="F462" s="36"/>
      <c r="G462" s="36"/>
      <c r="H462" s="37"/>
      <c r="I462" s="36"/>
      <c r="J462" s="38"/>
      <c r="K462" s="38"/>
      <c r="L462" s="39"/>
      <c r="M462" s="39"/>
      <c r="N462" s="39"/>
      <c r="O462" s="39"/>
      <c r="P462" s="39"/>
      <c r="Q462" s="39"/>
      <c r="R462" s="39"/>
      <c r="S462" s="39"/>
      <c r="T462" s="39"/>
      <c r="U462" s="39"/>
      <c r="V462" s="39"/>
      <c r="W462" s="39"/>
      <c r="X462" s="39"/>
      <c r="Y462" s="39"/>
      <c r="Z462" s="39"/>
      <c r="AA462" s="39"/>
      <c r="AB462" s="39"/>
    </row>
    <row r="463">
      <c r="A463" s="1"/>
      <c r="B463" s="36"/>
      <c r="C463" s="36"/>
      <c r="D463" s="36"/>
      <c r="E463" s="36"/>
      <c r="F463" s="36"/>
      <c r="G463" s="36"/>
      <c r="H463" s="37"/>
      <c r="I463" s="36"/>
      <c r="J463" s="38"/>
      <c r="K463" s="38"/>
      <c r="L463" s="39"/>
      <c r="M463" s="39"/>
      <c r="N463" s="39"/>
      <c r="O463" s="39"/>
      <c r="P463" s="39"/>
      <c r="Q463" s="39"/>
      <c r="R463" s="39"/>
      <c r="S463" s="39"/>
      <c r="T463" s="39"/>
      <c r="U463" s="39"/>
      <c r="V463" s="39"/>
      <c r="W463" s="39"/>
      <c r="X463" s="39"/>
      <c r="Y463" s="39"/>
      <c r="Z463" s="39"/>
      <c r="AA463" s="39"/>
      <c r="AB463" s="39"/>
    </row>
    <row r="464">
      <c r="A464" s="1"/>
      <c r="B464" s="36"/>
      <c r="C464" s="36"/>
      <c r="D464" s="36"/>
      <c r="E464" s="36"/>
      <c r="F464" s="36"/>
      <c r="G464" s="36"/>
      <c r="H464" s="37"/>
      <c r="I464" s="36"/>
      <c r="J464" s="38"/>
      <c r="K464" s="38"/>
      <c r="L464" s="39"/>
      <c r="M464" s="39"/>
      <c r="N464" s="39"/>
      <c r="O464" s="39"/>
      <c r="P464" s="39"/>
      <c r="Q464" s="39"/>
      <c r="R464" s="39"/>
      <c r="S464" s="39"/>
      <c r="T464" s="39"/>
      <c r="U464" s="39"/>
      <c r="V464" s="39"/>
      <c r="W464" s="39"/>
      <c r="X464" s="39"/>
      <c r="Y464" s="39"/>
      <c r="Z464" s="39"/>
      <c r="AA464" s="39"/>
      <c r="AB464" s="39"/>
    </row>
    <row r="465">
      <c r="A465" s="1"/>
      <c r="B465" s="36"/>
      <c r="C465" s="36"/>
      <c r="D465" s="36"/>
      <c r="E465" s="36"/>
      <c r="F465" s="36"/>
      <c r="G465" s="36"/>
      <c r="H465" s="37"/>
      <c r="I465" s="36"/>
      <c r="J465" s="38"/>
      <c r="K465" s="38"/>
      <c r="L465" s="39"/>
      <c r="M465" s="39"/>
      <c r="N465" s="39"/>
      <c r="O465" s="39"/>
      <c r="P465" s="39"/>
      <c r="Q465" s="39"/>
      <c r="R465" s="39"/>
      <c r="S465" s="39"/>
      <c r="T465" s="39"/>
      <c r="U465" s="39"/>
      <c r="V465" s="39"/>
      <c r="W465" s="39"/>
      <c r="X465" s="39"/>
      <c r="Y465" s="39"/>
      <c r="Z465" s="39"/>
      <c r="AA465" s="39"/>
      <c r="AB465" s="39"/>
    </row>
    <row r="466">
      <c r="A466" s="1"/>
      <c r="B466" s="36"/>
      <c r="C466" s="36"/>
      <c r="D466" s="36"/>
      <c r="E466" s="36"/>
      <c r="F466" s="36"/>
      <c r="G466" s="36"/>
      <c r="H466" s="37"/>
      <c r="I466" s="36"/>
      <c r="J466" s="38"/>
      <c r="K466" s="38"/>
      <c r="L466" s="39"/>
      <c r="M466" s="39"/>
      <c r="N466" s="39"/>
      <c r="O466" s="39"/>
      <c r="P466" s="39"/>
      <c r="Q466" s="39"/>
      <c r="R466" s="39"/>
      <c r="S466" s="39"/>
      <c r="T466" s="39"/>
      <c r="U466" s="39"/>
      <c r="V466" s="39"/>
      <c r="W466" s="39"/>
      <c r="X466" s="39"/>
      <c r="Y466" s="39"/>
      <c r="Z466" s="39"/>
      <c r="AA466" s="39"/>
      <c r="AB466" s="39"/>
    </row>
    <row r="467">
      <c r="A467" s="1"/>
      <c r="B467" s="36"/>
      <c r="C467" s="36"/>
      <c r="D467" s="36"/>
      <c r="E467" s="36"/>
      <c r="F467" s="36"/>
      <c r="G467" s="36"/>
      <c r="H467" s="37"/>
      <c r="I467" s="36"/>
      <c r="J467" s="38"/>
      <c r="K467" s="38"/>
      <c r="L467" s="39"/>
      <c r="M467" s="39"/>
      <c r="N467" s="39"/>
      <c r="O467" s="39"/>
      <c r="P467" s="39"/>
      <c r="Q467" s="39"/>
      <c r="R467" s="39"/>
      <c r="S467" s="39"/>
      <c r="T467" s="39"/>
      <c r="U467" s="39"/>
      <c r="V467" s="39"/>
      <c r="W467" s="39"/>
      <c r="X467" s="39"/>
      <c r="Y467" s="39"/>
      <c r="Z467" s="39"/>
      <c r="AA467" s="39"/>
      <c r="AB467" s="39"/>
    </row>
    <row r="468">
      <c r="A468" s="1"/>
      <c r="B468" s="36"/>
      <c r="C468" s="36"/>
      <c r="D468" s="36"/>
      <c r="E468" s="36"/>
      <c r="F468" s="36"/>
      <c r="G468" s="36"/>
      <c r="H468" s="37"/>
      <c r="I468" s="36"/>
      <c r="J468" s="38"/>
      <c r="K468" s="38"/>
      <c r="L468" s="39"/>
      <c r="M468" s="39"/>
      <c r="N468" s="39"/>
      <c r="O468" s="39"/>
      <c r="P468" s="39"/>
      <c r="Q468" s="39"/>
      <c r="R468" s="39"/>
      <c r="S468" s="39"/>
      <c r="T468" s="39"/>
      <c r="U468" s="39"/>
      <c r="V468" s="39"/>
      <c r="W468" s="39"/>
      <c r="X468" s="39"/>
      <c r="Y468" s="39"/>
      <c r="Z468" s="39"/>
      <c r="AA468" s="39"/>
      <c r="AB468" s="39"/>
    </row>
    <row r="469">
      <c r="A469" s="1"/>
      <c r="B469" s="36"/>
      <c r="C469" s="36"/>
      <c r="D469" s="36"/>
      <c r="E469" s="36"/>
      <c r="F469" s="36"/>
      <c r="G469" s="36"/>
      <c r="H469" s="37"/>
      <c r="I469" s="36"/>
      <c r="J469" s="38"/>
      <c r="K469" s="38"/>
      <c r="L469" s="39"/>
      <c r="M469" s="39"/>
      <c r="N469" s="39"/>
      <c r="O469" s="39"/>
      <c r="P469" s="39"/>
      <c r="Q469" s="39"/>
      <c r="R469" s="39"/>
      <c r="S469" s="39"/>
      <c r="T469" s="39"/>
      <c r="U469" s="39"/>
      <c r="V469" s="39"/>
      <c r="W469" s="39"/>
      <c r="X469" s="39"/>
      <c r="Y469" s="39"/>
      <c r="Z469" s="39"/>
      <c r="AA469" s="39"/>
      <c r="AB469" s="39"/>
    </row>
    <row r="470">
      <c r="A470" s="1"/>
      <c r="B470" s="36"/>
      <c r="C470" s="36"/>
      <c r="D470" s="36"/>
      <c r="E470" s="36"/>
      <c r="F470" s="36"/>
      <c r="G470" s="36"/>
      <c r="H470" s="37"/>
      <c r="I470" s="36"/>
      <c r="J470" s="38"/>
      <c r="K470" s="38"/>
      <c r="L470" s="39"/>
      <c r="M470" s="39"/>
      <c r="N470" s="39"/>
      <c r="O470" s="39"/>
      <c r="P470" s="39"/>
      <c r="Q470" s="39"/>
      <c r="R470" s="39"/>
      <c r="S470" s="39"/>
      <c r="T470" s="39"/>
      <c r="U470" s="39"/>
      <c r="V470" s="39"/>
      <c r="W470" s="39"/>
      <c r="X470" s="39"/>
      <c r="Y470" s="39"/>
      <c r="Z470" s="39"/>
      <c r="AA470" s="39"/>
      <c r="AB470" s="39"/>
    </row>
    <row r="471">
      <c r="A471" s="1"/>
      <c r="B471" s="36"/>
      <c r="C471" s="36"/>
      <c r="D471" s="36"/>
      <c r="E471" s="36"/>
      <c r="F471" s="36"/>
      <c r="G471" s="36"/>
      <c r="H471" s="37"/>
      <c r="I471" s="36"/>
      <c r="J471" s="38"/>
      <c r="K471" s="38"/>
      <c r="L471" s="39"/>
      <c r="M471" s="39"/>
      <c r="N471" s="39"/>
      <c r="O471" s="39"/>
      <c r="P471" s="39"/>
      <c r="Q471" s="39"/>
      <c r="R471" s="39"/>
      <c r="S471" s="39"/>
      <c r="T471" s="39"/>
      <c r="U471" s="39"/>
      <c r="V471" s="39"/>
      <c r="W471" s="39"/>
      <c r="X471" s="39"/>
      <c r="Y471" s="39"/>
      <c r="Z471" s="39"/>
      <c r="AA471" s="39"/>
      <c r="AB471" s="39"/>
    </row>
    <row r="472">
      <c r="A472" s="1"/>
      <c r="B472" s="36"/>
      <c r="C472" s="36"/>
      <c r="D472" s="36"/>
      <c r="E472" s="36"/>
      <c r="F472" s="36"/>
      <c r="G472" s="36"/>
      <c r="H472" s="37"/>
      <c r="I472" s="36"/>
      <c r="J472" s="38"/>
      <c r="K472" s="38"/>
      <c r="L472" s="39"/>
      <c r="M472" s="39"/>
      <c r="N472" s="39"/>
      <c r="O472" s="39"/>
      <c r="P472" s="39"/>
      <c r="Q472" s="39"/>
      <c r="R472" s="39"/>
      <c r="S472" s="39"/>
      <c r="T472" s="39"/>
      <c r="U472" s="39"/>
      <c r="V472" s="39"/>
      <c r="W472" s="39"/>
      <c r="X472" s="39"/>
      <c r="Y472" s="39"/>
      <c r="Z472" s="39"/>
      <c r="AA472" s="39"/>
      <c r="AB472" s="39"/>
    </row>
    <row r="473">
      <c r="A473" s="1"/>
      <c r="B473" s="36"/>
      <c r="C473" s="36"/>
      <c r="D473" s="36"/>
      <c r="E473" s="36"/>
      <c r="F473" s="36"/>
      <c r="G473" s="36"/>
      <c r="H473" s="37"/>
      <c r="I473" s="36"/>
      <c r="J473" s="38"/>
      <c r="K473" s="38"/>
      <c r="L473" s="39"/>
      <c r="M473" s="39"/>
      <c r="N473" s="39"/>
      <c r="O473" s="39"/>
      <c r="P473" s="39"/>
      <c r="Q473" s="39"/>
      <c r="R473" s="39"/>
      <c r="S473" s="39"/>
      <c r="T473" s="39"/>
      <c r="U473" s="39"/>
      <c r="V473" s="39"/>
      <c r="W473" s="39"/>
      <c r="X473" s="39"/>
      <c r="Y473" s="39"/>
      <c r="Z473" s="39"/>
      <c r="AA473" s="39"/>
      <c r="AB473" s="39"/>
    </row>
    <row r="474">
      <c r="A474" s="1"/>
      <c r="B474" s="36"/>
      <c r="C474" s="36"/>
      <c r="D474" s="36"/>
      <c r="E474" s="36"/>
      <c r="F474" s="36"/>
      <c r="G474" s="36"/>
      <c r="H474" s="37"/>
      <c r="I474" s="36"/>
      <c r="J474" s="38"/>
      <c r="K474" s="38"/>
      <c r="L474" s="39"/>
      <c r="M474" s="39"/>
      <c r="N474" s="39"/>
      <c r="O474" s="39"/>
      <c r="P474" s="39"/>
      <c r="Q474" s="39"/>
      <c r="R474" s="39"/>
      <c r="S474" s="39"/>
      <c r="T474" s="39"/>
      <c r="U474" s="39"/>
      <c r="V474" s="39"/>
      <c r="W474" s="39"/>
      <c r="X474" s="39"/>
      <c r="Y474" s="39"/>
      <c r="Z474" s="39"/>
      <c r="AA474" s="39"/>
      <c r="AB474" s="39"/>
    </row>
    <row r="475">
      <c r="A475" s="1"/>
      <c r="B475" s="36"/>
      <c r="C475" s="36"/>
      <c r="D475" s="36"/>
      <c r="E475" s="36"/>
      <c r="F475" s="36"/>
      <c r="G475" s="36"/>
      <c r="H475" s="37"/>
      <c r="I475" s="36"/>
      <c r="J475" s="38"/>
      <c r="K475" s="38"/>
      <c r="L475" s="39"/>
      <c r="M475" s="39"/>
      <c r="N475" s="39"/>
      <c r="O475" s="39"/>
      <c r="P475" s="39"/>
      <c r="Q475" s="39"/>
      <c r="R475" s="39"/>
      <c r="S475" s="39"/>
      <c r="T475" s="39"/>
      <c r="U475" s="39"/>
      <c r="V475" s="39"/>
      <c r="W475" s="39"/>
      <c r="X475" s="39"/>
      <c r="Y475" s="39"/>
      <c r="Z475" s="39"/>
      <c r="AA475" s="39"/>
      <c r="AB475" s="39"/>
    </row>
    <row r="476">
      <c r="A476" s="1"/>
      <c r="B476" s="36"/>
      <c r="C476" s="36"/>
      <c r="D476" s="36"/>
      <c r="E476" s="36"/>
      <c r="F476" s="36"/>
      <c r="G476" s="36"/>
      <c r="H476" s="37"/>
      <c r="I476" s="36"/>
      <c r="J476" s="38"/>
      <c r="K476" s="38"/>
      <c r="L476" s="39"/>
      <c r="M476" s="39"/>
      <c r="N476" s="39"/>
      <c r="O476" s="39"/>
      <c r="P476" s="39"/>
      <c r="Q476" s="39"/>
      <c r="R476" s="39"/>
      <c r="S476" s="39"/>
      <c r="T476" s="39"/>
      <c r="U476" s="39"/>
      <c r="V476" s="39"/>
      <c r="W476" s="39"/>
      <c r="X476" s="39"/>
      <c r="Y476" s="39"/>
      <c r="Z476" s="39"/>
      <c r="AA476" s="39"/>
      <c r="AB476" s="39"/>
    </row>
    <row r="477">
      <c r="A477" s="1"/>
      <c r="B477" s="36"/>
      <c r="C477" s="36"/>
      <c r="D477" s="36"/>
      <c r="E477" s="36"/>
      <c r="F477" s="36"/>
      <c r="G477" s="36"/>
      <c r="H477" s="37"/>
      <c r="I477" s="36"/>
      <c r="J477" s="38"/>
      <c r="K477" s="38"/>
      <c r="L477" s="39"/>
      <c r="M477" s="39"/>
      <c r="N477" s="39"/>
      <c r="O477" s="39"/>
      <c r="P477" s="39"/>
      <c r="Q477" s="39"/>
      <c r="R477" s="39"/>
      <c r="S477" s="39"/>
      <c r="T477" s="39"/>
      <c r="U477" s="39"/>
      <c r="V477" s="39"/>
      <c r="W477" s="39"/>
      <c r="X477" s="39"/>
      <c r="Y477" s="39"/>
      <c r="Z477" s="39"/>
      <c r="AA477" s="39"/>
      <c r="AB477" s="39"/>
    </row>
    <row r="478">
      <c r="A478" s="1"/>
      <c r="B478" s="36"/>
      <c r="C478" s="36"/>
      <c r="D478" s="36"/>
      <c r="E478" s="36"/>
      <c r="F478" s="36"/>
      <c r="G478" s="36"/>
      <c r="H478" s="37"/>
      <c r="I478" s="36"/>
      <c r="J478" s="38"/>
      <c r="K478" s="38"/>
      <c r="L478" s="39"/>
      <c r="M478" s="39"/>
      <c r="N478" s="39"/>
      <c r="O478" s="39"/>
      <c r="P478" s="39"/>
      <c r="Q478" s="39"/>
      <c r="R478" s="39"/>
      <c r="S478" s="39"/>
      <c r="T478" s="39"/>
      <c r="U478" s="39"/>
      <c r="V478" s="39"/>
      <c r="W478" s="39"/>
      <c r="X478" s="39"/>
      <c r="Y478" s="39"/>
      <c r="Z478" s="39"/>
      <c r="AA478" s="39"/>
      <c r="AB478" s="39"/>
    </row>
    <row r="479">
      <c r="A479" s="1"/>
      <c r="B479" s="36"/>
      <c r="C479" s="36"/>
      <c r="D479" s="36"/>
      <c r="E479" s="36"/>
      <c r="F479" s="36"/>
      <c r="G479" s="36"/>
      <c r="H479" s="37"/>
      <c r="I479" s="36"/>
      <c r="J479" s="38"/>
      <c r="K479" s="38"/>
      <c r="L479" s="39"/>
      <c r="M479" s="39"/>
      <c r="N479" s="39"/>
      <c r="O479" s="39"/>
      <c r="P479" s="39"/>
      <c r="Q479" s="39"/>
      <c r="R479" s="39"/>
      <c r="S479" s="39"/>
      <c r="T479" s="39"/>
      <c r="U479" s="39"/>
      <c r="V479" s="39"/>
      <c r="W479" s="39"/>
      <c r="X479" s="39"/>
      <c r="Y479" s="39"/>
      <c r="Z479" s="39"/>
      <c r="AA479" s="39"/>
      <c r="AB479" s="39"/>
    </row>
    <row r="480">
      <c r="A480" s="1"/>
      <c r="B480" s="36"/>
      <c r="C480" s="36"/>
      <c r="D480" s="36"/>
      <c r="E480" s="36"/>
      <c r="F480" s="36"/>
      <c r="G480" s="36"/>
      <c r="H480" s="37"/>
      <c r="I480" s="36"/>
      <c r="J480" s="38"/>
      <c r="K480" s="38"/>
      <c r="L480" s="39"/>
      <c r="M480" s="39"/>
      <c r="N480" s="39"/>
      <c r="O480" s="39"/>
      <c r="P480" s="39"/>
      <c r="Q480" s="39"/>
      <c r="R480" s="39"/>
      <c r="S480" s="39"/>
      <c r="T480" s="39"/>
      <c r="U480" s="39"/>
      <c r="V480" s="39"/>
      <c r="W480" s="39"/>
      <c r="X480" s="39"/>
      <c r="Y480" s="39"/>
      <c r="Z480" s="39"/>
      <c r="AA480" s="39"/>
      <c r="AB480" s="39"/>
    </row>
    <row r="481">
      <c r="A481" s="1"/>
      <c r="B481" s="36"/>
      <c r="C481" s="36"/>
      <c r="D481" s="36"/>
      <c r="E481" s="36"/>
      <c r="F481" s="36"/>
      <c r="G481" s="36"/>
      <c r="H481" s="37"/>
      <c r="I481" s="36"/>
      <c r="J481" s="38"/>
      <c r="K481" s="38"/>
      <c r="L481" s="39"/>
      <c r="M481" s="39"/>
      <c r="N481" s="39"/>
      <c r="O481" s="39"/>
      <c r="P481" s="39"/>
      <c r="Q481" s="39"/>
      <c r="R481" s="39"/>
      <c r="S481" s="39"/>
      <c r="T481" s="39"/>
      <c r="U481" s="39"/>
      <c r="V481" s="39"/>
      <c r="W481" s="39"/>
      <c r="X481" s="39"/>
      <c r="Y481" s="39"/>
      <c r="Z481" s="39"/>
      <c r="AA481" s="39"/>
      <c r="AB481" s="39"/>
    </row>
    <row r="482">
      <c r="A482" s="1"/>
      <c r="B482" s="36"/>
      <c r="C482" s="36"/>
      <c r="D482" s="36"/>
      <c r="E482" s="36"/>
      <c r="F482" s="36"/>
      <c r="G482" s="36"/>
      <c r="H482" s="37"/>
      <c r="I482" s="36"/>
      <c r="J482" s="38"/>
      <c r="K482" s="38"/>
      <c r="L482" s="39"/>
      <c r="M482" s="39"/>
      <c r="N482" s="39"/>
      <c r="O482" s="39"/>
      <c r="P482" s="39"/>
      <c r="Q482" s="39"/>
      <c r="R482" s="39"/>
      <c r="S482" s="39"/>
      <c r="T482" s="39"/>
      <c r="U482" s="39"/>
      <c r="V482" s="39"/>
      <c r="W482" s="39"/>
      <c r="X482" s="39"/>
      <c r="Y482" s="39"/>
      <c r="Z482" s="39"/>
      <c r="AA482" s="39"/>
      <c r="AB482" s="39"/>
    </row>
    <row r="483">
      <c r="A483" s="1"/>
      <c r="B483" s="36"/>
      <c r="C483" s="36"/>
      <c r="D483" s="36"/>
      <c r="E483" s="36"/>
      <c r="F483" s="36"/>
      <c r="G483" s="36"/>
      <c r="H483" s="37"/>
      <c r="I483" s="36"/>
      <c r="J483" s="38"/>
      <c r="K483" s="38"/>
      <c r="L483" s="39"/>
      <c r="M483" s="39"/>
      <c r="N483" s="39"/>
      <c r="O483" s="39"/>
      <c r="P483" s="39"/>
      <c r="Q483" s="39"/>
      <c r="R483" s="39"/>
      <c r="S483" s="39"/>
      <c r="T483" s="39"/>
      <c r="U483" s="39"/>
      <c r="V483" s="39"/>
      <c r="W483" s="39"/>
      <c r="X483" s="39"/>
      <c r="Y483" s="39"/>
      <c r="Z483" s="39"/>
      <c r="AA483" s="39"/>
      <c r="AB483" s="39"/>
    </row>
    <row r="484">
      <c r="A484" s="1"/>
      <c r="B484" s="36"/>
      <c r="C484" s="36"/>
      <c r="D484" s="36"/>
      <c r="E484" s="36"/>
      <c r="F484" s="36"/>
      <c r="G484" s="36"/>
      <c r="H484" s="37"/>
      <c r="I484" s="36"/>
      <c r="J484" s="38"/>
      <c r="K484" s="38"/>
      <c r="L484" s="39"/>
      <c r="M484" s="39"/>
      <c r="N484" s="39"/>
      <c r="O484" s="39"/>
      <c r="P484" s="39"/>
      <c r="Q484" s="39"/>
      <c r="R484" s="39"/>
      <c r="S484" s="39"/>
      <c r="T484" s="39"/>
      <c r="U484" s="39"/>
      <c r="V484" s="39"/>
      <c r="W484" s="39"/>
      <c r="X484" s="39"/>
      <c r="Y484" s="39"/>
      <c r="Z484" s="39"/>
      <c r="AA484" s="39"/>
      <c r="AB484" s="39"/>
    </row>
    <row r="485">
      <c r="A485" s="1"/>
      <c r="B485" s="36"/>
      <c r="C485" s="36"/>
      <c r="D485" s="36"/>
      <c r="E485" s="36"/>
      <c r="F485" s="36"/>
      <c r="G485" s="36"/>
      <c r="H485" s="37"/>
      <c r="I485" s="36"/>
      <c r="J485" s="38"/>
      <c r="K485" s="38"/>
      <c r="L485" s="39"/>
      <c r="M485" s="39"/>
      <c r="N485" s="39"/>
      <c r="O485" s="39"/>
      <c r="P485" s="39"/>
      <c r="Q485" s="39"/>
      <c r="R485" s="39"/>
      <c r="S485" s="39"/>
      <c r="T485" s="39"/>
      <c r="U485" s="39"/>
      <c r="V485" s="39"/>
      <c r="W485" s="39"/>
      <c r="X485" s="39"/>
      <c r="Y485" s="39"/>
      <c r="Z485" s="39"/>
      <c r="AA485" s="39"/>
      <c r="AB485" s="39"/>
    </row>
    <row r="486">
      <c r="A486" s="1"/>
      <c r="B486" s="36"/>
      <c r="C486" s="36"/>
      <c r="D486" s="36"/>
      <c r="E486" s="36"/>
      <c r="F486" s="36"/>
      <c r="G486" s="36"/>
      <c r="H486" s="37"/>
      <c r="I486" s="36"/>
      <c r="J486" s="38"/>
      <c r="K486" s="38"/>
      <c r="L486" s="39"/>
      <c r="M486" s="39"/>
      <c r="N486" s="39"/>
      <c r="O486" s="39"/>
      <c r="P486" s="39"/>
      <c r="Q486" s="39"/>
      <c r="R486" s="39"/>
      <c r="S486" s="39"/>
      <c r="T486" s="39"/>
      <c r="U486" s="39"/>
      <c r="V486" s="39"/>
      <c r="W486" s="39"/>
      <c r="X486" s="39"/>
      <c r="Y486" s="39"/>
      <c r="Z486" s="39"/>
      <c r="AA486" s="39"/>
      <c r="AB486" s="39"/>
    </row>
    <row r="487">
      <c r="A487" s="1"/>
      <c r="B487" s="36"/>
      <c r="C487" s="36"/>
      <c r="D487" s="36"/>
      <c r="E487" s="36"/>
      <c r="F487" s="36"/>
      <c r="G487" s="36"/>
      <c r="H487" s="37"/>
      <c r="I487" s="36"/>
      <c r="J487" s="38"/>
      <c r="K487" s="38"/>
      <c r="L487" s="39"/>
      <c r="M487" s="39"/>
      <c r="N487" s="39"/>
      <c r="O487" s="39"/>
      <c r="P487" s="39"/>
      <c r="Q487" s="39"/>
      <c r="R487" s="39"/>
      <c r="S487" s="39"/>
      <c r="T487" s="39"/>
      <c r="U487" s="39"/>
      <c r="V487" s="39"/>
      <c r="W487" s="39"/>
      <c r="X487" s="39"/>
      <c r="Y487" s="39"/>
      <c r="Z487" s="39"/>
      <c r="AA487" s="39"/>
      <c r="AB487" s="39"/>
    </row>
    <row r="488">
      <c r="A488" s="1"/>
      <c r="B488" s="36"/>
      <c r="C488" s="36"/>
      <c r="D488" s="36"/>
      <c r="E488" s="36"/>
      <c r="F488" s="36"/>
      <c r="G488" s="36"/>
      <c r="H488" s="37"/>
      <c r="I488" s="36"/>
      <c r="J488" s="38"/>
      <c r="K488" s="38"/>
      <c r="L488" s="39"/>
      <c r="M488" s="39"/>
      <c r="N488" s="39"/>
      <c r="O488" s="39"/>
      <c r="P488" s="39"/>
      <c r="Q488" s="39"/>
      <c r="R488" s="39"/>
      <c r="S488" s="39"/>
      <c r="T488" s="39"/>
      <c r="U488" s="39"/>
      <c r="V488" s="39"/>
      <c r="W488" s="39"/>
      <c r="X488" s="39"/>
      <c r="Y488" s="39"/>
      <c r="Z488" s="39"/>
      <c r="AA488" s="39"/>
      <c r="AB488" s="39"/>
    </row>
    <row r="489">
      <c r="A489" s="1"/>
      <c r="B489" s="36"/>
      <c r="C489" s="36"/>
      <c r="D489" s="36"/>
      <c r="E489" s="36"/>
      <c r="F489" s="36"/>
      <c r="G489" s="36"/>
      <c r="H489" s="37"/>
      <c r="I489" s="36"/>
      <c r="J489" s="38"/>
      <c r="K489" s="38"/>
      <c r="L489" s="39"/>
      <c r="M489" s="39"/>
      <c r="N489" s="39"/>
      <c r="O489" s="39"/>
      <c r="P489" s="39"/>
      <c r="Q489" s="39"/>
      <c r="R489" s="39"/>
      <c r="S489" s="39"/>
      <c r="T489" s="39"/>
      <c r="U489" s="39"/>
      <c r="V489" s="39"/>
      <c r="W489" s="39"/>
      <c r="X489" s="39"/>
      <c r="Y489" s="39"/>
      <c r="Z489" s="39"/>
      <c r="AA489" s="39"/>
      <c r="AB489" s="39"/>
    </row>
    <row r="490">
      <c r="A490" s="1"/>
      <c r="B490" s="36"/>
      <c r="C490" s="36"/>
      <c r="D490" s="36"/>
      <c r="E490" s="36"/>
      <c r="F490" s="36"/>
      <c r="G490" s="36"/>
      <c r="H490" s="37"/>
      <c r="I490" s="36"/>
      <c r="J490" s="38"/>
      <c r="K490" s="38"/>
      <c r="L490" s="39"/>
      <c r="M490" s="39"/>
      <c r="N490" s="39"/>
      <c r="O490" s="39"/>
      <c r="P490" s="39"/>
      <c r="Q490" s="39"/>
      <c r="R490" s="39"/>
      <c r="S490" s="39"/>
      <c r="T490" s="39"/>
      <c r="U490" s="39"/>
      <c r="V490" s="39"/>
      <c r="W490" s="39"/>
      <c r="X490" s="39"/>
      <c r="Y490" s="39"/>
      <c r="Z490" s="39"/>
      <c r="AA490" s="39"/>
      <c r="AB490" s="39"/>
    </row>
    <row r="491">
      <c r="A491" s="1"/>
      <c r="B491" s="36"/>
      <c r="C491" s="36"/>
      <c r="D491" s="36"/>
      <c r="E491" s="36"/>
      <c r="F491" s="36"/>
      <c r="G491" s="36"/>
      <c r="H491" s="37"/>
      <c r="I491" s="36"/>
      <c r="J491" s="38"/>
      <c r="K491" s="38"/>
      <c r="L491" s="39"/>
      <c r="M491" s="39"/>
      <c r="N491" s="39"/>
      <c r="O491" s="39"/>
      <c r="P491" s="39"/>
      <c r="Q491" s="39"/>
      <c r="R491" s="39"/>
      <c r="S491" s="39"/>
      <c r="T491" s="39"/>
      <c r="U491" s="39"/>
      <c r="V491" s="39"/>
      <c r="W491" s="39"/>
      <c r="X491" s="39"/>
      <c r="Y491" s="39"/>
      <c r="Z491" s="39"/>
      <c r="AA491" s="39"/>
      <c r="AB491" s="39"/>
    </row>
    <row r="492">
      <c r="A492" s="1"/>
      <c r="B492" s="36"/>
      <c r="C492" s="36"/>
      <c r="D492" s="36"/>
      <c r="E492" s="36"/>
      <c r="F492" s="36"/>
      <c r="G492" s="36"/>
      <c r="H492" s="37"/>
      <c r="I492" s="36"/>
      <c r="J492" s="38"/>
      <c r="K492" s="38"/>
      <c r="L492" s="39"/>
      <c r="M492" s="39"/>
      <c r="N492" s="39"/>
      <c r="O492" s="39"/>
      <c r="P492" s="39"/>
      <c r="Q492" s="39"/>
      <c r="R492" s="39"/>
      <c r="S492" s="39"/>
      <c r="T492" s="39"/>
      <c r="U492" s="39"/>
      <c r="V492" s="39"/>
      <c r="W492" s="39"/>
      <c r="X492" s="39"/>
      <c r="Y492" s="39"/>
      <c r="Z492" s="39"/>
      <c r="AA492" s="39"/>
      <c r="AB492" s="39"/>
    </row>
    <row r="493">
      <c r="A493" s="1"/>
      <c r="B493" s="36"/>
      <c r="C493" s="36"/>
      <c r="D493" s="36"/>
      <c r="E493" s="36"/>
      <c r="F493" s="36"/>
      <c r="G493" s="36"/>
      <c r="H493" s="37"/>
      <c r="I493" s="36"/>
      <c r="J493" s="38"/>
      <c r="K493" s="38"/>
      <c r="L493" s="39"/>
      <c r="M493" s="39"/>
      <c r="N493" s="39"/>
      <c r="O493" s="39"/>
      <c r="P493" s="39"/>
      <c r="Q493" s="39"/>
      <c r="R493" s="39"/>
      <c r="S493" s="39"/>
      <c r="T493" s="39"/>
      <c r="U493" s="39"/>
      <c r="V493" s="39"/>
      <c r="W493" s="39"/>
      <c r="X493" s="39"/>
      <c r="Y493" s="39"/>
      <c r="Z493" s="39"/>
      <c r="AA493" s="39"/>
      <c r="AB493" s="39"/>
    </row>
    <row r="494">
      <c r="A494" s="1"/>
      <c r="B494" s="36"/>
      <c r="C494" s="36"/>
      <c r="D494" s="36"/>
      <c r="E494" s="36"/>
      <c r="F494" s="36"/>
      <c r="G494" s="36"/>
      <c r="H494" s="37"/>
      <c r="I494" s="36"/>
      <c r="J494" s="38"/>
      <c r="K494" s="38"/>
      <c r="L494" s="39"/>
      <c r="M494" s="39"/>
      <c r="N494" s="39"/>
      <c r="O494" s="39"/>
      <c r="P494" s="39"/>
      <c r="Q494" s="39"/>
      <c r="R494" s="39"/>
      <c r="S494" s="39"/>
      <c r="T494" s="39"/>
      <c r="U494" s="39"/>
      <c r="V494" s="39"/>
      <c r="W494" s="39"/>
      <c r="X494" s="39"/>
      <c r="Y494" s="39"/>
      <c r="Z494" s="39"/>
      <c r="AA494" s="39"/>
      <c r="AB494" s="39"/>
    </row>
    <row r="495">
      <c r="A495" s="1"/>
      <c r="B495" s="36"/>
      <c r="C495" s="36"/>
      <c r="D495" s="36"/>
      <c r="E495" s="36"/>
      <c r="F495" s="36"/>
      <c r="G495" s="36"/>
      <c r="H495" s="37"/>
      <c r="I495" s="36"/>
      <c r="J495" s="38"/>
      <c r="K495" s="38"/>
      <c r="L495" s="39"/>
      <c r="M495" s="39"/>
      <c r="N495" s="39"/>
      <c r="O495" s="39"/>
      <c r="P495" s="39"/>
      <c r="Q495" s="39"/>
      <c r="R495" s="39"/>
      <c r="S495" s="39"/>
      <c r="T495" s="39"/>
      <c r="U495" s="39"/>
      <c r="V495" s="39"/>
      <c r="W495" s="39"/>
      <c r="X495" s="39"/>
      <c r="Y495" s="39"/>
      <c r="Z495" s="39"/>
      <c r="AA495" s="39"/>
      <c r="AB495" s="39"/>
    </row>
    <row r="496">
      <c r="A496" s="1"/>
      <c r="B496" s="36"/>
      <c r="C496" s="36"/>
      <c r="D496" s="36"/>
      <c r="E496" s="36"/>
      <c r="F496" s="36"/>
      <c r="G496" s="36"/>
      <c r="H496" s="37"/>
      <c r="I496" s="36"/>
      <c r="J496" s="38"/>
      <c r="K496" s="38"/>
      <c r="L496" s="39"/>
      <c r="M496" s="39"/>
      <c r="N496" s="39"/>
      <c r="O496" s="39"/>
      <c r="P496" s="39"/>
      <c r="Q496" s="39"/>
      <c r="R496" s="39"/>
      <c r="S496" s="39"/>
      <c r="T496" s="39"/>
      <c r="U496" s="39"/>
      <c r="V496" s="39"/>
      <c r="W496" s="39"/>
      <c r="X496" s="39"/>
      <c r="Y496" s="39"/>
      <c r="Z496" s="39"/>
      <c r="AA496" s="39"/>
      <c r="AB496" s="39"/>
    </row>
    <row r="497">
      <c r="A497" s="1"/>
      <c r="B497" s="36"/>
      <c r="C497" s="36"/>
      <c r="D497" s="36"/>
      <c r="E497" s="36"/>
      <c r="F497" s="36"/>
      <c r="G497" s="36"/>
      <c r="H497" s="37"/>
      <c r="I497" s="36"/>
      <c r="J497" s="38"/>
      <c r="K497" s="38"/>
      <c r="L497" s="39"/>
      <c r="M497" s="39"/>
      <c r="N497" s="39"/>
      <c r="O497" s="39"/>
      <c r="P497" s="39"/>
      <c r="Q497" s="39"/>
      <c r="R497" s="39"/>
      <c r="S497" s="39"/>
      <c r="T497" s="39"/>
      <c r="U497" s="39"/>
      <c r="V497" s="39"/>
      <c r="W497" s="39"/>
      <c r="X497" s="39"/>
      <c r="Y497" s="39"/>
      <c r="Z497" s="39"/>
      <c r="AA497" s="39"/>
      <c r="AB497" s="39"/>
    </row>
    <row r="498">
      <c r="A498" s="1"/>
      <c r="B498" s="36"/>
      <c r="C498" s="36"/>
      <c r="D498" s="36"/>
      <c r="E498" s="36"/>
      <c r="F498" s="36"/>
      <c r="G498" s="36"/>
      <c r="H498" s="37"/>
      <c r="I498" s="36"/>
      <c r="J498" s="38"/>
      <c r="K498" s="38"/>
      <c r="L498" s="39"/>
      <c r="M498" s="39"/>
      <c r="N498" s="39"/>
      <c r="O498" s="39"/>
      <c r="P498" s="39"/>
      <c r="Q498" s="39"/>
      <c r="R498" s="39"/>
      <c r="S498" s="39"/>
      <c r="T498" s="39"/>
      <c r="U498" s="39"/>
      <c r="V498" s="39"/>
      <c r="W498" s="39"/>
      <c r="X498" s="39"/>
      <c r="Y498" s="39"/>
      <c r="Z498" s="39"/>
      <c r="AA498" s="39"/>
      <c r="AB498" s="39"/>
    </row>
    <row r="499">
      <c r="A499" s="1"/>
      <c r="B499" s="36"/>
      <c r="C499" s="36"/>
      <c r="D499" s="36"/>
      <c r="E499" s="36"/>
      <c r="F499" s="36"/>
      <c r="G499" s="36"/>
      <c r="H499" s="37"/>
      <c r="I499" s="36"/>
      <c r="J499" s="38"/>
      <c r="K499" s="38"/>
      <c r="L499" s="39"/>
      <c r="M499" s="39"/>
      <c r="N499" s="39"/>
      <c r="O499" s="39"/>
      <c r="P499" s="39"/>
      <c r="Q499" s="39"/>
      <c r="R499" s="39"/>
      <c r="S499" s="39"/>
      <c r="T499" s="39"/>
      <c r="U499" s="39"/>
      <c r="V499" s="39"/>
      <c r="W499" s="39"/>
      <c r="X499" s="39"/>
      <c r="Y499" s="39"/>
      <c r="Z499" s="39"/>
      <c r="AA499" s="39"/>
      <c r="AB499" s="39"/>
    </row>
    <row r="500">
      <c r="A500" s="1"/>
      <c r="B500" s="36"/>
      <c r="C500" s="36"/>
      <c r="D500" s="36"/>
      <c r="E500" s="36"/>
      <c r="F500" s="36"/>
      <c r="G500" s="36"/>
      <c r="H500" s="37"/>
      <c r="I500" s="36"/>
      <c r="J500" s="38"/>
      <c r="K500" s="38"/>
      <c r="L500" s="39"/>
      <c r="M500" s="39"/>
      <c r="N500" s="39"/>
      <c r="O500" s="39"/>
      <c r="P500" s="39"/>
      <c r="Q500" s="39"/>
      <c r="R500" s="39"/>
      <c r="S500" s="39"/>
      <c r="T500" s="39"/>
      <c r="U500" s="39"/>
      <c r="V500" s="39"/>
      <c r="W500" s="39"/>
      <c r="X500" s="39"/>
      <c r="Y500" s="39"/>
      <c r="Z500" s="39"/>
      <c r="AA500" s="39"/>
      <c r="AB500" s="39"/>
    </row>
    <row r="501">
      <c r="A501" s="1"/>
      <c r="B501" s="36"/>
      <c r="C501" s="36"/>
      <c r="D501" s="36"/>
      <c r="E501" s="36"/>
      <c r="F501" s="36"/>
      <c r="G501" s="36"/>
      <c r="H501" s="37"/>
      <c r="I501" s="36"/>
      <c r="J501" s="38"/>
      <c r="K501" s="38"/>
      <c r="L501" s="39"/>
      <c r="M501" s="39"/>
      <c r="N501" s="39"/>
      <c r="O501" s="39"/>
      <c r="P501" s="39"/>
      <c r="Q501" s="39"/>
      <c r="R501" s="39"/>
      <c r="S501" s="39"/>
      <c r="T501" s="39"/>
      <c r="U501" s="39"/>
      <c r="V501" s="39"/>
      <c r="W501" s="39"/>
      <c r="X501" s="39"/>
      <c r="Y501" s="39"/>
      <c r="Z501" s="39"/>
      <c r="AA501" s="39"/>
      <c r="AB501" s="39"/>
    </row>
    <row r="502">
      <c r="A502" s="1"/>
      <c r="B502" s="36"/>
      <c r="C502" s="36"/>
      <c r="D502" s="36"/>
      <c r="E502" s="36"/>
      <c r="F502" s="36"/>
      <c r="G502" s="36"/>
      <c r="H502" s="37"/>
      <c r="I502" s="36"/>
      <c r="J502" s="38"/>
      <c r="K502" s="38"/>
      <c r="L502" s="39"/>
      <c r="M502" s="39"/>
      <c r="N502" s="39"/>
      <c r="O502" s="39"/>
      <c r="P502" s="39"/>
      <c r="Q502" s="39"/>
      <c r="R502" s="39"/>
      <c r="S502" s="39"/>
      <c r="T502" s="39"/>
      <c r="U502" s="39"/>
      <c r="V502" s="39"/>
      <c r="W502" s="39"/>
      <c r="X502" s="39"/>
      <c r="Y502" s="39"/>
      <c r="Z502" s="39"/>
      <c r="AA502" s="39"/>
      <c r="AB502" s="39"/>
    </row>
    <row r="503">
      <c r="A503" s="1"/>
      <c r="B503" s="36"/>
      <c r="C503" s="36"/>
      <c r="D503" s="36"/>
      <c r="E503" s="36"/>
      <c r="F503" s="36"/>
      <c r="G503" s="36"/>
      <c r="H503" s="37"/>
      <c r="I503" s="36"/>
      <c r="J503" s="38"/>
      <c r="K503" s="38"/>
      <c r="L503" s="39"/>
      <c r="M503" s="39"/>
      <c r="N503" s="39"/>
      <c r="O503" s="39"/>
      <c r="P503" s="39"/>
      <c r="Q503" s="39"/>
      <c r="R503" s="39"/>
      <c r="S503" s="39"/>
      <c r="T503" s="39"/>
      <c r="U503" s="39"/>
      <c r="V503" s="39"/>
      <c r="W503" s="39"/>
      <c r="X503" s="39"/>
      <c r="Y503" s="39"/>
      <c r="Z503" s="39"/>
      <c r="AA503" s="39"/>
      <c r="AB503" s="39"/>
    </row>
    <row r="504">
      <c r="A504" s="1"/>
      <c r="B504" s="36"/>
      <c r="C504" s="36"/>
      <c r="D504" s="36"/>
      <c r="E504" s="36"/>
      <c r="F504" s="36"/>
      <c r="G504" s="36"/>
      <c r="H504" s="37"/>
      <c r="I504" s="36"/>
      <c r="J504" s="38"/>
      <c r="K504" s="38"/>
      <c r="L504" s="39"/>
      <c r="M504" s="39"/>
      <c r="N504" s="39"/>
      <c r="O504" s="39"/>
      <c r="P504" s="39"/>
      <c r="Q504" s="39"/>
      <c r="R504" s="39"/>
      <c r="S504" s="39"/>
      <c r="T504" s="39"/>
      <c r="U504" s="39"/>
      <c r="V504" s="39"/>
      <c r="W504" s="39"/>
      <c r="X504" s="39"/>
      <c r="Y504" s="39"/>
      <c r="Z504" s="39"/>
      <c r="AA504" s="39"/>
      <c r="AB504" s="39"/>
    </row>
    <row r="505">
      <c r="A505" s="1"/>
      <c r="B505" s="36"/>
      <c r="C505" s="36"/>
      <c r="D505" s="36"/>
      <c r="E505" s="36"/>
      <c r="F505" s="36"/>
      <c r="G505" s="36"/>
      <c r="H505" s="37"/>
      <c r="I505" s="36"/>
      <c r="J505" s="38"/>
      <c r="K505" s="38"/>
      <c r="L505" s="39"/>
      <c r="M505" s="39"/>
      <c r="N505" s="39"/>
      <c r="O505" s="39"/>
      <c r="P505" s="39"/>
      <c r="Q505" s="39"/>
      <c r="R505" s="39"/>
      <c r="S505" s="39"/>
      <c r="T505" s="39"/>
      <c r="U505" s="39"/>
      <c r="V505" s="39"/>
      <c r="W505" s="39"/>
      <c r="X505" s="39"/>
      <c r="Y505" s="39"/>
      <c r="Z505" s="39"/>
      <c r="AA505" s="39"/>
      <c r="AB505" s="39"/>
    </row>
    <row r="506">
      <c r="A506" s="1"/>
      <c r="B506" s="36"/>
      <c r="C506" s="36"/>
      <c r="D506" s="36"/>
      <c r="E506" s="36"/>
      <c r="F506" s="36"/>
      <c r="G506" s="36"/>
      <c r="H506" s="37"/>
      <c r="I506" s="36"/>
      <c r="J506" s="38"/>
      <c r="K506" s="38"/>
      <c r="L506" s="39"/>
      <c r="M506" s="39"/>
      <c r="N506" s="39"/>
      <c r="O506" s="39"/>
      <c r="P506" s="39"/>
      <c r="Q506" s="39"/>
      <c r="R506" s="39"/>
      <c r="S506" s="39"/>
      <c r="T506" s="39"/>
      <c r="U506" s="39"/>
      <c r="V506" s="39"/>
      <c r="W506" s="39"/>
      <c r="X506" s="39"/>
      <c r="Y506" s="39"/>
      <c r="Z506" s="39"/>
      <c r="AA506" s="39"/>
      <c r="AB506" s="39"/>
    </row>
    <row r="507">
      <c r="A507" s="1"/>
      <c r="B507" s="36"/>
      <c r="C507" s="36"/>
      <c r="D507" s="36"/>
      <c r="E507" s="36"/>
      <c r="F507" s="36"/>
      <c r="G507" s="36"/>
      <c r="H507" s="37"/>
      <c r="I507" s="36"/>
      <c r="J507" s="38"/>
      <c r="K507" s="38"/>
      <c r="L507" s="39"/>
      <c r="M507" s="39"/>
      <c r="N507" s="39"/>
      <c r="O507" s="39"/>
      <c r="P507" s="39"/>
      <c r="Q507" s="39"/>
      <c r="R507" s="39"/>
      <c r="S507" s="39"/>
      <c r="T507" s="39"/>
      <c r="U507" s="39"/>
      <c r="V507" s="39"/>
      <c r="W507" s="39"/>
      <c r="X507" s="39"/>
      <c r="Y507" s="39"/>
      <c r="Z507" s="39"/>
      <c r="AA507" s="39"/>
      <c r="AB507" s="39"/>
    </row>
    <row r="508">
      <c r="A508" s="1"/>
      <c r="B508" s="36"/>
      <c r="C508" s="36"/>
      <c r="D508" s="36"/>
      <c r="E508" s="36"/>
      <c r="F508" s="36"/>
      <c r="G508" s="36"/>
      <c r="H508" s="37"/>
      <c r="I508" s="36"/>
      <c r="J508" s="38"/>
      <c r="K508" s="38"/>
      <c r="L508" s="39"/>
      <c r="M508" s="39"/>
      <c r="N508" s="39"/>
      <c r="O508" s="39"/>
      <c r="P508" s="39"/>
      <c r="Q508" s="39"/>
      <c r="R508" s="39"/>
      <c r="S508" s="39"/>
      <c r="T508" s="39"/>
      <c r="U508" s="39"/>
      <c r="V508" s="39"/>
      <c r="W508" s="39"/>
      <c r="X508" s="39"/>
      <c r="Y508" s="39"/>
      <c r="Z508" s="39"/>
      <c r="AA508" s="39"/>
      <c r="AB508" s="39"/>
    </row>
    <row r="509">
      <c r="A509" s="1"/>
      <c r="B509" s="36"/>
      <c r="C509" s="36"/>
      <c r="D509" s="36"/>
      <c r="E509" s="36"/>
      <c r="F509" s="36"/>
      <c r="G509" s="36"/>
      <c r="H509" s="37"/>
      <c r="I509" s="36"/>
      <c r="J509" s="38"/>
      <c r="K509" s="38"/>
      <c r="L509" s="39"/>
      <c r="M509" s="39"/>
      <c r="N509" s="39"/>
      <c r="O509" s="39"/>
      <c r="P509" s="39"/>
      <c r="Q509" s="39"/>
      <c r="R509" s="39"/>
      <c r="S509" s="39"/>
      <c r="T509" s="39"/>
      <c r="U509" s="39"/>
      <c r="V509" s="39"/>
      <c r="W509" s="39"/>
      <c r="X509" s="39"/>
      <c r="Y509" s="39"/>
      <c r="Z509" s="39"/>
      <c r="AA509" s="39"/>
      <c r="AB509" s="39"/>
    </row>
    <row r="510">
      <c r="A510" s="1"/>
      <c r="B510" s="36"/>
      <c r="C510" s="36"/>
      <c r="D510" s="36"/>
      <c r="E510" s="36"/>
      <c r="F510" s="36"/>
      <c r="G510" s="36"/>
      <c r="H510" s="37"/>
      <c r="I510" s="36"/>
      <c r="J510" s="38"/>
      <c r="K510" s="38"/>
      <c r="L510" s="39"/>
      <c r="M510" s="39"/>
      <c r="N510" s="39"/>
      <c r="O510" s="39"/>
      <c r="P510" s="39"/>
      <c r="Q510" s="39"/>
      <c r="R510" s="39"/>
      <c r="S510" s="39"/>
      <c r="T510" s="39"/>
      <c r="U510" s="39"/>
      <c r="V510" s="39"/>
      <c r="W510" s="39"/>
      <c r="X510" s="39"/>
      <c r="Y510" s="39"/>
      <c r="Z510" s="39"/>
      <c r="AA510" s="39"/>
      <c r="AB510" s="39"/>
    </row>
    <row r="511">
      <c r="A511" s="1"/>
      <c r="B511" s="36"/>
      <c r="C511" s="36"/>
      <c r="D511" s="36"/>
      <c r="E511" s="36"/>
      <c r="F511" s="36"/>
      <c r="G511" s="36"/>
      <c r="H511" s="37"/>
      <c r="I511" s="36"/>
      <c r="J511" s="38"/>
      <c r="K511" s="38"/>
      <c r="L511" s="39"/>
      <c r="M511" s="39"/>
      <c r="N511" s="39"/>
      <c r="O511" s="39"/>
      <c r="P511" s="39"/>
      <c r="Q511" s="39"/>
      <c r="R511" s="39"/>
      <c r="S511" s="39"/>
      <c r="T511" s="39"/>
      <c r="U511" s="39"/>
      <c r="V511" s="39"/>
      <c r="W511" s="39"/>
      <c r="X511" s="39"/>
      <c r="Y511" s="39"/>
      <c r="Z511" s="39"/>
      <c r="AA511" s="39"/>
      <c r="AB511" s="39"/>
    </row>
    <row r="512">
      <c r="A512" s="1"/>
      <c r="B512" s="36"/>
      <c r="C512" s="36"/>
      <c r="D512" s="36"/>
      <c r="E512" s="36"/>
      <c r="F512" s="36"/>
      <c r="G512" s="36"/>
      <c r="H512" s="37"/>
      <c r="I512" s="36"/>
      <c r="J512" s="38"/>
      <c r="K512" s="38"/>
      <c r="L512" s="39"/>
      <c r="M512" s="39"/>
      <c r="N512" s="39"/>
      <c r="O512" s="39"/>
      <c r="P512" s="39"/>
      <c r="Q512" s="39"/>
      <c r="R512" s="39"/>
      <c r="S512" s="39"/>
      <c r="T512" s="39"/>
      <c r="U512" s="39"/>
      <c r="V512" s="39"/>
      <c r="W512" s="39"/>
      <c r="X512" s="39"/>
      <c r="Y512" s="39"/>
      <c r="Z512" s="39"/>
      <c r="AA512" s="39"/>
      <c r="AB512" s="39"/>
    </row>
    <row r="513">
      <c r="A513" s="1"/>
      <c r="B513" s="36"/>
      <c r="C513" s="36"/>
      <c r="D513" s="36"/>
      <c r="E513" s="36"/>
      <c r="F513" s="36"/>
      <c r="G513" s="36"/>
      <c r="H513" s="37"/>
      <c r="I513" s="36"/>
      <c r="J513" s="38"/>
      <c r="K513" s="38"/>
      <c r="L513" s="39"/>
      <c r="M513" s="39"/>
      <c r="N513" s="39"/>
      <c r="O513" s="39"/>
      <c r="P513" s="39"/>
      <c r="Q513" s="39"/>
      <c r="R513" s="39"/>
      <c r="S513" s="39"/>
      <c r="T513" s="39"/>
      <c r="U513" s="39"/>
      <c r="V513" s="39"/>
      <c r="W513" s="39"/>
      <c r="X513" s="39"/>
      <c r="Y513" s="39"/>
      <c r="Z513" s="39"/>
      <c r="AA513" s="39"/>
      <c r="AB513" s="39"/>
    </row>
    <row r="514">
      <c r="A514" s="1"/>
      <c r="B514" s="36"/>
      <c r="C514" s="36"/>
      <c r="D514" s="36"/>
      <c r="E514" s="36"/>
      <c r="F514" s="36"/>
      <c r="G514" s="36"/>
      <c r="H514" s="37"/>
      <c r="I514" s="36"/>
      <c r="J514" s="38"/>
      <c r="K514" s="38"/>
      <c r="L514" s="39"/>
      <c r="M514" s="39"/>
      <c r="N514" s="39"/>
      <c r="O514" s="39"/>
      <c r="P514" s="39"/>
      <c r="Q514" s="39"/>
      <c r="R514" s="39"/>
      <c r="S514" s="39"/>
      <c r="T514" s="39"/>
      <c r="U514" s="39"/>
      <c r="V514" s="39"/>
      <c r="W514" s="39"/>
      <c r="X514" s="39"/>
      <c r="Y514" s="39"/>
      <c r="Z514" s="39"/>
      <c r="AA514" s="39"/>
      <c r="AB514" s="39"/>
    </row>
    <row r="515">
      <c r="A515" s="1"/>
      <c r="B515" s="36"/>
      <c r="C515" s="36"/>
      <c r="D515" s="36"/>
      <c r="E515" s="36"/>
      <c r="F515" s="36"/>
      <c r="G515" s="36"/>
      <c r="H515" s="37"/>
      <c r="I515" s="36"/>
      <c r="J515" s="38"/>
      <c r="K515" s="38"/>
      <c r="L515" s="39"/>
      <c r="M515" s="39"/>
      <c r="N515" s="39"/>
      <c r="O515" s="39"/>
      <c r="P515" s="39"/>
      <c r="Q515" s="39"/>
      <c r="R515" s="39"/>
      <c r="S515" s="39"/>
      <c r="T515" s="39"/>
      <c r="U515" s="39"/>
      <c r="V515" s="39"/>
      <c r="W515" s="39"/>
      <c r="X515" s="39"/>
      <c r="Y515" s="39"/>
      <c r="Z515" s="39"/>
      <c r="AA515" s="39"/>
      <c r="AB515" s="39"/>
    </row>
    <row r="516">
      <c r="A516" s="1"/>
      <c r="B516" s="36"/>
      <c r="C516" s="36"/>
      <c r="D516" s="36"/>
      <c r="E516" s="36"/>
      <c r="F516" s="36"/>
      <c r="G516" s="36"/>
      <c r="H516" s="37"/>
      <c r="I516" s="36"/>
      <c r="J516" s="38"/>
      <c r="K516" s="38"/>
      <c r="L516" s="39"/>
      <c r="M516" s="39"/>
      <c r="N516" s="39"/>
      <c r="O516" s="39"/>
      <c r="P516" s="39"/>
      <c r="Q516" s="39"/>
      <c r="R516" s="39"/>
      <c r="S516" s="39"/>
      <c r="T516" s="39"/>
      <c r="U516" s="39"/>
      <c r="V516" s="39"/>
      <c r="W516" s="39"/>
      <c r="X516" s="39"/>
      <c r="Y516" s="39"/>
      <c r="Z516" s="39"/>
      <c r="AA516" s="39"/>
      <c r="AB516" s="39"/>
    </row>
    <row r="517">
      <c r="A517" s="1"/>
      <c r="B517" s="36"/>
      <c r="C517" s="36"/>
      <c r="D517" s="36"/>
      <c r="E517" s="36"/>
      <c r="F517" s="36"/>
      <c r="G517" s="36"/>
      <c r="H517" s="37"/>
      <c r="I517" s="36"/>
      <c r="J517" s="38"/>
      <c r="K517" s="38"/>
      <c r="L517" s="39"/>
      <c r="M517" s="39"/>
      <c r="N517" s="39"/>
      <c r="O517" s="39"/>
      <c r="P517" s="39"/>
      <c r="Q517" s="39"/>
      <c r="R517" s="39"/>
      <c r="S517" s="39"/>
      <c r="T517" s="39"/>
      <c r="U517" s="39"/>
      <c r="V517" s="39"/>
      <c r="W517" s="39"/>
      <c r="X517" s="39"/>
      <c r="Y517" s="39"/>
      <c r="Z517" s="39"/>
      <c r="AA517" s="39"/>
      <c r="AB517" s="39"/>
    </row>
    <row r="518">
      <c r="A518" s="1"/>
      <c r="B518" s="36"/>
      <c r="C518" s="36"/>
      <c r="D518" s="36"/>
      <c r="E518" s="36"/>
      <c r="F518" s="36"/>
      <c r="G518" s="36"/>
      <c r="H518" s="37"/>
      <c r="I518" s="36"/>
      <c r="J518" s="38"/>
      <c r="K518" s="38"/>
      <c r="L518" s="39"/>
      <c r="M518" s="39"/>
      <c r="N518" s="39"/>
      <c r="O518" s="39"/>
      <c r="P518" s="39"/>
      <c r="Q518" s="39"/>
      <c r="R518" s="39"/>
      <c r="S518" s="39"/>
      <c r="T518" s="39"/>
      <c r="U518" s="39"/>
      <c r="V518" s="39"/>
      <c r="W518" s="39"/>
      <c r="X518" s="39"/>
      <c r="Y518" s="39"/>
      <c r="Z518" s="39"/>
      <c r="AA518" s="39"/>
      <c r="AB518" s="39"/>
    </row>
    <row r="519">
      <c r="A519" s="1"/>
      <c r="B519" s="36"/>
      <c r="C519" s="36"/>
      <c r="D519" s="36"/>
      <c r="E519" s="36"/>
      <c r="F519" s="36"/>
      <c r="G519" s="36"/>
      <c r="H519" s="37"/>
      <c r="I519" s="36"/>
      <c r="J519" s="38"/>
      <c r="K519" s="38"/>
      <c r="L519" s="39"/>
      <c r="M519" s="39"/>
      <c r="N519" s="39"/>
      <c r="O519" s="39"/>
      <c r="P519" s="39"/>
      <c r="Q519" s="39"/>
      <c r="R519" s="39"/>
      <c r="S519" s="39"/>
      <c r="T519" s="39"/>
      <c r="U519" s="39"/>
      <c r="V519" s="39"/>
      <c r="W519" s="39"/>
      <c r="X519" s="39"/>
      <c r="Y519" s="39"/>
      <c r="Z519" s="39"/>
      <c r="AA519" s="39"/>
      <c r="AB519" s="39"/>
    </row>
    <row r="520">
      <c r="A520" s="1"/>
      <c r="B520" s="36"/>
      <c r="C520" s="36"/>
      <c r="D520" s="36"/>
      <c r="E520" s="36"/>
      <c r="F520" s="36"/>
      <c r="G520" s="36"/>
      <c r="H520" s="37"/>
      <c r="I520" s="36"/>
      <c r="J520" s="38"/>
      <c r="K520" s="38"/>
      <c r="L520" s="39"/>
      <c r="M520" s="39"/>
      <c r="N520" s="39"/>
      <c r="O520" s="39"/>
      <c r="P520" s="39"/>
      <c r="Q520" s="39"/>
      <c r="R520" s="39"/>
      <c r="S520" s="39"/>
      <c r="T520" s="39"/>
      <c r="U520" s="39"/>
      <c r="V520" s="39"/>
      <c r="W520" s="39"/>
      <c r="X520" s="39"/>
      <c r="Y520" s="39"/>
      <c r="Z520" s="39"/>
      <c r="AA520" s="39"/>
      <c r="AB520" s="39"/>
    </row>
    <row r="521">
      <c r="A521" s="1"/>
      <c r="B521" s="36"/>
      <c r="C521" s="36"/>
      <c r="D521" s="36"/>
      <c r="E521" s="36"/>
      <c r="F521" s="36"/>
      <c r="G521" s="36"/>
      <c r="H521" s="37"/>
      <c r="I521" s="36"/>
      <c r="J521" s="38"/>
      <c r="K521" s="38"/>
      <c r="L521" s="39"/>
      <c r="M521" s="39"/>
      <c r="N521" s="39"/>
      <c r="O521" s="39"/>
      <c r="P521" s="39"/>
      <c r="Q521" s="39"/>
      <c r="R521" s="39"/>
      <c r="S521" s="39"/>
      <c r="T521" s="39"/>
      <c r="U521" s="39"/>
      <c r="V521" s="39"/>
      <c r="W521" s="39"/>
      <c r="X521" s="39"/>
      <c r="Y521" s="39"/>
      <c r="Z521" s="39"/>
      <c r="AA521" s="39"/>
      <c r="AB521" s="39"/>
    </row>
    <row r="522">
      <c r="A522" s="1"/>
      <c r="B522" s="36"/>
      <c r="C522" s="36"/>
      <c r="D522" s="36"/>
      <c r="E522" s="36"/>
      <c r="F522" s="36"/>
      <c r="G522" s="36"/>
      <c r="H522" s="37"/>
      <c r="I522" s="36"/>
      <c r="J522" s="38"/>
      <c r="K522" s="38"/>
      <c r="L522" s="39"/>
      <c r="M522" s="39"/>
      <c r="N522" s="39"/>
      <c r="O522" s="39"/>
      <c r="P522" s="39"/>
      <c r="Q522" s="39"/>
      <c r="R522" s="39"/>
      <c r="S522" s="39"/>
      <c r="T522" s="39"/>
      <c r="U522" s="39"/>
      <c r="V522" s="39"/>
      <c r="W522" s="39"/>
      <c r="X522" s="39"/>
      <c r="Y522" s="39"/>
      <c r="Z522" s="39"/>
      <c r="AA522" s="39"/>
      <c r="AB522" s="39"/>
    </row>
    <row r="523">
      <c r="A523" s="1"/>
      <c r="B523" s="36"/>
      <c r="C523" s="36"/>
      <c r="D523" s="36"/>
      <c r="E523" s="36"/>
      <c r="F523" s="36"/>
      <c r="G523" s="36"/>
      <c r="H523" s="37"/>
      <c r="I523" s="36"/>
      <c r="J523" s="38"/>
      <c r="K523" s="38"/>
      <c r="L523" s="39"/>
      <c r="M523" s="39"/>
      <c r="N523" s="39"/>
      <c r="O523" s="39"/>
      <c r="P523" s="39"/>
      <c r="Q523" s="39"/>
      <c r="R523" s="39"/>
      <c r="S523" s="39"/>
      <c r="T523" s="39"/>
      <c r="U523" s="39"/>
      <c r="V523" s="39"/>
      <c r="W523" s="39"/>
      <c r="X523" s="39"/>
      <c r="Y523" s="39"/>
      <c r="Z523" s="39"/>
      <c r="AA523" s="39"/>
      <c r="AB523" s="39"/>
    </row>
    <row r="524">
      <c r="A524" s="1"/>
      <c r="B524" s="36"/>
      <c r="C524" s="36"/>
      <c r="D524" s="36"/>
      <c r="E524" s="36"/>
      <c r="F524" s="36"/>
      <c r="G524" s="36"/>
      <c r="H524" s="37"/>
      <c r="I524" s="36"/>
      <c r="J524" s="38"/>
      <c r="K524" s="38"/>
      <c r="L524" s="39"/>
      <c r="M524" s="39"/>
      <c r="N524" s="39"/>
      <c r="O524" s="39"/>
      <c r="P524" s="39"/>
      <c r="Q524" s="39"/>
      <c r="R524" s="39"/>
      <c r="S524" s="39"/>
      <c r="T524" s="39"/>
      <c r="U524" s="39"/>
      <c r="V524" s="39"/>
      <c r="W524" s="39"/>
      <c r="X524" s="39"/>
      <c r="Y524" s="39"/>
      <c r="Z524" s="39"/>
      <c r="AA524" s="39"/>
      <c r="AB524" s="39"/>
    </row>
    <row r="525">
      <c r="A525" s="1"/>
      <c r="B525" s="36"/>
      <c r="C525" s="36"/>
      <c r="D525" s="36"/>
      <c r="E525" s="36"/>
      <c r="F525" s="36"/>
      <c r="G525" s="36"/>
      <c r="H525" s="37"/>
      <c r="I525" s="36"/>
      <c r="J525" s="38"/>
      <c r="K525" s="38"/>
      <c r="L525" s="39"/>
      <c r="M525" s="39"/>
      <c r="N525" s="39"/>
      <c r="O525" s="39"/>
      <c r="P525" s="39"/>
      <c r="Q525" s="39"/>
      <c r="R525" s="39"/>
      <c r="S525" s="39"/>
      <c r="T525" s="39"/>
      <c r="U525" s="39"/>
      <c r="V525" s="39"/>
      <c r="W525" s="39"/>
      <c r="X525" s="39"/>
      <c r="Y525" s="39"/>
      <c r="Z525" s="39"/>
      <c r="AA525" s="39"/>
      <c r="AB525" s="39"/>
    </row>
    <row r="526">
      <c r="A526" s="1"/>
      <c r="B526" s="36"/>
      <c r="C526" s="36"/>
      <c r="D526" s="36"/>
      <c r="E526" s="36"/>
      <c r="F526" s="36"/>
      <c r="G526" s="36"/>
      <c r="H526" s="37"/>
      <c r="I526" s="36"/>
      <c r="J526" s="38"/>
      <c r="K526" s="38"/>
      <c r="L526" s="39"/>
      <c r="M526" s="39"/>
      <c r="N526" s="39"/>
      <c r="O526" s="39"/>
      <c r="P526" s="39"/>
      <c r="Q526" s="39"/>
      <c r="R526" s="39"/>
      <c r="S526" s="39"/>
      <c r="T526" s="39"/>
      <c r="U526" s="39"/>
      <c r="V526" s="39"/>
      <c r="W526" s="39"/>
      <c r="X526" s="39"/>
      <c r="Y526" s="39"/>
      <c r="Z526" s="39"/>
      <c r="AA526" s="39"/>
      <c r="AB526" s="39"/>
    </row>
    <row r="527">
      <c r="A527" s="1"/>
      <c r="B527" s="36"/>
      <c r="C527" s="36"/>
      <c r="D527" s="36"/>
      <c r="E527" s="36"/>
      <c r="F527" s="36"/>
      <c r="G527" s="36"/>
      <c r="H527" s="37"/>
      <c r="I527" s="36"/>
      <c r="J527" s="38"/>
      <c r="K527" s="38"/>
      <c r="L527" s="39"/>
      <c r="M527" s="39"/>
      <c r="N527" s="39"/>
      <c r="O527" s="39"/>
      <c r="P527" s="39"/>
      <c r="Q527" s="39"/>
      <c r="R527" s="39"/>
      <c r="S527" s="39"/>
      <c r="T527" s="39"/>
      <c r="U527" s="39"/>
      <c r="V527" s="39"/>
      <c r="W527" s="39"/>
      <c r="X527" s="39"/>
      <c r="Y527" s="39"/>
      <c r="Z527" s="39"/>
      <c r="AA527" s="39"/>
      <c r="AB527" s="39"/>
    </row>
    <row r="528">
      <c r="A528" s="1"/>
      <c r="B528" s="36"/>
      <c r="C528" s="36"/>
      <c r="D528" s="36"/>
      <c r="E528" s="36"/>
      <c r="F528" s="36"/>
      <c r="G528" s="36"/>
      <c r="H528" s="37"/>
      <c r="I528" s="36"/>
      <c r="J528" s="38"/>
      <c r="K528" s="38"/>
      <c r="L528" s="39"/>
      <c r="M528" s="39"/>
      <c r="N528" s="39"/>
      <c r="O528" s="39"/>
      <c r="P528" s="39"/>
      <c r="Q528" s="39"/>
      <c r="R528" s="39"/>
      <c r="S528" s="39"/>
      <c r="T528" s="39"/>
      <c r="U528" s="39"/>
      <c r="V528" s="39"/>
      <c r="W528" s="39"/>
      <c r="X528" s="39"/>
      <c r="Y528" s="39"/>
      <c r="Z528" s="39"/>
      <c r="AA528" s="39"/>
      <c r="AB528" s="39"/>
    </row>
    <row r="529">
      <c r="A529" s="1"/>
      <c r="B529" s="36"/>
      <c r="C529" s="36"/>
      <c r="D529" s="36"/>
      <c r="E529" s="36"/>
      <c r="F529" s="36"/>
      <c r="G529" s="36"/>
      <c r="H529" s="37"/>
      <c r="I529" s="36"/>
      <c r="J529" s="38"/>
      <c r="K529" s="38"/>
      <c r="L529" s="39"/>
      <c r="M529" s="39"/>
      <c r="N529" s="39"/>
      <c r="O529" s="39"/>
      <c r="P529" s="39"/>
      <c r="Q529" s="39"/>
      <c r="R529" s="39"/>
      <c r="S529" s="39"/>
      <c r="T529" s="39"/>
      <c r="U529" s="39"/>
      <c r="V529" s="39"/>
      <c r="W529" s="39"/>
      <c r="X529" s="39"/>
      <c r="Y529" s="39"/>
      <c r="Z529" s="39"/>
      <c r="AA529" s="39"/>
      <c r="AB529" s="39"/>
    </row>
    <row r="530">
      <c r="A530" s="1"/>
      <c r="B530" s="36"/>
      <c r="C530" s="36"/>
      <c r="D530" s="36"/>
      <c r="E530" s="36"/>
      <c r="F530" s="36"/>
      <c r="G530" s="36"/>
      <c r="H530" s="37"/>
      <c r="I530" s="36"/>
      <c r="J530" s="38"/>
      <c r="K530" s="38"/>
      <c r="L530" s="39"/>
      <c r="M530" s="39"/>
      <c r="N530" s="39"/>
      <c r="O530" s="39"/>
      <c r="P530" s="39"/>
      <c r="Q530" s="39"/>
      <c r="R530" s="39"/>
      <c r="S530" s="39"/>
      <c r="T530" s="39"/>
      <c r="U530" s="39"/>
      <c r="V530" s="39"/>
      <c r="W530" s="39"/>
      <c r="X530" s="39"/>
      <c r="Y530" s="39"/>
      <c r="Z530" s="39"/>
      <c r="AA530" s="39"/>
      <c r="AB530" s="39"/>
    </row>
    <row r="531">
      <c r="A531" s="1"/>
      <c r="B531" s="36"/>
      <c r="C531" s="36"/>
      <c r="D531" s="36"/>
      <c r="E531" s="36"/>
      <c r="F531" s="36"/>
      <c r="G531" s="36"/>
      <c r="H531" s="37"/>
      <c r="I531" s="36"/>
      <c r="J531" s="38"/>
      <c r="K531" s="38"/>
      <c r="L531" s="39"/>
      <c r="M531" s="39"/>
      <c r="N531" s="39"/>
      <c r="O531" s="39"/>
      <c r="P531" s="39"/>
      <c r="Q531" s="39"/>
      <c r="R531" s="39"/>
      <c r="S531" s="39"/>
      <c r="T531" s="39"/>
      <c r="U531" s="39"/>
      <c r="V531" s="39"/>
      <c r="W531" s="39"/>
      <c r="X531" s="39"/>
      <c r="Y531" s="39"/>
      <c r="Z531" s="39"/>
      <c r="AA531" s="39"/>
      <c r="AB531" s="39"/>
    </row>
    <row r="532">
      <c r="A532" s="1"/>
      <c r="B532" s="36"/>
      <c r="C532" s="36"/>
      <c r="D532" s="36"/>
      <c r="E532" s="36"/>
      <c r="F532" s="36"/>
      <c r="G532" s="36"/>
      <c r="H532" s="37"/>
      <c r="I532" s="36"/>
      <c r="J532" s="38"/>
      <c r="K532" s="38"/>
      <c r="L532" s="39"/>
      <c r="M532" s="39"/>
      <c r="N532" s="39"/>
      <c r="O532" s="39"/>
      <c r="P532" s="39"/>
      <c r="Q532" s="39"/>
      <c r="R532" s="39"/>
      <c r="S532" s="39"/>
      <c r="T532" s="39"/>
      <c r="U532" s="39"/>
      <c r="V532" s="39"/>
      <c r="W532" s="39"/>
      <c r="X532" s="39"/>
      <c r="Y532" s="39"/>
      <c r="Z532" s="39"/>
      <c r="AA532" s="39"/>
      <c r="AB532" s="39"/>
    </row>
    <row r="533">
      <c r="A533" s="1"/>
      <c r="B533" s="36"/>
      <c r="C533" s="36"/>
      <c r="D533" s="36"/>
      <c r="E533" s="36"/>
      <c r="F533" s="36"/>
      <c r="G533" s="36"/>
      <c r="H533" s="37"/>
      <c r="I533" s="36"/>
      <c r="J533" s="38"/>
      <c r="K533" s="38"/>
      <c r="L533" s="39"/>
      <c r="M533" s="39"/>
      <c r="N533" s="39"/>
      <c r="O533" s="39"/>
      <c r="P533" s="39"/>
      <c r="Q533" s="39"/>
      <c r="R533" s="39"/>
      <c r="S533" s="39"/>
      <c r="T533" s="39"/>
      <c r="U533" s="39"/>
      <c r="V533" s="39"/>
      <c r="W533" s="39"/>
      <c r="X533" s="39"/>
      <c r="Y533" s="39"/>
      <c r="Z533" s="39"/>
      <c r="AA533" s="39"/>
      <c r="AB533" s="39"/>
    </row>
    <row r="534">
      <c r="A534" s="1"/>
      <c r="B534" s="36"/>
      <c r="C534" s="36"/>
      <c r="D534" s="36"/>
      <c r="E534" s="36"/>
      <c r="F534" s="36"/>
      <c r="G534" s="36"/>
      <c r="H534" s="37"/>
      <c r="I534" s="36"/>
      <c r="J534" s="38"/>
      <c r="K534" s="38"/>
      <c r="L534" s="39"/>
      <c r="M534" s="39"/>
      <c r="N534" s="39"/>
      <c r="O534" s="39"/>
      <c r="P534" s="39"/>
      <c r="Q534" s="39"/>
      <c r="R534" s="39"/>
      <c r="S534" s="39"/>
      <c r="T534" s="39"/>
      <c r="U534" s="39"/>
      <c r="V534" s="39"/>
      <c r="W534" s="39"/>
      <c r="X534" s="39"/>
      <c r="Y534" s="39"/>
      <c r="Z534" s="39"/>
      <c r="AA534" s="39"/>
      <c r="AB534" s="39"/>
    </row>
    <row r="535">
      <c r="A535" s="1"/>
      <c r="B535" s="36"/>
      <c r="C535" s="36"/>
      <c r="D535" s="36"/>
      <c r="E535" s="36"/>
      <c r="F535" s="36"/>
      <c r="G535" s="36"/>
      <c r="H535" s="37"/>
      <c r="I535" s="36"/>
      <c r="J535" s="38"/>
      <c r="K535" s="38"/>
      <c r="L535" s="39"/>
      <c r="M535" s="39"/>
      <c r="N535" s="39"/>
      <c r="O535" s="39"/>
      <c r="P535" s="39"/>
      <c r="Q535" s="39"/>
      <c r="R535" s="39"/>
      <c r="S535" s="39"/>
      <c r="T535" s="39"/>
      <c r="U535" s="39"/>
      <c r="V535" s="39"/>
      <c r="W535" s="39"/>
      <c r="X535" s="39"/>
      <c r="Y535" s="39"/>
      <c r="Z535" s="39"/>
      <c r="AA535" s="39"/>
      <c r="AB535" s="39"/>
    </row>
    <row r="536">
      <c r="A536" s="1"/>
      <c r="B536" s="36"/>
      <c r="C536" s="36"/>
      <c r="D536" s="36"/>
      <c r="E536" s="36"/>
      <c r="F536" s="36"/>
      <c r="G536" s="36"/>
      <c r="H536" s="37"/>
      <c r="I536" s="36"/>
      <c r="J536" s="38"/>
      <c r="K536" s="38"/>
      <c r="L536" s="39"/>
      <c r="M536" s="39"/>
      <c r="N536" s="39"/>
      <c r="O536" s="39"/>
      <c r="P536" s="39"/>
      <c r="Q536" s="39"/>
      <c r="R536" s="39"/>
      <c r="S536" s="39"/>
      <c r="T536" s="39"/>
      <c r="U536" s="39"/>
      <c r="V536" s="39"/>
      <c r="W536" s="39"/>
      <c r="X536" s="39"/>
      <c r="Y536" s="39"/>
      <c r="Z536" s="39"/>
      <c r="AA536" s="39"/>
      <c r="AB536" s="39"/>
    </row>
    <row r="537">
      <c r="A537" s="1"/>
      <c r="B537" s="36"/>
      <c r="C537" s="36"/>
      <c r="D537" s="36"/>
      <c r="E537" s="36"/>
      <c r="F537" s="36"/>
      <c r="G537" s="36"/>
      <c r="H537" s="37"/>
      <c r="I537" s="36"/>
      <c r="J537" s="38"/>
      <c r="K537" s="38"/>
      <c r="L537" s="39"/>
      <c r="M537" s="39"/>
      <c r="N537" s="39"/>
      <c r="O537" s="39"/>
      <c r="P537" s="39"/>
      <c r="Q537" s="39"/>
      <c r="R537" s="39"/>
      <c r="S537" s="39"/>
      <c r="T537" s="39"/>
      <c r="U537" s="39"/>
      <c r="V537" s="39"/>
      <c r="W537" s="39"/>
      <c r="X537" s="39"/>
      <c r="Y537" s="39"/>
      <c r="Z537" s="39"/>
      <c r="AA537" s="39"/>
      <c r="AB537" s="39"/>
    </row>
    <row r="538">
      <c r="A538" s="1"/>
      <c r="B538" s="36"/>
      <c r="C538" s="36"/>
      <c r="D538" s="36"/>
      <c r="E538" s="36"/>
      <c r="F538" s="36"/>
      <c r="G538" s="36"/>
      <c r="H538" s="37"/>
      <c r="I538" s="36"/>
      <c r="J538" s="38"/>
      <c r="K538" s="38"/>
      <c r="L538" s="39"/>
      <c r="M538" s="39"/>
      <c r="N538" s="39"/>
      <c r="O538" s="39"/>
      <c r="P538" s="39"/>
      <c r="Q538" s="39"/>
      <c r="R538" s="39"/>
      <c r="S538" s="39"/>
      <c r="T538" s="39"/>
      <c r="U538" s="39"/>
      <c r="V538" s="39"/>
      <c r="W538" s="39"/>
      <c r="X538" s="39"/>
      <c r="Y538" s="39"/>
      <c r="Z538" s="39"/>
      <c r="AA538" s="39"/>
      <c r="AB538" s="39"/>
    </row>
    <row r="539">
      <c r="A539" s="1"/>
      <c r="B539" s="36"/>
      <c r="C539" s="36"/>
      <c r="D539" s="36"/>
      <c r="E539" s="36"/>
      <c r="F539" s="36"/>
      <c r="G539" s="36"/>
      <c r="H539" s="37"/>
      <c r="I539" s="36"/>
      <c r="J539" s="38"/>
      <c r="K539" s="38"/>
      <c r="L539" s="39"/>
      <c r="M539" s="39"/>
      <c r="N539" s="39"/>
      <c r="O539" s="39"/>
      <c r="P539" s="39"/>
      <c r="Q539" s="39"/>
      <c r="R539" s="39"/>
      <c r="S539" s="39"/>
      <c r="T539" s="39"/>
      <c r="U539" s="39"/>
      <c r="V539" s="39"/>
      <c r="W539" s="39"/>
      <c r="X539" s="39"/>
      <c r="Y539" s="39"/>
      <c r="Z539" s="39"/>
      <c r="AA539" s="39"/>
      <c r="AB539" s="39"/>
    </row>
    <row r="540">
      <c r="A540" s="1"/>
      <c r="B540" s="36"/>
      <c r="C540" s="36"/>
      <c r="D540" s="36"/>
      <c r="E540" s="36"/>
      <c r="F540" s="36"/>
      <c r="G540" s="36"/>
      <c r="H540" s="37"/>
      <c r="I540" s="36"/>
      <c r="J540" s="38"/>
      <c r="K540" s="38"/>
      <c r="L540" s="39"/>
      <c r="M540" s="39"/>
      <c r="N540" s="39"/>
      <c r="O540" s="39"/>
      <c r="P540" s="39"/>
      <c r="Q540" s="39"/>
      <c r="R540" s="39"/>
      <c r="S540" s="39"/>
      <c r="T540" s="39"/>
      <c r="U540" s="39"/>
      <c r="V540" s="39"/>
      <c r="W540" s="39"/>
      <c r="X540" s="39"/>
      <c r="Y540" s="39"/>
      <c r="Z540" s="39"/>
      <c r="AA540" s="39"/>
      <c r="AB540" s="39"/>
    </row>
    <row r="541">
      <c r="A541" s="1"/>
      <c r="B541" s="36"/>
      <c r="C541" s="36"/>
      <c r="D541" s="36"/>
      <c r="E541" s="36"/>
      <c r="F541" s="36"/>
      <c r="G541" s="36"/>
      <c r="H541" s="37"/>
      <c r="I541" s="36"/>
      <c r="J541" s="38"/>
      <c r="K541" s="38"/>
      <c r="L541" s="39"/>
      <c r="M541" s="39"/>
      <c r="N541" s="39"/>
      <c r="O541" s="39"/>
      <c r="P541" s="39"/>
      <c r="Q541" s="39"/>
      <c r="R541" s="39"/>
      <c r="S541" s="39"/>
      <c r="T541" s="39"/>
      <c r="U541" s="39"/>
      <c r="V541" s="39"/>
      <c r="W541" s="39"/>
      <c r="X541" s="39"/>
      <c r="Y541" s="39"/>
      <c r="Z541" s="39"/>
      <c r="AA541" s="39"/>
      <c r="AB541" s="39"/>
    </row>
    <row r="542">
      <c r="A542" s="1"/>
      <c r="B542" s="36"/>
      <c r="C542" s="36"/>
      <c r="D542" s="36"/>
      <c r="E542" s="36"/>
      <c r="F542" s="36"/>
      <c r="G542" s="36"/>
      <c r="H542" s="37"/>
      <c r="I542" s="36"/>
      <c r="J542" s="38"/>
      <c r="K542" s="38"/>
      <c r="L542" s="39"/>
      <c r="M542" s="39"/>
      <c r="N542" s="39"/>
      <c r="O542" s="39"/>
      <c r="P542" s="39"/>
      <c r="Q542" s="39"/>
      <c r="R542" s="39"/>
      <c r="S542" s="39"/>
      <c r="T542" s="39"/>
      <c r="U542" s="39"/>
      <c r="V542" s="39"/>
      <c r="W542" s="39"/>
      <c r="X542" s="39"/>
      <c r="Y542" s="39"/>
      <c r="Z542" s="39"/>
      <c r="AA542" s="39"/>
      <c r="AB542" s="39"/>
    </row>
    <row r="543">
      <c r="A543" s="1"/>
      <c r="B543" s="36"/>
      <c r="C543" s="36"/>
      <c r="D543" s="36"/>
      <c r="E543" s="36"/>
      <c r="F543" s="36"/>
      <c r="G543" s="36"/>
      <c r="H543" s="37"/>
      <c r="I543" s="36"/>
      <c r="J543" s="38"/>
      <c r="K543" s="38"/>
      <c r="L543" s="39"/>
      <c r="M543" s="39"/>
      <c r="N543" s="39"/>
      <c r="O543" s="39"/>
      <c r="P543" s="39"/>
      <c r="Q543" s="39"/>
      <c r="R543" s="39"/>
      <c r="S543" s="39"/>
      <c r="T543" s="39"/>
      <c r="U543" s="39"/>
      <c r="V543" s="39"/>
      <c r="W543" s="39"/>
      <c r="X543" s="39"/>
      <c r="Y543" s="39"/>
      <c r="Z543" s="39"/>
      <c r="AA543" s="39"/>
      <c r="AB543" s="39"/>
    </row>
    <row r="544">
      <c r="A544" s="1"/>
      <c r="B544" s="36"/>
      <c r="C544" s="36"/>
      <c r="D544" s="36"/>
      <c r="E544" s="36"/>
      <c r="F544" s="36"/>
      <c r="G544" s="36"/>
      <c r="H544" s="37"/>
      <c r="I544" s="36"/>
      <c r="J544" s="38"/>
      <c r="K544" s="38"/>
      <c r="L544" s="39"/>
      <c r="M544" s="39"/>
      <c r="N544" s="39"/>
      <c r="O544" s="39"/>
      <c r="P544" s="39"/>
      <c r="Q544" s="39"/>
      <c r="R544" s="39"/>
      <c r="S544" s="39"/>
      <c r="T544" s="39"/>
      <c r="U544" s="39"/>
      <c r="V544" s="39"/>
      <c r="W544" s="39"/>
      <c r="X544" s="39"/>
      <c r="Y544" s="39"/>
      <c r="Z544" s="39"/>
      <c r="AA544" s="39"/>
      <c r="AB544" s="39"/>
    </row>
    <row r="545">
      <c r="A545" s="1"/>
      <c r="B545" s="36"/>
      <c r="C545" s="36"/>
      <c r="D545" s="36"/>
      <c r="E545" s="36"/>
      <c r="F545" s="36"/>
      <c r="G545" s="36"/>
      <c r="H545" s="37"/>
      <c r="I545" s="36"/>
      <c r="J545" s="38"/>
      <c r="K545" s="38"/>
      <c r="L545" s="39"/>
      <c r="M545" s="39"/>
      <c r="N545" s="39"/>
      <c r="O545" s="39"/>
      <c r="P545" s="39"/>
      <c r="Q545" s="39"/>
      <c r="R545" s="39"/>
      <c r="S545" s="39"/>
      <c r="T545" s="39"/>
      <c r="U545" s="39"/>
      <c r="V545" s="39"/>
      <c r="W545" s="39"/>
      <c r="X545" s="39"/>
      <c r="Y545" s="39"/>
      <c r="Z545" s="39"/>
      <c r="AA545" s="39"/>
      <c r="AB545" s="39"/>
    </row>
    <row r="546">
      <c r="A546" s="1"/>
      <c r="B546" s="36"/>
      <c r="C546" s="36"/>
      <c r="D546" s="36"/>
      <c r="E546" s="36"/>
      <c r="F546" s="36"/>
      <c r="G546" s="36"/>
      <c r="H546" s="37"/>
      <c r="I546" s="36"/>
      <c r="J546" s="38"/>
      <c r="K546" s="38"/>
      <c r="L546" s="39"/>
      <c r="M546" s="39"/>
      <c r="N546" s="39"/>
      <c r="O546" s="39"/>
      <c r="P546" s="39"/>
      <c r="Q546" s="39"/>
      <c r="R546" s="39"/>
      <c r="S546" s="39"/>
      <c r="T546" s="39"/>
      <c r="U546" s="39"/>
      <c r="V546" s="39"/>
      <c r="W546" s="39"/>
      <c r="X546" s="39"/>
      <c r="Y546" s="39"/>
      <c r="Z546" s="39"/>
      <c r="AA546" s="39"/>
      <c r="AB546" s="39"/>
    </row>
    <row r="547">
      <c r="A547" s="1"/>
      <c r="B547" s="36"/>
      <c r="C547" s="36"/>
      <c r="D547" s="36"/>
      <c r="E547" s="36"/>
      <c r="F547" s="36"/>
      <c r="G547" s="36"/>
      <c r="H547" s="37"/>
      <c r="I547" s="36"/>
      <c r="J547" s="38"/>
      <c r="K547" s="38"/>
      <c r="L547" s="39"/>
      <c r="M547" s="39"/>
      <c r="N547" s="39"/>
      <c r="O547" s="39"/>
      <c r="P547" s="39"/>
      <c r="Q547" s="39"/>
      <c r="R547" s="39"/>
      <c r="S547" s="39"/>
      <c r="T547" s="39"/>
      <c r="U547" s="39"/>
      <c r="V547" s="39"/>
      <c r="W547" s="39"/>
      <c r="X547" s="39"/>
      <c r="Y547" s="39"/>
      <c r="Z547" s="39"/>
      <c r="AA547" s="39"/>
      <c r="AB547" s="39"/>
    </row>
    <row r="548">
      <c r="A548" s="1"/>
      <c r="B548" s="36"/>
      <c r="C548" s="36"/>
      <c r="D548" s="36"/>
      <c r="E548" s="36"/>
      <c r="F548" s="36"/>
      <c r="G548" s="36"/>
      <c r="H548" s="37"/>
      <c r="I548" s="36"/>
      <c r="J548" s="38"/>
      <c r="K548" s="38"/>
      <c r="L548" s="39"/>
      <c r="M548" s="39"/>
      <c r="N548" s="39"/>
      <c r="O548" s="39"/>
      <c r="P548" s="39"/>
      <c r="Q548" s="39"/>
      <c r="R548" s="39"/>
      <c r="S548" s="39"/>
      <c r="T548" s="39"/>
      <c r="U548" s="39"/>
      <c r="V548" s="39"/>
      <c r="W548" s="39"/>
      <c r="X548" s="39"/>
      <c r="Y548" s="39"/>
      <c r="Z548" s="39"/>
      <c r="AA548" s="39"/>
      <c r="AB548" s="39"/>
    </row>
    <row r="549">
      <c r="A549" s="1"/>
      <c r="B549" s="36"/>
      <c r="C549" s="36"/>
      <c r="D549" s="36"/>
      <c r="E549" s="36"/>
      <c r="F549" s="36"/>
      <c r="G549" s="36"/>
      <c r="H549" s="37"/>
      <c r="I549" s="36"/>
      <c r="J549" s="38"/>
      <c r="K549" s="38"/>
      <c r="L549" s="39"/>
      <c r="M549" s="39"/>
      <c r="N549" s="39"/>
      <c r="O549" s="39"/>
      <c r="P549" s="39"/>
      <c r="Q549" s="39"/>
      <c r="R549" s="39"/>
      <c r="S549" s="39"/>
      <c r="T549" s="39"/>
      <c r="U549" s="39"/>
      <c r="V549" s="39"/>
      <c r="W549" s="39"/>
      <c r="X549" s="39"/>
      <c r="Y549" s="39"/>
      <c r="Z549" s="39"/>
      <c r="AA549" s="39"/>
      <c r="AB549" s="39"/>
    </row>
    <row r="550">
      <c r="A550" s="1"/>
      <c r="B550" s="36"/>
      <c r="C550" s="36"/>
      <c r="D550" s="36"/>
      <c r="E550" s="36"/>
      <c r="F550" s="36"/>
      <c r="G550" s="36"/>
      <c r="H550" s="37"/>
      <c r="I550" s="36"/>
      <c r="J550" s="38"/>
      <c r="K550" s="38"/>
      <c r="L550" s="39"/>
      <c r="M550" s="39"/>
      <c r="N550" s="39"/>
      <c r="O550" s="39"/>
      <c r="P550" s="39"/>
      <c r="Q550" s="39"/>
      <c r="R550" s="39"/>
      <c r="S550" s="39"/>
      <c r="T550" s="39"/>
      <c r="U550" s="39"/>
      <c r="V550" s="39"/>
      <c r="W550" s="39"/>
      <c r="X550" s="39"/>
      <c r="Y550" s="39"/>
      <c r="Z550" s="39"/>
      <c r="AA550" s="39"/>
      <c r="AB550" s="39"/>
    </row>
    <row r="551">
      <c r="A551" s="1"/>
      <c r="B551" s="36"/>
      <c r="C551" s="36"/>
      <c r="D551" s="36"/>
      <c r="E551" s="36"/>
      <c r="F551" s="36"/>
      <c r="G551" s="36"/>
      <c r="H551" s="37"/>
      <c r="I551" s="36"/>
      <c r="J551" s="38"/>
      <c r="K551" s="38"/>
      <c r="L551" s="39"/>
      <c r="M551" s="39"/>
      <c r="N551" s="39"/>
      <c r="O551" s="39"/>
      <c r="P551" s="39"/>
      <c r="Q551" s="39"/>
      <c r="R551" s="39"/>
      <c r="S551" s="39"/>
      <c r="T551" s="39"/>
      <c r="U551" s="39"/>
      <c r="V551" s="39"/>
      <c r="W551" s="39"/>
      <c r="X551" s="39"/>
      <c r="Y551" s="39"/>
      <c r="Z551" s="39"/>
      <c r="AA551" s="39"/>
      <c r="AB551" s="39"/>
    </row>
    <row r="552">
      <c r="A552" s="1"/>
      <c r="B552" s="36"/>
      <c r="C552" s="36"/>
      <c r="D552" s="36"/>
      <c r="E552" s="36"/>
      <c r="F552" s="36"/>
      <c r="G552" s="36"/>
      <c r="H552" s="37"/>
      <c r="I552" s="36"/>
      <c r="J552" s="38"/>
      <c r="K552" s="38"/>
      <c r="L552" s="39"/>
      <c r="M552" s="39"/>
      <c r="N552" s="39"/>
      <c r="O552" s="39"/>
      <c r="P552" s="39"/>
      <c r="Q552" s="39"/>
      <c r="R552" s="39"/>
      <c r="S552" s="39"/>
      <c r="T552" s="39"/>
      <c r="U552" s="39"/>
      <c r="V552" s="39"/>
      <c r="W552" s="39"/>
      <c r="X552" s="39"/>
      <c r="Y552" s="39"/>
      <c r="Z552" s="39"/>
      <c r="AA552" s="39"/>
      <c r="AB552" s="39"/>
    </row>
    <row r="553">
      <c r="A553" s="1"/>
      <c r="B553" s="36"/>
      <c r="C553" s="36"/>
      <c r="D553" s="36"/>
      <c r="E553" s="36"/>
      <c r="F553" s="36"/>
      <c r="G553" s="36"/>
      <c r="H553" s="37"/>
      <c r="I553" s="36"/>
      <c r="J553" s="38"/>
      <c r="K553" s="38"/>
      <c r="L553" s="39"/>
      <c r="M553" s="39"/>
      <c r="N553" s="39"/>
      <c r="O553" s="39"/>
      <c r="P553" s="39"/>
      <c r="Q553" s="39"/>
      <c r="R553" s="39"/>
      <c r="S553" s="39"/>
      <c r="T553" s="39"/>
      <c r="U553" s="39"/>
      <c r="V553" s="39"/>
      <c r="W553" s="39"/>
      <c r="X553" s="39"/>
      <c r="Y553" s="39"/>
      <c r="Z553" s="39"/>
      <c r="AA553" s="39"/>
      <c r="AB553" s="39"/>
    </row>
    <row r="554">
      <c r="A554" s="1"/>
      <c r="B554" s="36"/>
      <c r="C554" s="36"/>
      <c r="D554" s="36"/>
      <c r="E554" s="36"/>
      <c r="F554" s="36"/>
      <c r="G554" s="36"/>
      <c r="H554" s="37"/>
      <c r="I554" s="36"/>
      <c r="J554" s="38"/>
      <c r="K554" s="38"/>
      <c r="L554" s="39"/>
      <c r="M554" s="39"/>
      <c r="N554" s="39"/>
      <c r="O554" s="39"/>
      <c r="P554" s="39"/>
      <c r="Q554" s="39"/>
      <c r="R554" s="39"/>
      <c r="S554" s="39"/>
      <c r="T554" s="39"/>
      <c r="U554" s="39"/>
      <c r="V554" s="39"/>
      <c r="W554" s="39"/>
      <c r="X554" s="39"/>
      <c r="Y554" s="39"/>
      <c r="Z554" s="39"/>
      <c r="AA554" s="39"/>
      <c r="AB554" s="39"/>
    </row>
    <row r="555">
      <c r="A555" s="1"/>
      <c r="B555" s="36"/>
      <c r="C555" s="36"/>
      <c r="D555" s="36"/>
      <c r="E555" s="36"/>
      <c r="F555" s="36"/>
      <c r="G555" s="36"/>
      <c r="H555" s="37"/>
      <c r="I555" s="36"/>
      <c r="J555" s="38"/>
      <c r="K555" s="38"/>
      <c r="L555" s="39"/>
      <c r="M555" s="39"/>
      <c r="N555" s="39"/>
      <c r="O555" s="39"/>
      <c r="P555" s="39"/>
      <c r="Q555" s="39"/>
      <c r="R555" s="39"/>
      <c r="S555" s="39"/>
      <c r="T555" s="39"/>
      <c r="U555" s="39"/>
      <c r="V555" s="39"/>
      <c r="W555" s="39"/>
      <c r="X555" s="39"/>
      <c r="Y555" s="39"/>
      <c r="Z555" s="39"/>
      <c r="AA555" s="39"/>
      <c r="AB555" s="39"/>
    </row>
    <row r="556">
      <c r="A556" s="1"/>
      <c r="B556" s="36"/>
      <c r="C556" s="36"/>
      <c r="D556" s="36"/>
      <c r="E556" s="36"/>
      <c r="F556" s="36"/>
      <c r="G556" s="36"/>
      <c r="H556" s="37"/>
      <c r="I556" s="36"/>
      <c r="J556" s="38"/>
      <c r="K556" s="38"/>
      <c r="L556" s="39"/>
      <c r="M556" s="39"/>
      <c r="N556" s="39"/>
      <c r="O556" s="39"/>
      <c r="P556" s="39"/>
      <c r="Q556" s="39"/>
      <c r="R556" s="39"/>
      <c r="S556" s="39"/>
      <c r="T556" s="39"/>
      <c r="U556" s="39"/>
      <c r="V556" s="39"/>
      <c r="W556" s="39"/>
      <c r="X556" s="39"/>
      <c r="Y556" s="39"/>
      <c r="Z556" s="39"/>
      <c r="AA556" s="39"/>
      <c r="AB556" s="39"/>
    </row>
    <row r="557">
      <c r="A557" s="1"/>
      <c r="B557" s="36"/>
      <c r="C557" s="36"/>
      <c r="D557" s="36"/>
      <c r="E557" s="36"/>
      <c r="F557" s="36"/>
      <c r="G557" s="36"/>
      <c r="H557" s="37"/>
      <c r="I557" s="36"/>
      <c r="J557" s="38"/>
      <c r="K557" s="38"/>
      <c r="L557" s="39"/>
      <c r="M557" s="39"/>
      <c r="N557" s="39"/>
      <c r="O557" s="39"/>
      <c r="P557" s="39"/>
      <c r="Q557" s="39"/>
      <c r="R557" s="39"/>
      <c r="S557" s="39"/>
      <c r="T557" s="39"/>
      <c r="U557" s="39"/>
      <c r="V557" s="39"/>
      <c r="W557" s="39"/>
      <c r="X557" s="39"/>
      <c r="Y557" s="39"/>
      <c r="Z557" s="39"/>
      <c r="AA557" s="39"/>
      <c r="AB557" s="39"/>
    </row>
    <row r="558">
      <c r="A558" s="1"/>
      <c r="B558" s="36"/>
      <c r="C558" s="36"/>
      <c r="D558" s="36"/>
      <c r="E558" s="36"/>
      <c r="F558" s="36"/>
      <c r="G558" s="36"/>
      <c r="H558" s="37"/>
      <c r="I558" s="36"/>
      <c r="J558" s="38"/>
      <c r="K558" s="38"/>
      <c r="L558" s="39"/>
      <c r="M558" s="39"/>
      <c r="N558" s="39"/>
      <c r="O558" s="39"/>
      <c r="P558" s="39"/>
      <c r="Q558" s="39"/>
      <c r="R558" s="39"/>
      <c r="S558" s="39"/>
      <c r="T558" s="39"/>
      <c r="U558" s="39"/>
      <c r="V558" s="39"/>
      <c r="W558" s="39"/>
      <c r="X558" s="39"/>
      <c r="Y558" s="39"/>
      <c r="Z558" s="39"/>
      <c r="AA558" s="39"/>
      <c r="AB558" s="39"/>
    </row>
    <row r="559">
      <c r="A559" s="1"/>
      <c r="B559" s="36"/>
      <c r="C559" s="36"/>
      <c r="D559" s="36"/>
      <c r="E559" s="36"/>
      <c r="F559" s="36"/>
      <c r="G559" s="36"/>
      <c r="H559" s="37"/>
      <c r="I559" s="36"/>
      <c r="J559" s="38"/>
      <c r="K559" s="38"/>
      <c r="L559" s="39"/>
      <c r="M559" s="39"/>
      <c r="N559" s="39"/>
      <c r="O559" s="39"/>
      <c r="P559" s="39"/>
      <c r="Q559" s="39"/>
      <c r="R559" s="39"/>
      <c r="S559" s="39"/>
      <c r="T559" s="39"/>
      <c r="U559" s="39"/>
      <c r="V559" s="39"/>
      <c r="W559" s="39"/>
      <c r="X559" s="39"/>
      <c r="Y559" s="39"/>
      <c r="Z559" s="39"/>
      <c r="AA559" s="39"/>
      <c r="AB559" s="39"/>
    </row>
    <row r="560">
      <c r="A560" s="1"/>
      <c r="B560" s="36"/>
      <c r="C560" s="36"/>
      <c r="D560" s="36"/>
      <c r="E560" s="36"/>
      <c r="F560" s="36"/>
      <c r="G560" s="36"/>
      <c r="H560" s="37"/>
      <c r="I560" s="36"/>
      <c r="J560" s="38"/>
      <c r="K560" s="38"/>
      <c r="L560" s="39"/>
      <c r="M560" s="39"/>
      <c r="N560" s="39"/>
      <c r="O560" s="39"/>
      <c r="P560" s="39"/>
      <c r="Q560" s="39"/>
      <c r="R560" s="39"/>
      <c r="S560" s="39"/>
      <c r="T560" s="39"/>
      <c r="U560" s="39"/>
      <c r="V560" s="39"/>
      <c r="W560" s="39"/>
      <c r="X560" s="39"/>
      <c r="Y560" s="39"/>
      <c r="Z560" s="39"/>
      <c r="AA560" s="39"/>
      <c r="AB560" s="39"/>
    </row>
    <row r="561">
      <c r="A561" s="1"/>
      <c r="B561" s="36"/>
      <c r="C561" s="36"/>
      <c r="D561" s="36"/>
      <c r="E561" s="36"/>
      <c r="F561" s="36"/>
      <c r="G561" s="36"/>
      <c r="H561" s="37"/>
      <c r="I561" s="36"/>
      <c r="J561" s="38"/>
      <c r="K561" s="38"/>
      <c r="L561" s="39"/>
      <c r="M561" s="39"/>
      <c r="N561" s="39"/>
      <c r="O561" s="39"/>
      <c r="P561" s="39"/>
      <c r="Q561" s="39"/>
      <c r="R561" s="39"/>
      <c r="S561" s="39"/>
      <c r="T561" s="39"/>
      <c r="U561" s="39"/>
      <c r="V561" s="39"/>
      <c r="W561" s="39"/>
      <c r="X561" s="39"/>
      <c r="Y561" s="39"/>
      <c r="Z561" s="39"/>
      <c r="AA561" s="39"/>
      <c r="AB561" s="39"/>
    </row>
    <row r="562">
      <c r="A562" s="1"/>
      <c r="B562" s="36"/>
      <c r="C562" s="36"/>
      <c r="D562" s="36"/>
      <c r="E562" s="36"/>
      <c r="F562" s="36"/>
      <c r="G562" s="36"/>
      <c r="H562" s="37"/>
      <c r="I562" s="36"/>
      <c r="J562" s="38"/>
      <c r="K562" s="38"/>
      <c r="L562" s="39"/>
      <c r="M562" s="39"/>
      <c r="N562" s="39"/>
      <c r="O562" s="39"/>
      <c r="P562" s="39"/>
      <c r="Q562" s="39"/>
      <c r="R562" s="39"/>
      <c r="S562" s="39"/>
      <c r="T562" s="39"/>
      <c r="U562" s="39"/>
      <c r="V562" s="39"/>
      <c r="W562" s="39"/>
      <c r="X562" s="39"/>
      <c r="Y562" s="39"/>
      <c r="Z562" s="39"/>
      <c r="AA562" s="39"/>
      <c r="AB562" s="39"/>
    </row>
    <row r="563">
      <c r="A563" s="1"/>
      <c r="B563" s="36"/>
      <c r="C563" s="36"/>
      <c r="D563" s="36"/>
      <c r="E563" s="36"/>
      <c r="F563" s="36"/>
      <c r="G563" s="36"/>
      <c r="H563" s="37"/>
      <c r="I563" s="36"/>
      <c r="J563" s="38"/>
      <c r="K563" s="38"/>
      <c r="L563" s="39"/>
      <c r="M563" s="39"/>
      <c r="N563" s="39"/>
      <c r="O563" s="39"/>
      <c r="P563" s="39"/>
      <c r="Q563" s="39"/>
      <c r="R563" s="39"/>
      <c r="S563" s="39"/>
      <c r="T563" s="39"/>
      <c r="U563" s="39"/>
      <c r="V563" s="39"/>
      <c r="W563" s="39"/>
      <c r="X563" s="39"/>
      <c r="Y563" s="39"/>
      <c r="Z563" s="39"/>
      <c r="AA563" s="39"/>
      <c r="AB563" s="39"/>
    </row>
    <row r="564">
      <c r="A564" s="1"/>
      <c r="B564" s="36"/>
      <c r="C564" s="36"/>
      <c r="D564" s="36"/>
      <c r="E564" s="36"/>
      <c r="F564" s="36"/>
      <c r="G564" s="36"/>
      <c r="H564" s="37"/>
      <c r="I564" s="36"/>
      <c r="J564" s="38"/>
      <c r="K564" s="38"/>
      <c r="L564" s="39"/>
      <c r="M564" s="39"/>
      <c r="N564" s="39"/>
      <c r="O564" s="39"/>
      <c r="P564" s="39"/>
      <c r="Q564" s="39"/>
      <c r="R564" s="39"/>
      <c r="S564" s="39"/>
      <c r="T564" s="39"/>
      <c r="U564" s="39"/>
      <c r="V564" s="39"/>
      <c r="W564" s="39"/>
      <c r="X564" s="39"/>
      <c r="Y564" s="39"/>
      <c r="Z564" s="39"/>
      <c r="AA564" s="39"/>
      <c r="AB564" s="39"/>
    </row>
    <row r="565">
      <c r="A565" s="1"/>
      <c r="B565" s="36"/>
      <c r="C565" s="36"/>
      <c r="D565" s="36"/>
      <c r="E565" s="36"/>
      <c r="F565" s="36"/>
      <c r="G565" s="36"/>
      <c r="H565" s="37"/>
      <c r="I565" s="36"/>
      <c r="J565" s="38"/>
      <c r="K565" s="38"/>
      <c r="L565" s="39"/>
      <c r="M565" s="39"/>
      <c r="N565" s="39"/>
      <c r="O565" s="39"/>
      <c r="P565" s="39"/>
      <c r="Q565" s="39"/>
      <c r="R565" s="39"/>
      <c r="S565" s="39"/>
      <c r="T565" s="39"/>
      <c r="U565" s="39"/>
      <c r="V565" s="39"/>
      <c r="W565" s="39"/>
      <c r="X565" s="39"/>
      <c r="Y565" s="39"/>
      <c r="Z565" s="39"/>
      <c r="AA565" s="39"/>
      <c r="AB565" s="39"/>
    </row>
    <row r="566">
      <c r="A566" s="1"/>
      <c r="B566" s="36"/>
      <c r="C566" s="36"/>
      <c r="D566" s="36"/>
      <c r="E566" s="36"/>
      <c r="F566" s="36"/>
      <c r="G566" s="36"/>
      <c r="H566" s="37"/>
      <c r="I566" s="36"/>
      <c r="J566" s="38"/>
      <c r="K566" s="38"/>
      <c r="L566" s="39"/>
      <c r="M566" s="39"/>
      <c r="N566" s="39"/>
      <c r="O566" s="39"/>
      <c r="P566" s="39"/>
      <c r="Q566" s="39"/>
      <c r="R566" s="39"/>
      <c r="S566" s="39"/>
      <c r="T566" s="39"/>
      <c r="U566" s="39"/>
      <c r="V566" s="39"/>
      <c r="W566" s="39"/>
      <c r="X566" s="39"/>
      <c r="Y566" s="39"/>
      <c r="Z566" s="39"/>
      <c r="AA566" s="39"/>
      <c r="AB566" s="39"/>
    </row>
    <row r="567">
      <c r="A567" s="1"/>
      <c r="B567" s="36"/>
      <c r="C567" s="36"/>
      <c r="D567" s="36"/>
      <c r="E567" s="36"/>
      <c r="F567" s="36"/>
      <c r="G567" s="36"/>
      <c r="H567" s="37"/>
      <c r="I567" s="36"/>
      <c r="J567" s="38"/>
      <c r="K567" s="38"/>
      <c r="L567" s="39"/>
      <c r="M567" s="39"/>
      <c r="N567" s="39"/>
      <c r="O567" s="39"/>
      <c r="P567" s="39"/>
      <c r="Q567" s="39"/>
      <c r="R567" s="39"/>
      <c r="S567" s="39"/>
      <c r="T567" s="39"/>
      <c r="U567" s="39"/>
      <c r="V567" s="39"/>
      <c r="W567" s="39"/>
      <c r="X567" s="39"/>
      <c r="Y567" s="39"/>
      <c r="Z567" s="39"/>
      <c r="AA567" s="39"/>
      <c r="AB567" s="39"/>
    </row>
    <row r="568">
      <c r="A568" s="1"/>
      <c r="B568" s="36"/>
      <c r="C568" s="36"/>
      <c r="D568" s="36"/>
      <c r="E568" s="36"/>
      <c r="F568" s="36"/>
      <c r="G568" s="36"/>
      <c r="H568" s="37"/>
      <c r="I568" s="36"/>
      <c r="J568" s="38"/>
      <c r="K568" s="38"/>
      <c r="L568" s="39"/>
      <c r="M568" s="39"/>
      <c r="N568" s="39"/>
      <c r="O568" s="39"/>
      <c r="P568" s="39"/>
      <c r="Q568" s="39"/>
      <c r="R568" s="39"/>
      <c r="S568" s="39"/>
      <c r="T568" s="39"/>
      <c r="U568" s="39"/>
      <c r="V568" s="39"/>
      <c r="W568" s="39"/>
      <c r="X568" s="39"/>
      <c r="Y568" s="39"/>
      <c r="Z568" s="39"/>
      <c r="AA568" s="39"/>
      <c r="AB568" s="39"/>
    </row>
    <row r="569">
      <c r="A569" s="1"/>
      <c r="B569" s="36"/>
      <c r="C569" s="36"/>
      <c r="D569" s="36"/>
      <c r="E569" s="36"/>
      <c r="F569" s="36"/>
      <c r="G569" s="36"/>
      <c r="H569" s="37"/>
      <c r="I569" s="36"/>
      <c r="J569" s="38"/>
      <c r="K569" s="38"/>
      <c r="L569" s="39"/>
      <c r="M569" s="39"/>
      <c r="N569" s="39"/>
      <c r="O569" s="39"/>
      <c r="P569" s="39"/>
      <c r="Q569" s="39"/>
      <c r="R569" s="39"/>
      <c r="S569" s="39"/>
      <c r="T569" s="39"/>
      <c r="U569" s="39"/>
      <c r="V569" s="39"/>
      <c r="W569" s="39"/>
      <c r="X569" s="39"/>
      <c r="Y569" s="39"/>
      <c r="Z569" s="39"/>
      <c r="AA569" s="39"/>
      <c r="AB569" s="39"/>
    </row>
    <row r="570">
      <c r="A570" s="1"/>
      <c r="B570" s="36"/>
      <c r="C570" s="36"/>
      <c r="D570" s="36"/>
      <c r="E570" s="36"/>
      <c r="F570" s="36"/>
      <c r="G570" s="36"/>
      <c r="H570" s="37"/>
      <c r="I570" s="36"/>
      <c r="J570" s="38"/>
      <c r="K570" s="38"/>
      <c r="L570" s="39"/>
      <c r="M570" s="39"/>
      <c r="N570" s="39"/>
      <c r="O570" s="39"/>
      <c r="P570" s="39"/>
      <c r="Q570" s="39"/>
      <c r="R570" s="39"/>
      <c r="S570" s="39"/>
      <c r="T570" s="39"/>
      <c r="U570" s="39"/>
      <c r="V570" s="39"/>
      <c r="W570" s="39"/>
      <c r="X570" s="39"/>
      <c r="Y570" s="39"/>
      <c r="Z570" s="39"/>
      <c r="AA570" s="39"/>
      <c r="AB570" s="39"/>
    </row>
    <row r="571">
      <c r="A571" s="1"/>
      <c r="B571" s="36"/>
      <c r="C571" s="36"/>
      <c r="D571" s="36"/>
      <c r="E571" s="36"/>
      <c r="F571" s="36"/>
      <c r="G571" s="36"/>
      <c r="H571" s="37"/>
      <c r="I571" s="36"/>
      <c r="J571" s="38"/>
      <c r="K571" s="38"/>
      <c r="L571" s="39"/>
      <c r="M571" s="39"/>
      <c r="N571" s="39"/>
      <c r="O571" s="39"/>
      <c r="P571" s="39"/>
      <c r="Q571" s="39"/>
      <c r="R571" s="39"/>
      <c r="S571" s="39"/>
      <c r="T571" s="39"/>
      <c r="U571" s="39"/>
      <c r="V571" s="39"/>
      <c r="W571" s="39"/>
      <c r="X571" s="39"/>
      <c r="Y571" s="39"/>
      <c r="Z571" s="39"/>
      <c r="AA571" s="39"/>
      <c r="AB571" s="39"/>
    </row>
    <row r="572">
      <c r="A572" s="1"/>
      <c r="B572" s="36"/>
      <c r="C572" s="36"/>
      <c r="D572" s="36"/>
      <c r="E572" s="36"/>
      <c r="F572" s="36"/>
      <c r="G572" s="36"/>
      <c r="H572" s="37"/>
      <c r="I572" s="36"/>
      <c r="J572" s="38"/>
      <c r="K572" s="38"/>
      <c r="L572" s="39"/>
      <c r="M572" s="39"/>
      <c r="N572" s="39"/>
      <c r="O572" s="39"/>
      <c r="P572" s="39"/>
      <c r="Q572" s="39"/>
      <c r="R572" s="39"/>
      <c r="S572" s="39"/>
      <c r="T572" s="39"/>
      <c r="U572" s="39"/>
      <c r="V572" s="39"/>
      <c r="W572" s="39"/>
      <c r="X572" s="39"/>
      <c r="Y572" s="39"/>
      <c r="Z572" s="39"/>
      <c r="AA572" s="39"/>
      <c r="AB572" s="39"/>
    </row>
    <row r="573">
      <c r="A573" s="1"/>
      <c r="B573" s="36"/>
      <c r="C573" s="36"/>
      <c r="D573" s="36"/>
      <c r="E573" s="36"/>
      <c r="F573" s="36"/>
      <c r="G573" s="36"/>
      <c r="H573" s="37"/>
      <c r="I573" s="36"/>
      <c r="J573" s="38"/>
      <c r="K573" s="38"/>
      <c r="L573" s="39"/>
      <c r="M573" s="39"/>
      <c r="N573" s="39"/>
      <c r="O573" s="39"/>
      <c r="P573" s="39"/>
      <c r="Q573" s="39"/>
      <c r="R573" s="39"/>
      <c r="S573" s="39"/>
      <c r="T573" s="39"/>
      <c r="U573" s="39"/>
      <c r="V573" s="39"/>
      <c r="W573" s="39"/>
      <c r="X573" s="39"/>
      <c r="Y573" s="39"/>
      <c r="Z573" s="39"/>
      <c r="AA573" s="39"/>
      <c r="AB573" s="39"/>
    </row>
    <row r="574">
      <c r="A574" s="1"/>
      <c r="B574" s="36"/>
      <c r="C574" s="36"/>
      <c r="D574" s="36"/>
      <c r="E574" s="36"/>
      <c r="F574" s="36"/>
      <c r="G574" s="36"/>
      <c r="H574" s="37"/>
      <c r="I574" s="36"/>
      <c r="J574" s="38"/>
      <c r="K574" s="38"/>
      <c r="L574" s="39"/>
      <c r="M574" s="39"/>
      <c r="N574" s="39"/>
      <c r="O574" s="39"/>
      <c r="P574" s="39"/>
      <c r="Q574" s="39"/>
      <c r="R574" s="39"/>
      <c r="S574" s="39"/>
      <c r="T574" s="39"/>
      <c r="U574" s="39"/>
      <c r="V574" s="39"/>
      <c r="W574" s="39"/>
      <c r="X574" s="39"/>
      <c r="Y574" s="39"/>
      <c r="Z574" s="39"/>
      <c r="AA574" s="39"/>
      <c r="AB574" s="39"/>
    </row>
    <row r="575">
      <c r="A575" s="1"/>
      <c r="B575" s="36"/>
      <c r="C575" s="36"/>
      <c r="D575" s="36"/>
      <c r="E575" s="36"/>
      <c r="F575" s="36"/>
      <c r="G575" s="36"/>
      <c r="H575" s="37"/>
      <c r="I575" s="36"/>
      <c r="J575" s="38"/>
      <c r="K575" s="38"/>
      <c r="L575" s="39"/>
      <c r="M575" s="39"/>
      <c r="N575" s="39"/>
      <c r="O575" s="39"/>
      <c r="P575" s="39"/>
      <c r="Q575" s="39"/>
      <c r="R575" s="39"/>
      <c r="S575" s="39"/>
      <c r="T575" s="39"/>
      <c r="U575" s="39"/>
      <c r="V575" s="39"/>
      <c r="W575" s="39"/>
      <c r="X575" s="39"/>
      <c r="Y575" s="39"/>
      <c r="Z575" s="39"/>
      <c r="AA575" s="39"/>
      <c r="AB575" s="39"/>
    </row>
    <row r="576">
      <c r="A576" s="1"/>
      <c r="B576" s="36"/>
      <c r="C576" s="36"/>
      <c r="D576" s="36"/>
      <c r="E576" s="36"/>
      <c r="F576" s="36"/>
      <c r="G576" s="36"/>
      <c r="H576" s="37"/>
      <c r="I576" s="36"/>
      <c r="J576" s="38"/>
      <c r="K576" s="38"/>
      <c r="L576" s="39"/>
      <c r="M576" s="39"/>
      <c r="N576" s="39"/>
      <c r="O576" s="39"/>
      <c r="P576" s="39"/>
      <c r="Q576" s="39"/>
      <c r="R576" s="39"/>
      <c r="S576" s="39"/>
      <c r="T576" s="39"/>
      <c r="U576" s="39"/>
      <c r="V576" s="39"/>
      <c r="W576" s="39"/>
      <c r="X576" s="39"/>
      <c r="Y576" s="39"/>
      <c r="Z576" s="39"/>
      <c r="AA576" s="39"/>
      <c r="AB576" s="39"/>
    </row>
    <row r="577">
      <c r="A577" s="1"/>
      <c r="B577" s="36"/>
      <c r="C577" s="36"/>
      <c r="D577" s="36"/>
      <c r="E577" s="36"/>
      <c r="F577" s="36"/>
      <c r="G577" s="36"/>
      <c r="H577" s="37"/>
      <c r="I577" s="36"/>
      <c r="J577" s="38"/>
      <c r="K577" s="38"/>
      <c r="L577" s="39"/>
      <c r="M577" s="39"/>
      <c r="N577" s="39"/>
      <c r="O577" s="39"/>
      <c r="P577" s="39"/>
      <c r="Q577" s="39"/>
      <c r="R577" s="39"/>
      <c r="S577" s="39"/>
      <c r="T577" s="39"/>
      <c r="U577" s="39"/>
      <c r="V577" s="39"/>
      <c r="W577" s="39"/>
      <c r="X577" s="39"/>
      <c r="Y577" s="39"/>
      <c r="Z577" s="39"/>
      <c r="AA577" s="39"/>
      <c r="AB577" s="39"/>
    </row>
    <row r="578">
      <c r="A578" s="1"/>
      <c r="B578" s="36"/>
      <c r="C578" s="36"/>
      <c r="D578" s="36"/>
      <c r="E578" s="36"/>
      <c r="F578" s="36"/>
      <c r="G578" s="36"/>
      <c r="H578" s="37"/>
      <c r="I578" s="36"/>
      <c r="J578" s="38"/>
      <c r="K578" s="38"/>
      <c r="L578" s="39"/>
      <c r="M578" s="39"/>
      <c r="N578" s="39"/>
      <c r="O578" s="39"/>
      <c r="P578" s="39"/>
      <c r="Q578" s="39"/>
      <c r="R578" s="39"/>
      <c r="S578" s="39"/>
      <c r="T578" s="39"/>
      <c r="U578" s="39"/>
      <c r="V578" s="39"/>
      <c r="W578" s="39"/>
      <c r="X578" s="39"/>
      <c r="Y578" s="39"/>
      <c r="Z578" s="39"/>
      <c r="AA578" s="39"/>
      <c r="AB578" s="39"/>
    </row>
    <row r="579">
      <c r="A579" s="1"/>
      <c r="B579" s="36"/>
      <c r="C579" s="36"/>
      <c r="D579" s="36"/>
      <c r="E579" s="36"/>
      <c r="F579" s="36"/>
      <c r="G579" s="36"/>
      <c r="H579" s="37"/>
      <c r="I579" s="36"/>
      <c r="J579" s="38"/>
      <c r="K579" s="38"/>
      <c r="L579" s="39"/>
      <c r="M579" s="39"/>
      <c r="N579" s="39"/>
      <c r="O579" s="39"/>
      <c r="P579" s="39"/>
      <c r="Q579" s="39"/>
      <c r="R579" s="39"/>
      <c r="S579" s="39"/>
      <c r="T579" s="39"/>
      <c r="U579" s="39"/>
      <c r="V579" s="39"/>
      <c r="W579" s="39"/>
      <c r="X579" s="39"/>
      <c r="Y579" s="39"/>
      <c r="Z579" s="39"/>
      <c r="AA579" s="39"/>
      <c r="AB579" s="39"/>
    </row>
    <row r="580">
      <c r="A580" s="1"/>
      <c r="B580" s="36"/>
      <c r="C580" s="36"/>
      <c r="D580" s="36"/>
      <c r="E580" s="36"/>
      <c r="F580" s="36"/>
      <c r="G580" s="36"/>
      <c r="H580" s="37"/>
      <c r="I580" s="36"/>
      <c r="J580" s="38"/>
      <c r="K580" s="38"/>
      <c r="L580" s="39"/>
      <c r="M580" s="39"/>
      <c r="N580" s="39"/>
      <c r="O580" s="39"/>
      <c r="P580" s="39"/>
      <c r="Q580" s="39"/>
      <c r="R580" s="39"/>
      <c r="S580" s="39"/>
      <c r="T580" s="39"/>
      <c r="U580" s="39"/>
      <c r="V580" s="39"/>
      <c r="W580" s="39"/>
      <c r="X580" s="39"/>
      <c r="Y580" s="39"/>
      <c r="Z580" s="39"/>
      <c r="AA580" s="39"/>
      <c r="AB580" s="39"/>
    </row>
    <row r="581">
      <c r="A581" s="1"/>
      <c r="B581" s="36"/>
      <c r="C581" s="36"/>
      <c r="D581" s="36"/>
      <c r="E581" s="36"/>
      <c r="F581" s="36"/>
      <c r="G581" s="36"/>
      <c r="H581" s="37"/>
      <c r="I581" s="36"/>
      <c r="J581" s="38"/>
      <c r="K581" s="38"/>
      <c r="L581" s="39"/>
      <c r="M581" s="39"/>
      <c r="N581" s="39"/>
      <c r="O581" s="39"/>
      <c r="P581" s="39"/>
      <c r="Q581" s="39"/>
      <c r="R581" s="39"/>
      <c r="S581" s="39"/>
      <c r="T581" s="39"/>
      <c r="U581" s="39"/>
      <c r="V581" s="39"/>
      <c r="W581" s="39"/>
      <c r="X581" s="39"/>
      <c r="Y581" s="39"/>
      <c r="Z581" s="39"/>
      <c r="AA581" s="39"/>
      <c r="AB581" s="39"/>
    </row>
    <row r="582">
      <c r="A582" s="1"/>
      <c r="B582" s="36"/>
      <c r="C582" s="36"/>
      <c r="D582" s="36"/>
      <c r="E582" s="36"/>
      <c r="F582" s="36"/>
      <c r="G582" s="36"/>
      <c r="H582" s="37"/>
      <c r="I582" s="36"/>
      <c r="J582" s="38"/>
      <c r="K582" s="38"/>
      <c r="L582" s="39"/>
      <c r="M582" s="39"/>
      <c r="N582" s="39"/>
      <c r="O582" s="39"/>
      <c r="P582" s="39"/>
      <c r="Q582" s="39"/>
      <c r="R582" s="39"/>
      <c r="S582" s="39"/>
      <c r="T582" s="39"/>
      <c r="U582" s="39"/>
      <c r="V582" s="39"/>
      <c r="W582" s="39"/>
      <c r="X582" s="39"/>
      <c r="Y582" s="39"/>
      <c r="Z582" s="39"/>
      <c r="AA582" s="39"/>
      <c r="AB582" s="39"/>
    </row>
    <row r="583">
      <c r="A583" s="1"/>
      <c r="B583" s="36"/>
      <c r="C583" s="36"/>
      <c r="D583" s="36"/>
      <c r="E583" s="36"/>
      <c r="F583" s="36"/>
      <c r="G583" s="36"/>
      <c r="H583" s="37"/>
      <c r="I583" s="36"/>
      <c r="J583" s="38"/>
      <c r="K583" s="38"/>
      <c r="L583" s="39"/>
      <c r="M583" s="39"/>
      <c r="N583" s="39"/>
      <c r="O583" s="39"/>
      <c r="P583" s="39"/>
      <c r="Q583" s="39"/>
      <c r="R583" s="39"/>
      <c r="S583" s="39"/>
      <c r="T583" s="39"/>
      <c r="U583" s="39"/>
      <c r="V583" s="39"/>
      <c r="W583" s="39"/>
      <c r="X583" s="39"/>
      <c r="Y583" s="39"/>
      <c r="Z583" s="39"/>
      <c r="AA583" s="39"/>
      <c r="AB583" s="39"/>
    </row>
    <row r="584">
      <c r="A584" s="1"/>
      <c r="B584" s="36"/>
      <c r="C584" s="36"/>
      <c r="D584" s="36"/>
      <c r="E584" s="36"/>
      <c r="F584" s="36"/>
      <c r="G584" s="36"/>
      <c r="H584" s="37"/>
      <c r="I584" s="36"/>
      <c r="J584" s="38"/>
      <c r="K584" s="38"/>
      <c r="L584" s="39"/>
      <c r="M584" s="39"/>
      <c r="N584" s="39"/>
      <c r="O584" s="39"/>
      <c r="P584" s="39"/>
      <c r="Q584" s="39"/>
      <c r="R584" s="39"/>
      <c r="S584" s="39"/>
      <c r="T584" s="39"/>
      <c r="U584" s="39"/>
      <c r="V584" s="39"/>
      <c r="W584" s="39"/>
      <c r="X584" s="39"/>
      <c r="Y584" s="39"/>
      <c r="Z584" s="39"/>
      <c r="AA584" s="39"/>
      <c r="AB584" s="39"/>
    </row>
    <row r="585">
      <c r="A585" s="1"/>
      <c r="B585" s="36"/>
      <c r="C585" s="36"/>
      <c r="D585" s="36"/>
      <c r="E585" s="36"/>
      <c r="F585" s="36"/>
      <c r="G585" s="36"/>
      <c r="H585" s="37"/>
      <c r="I585" s="36"/>
      <c r="J585" s="38"/>
      <c r="K585" s="38"/>
      <c r="L585" s="39"/>
      <c r="M585" s="39"/>
      <c r="N585" s="39"/>
      <c r="O585" s="39"/>
      <c r="P585" s="39"/>
      <c r="Q585" s="39"/>
      <c r="R585" s="39"/>
      <c r="S585" s="39"/>
      <c r="T585" s="39"/>
      <c r="U585" s="39"/>
      <c r="V585" s="39"/>
      <c r="W585" s="39"/>
      <c r="X585" s="39"/>
      <c r="Y585" s="39"/>
      <c r="Z585" s="39"/>
      <c r="AA585" s="39"/>
      <c r="AB585" s="39"/>
    </row>
    <row r="586">
      <c r="A586" s="1"/>
      <c r="B586" s="36"/>
      <c r="C586" s="36"/>
      <c r="D586" s="36"/>
      <c r="E586" s="36"/>
      <c r="F586" s="36"/>
      <c r="G586" s="36"/>
      <c r="H586" s="37"/>
      <c r="I586" s="36"/>
      <c r="J586" s="38"/>
      <c r="K586" s="38"/>
      <c r="L586" s="39"/>
      <c r="M586" s="39"/>
      <c r="N586" s="39"/>
      <c r="O586" s="39"/>
      <c r="P586" s="39"/>
      <c r="Q586" s="39"/>
      <c r="R586" s="39"/>
      <c r="S586" s="39"/>
      <c r="T586" s="39"/>
      <c r="U586" s="39"/>
      <c r="V586" s="39"/>
      <c r="W586" s="39"/>
      <c r="X586" s="39"/>
      <c r="Y586" s="39"/>
      <c r="Z586" s="39"/>
      <c r="AA586" s="39"/>
      <c r="AB586" s="39"/>
    </row>
    <row r="587">
      <c r="A587" s="1"/>
      <c r="B587" s="36"/>
      <c r="C587" s="36"/>
      <c r="D587" s="36"/>
      <c r="E587" s="36"/>
      <c r="F587" s="36"/>
      <c r="G587" s="36"/>
      <c r="H587" s="37"/>
      <c r="I587" s="36"/>
      <c r="J587" s="38"/>
      <c r="K587" s="38"/>
      <c r="L587" s="39"/>
      <c r="M587" s="39"/>
      <c r="N587" s="39"/>
      <c r="O587" s="39"/>
      <c r="P587" s="39"/>
      <c r="Q587" s="39"/>
      <c r="R587" s="39"/>
      <c r="S587" s="39"/>
      <c r="T587" s="39"/>
      <c r="U587" s="39"/>
      <c r="V587" s="39"/>
      <c r="W587" s="39"/>
      <c r="X587" s="39"/>
      <c r="Y587" s="39"/>
      <c r="Z587" s="39"/>
      <c r="AA587" s="39"/>
      <c r="AB587" s="39"/>
    </row>
    <row r="588">
      <c r="A588" s="1"/>
      <c r="B588" s="36"/>
      <c r="C588" s="36"/>
      <c r="D588" s="36"/>
      <c r="E588" s="36"/>
      <c r="F588" s="36"/>
      <c r="G588" s="36"/>
      <c r="H588" s="37"/>
      <c r="I588" s="36"/>
      <c r="J588" s="38"/>
      <c r="K588" s="38"/>
      <c r="L588" s="39"/>
      <c r="M588" s="39"/>
      <c r="N588" s="39"/>
      <c r="O588" s="39"/>
      <c r="P588" s="39"/>
      <c r="Q588" s="39"/>
      <c r="R588" s="39"/>
      <c r="S588" s="39"/>
      <c r="T588" s="39"/>
      <c r="U588" s="39"/>
      <c r="V588" s="39"/>
      <c r="W588" s="39"/>
      <c r="X588" s="39"/>
      <c r="Y588" s="39"/>
      <c r="Z588" s="39"/>
      <c r="AA588" s="39"/>
      <c r="AB588" s="39"/>
    </row>
    <row r="589">
      <c r="A589" s="1"/>
      <c r="B589" s="36"/>
      <c r="C589" s="36"/>
      <c r="D589" s="36"/>
      <c r="E589" s="36"/>
      <c r="F589" s="36"/>
      <c r="G589" s="36"/>
      <c r="H589" s="37"/>
      <c r="I589" s="36"/>
      <c r="J589" s="38"/>
      <c r="K589" s="38"/>
      <c r="L589" s="39"/>
      <c r="M589" s="39"/>
      <c r="N589" s="39"/>
      <c r="O589" s="39"/>
      <c r="P589" s="39"/>
      <c r="Q589" s="39"/>
      <c r="R589" s="39"/>
      <c r="S589" s="39"/>
      <c r="T589" s="39"/>
      <c r="U589" s="39"/>
      <c r="V589" s="39"/>
      <c r="W589" s="39"/>
      <c r="X589" s="39"/>
      <c r="Y589" s="39"/>
      <c r="Z589" s="39"/>
      <c r="AA589" s="39"/>
      <c r="AB589" s="39"/>
    </row>
    <row r="590">
      <c r="A590" s="1"/>
      <c r="B590" s="36"/>
      <c r="C590" s="36"/>
      <c r="D590" s="36"/>
      <c r="E590" s="36"/>
      <c r="F590" s="36"/>
      <c r="G590" s="36"/>
      <c r="H590" s="37"/>
      <c r="I590" s="36"/>
      <c r="J590" s="38"/>
      <c r="K590" s="38"/>
      <c r="L590" s="39"/>
      <c r="M590" s="39"/>
      <c r="N590" s="39"/>
      <c r="O590" s="39"/>
      <c r="P590" s="39"/>
      <c r="Q590" s="39"/>
      <c r="R590" s="39"/>
      <c r="S590" s="39"/>
      <c r="T590" s="39"/>
      <c r="U590" s="39"/>
      <c r="V590" s="39"/>
      <c r="W590" s="39"/>
      <c r="X590" s="39"/>
      <c r="Y590" s="39"/>
      <c r="Z590" s="39"/>
      <c r="AA590" s="39"/>
      <c r="AB590" s="39"/>
    </row>
    <row r="591">
      <c r="A591" s="1"/>
      <c r="B591" s="36"/>
      <c r="C591" s="36"/>
      <c r="D591" s="36"/>
      <c r="E591" s="36"/>
      <c r="F591" s="36"/>
      <c r="G591" s="36"/>
      <c r="H591" s="37"/>
      <c r="I591" s="36"/>
      <c r="J591" s="38"/>
      <c r="K591" s="38"/>
      <c r="L591" s="39"/>
      <c r="M591" s="39"/>
      <c r="N591" s="39"/>
      <c r="O591" s="39"/>
      <c r="P591" s="39"/>
      <c r="Q591" s="39"/>
      <c r="R591" s="39"/>
      <c r="S591" s="39"/>
      <c r="T591" s="39"/>
      <c r="U591" s="39"/>
      <c r="V591" s="39"/>
      <c r="W591" s="39"/>
      <c r="X591" s="39"/>
      <c r="Y591" s="39"/>
      <c r="Z591" s="39"/>
      <c r="AA591" s="39"/>
      <c r="AB591" s="39"/>
    </row>
    <row r="592">
      <c r="A592" s="1"/>
      <c r="B592" s="36"/>
      <c r="C592" s="36"/>
      <c r="D592" s="36"/>
      <c r="E592" s="36"/>
      <c r="F592" s="36"/>
      <c r="G592" s="36"/>
      <c r="H592" s="37"/>
      <c r="I592" s="36"/>
      <c r="J592" s="38"/>
      <c r="K592" s="38"/>
      <c r="L592" s="39"/>
      <c r="M592" s="39"/>
      <c r="N592" s="39"/>
      <c r="O592" s="39"/>
      <c r="P592" s="39"/>
      <c r="Q592" s="39"/>
      <c r="R592" s="39"/>
      <c r="S592" s="39"/>
      <c r="T592" s="39"/>
      <c r="U592" s="39"/>
      <c r="V592" s="39"/>
      <c r="W592" s="39"/>
      <c r="X592" s="39"/>
      <c r="Y592" s="39"/>
      <c r="Z592" s="39"/>
      <c r="AA592" s="39"/>
      <c r="AB592" s="39"/>
    </row>
    <row r="593">
      <c r="A593" s="1"/>
      <c r="B593" s="36"/>
      <c r="C593" s="36"/>
      <c r="D593" s="36"/>
      <c r="E593" s="36"/>
      <c r="F593" s="36"/>
      <c r="G593" s="36"/>
      <c r="H593" s="37"/>
      <c r="I593" s="36"/>
      <c r="J593" s="38"/>
      <c r="K593" s="38"/>
      <c r="L593" s="39"/>
      <c r="M593" s="39"/>
      <c r="N593" s="39"/>
      <c r="O593" s="39"/>
      <c r="P593" s="39"/>
      <c r="Q593" s="39"/>
      <c r="R593" s="39"/>
      <c r="S593" s="39"/>
      <c r="T593" s="39"/>
      <c r="U593" s="39"/>
      <c r="V593" s="39"/>
      <c r="W593" s="39"/>
      <c r="X593" s="39"/>
      <c r="Y593" s="39"/>
      <c r="Z593" s="39"/>
      <c r="AA593" s="39"/>
      <c r="AB593" s="39"/>
    </row>
    <row r="594">
      <c r="A594" s="1"/>
      <c r="B594" s="36"/>
      <c r="C594" s="36"/>
      <c r="D594" s="36"/>
      <c r="E594" s="36"/>
      <c r="F594" s="36"/>
      <c r="G594" s="36"/>
      <c r="H594" s="37"/>
      <c r="I594" s="36"/>
      <c r="J594" s="38"/>
      <c r="K594" s="38"/>
      <c r="L594" s="39"/>
      <c r="M594" s="39"/>
      <c r="N594" s="39"/>
      <c r="O594" s="39"/>
      <c r="P594" s="39"/>
      <c r="Q594" s="39"/>
      <c r="R594" s="39"/>
      <c r="S594" s="39"/>
      <c r="T594" s="39"/>
      <c r="U594" s="39"/>
      <c r="V594" s="39"/>
      <c r="W594" s="39"/>
      <c r="X594" s="39"/>
      <c r="Y594" s="39"/>
      <c r="Z594" s="39"/>
      <c r="AA594" s="39"/>
      <c r="AB594" s="39"/>
    </row>
    <row r="595">
      <c r="A595" s="1"/>
      <c r="B595" s="36"/>
      <c r="C595" s="36"/>
      <c r="D595" s="36"/>
      <c r="E595" s="36"/>
      <c r="F595" s="36"/>
      <c r="G595" s="36"/>
      <c r="H595" s="37"/>
      <c r="I595" s="36"/>
      <c r="J595" s="38"/>
      <c r="K595" s="38"/>
      <c r="L595" s="39"/>
      <c r="M595" s="39"/>
      <c r="N595" s="39"/>
      <c r="O595" s="39"/>
      <c r="P595" s="39"/>
      <c r="Q595" s="39"/>
      <c r="R595" s="39"/>
      <c r="S595" s="39"/>
      <c r="T595" s="39"/>
      <c r="U595" s="39"/>
      <c r="V595" s="39"/>
      <c r="W595" s="39"/>
      <c r="X595" s="39"/>
      <c r="Y595" s="39"/>
      <c r="Z595" s="39"/>
      <c r="AA595" s="39"/>
      <c r="AB595" s="39"/>
    </row>
    <row r="596">
      <c r="A596" s="1"/>
      <c r="B596" s="36"/>
      <c r="C596" s="36"/>
      <c r="D596" s="36"/>
      <c r="E596" s="36"/>
      <c r="F596" s="36"/>
      <c r="G596" s="36"/>
      <c r="H596" s="37"/>
      <c r="I596" s="36"/>
      <c r="J596" s="38"/>
      <c r="K596" s="38"/>
      <c r="L596" s="39"/>
      <c r="M596" s="39"/>
      <c r="N596" s="39"/>
      <c r="O596" s="39"/>
      <c r="P596" s="39"/>
      <c r="Q596" s="39"/>
      <c r="R596" s="39"/>
      <c r="S596" s="39"/>
      <c r="T596" s="39"/>
      <c r="U596" s="39"/>
      <c r="V596" s="39"/>
      <c r="W596" s="39"/>
      <c r="X596" s="39"/>
      <c r="Y596" s="39"/>
      <c r="Z596" s="39"/>
      <c r="AA596" s="39"/>
      <c r="AB596" s="39"/>
    </row>
    <row r="597">
      <c r="A597" s="1"/>
      <c r="B597" s="36"/>
      <c r="C597" s="36"/>
      <c r="D597" s="36"/>
      <c r="E597" s="36"/>
      <c r="F597" s="36"/>
      <c r="G597" s="36"/>
      <c r="H597" s="37"/>
      <c r="I597" s="36"/>
      <c r="J597" s="38"/>
      <c r="K597" s="38"/>
      <c r="L597" s="39"/>
      <c r="M597" s="39"/>
      <c r="N597" s="39"/>
      <c r="O597" s="39"/>
      <c r="P597" s="39"/>
      <c r="Q597" s="39"/>
      <c r="R597" s="39"/>
      <c r="S597" s="39"/>
      <c r="T597" s="39"/>
      <c r="U597" s="39"/>
      <c r="V597" s="39"/>
      <c r="W597" s="39"/>
      <c r="X597" s="39"/>
      <c r="Y597" s="39"/>
      <c r="Z597" s="39"/>
      <c r="AA597" s="39"/>
      <c r="AB597" s="39"/>
    </row>
    <row r="598">
      <c r="A598" s="1"/>
      <c r="B598" s="36"/>
      <c r="C598" s="36"/>
      <c r="D598" s="36"/>
      <c r="E598" s="36"/>
      <c r="F598" s="36"/>
      <c r="G598" s="36"/>
      <c r="H598" s="37"/>
      <c r="I598" s="36"/>
      <c r="J598" s="38"/>
      <c r="K598" s="38"/>
      <c r="L598" s="39"/>
      <c r="M598" s="39"/>
      <c r="N598" s="39"/>
      <c r="O598" s="39"/>
      <c r="P598" s="39"/>
      <c r="Q598" s="39"/>
      <c r="R598" s="39"/>
      <c r="S598" s="39"/>
      <c r="T598" s="39"/>
      <c r="U598" s="39"/>
      <c r="V598" s="39"/>
      <c r="W598" s="39"/>
      <c r="X598" s="39"/>
      <c r="Y598" s="39"/>
      <c r="Z598" s="39"/>
      <c r="AA598" s="39"/>
      <c r="AB598" s="39"/>
    </row>
    <row r="599">
      <c r="A599" s="1"/>
      <c r="B599" s="36"/>
      <c r="C599" s="36"/>
      <c r="D599" s="36"/>
      <c r="E599" s="36"/>
      <c r="F599" s="36"/>
      <c r="G599" s="36"/>
      <c r="H599" s="37"/>
      <c r="I599" s="36"/>
      <c r="J599" s="38"/>
      <c r="K599" s="38"/>
      <c r="L599" s="39"/>
      <c r="M599" s="39"/>
      <c r="N599" s="39"/>
      <c r="O599" s="39"/>
      <c r="P599" s="39"/>
      <c r="Q599" s="39"/>
      <c r="R599" s="39"/>
      <c r="S599" s="39"/>
      <c r="T599" s="39"/>
      <c r="U599" s="39"/>
      <c r="V599" s="39"/>
      <c r="W599" s="39"/>
      <c r="X599" s="39"/>
      <c r="Y599" s="39"/>
      <c r="Z599" s="39"/>
      <c r="AA599" s="39"/>
      <c r="AB599" s="39"/>
    </row>
    <row r="600">
      <c r="A600" s="1"/>
      <c r="B600" s="36"/>
      <c r="C600" s="36"/>
      <c r="D600" s="36"/>
      <c r="E600" s="36"/>
      <c r="F600" s="36"/>
      <c r="G600" s="36"/>
      <c r="H600" s="37"/>
      <c r="I600" s="36"/>
      <c r="J600" s="38"/>
      <c r="K600" s="38"/>
      <c r="L600" s="39"/>
      <c r="M600" s="39"/>
      <c r="N600" s="39"/>
      <c r="O600" s="39"/>
      <c r="P600" s="39"/>
      <c r="Q600" s="39"/>
      <c r="R600" s="39"/>
      <c r="S600" s="39"/>
      <c r="T600" s="39"/>
      <c r="U600" s="39"/>
      <c r="V600" s="39"/>
      <c r="W600" s="39"/>
      <c r="X600" s="39"/>
      <c r="Y600" s="39"/>
      <c r="Z600" s="39"/>
      <c r="AA600" s="39"/>
      <c r="AB600" s="39"/>
    </row>
    <row r="601">
      <c r="A601" s="1"/>
      <c r="B601" s="36"/>
      <c r="C601" s="36"/>
      <c r="D601" s="36"/>
      <c r="E601" s="36"/>
      <c r="F601" s="36"/>
      <c r="G601" s="36"/>
      <c r="H601" s="37"/>
      <c r="I601" s="36"/>
      <c r="J601" s="38"/>
      <c r="K601" s="38"/>
      <c r="L601" s="39"/>
      <c r="M601" s="39"/>
      <c r="N601" s="39"/>
      <c r="O601" s="39"/>
      <c r="P601" s="39"/>
      <c r="Q601" s="39"/>
      <c r="R601" s="39"/>
      <c r="S601" s="39"/>
      <c r="T601" s="39"/>
      <c r="U601" s="39"/>
      <c r="V601" s="39"/>
      <c r="W601" s="39"/>
      <c r="X601" s="39"/>
      <c r="Y601" s="39"/>
      <c r="Z601" s="39"/>
      <c r="AA601" s="39"/>
      <c r="AB601" s="39"/>
    </row>
    <row r="602">
      <c r="A602" s="1"/>
      <c r="B602" s="36"/>
      <c r="C602" s="36"/>
      <c r="D602" s="36"/>
      <c r="E602" s="36"/>
      <c r="F602" s="36"/>
      <c r="G602" s="36"/>
      <c r="H602" s="37"/>
      <c r="I602" s="36"/>
      <c r="J602" s="38"/>
      <c r="K602" s="38"/>
      <c r="L602" s="39"/>
      <c r="M602" s="39"/>
      <c r="N602" s="39"/>
      <c r="O602" s="39"/>
      <c r="P602" s="39"/>
      <c r="Q602" s="39"/>
      <c r="R602" s="39"/>
      <c r="S602" s="39"/>
      <c r="T602" s="39"/>
      <c r="U602" s="39"/>
      <c r="V602" s="39"/>
      <c r="W602" s="39"/>
      <c r="X602" s="39"/>
      <c r="Y602" s="39"/>
      <c r="Z602" s="39"/>
      <c r="AA602" s="39"/>
      <c r="AB602" s="39"/>
    </row>
    <row r="603">
      <c r="A603" s="1"/>
      <c r="B603" s="36"/>
      <c r="C603" s="36"/>
      <c r="D603" s="36"/>
      <c r="E603" s="36"/>
      <c r="F603" s="36"/>
      <c r="G603" s="36"/>
      <c r="H603" s="37"/>
      <c r="I603" s="36"/>
      <c r="J603" s="38"/>
      <c r="K603" s="38"/>
      <c r="L603" s="39"/>
      <c r="M603" s="39"/>
      <c r="N603" s="39"/>
      <c r="O603" s="39"/>
      <c r="P603" s="39"/>
      <c r="Q603" s="39"/>
      <c r="R603" s="39"/>
      <c r="S603" s="39"/>
      <c r="T603" s="39"/>
      <c r="U603" s="39"/>
      <c r="V603" s="39"/>
      <c r="W603" s="39"/>
      <c r="X603" s="39"/>
      <c r="Y603" s="39"/>
      <c r="Z603" s="39"/>
      <c r="AA603" s="39"/>
      <c r="AB603" s="39"/>
    </row>
    <row r="604">
      <c r="A604" s="1"/>
      <c r="B604" s="36"/>
      <c r="C604" s="36"/>
      <c r="D604" s="36"/>
      <c r="E604" s="36"/>
      <c r="F604" s="36"/>
      <c r="G604" s="36"/>
      <c r="H604" s="37"/>
      <c r="I604" s="36"/>
      <c r="J604" s="38"/>
      <c r="K604" s="38"/>
      <c r="L604" s="39"/>
      <c r="M604" s="39"/>
      <c r="N604" s="39"/>
      <c r="O604" s="39"/>
      <c r="P604" s="39"/>
      <c r="Q604" s="39"/>
      <c r="R604" s="39"/>
      <c r="S604" s="39"/>
      <c r="T604" s="39"/>
      <c r="U604" s="39"/>
      <c r="V604" s="39"/>
      <c r="W604" s="39"/>
      <c r="X604" s="39"/>
      <c r="Y604" s="39"/>
      <c r="Z604" s="39"/>
      <c r="AA604" s="39"/>
      <c r="AB604" s="39"/>
    </row>
    <row r="605">
      <c r="A605" s="1"/>
      <c r="B605" s="36"/>
      <c r="C605" s="36"/>
      <c r="D605" s="36"/>
      <c r="E605" s="36"/>
      <c r="F605" s="36"/>
      <c r="G605" s="36"/>
      <c r="H605" s="37"/>
      <c r="I605" s="36"/>
      <c r="J605" s="38"/>
      <c r="K605" s="38"/>
      <c r="L605" s="39"/>
      <c r="M605" s="39"/>
      <c r="N605" s="39"/>
      <c r="O605" s="39"/>
      <c r="P605" s="39"/>
      <c r="Q605" s="39"/>
      <c r="R605" s="39"/>
      <c r="S605" s="39"/>
      <c r="T605" s="39"/>
      <c r="U605" s="39"/>
      <c r="V605" s="39"/>
      <c r="W605" s="39"/>
      <c r="X605" s="39"/>
      <c r="Y605" s="39"/>
      <c r="Z605" s="39"/>
      <c r="AA605" s="39"/>
      <c r="AB605" s="39"/>
    </row>
    <row r="606">
      <c r="A606" s="1"/>
      <c r="B606" s="36"/>
      <c r="C606" s="36"/>
      <c r="D606" s="36"/>
      <c r="E606" s="36"/>
      <c r="F606" s="36"/>
      <c r="G606" s="36"/>
      <c r="H606" s="37"/>
      <c r="I606" s="36"/>
      <c r="J606" s="38"/>
      <c r="K606" s="38"/>
      <c r="L606" s="39"/>
      <c r="M606" s="39"/>
      <c r="N606" s="39"/>
      <c r="O606" s="39"/>
      <c r="P606" s="39"/>
      <c r="Q606" s="39"/>
      <c r="R606" s="39"/>
      <c r="S606" s="39"/>
      <c r="T606" s="39"/>
      <c r="U606" s="39"/>
      <c r="V606" s="39"/>
      <c r="W606" s="39"/>
      <c r="X606" s="39"/>
      <c r="Y606" s="39"/>
      <c r="Z606" s="39"/>
      <c r="AA606" s="39"/>
      <c r="AB606" s="39"/>
    </row>
    <row r="607">
      <c r="A607" s="1"/>
      <c r="B607" s="36"/>
      <c r="C607" s="36"/>
      <c r="D607" s="36"/>
      <c r="E607" s="36"/>
      <c r="F607" s="36"/>
      <c r="G607" s="36"/>
      <c r="H607" s="37"/>
      <c r="I607" s="36"/>
      <c r="J607" s="38"/>
      <c r="K607" s="38"/>
      <c r="L607" s="39"/>
      <c r="M607" s="39"/>
      <c r="N607" s="39"/>
      <c r="O607" s="39"/>
      <c r="P607" s="39"/>
      <c r="Q607" s="39"/>
      <c r="R607" s="39"/>
      <c r="S607" s="39"/>
      <c r="T607" s="39"/>
      <c r="U607" s="39"/>
      <c r="V607" s="39"/>
      <c r="W607" s="39"/>
      <c r="X607" s="39"/>
      <c r="Y607" s="39"/>
      <c r="Z607" s="39"/>
      <c r="AA607" s="39"/>
      <c r="AB607" s="39"/>
    </row>
    <row r="608">
      <c r="A608" s="1"/>
      <c r="B608" s="36"/>
      <c r="C608" s="36"/>
      <c r="D608" s="36"/>
      <c r="E608" s="36"/>
      <c r="F608" s="36"/>
      <c r="G608" s="36"/>
      <c r="H608" s="37"/>
      <c r="I608" s="36"/>
      <c r="J608" s="38"/>
      <c r="K608" s="38"/>
      <c r="L608" s="39"/>
      <c r="M608" s="39"/>
      <c r="N608" s="39"/>
      <c r="O608" s="39"/>
      <c r="P608" s="39"/>
      <c r="Q608" s="39"/>
      <c r="R608" s="39"/>
      <c r="S608" s="39"/>
      <c r="T608" s="39"/>
      <c r="U608" s="39"/>
      <c r="V608" s="39"/>
      <c r="W608" s="39"/>
      <c r="X608" s="39"/>
      <c r="Y608" s="39"/>
      <c r="Z608" s="39"/>
      <c r="AA608" s="39"/>
      <c r="AB608" s="39"/>
    </row>
    <row r="609">
      <c r="A609" s="1"/>
      <c r="B609" s="36"/>
      <c r="C609" s="36"/>
      <c r="D609" s="36"/>
      <c r="E609" s="36"/>
      <c r="F609" s="36"/>
      <c r="G609" s="36"/>
      <c r="H609" s="37"/>
      <c r="I609" s="36"/>
      <c r="J609" s="38"/>
      <c r="K609" s="38"/>
      <c r="L609" s="39"/>
      <c r="M609" s="39"/>
      <c r="N609" s="39"/>
      <c r="O609" s="39"/>
      <c r="P609" s="39"/>
      <c r="Q609" s="39"/>
      <c r="R609" s="39"/>
      <c r="S609" s="39"/>
      <c r="T609" s="39"/>
      <c r="U609" s="39"/>
      <c r="V609" s="39"/>
      <c r="W609" s="39"/>
      <c r="X609" s="39"/>
      <c r="Y609" s="39"/>
      <c r="Z609" s="39"/>
      <c r="AA609" s="39"/>
      <c r="AB609" s="39"/>
    </row>
    <row r="610">
      <c r="A610" s="1"/>
      <c r="B610" s="36"/>
      <c r="C610" s="36"/>
      <c r="D610" s="36"/>
      <c r="E610" s="36"/>
      <c r="F610" s="36"/>
      <c r="G610" s="36"/>
      <c r="H610" s="37"/>
      <c r="I610" s="36"/>
      <c r="J610" s="38"/>
      <c r="K610" s="38"/>
      <c r="L610" s="39"/>
      <c r="M610" s="39"/>
      <c r="N610" s="39"/>
      <c r="O610" s="39"/>
      <c r="P610" s="39"/>
      <c r="Q610" s="39"/>
      <c r="R610" s="39"/>
      <c r="S610" s="39"/>
      <c r="T610" s="39"/>
      <c r="U610" s="39"/>
      <c r="V610" s="39"/>
      <c r="W610" s="39"/>
      <c r="X610" s="39"/>
      <c r="Y610" s="39"/>
      <c r="Z610" s="39"/>
      <c r="AA610" s="39"/>
      <c r="AB610" s="39"/>
    </row>
    <row r="611">
      <c r="A611" s="1"/>
      <c r="B611" s="36"/>
      <c r="C611" s="36"/>
      <c r="D611" s="36"/>
      <c r="E611" s="36"/>
      <c r="F611" s="36"/>
      <c r="G611" s="36"/>
      <c r="H611" s="37"/>
      <c r="I611" s="36"/>
      <c r="J611" s="38"/>
      <c r="K611" s="38"/>
      <c r="L611" s="39"/>
      <c r="M611" s="39"/>
      <c r="N611" s="39"/>
      <c r="O611" s="39"/>
      <c r="P611" s="39"/>
      <c r="Q611" s="39"/>
      <c r="R611" s="39"/>
      <c r="S611" s="39"/>
      <c r="T611" s="39"/>
      <c r="U611" s="39"/>
      <c r="V611" s="39"/>
      <c r="W611" s="39"/>
      <c r="X611" s="39"/>
      <c r="Y611" s="39"/>
      <c r="Z611" s="39"/>
      <c r="AA611" s="39"/>
      <c r="AB611" s="39"/>
    </row>
    <row r="612">
      <c r="A612" s="1"/>
      <c r="B612" s="36"/>
      <c r="C612" s="36"/>
      <c r="D612" s="36"/>
      <c r="E612" s="36"/>
      <c r="F612" s="36"/>
      <c r="G612" s="36"/>
      <c r="H612" s="37"/>
      <c r="I612" s="36"/>
      <c r="J612" s="38"/>
      <c r="K612" s="38"/>
      <c r="L612" s="39"/>
      <c r="M612" s="39"/>
      <c r="N612" s="39"/>
      <c r="O612" s="39"/>
      <c r="P612" s="39"/>
      <c r="Q612" s="39"/>
      <c r="R612" s="39"/>
      <c r="S612" s="39"/>
      <c r="T612" s="39"/>
      <c r="U612" s="39"/>
      <c r="V612" s="39"/>
      <c r="W612" s="39"/>
      <c r="X612" s="39"/>
      <c r="Y612" s="39"/>
      <c r="Z612" s="39"/>
      <c r="AA612" s="39"/>
      <c r="AB612" s="39"/>
    </row>
    <row r="613">
      <c r="A613" s="1"/>
      <c r="B613" s="36"/>
      <c r="C613" s="36"/>
      <c r="D613" s="36"/>
      <c r="E613" s="36"/>
      <c r="F613" s="36"/>
      <c r="G613" s="36"/>
      <c r="H613" s="37"/>
      <c r="I613" s="36"/>
      <c r="J613" s="38"/>
      <c r="K613" s="38"/>
      <c r="L613" s="39"/>
      <c r="M613" s="39"/>
      <c r="N613" s="39"/>
      <c r="O613" s="39"/>
      <c r="P613" s="39"/>
      <c r="Q613" s="39"/>
      <c r="R613" s="39"/>
      <c r="S613" s="39"/>
      <c r="T613" s="39"/>
      <c r="U613" s="39"/>
      <c r="V613" s="39"/>
      <c r="W613" s="39"/>
      <c r="X613" s="39"/>
      <c r="Y613" s="39"/>
      <c r="Z613" s="39"/>
      <c r="AA613" s="39"/>
      <c r="AB613" s="39"/>
    </row>
    <row r="614">
      <c r="A614" s="1"/>
      <c r="B614" s="36"/>
      <c r="C614" s="36"/>
      <c r="D614" s="36"/>
      <c r="E614" s="36"/>
      <c r="F614" s="36"/>
      <c r="G614" s="36"/>
      <c r="H614" s="37"/>
      <c r="I614" s="36"/>
      <c r="J614" s="38"/>
      <c r="K614" s="38"/>
      <c r="L614" s="39"/>
      <c r="M614" s="39"/>
      <c r="N614" s="39"/>
      <c r="O614" s="39"/>
      <c r="P614" s="39"/>
      <c r="Q614" s="39"/>
      <c r="R614" s="39"/>
      <c r="S614" s="39"/>
      <c r="T614" s="39"/>
      <c r="U614" s="39"/>
      <c r="V614" s="39"/>
      <c r="W614" s="39"/>
      <c r="X614" s="39"/>
      <c r="Y614" s="39"/>
      <c r="Z614" s="39"/>
      <c r="AA614" s="39"/>
      <c r="AB614" s="39"/>
    </row>
    <row r="615">
      <c r="A615" s="1"/>
      <c r="B615" s="36"/>
      <c r="C615" s="36"/>
      <c r="D615" s="36"/>
      <c r="E615" s="36"/>
      <c r="F615" s="36"/>
      <c r="G615" s="36"/>
      <c r="H615" s="37"/>
      <c r="I615" s="36"/>
      <c r="J615" s="38"/>
      <c r="K615" s="38"/>
      <c r="L615" s="39"/>
      <c r="M615" s="39"/>
      <c r="N615" s="39"/>
      <c r="O615" s="39"/>
      <c r="P615" s="39"/>
      <c r="Q615" s="39"/>
      <c r="R615" s="39"/>
      <c r="S615" s="39"/>
      <c r="T615" s="39"/>
      <c r="U615" s="39"/>
      <c r="V615" s="39"/>
      <c r="W615" s="39"/>
      <c r="X615" s="39"/>
      <c r="Y615" s="39"/>
      <c r="Z615" s="39"/>
      <c r="AA615" s="39"/>
      <c r="AB615" s="39"/>
    </row>
    <row r="616">
      <c r="A616" s="1"/>
      <c r="B616" s="36"/>
      <c r="C616" s="36"/>
      <c r="D616" s="36"/>
      <c r="E616" s="36"/>
      <c r="F616" s="36"/>
      <c r="G616" s="36"/>
      <c r="H616" s="37"/>
      <c r="I616" s="36"/>
      <c r="J616" s="38"/>
      <c r="K616" s="38"/>
      <c r="L616" s="39"/>
      <c r="M616" s="39"/>
      <c r="N616" s="39"/>
      <c r="O616" s="39"/>
      <c r="P616" s="39"/>
      <c r="Q616" s="39"/>
      <c r="R616" s="39"/>
      <c r="S616" s="39"/>
      <c r="T616" s="39"/>
      <c r="U616" s="39"/>
      <c r="V616" s="39"/>
      <c r="W616" s="39"/>
      <c r="X616" s="39"/>
      <c r="Y616" s="39"/>
      <c r="Z616" s="39"/>
      <c r="AA616" s="39"/>
      <c r="AB616" s="39"/>
    </row>
    <row r="617">
      <c r="A617" s="1"/>
      <c r="B617" s="36"/>
      <c r="C617" s="36"/>
      <c r="D617" s="36"/>
      <c r="E617" s="36"/>
      <c r="F617" s="36"/>
      <c r="G617" s="36"/>
      <c r="H617" s="37"/>
      <c r="I617" s="36"/>
      <c r="J617" s="38"/>
      <c r="K617" s="38"/>
      <c r="L617" s="39"/>
      <c r="M617" s="39"/>
      <c r="N617" s="39"/>
      <c r="O617" s="39"/>
      <c r="P617" s="39"/>
      <c r="Q617" s="39"/>
      <c r="R617" s="39"/>
      <c r="S617" s="39"/>
      <c r="T617" s="39"/>
      <c r="U617" s="39"/>
      <c r="V617" s="39"/>
      <c r="W617" s="39"/>
      <c r="X617" s="39"/>
      <c r="Y617" s="39"/>
      <c r="Z617" s="39"/>
      <c r="AA617" s="39"/>
      <c r="AB617" s="39"/>
    </row>
    <row r="618">
      <c r="A618" s="1"/>
      <c r="B618" s="36"/>
      <c r="C618" s="36"/>
      <c r="D618" s="36"/>
      <c r="E618" s="36"/>
      <c r="F618" s="36"/>
      <c r="G618" s="36"/>
      <c r="H618" s="37"/>
      <c r="I618" s="36"/>
      <c r="J618" s="38"/>
      <c r="K618" s="38"/>
      <c r="L618" s="39"/>
      <c r="M618" s="39"/>
      <c r="N618" s="39"/>
      <c r="O618" s="39"/>
      <c r="P618" s="39"/>
      <c r="Q618" s="39"/>
      <c r="R618" s="39"/>
      <c r="S618" s="39"/>
      <c r="T618" s="39"/>
      <c r="U618" s="39"/>
      <c r="V618" s="39"/>
      <c r="W618" s="39"/>
      <c r="X618" s="39"/>
      <c r="Y618" s="39"/>
      <c r="Z618" s="39"/>
      <c r="AA618" s="39"/>
      <c r="AB618" s="39"/>
    </row>
    <row r="619">
      <c r="A619" s="1"/>
      <c r="B619" s="36"/>
      <c r="C619" s="36"/>
      <c r="D619" s="36"/>
      <c r="E619" s="36"/>
      <c r="F619" s="36"/>
      <c r="G619" s="36"/>
      <c r="H619" s="37"/>
      <c r="I619" s="36"/>
      <c r="J619" s="38"/>
      <c r="K619" s="38"/>
      <c r="L619" s="39"/>
      <c r="M619" s="39"/>
      <c r="N619" s="39"/>
      <c r="O619" s="39"/>
      <c r="P619" s="39"/>
      <c r="Q619" s="39"/>
      <c r="R619" s="39"/>
      <c r="S619" s="39"/>
      <c r="T619" s="39"/>
      <c r="U619" s="39"/>
      <c r="V619" s="39"/>
      <c r="W619" s="39"/>
      <c r="X619" s="39"/>
      <c r="Y619" s="39"/>
      <c r="Z619" s="39"/>
      <c r="AA619" s="39"/>
      <c r="AB619" s="39"/>
    </row>
    <row r="620">
      <c r="A620" s="1"/>
      <c r="B620" s="36"/>
      <c r="C620" s="36"/>
      <c r="D620" s="36"/>
      <c r="E620" s="36"/>
      <c r="F620" s="36"/>
      <c r="G620" s="36"/>
      <c r="H620" s="37"/>
      <c r="I620" s="36"/>
      <c r="J620" s="38"/>
      <c r="K620" s="38"/>
      <c r="L620" s="39"/>
      <c r="M620" s="39"/>
      <c r="N620" s="39"/>
      <c r="O620" s="39"/>
      <c r="P620" s="39"/>
      <c r="Q620" s="39"/>
      <c r="R620" s="39"/>
      <c r="S620" s="39"/>
      <c r="T620" s="39"/>
      <c r="U620" s="39"/>
      <c r="V620" s="39"/>
      <c r="W620" s="39"/>
      <c r="X620" s="39"/>
      <c r="Y620" s="39"/>
      <c r="Z620" s="39"/>
      <c r="AA620" s="39"/>
      <c r="AB620" s="39"/>
    </row>
    <row r="621">
      <c r="A621" s="1"/>
      <c r="B621" s="36"/>
      <c r="C621" s="36"/>
      <c r="D621" s="36"/>
      <c r="E621" s="36"/>
      <c r="F621" s="36"/>
      <c r="G621" s="36"/>
      <c r="H621" s="37"/>
      <c r="I621" s="36"/>
      <c r="J621" s="38"/>
      <c r="K621" s="38"/>
      <c r="L621" s="39"/>
      <c r="M621" s="39"/>
      <c r="N621" s="39"/>
      <c r="O621" s="39"/>
      <c r="P621" s="39"/>
      <c r="Q621" s="39"/>
      <c r="R621" s="39"/>
      <c r="S621" s="39"/>
      <c r="T621" s="39"/>
      <c r="U621" s="39"/>
      <c r="V621" s="39"/>
      <c r="W621" s="39"/>
      <c r="X621" s="39"/>
      <c r="Y621" s="39"/>
      <c r="Z621" s="39"/>
      <c r="AA621" s="39"/>
      <c r="AB621" s="39"/>
    </row>
    <row r="622">
      <c r="A622" s="1"/>
      <c r="B622" s="36"/>
      <c r="C622" s="36"/>
      <c r="D622" s="36"/>
      <c r="E622" s="36"/>
      <c r="F622" s="36"/>
      <c r="G622" s="36"/>
      <c r="H622" s="37"/>
      <c r="I622" s="36"/>
      <c r="J622" s="38"/>
      <c r="K622" s="38"/>
      <c r="L622" s="39"/>
      <c r="M622" s="39"/>
      <c r="N622" s="39"/>
      <c r="O622" s="39"/>
      <c r="P622" s="39"/>
      <c r="Q622" s="39"/>
      <c r="R622" s="39"/>
      <c r="S622" s="39"/>
      <c r="T622" s="39"/>
      <c r="U622" s="39"/>
      <c r="V622" s="39"/>
      <c r="W622" s="39"/>
      <c r="X622" s="39"/>
      <c r="Y622" s="39"/>
      <c r="Z622" s="39"/>
      <c r="AA622" s="39"/>
      <c r="AB622" s="39"/>
    </row>
    <row r="623">
      <c r="A623" s="1"/>
      <c r="B623" s="36"/>
      <c r="C623" s="36"/>
      <c r="D623" s="36"/>
      <c r="E623" s="36"/>
      <c r="F623" s="36"/>
      <c r="G623" s="36"/>
      <c r="H623" s="37"/>
      <c r="I623" s="36"/>
      <c r="J623" s="38"/>
      <c r="K623" s="38"/>
      <c r="L623" s="39"/>
      <c r="M623" s="39"/>
      <c r="N623" s="39"/>
      <c r="O623" s="39"/>
      <c r="P623" s="39"/>
      <c r="Q623" s="39"/>
      <c r="R623" s="39"/>
      <c r="S623" s="39"/>
      <c r="T623" s="39"/>
      <c r="U623" s="39"/>
      <c r="V623" s="39"/>
      <c r="W623" s="39"/>
      <c r="X623" s="39"/>
      <c r="Y623" s="39"/>
      <c r="Z623" s="39"/>
      <c r="AA623" s="39"/>
      <c r="AB623" s="39"/>
    </row>
    <row r="624">
      <c r="A624" s="1"/>
      <c r="B624" s="36"/>
      <c r="C624" s="36"/>
      <c r="D624" s="36"/>
      <c r="E624" s="36"/>
      <c r="F624" s="36"/>
      <c r="G624" s="36"/>
      <c r="H624" s="37"/>
      <c r="I624" s="36"/>
      <c r="J624" s="38"/>
      <c r="K624" s="38"/>
      <c r="L624" s="39"/>
      <c r="M624" s="39"/>
      <c r="N624" s="39"/>
      <c r="O624" s="39"/>
      <c r="P624" s="39"/>
      <c r="Q624" s="39"/>
      <c r="R624" s="39"/>
      <c r="S624" s="39"/>
      <c r="T624" s="39"/>
      <c r="U624" s="39"/>
      <c r="V624" s="39"/>
      <c r="W624" s="39"/>
      <c r="X624" s="39"/>
      <c r="Y624" s="39"/>
      <c r="Z624" s="39"/>
      <c r="AA624" s="39"/>
      <c r="AB624" s="39"/>
    </row>
    <row r="625">
      <c r="A625" s="1"/>
      <c r="B625" s="36"/>
      <c r="C625" s="36"/>
      <c r="D625" s="36"/>
      <c r="E625" s="36"/>
      <c r="F625" s="36"/>
      <c r="G625" s="36"/>
      <c r="H625" s="37"/>
      <c r="I625" s="36"/>
      <c r="J625" s="38"/>
      <c r="K625" s="38"/>
      <c r="L625" s="39"/>
      <c r="M625" s="39"/>
      <c r="N625" s="39"/>
      <c r="O625" s="39"/>
      <c r="P625" s="39"/>
      <c r="Q625" s="39"/>
      <c r="R625" s="39"/>
      <c r="S625" s="39"/>
      <c r="T625" s="39"/>
      <c r="U625" s="39"/>
      <c r="V625" s="39"/>
      <c r="W625" s="39"/>
      <c r="X625" s="39"/>
      <c r="Y625" s="39"/>
      <c r="Z625" s="39"/>
      <c r="AA625" s="39"/>
      <c r="AB625" s="39"/>
    </row>
    <row r="626">
      <c r="A626" s="1"/>
      <c r="B626" s="36"/>
      <c r="C626" s="36"/>
      <c r="D626" s="36"/>
      <c r="E626" s="36"/>
      <c r="F626" s="36"/>
      <c r="G626" s="36"/>
      <c r="H626" s="37"/>
      <c r="I626" s="36"/>
      <c r="J626" s="38"/>
      <c r="K626" s="38"/>
      <c r="L626" s="39"/>
      <c r="M626" s="39"/>
      <c r="N626" s="39"/>
      <c r="O626" s="39"/>
      <c r="P626" s="39"/>
      <c r="Q626" s="39"/>
      <c r="R626" s="39"/>
      <c r="S626" s="39"/>
      <c r="T626" s="39"/>
      <c r="U626" s="39"/>
      <c r="V626" s="39"/>
      <c r="W626" s="39"/>
      <c r="X626" s="39"/>
      <c r="Y626" s="39"/>
      <c r="Z626" s="39"/>
      <c r="AA626" s="39"/>
      <c r="AB626" s="39"/>
    </row>
    <row r="627">
      <c r="A627" s="1"/>
      <c r="B627" s="36"/>
      <c r="C627" s="36"/>
      <c r="D627" s="36"/>
      <c r="E627" s="36"/>
      <c r="F627" s="36"/>
      <c r="G627" s="36"/>
      <c r="H627" s="37"/>
      <c r="I627" s="36"/>
      <c r="J627" s="38"/>
      <c r="K627" s="38"/>
      <c r="L627" s="39"/>
      <c r="M627" s="39"/>
      <c r="N627" s="39"/>
      <c r="O627" s="39"/>
      <c r="P627" s="39"/>
      <c r="Q627" s="39"/>
      <c r="R627" s="39"/>
      <c r="S627" s="39"/>
      <c r="T627" s="39"/>
      <c r="U627" s="39"/>
      <c r="V627" s="39"/>
      <c r="W627" s="39"/>
      <c r="X627" s="39"/>
      <c r="Y627" s="39"/>
      <c r="Z627" s="39"/>
      <c r="AA627" s="39"/>
      <c r="AB627" s="39"/>
    </row>
    <row r="628">
      <c r="A628" s="1"/>
      <c r="B628" s="36"/>
      <c r="C628" s="36"/>
      <c r="D628" s="36"/>
      <c r="E628" s="36"/>
      <c r="F628" s="36"/>
      <c r="G628" s="36"/>
      <c r="H628" s="37"/>
      <c r="I628" s="36"/>
      <c r="J628" s="38"/>
      <c r="K628" s="38"/>
      <c r="L628" s="39"/>
      <c r="M628" s="39"/>
      <c r="N628" s="39"/>
      <c r="O628" s="39"/>
      <c r="P628" s="39"/>
      <c r="Q628" s="39"/>
      <c r="R628" s="39"/>
      <c r="S628" s="39"/>
      <c r="T628" s="39"/>
      <c r="U628" s="39"/>
      <c r="V628" s="39"/>
      <c r="W628" s="39"/>
      <c r="X628" s="39"/>
      <c r="Y628" s="39"/>
      <c r="Z628" s="39"/>
      <c r="AA628" s="39"/>
      <c r="AB628" s="39"/>
    </row>
    <row r="629">
      <c r="A629" s="1"/>
      <c r="B629" s="36"/>
      <c r="C629" s="36"/>
      <c r="D629" s="36"/>
      <c r="E629" s="36"/>
      <c r="F629" s="36"/>
      <c r="G629" s="36"/>
      <c r="H629" s="37"/>
      <c r="I629" s="36"/>
      <c r="J629" s="38"/>
      <c r="K629" s="38"/>
      <c r="L629" s="39"/>
      <c r="M629" s="39"/>
      <c r="N629" s="39"/>
      <c r="O629" s="39"/>
      <c r="P629" s="39"/>
      <c r="Q629" s="39"/>
      <c r="R629" s="39"/>
      <c r="S629" s="39"/>
      <c r="T629" s="39"/>
      <c r="U629" s="39"/>
      <c r="V629" s="39"/>
      <c r="W629" s="39"/>
      <c r="X629" s="39"/>
      <c r="Y629" s="39"/>
      <c r="Z629" s="39"/>
      <c r="AA629" s="39"/>
      <c r="AB629" s="39"/>
    </row>
    <row r="630">
      <c r="A630" s="1"/>
      <c r="B630" s="36"/>
      <c r="C630" s="36"/>
      <c r="D630" s="36"/>
      <c r="E630" s="36"/>
      <c r="F630" s="36"/>
      <c r="G630" s="36"/>
      <c r="H630" s="37"/>
      <c r="I630" s="36"/>
      <c r="J630" s="38"/>
      <c r="K630" s="38"/>
      <c r="L630" s="39"/>
      <c r="M630" s="39"/>
      <c r="N630" s="39"/>
      <c r="O630" s="39"/>
      <c r="P630" s="39"/>
      <c r="Q630" s="39"/>
      <c r="R630" s="39"/>
      <c r="S630" s="39"/>
      <c r="T630" s="39"/>
      <c r="U630" s="39"/>
      <c r="V630" s="39"/>
      <c r="W630" s="39"/>
      <c r="X630" s="39"/>
      <c r="Y630" s="39"/>
      <c r="Z630" s="39"/>
      <c r="AA630" s="39"/>
      <c r="AB630" s="39"/>
    </row>
    <row r="631">
      <c r="A631" s="1"/>
      <c r="B631" s="36"/>
      <c r="C631" s="36"/>
      <c r="D631" s="36"/>
      <c r="E631" s="36"/>
      <c r="F631" s="36"/>
      <c r="G631" s="36"/>
      <c r="H631" s="37"/>
      <c r="I631" s="36"/>
      <c r="J631" s="38"/>
      <c r="K631" s="38"/>
      <c r="L631" s="39"/>
      <c r="M631" s="39"/>
      <c r="N631" s="39"/>
      <c r="O631" s="39"/>
      <c r="P631" s="39"/>
      <c r="Q631" s="39"/>
      <c r="R631" s="39"/>
      <c r="S631" s="39"/>
      <c r="T631" s="39"/>
      <c r="U631" s="39"/>
      <c r="V631" s="39"/>
      <c r="W631" s="39"/>
      <c r="X631" s="39"/>
      <c r="Y631" s="39"/>
      <c r="Z631" s="39"/>
      <c r="AA631" s="39"/>
      <c r="AB631" s="39"/>
    </row>
    <row r="632">
      <c r="A632" s="1"/>
      <c r="B632" s="36"/>
      <c r="C632" s="36"/>
      <c r="D632" s="36"/>
      <c r="E632" s="36"/>
      <c r="F632" s="36"/>
      <c r="G632" s="36"/>
      <c r="H632" s="37"/>
      <c r="I632" s="36"/>
      <c r="J632" s="38"/>
      <c r="K632" s="38"/>
      <c r="L632" s="39"/>
      <c r="M632" s="39"/>
      <c r="N632" s="39"/>
      <c r="O632" s="39"/>
      <c r="P632" s="39"/>
      <c r="Q632" s="39"/>
      <c r="R632" s="39"/>
      <c r="S632" s="39"/>
      <c r="T632" s="39"/>
      <c r="U632" s="39"/>
      <c r="V632" s="39"/>
      <c r="W632" s="39"/>
      <c r="X632" s="39"/>
      <c r="Y632" s="39"/>
      <c r="Z632" s="39"/>
      <c r="AA632" s="39"/>
      <c r="AB632" s="39"/>
    </row>
    <row r="633">
      <c r="A633" s="1"/>
      <c r="B633" s="36"/>
      <c r="C633" s="36"/>
      <c r="D633" s="36"/>
      <c r="E633" s="36"/>
      <c r="F633" s="36"/>
      <c r="G633" s="36"/>
      <c r="H633" s="37"/>
      <c r="I633" s="36"/>
      <c r="J633" s="38"/>
      <c r="K633" s="38"/>
      <c r="L633" s="39"/>
      <c r="M633" s="39"/>
      <c r="N633" s="39"/>
      <c r="O633" s="39"/>
      <c r="P633" s="39"/>
      <c r="Q633" s="39"/>
      <c r="R633" s="39"/>
      <c r="S633" s="39"/>
      <c r="T633" s="39"/>
      <c r="U633" s="39"/>
      <c r="V633" s="39"/>
      <c r="W633" s="39"/>
      <c r="X633" s="39"/>
      <c r="Y633" s="39"/>
      <c r="Z633" s="39"/>
      <c r="AA633" s="39"/>
      <c r="AB633" s="39"/>
    </row>
    <row r="634">
      <c r="A634" s="1"/>
      <c r="B634" s="36"/>
      <c r="C634" s="36"/>
      <c r="D634" s="36"/>
      <c r="E634" s="36"/>
      <c r="F634" s="36"/>
      <c r="G634" s="36"/>
      <c r="H634" s="37"/>
      <c r="I634" s="36"/>
      <c r="J634" s="38"/>
      <c r="K634" s="38"/>
      <c r="L634" s="39"/>
      <c r="M634" s="39"/>
      <c r="N634" s="39"/>
      <c r="O634" s="39"/>
      <c r="P634" s="39"/>
      <c r="Q634" s="39"/>
      <c r="R634" s="39"/>
      <c r="S634" s="39"/>
      <c r="T634" s="39"/>
      <c r="U634" s="39"/>
      <c r="V634" s="39"/>
      <c r="W634" s="39"/>
      <c r="X634" s="39"/>
      <c r="Y634" s="39"/>
      <c r="Z634" s="39"/>
      <c r="AA634" s="39"/>
      <c r="AB634" s="39"/>
    </row>
    <row r="635">
      <c r="A635" s="1"/>
      <c r="B635" s="36"/>
      <c r="C635" s="36"/>
      <c r="D635" s="36"/>
      <c r="E635" s="36"/>
      <c r="F635" s="36"/>
      <c r="G635" s="36"/>
      <c r="H635" s="37"/>
      <c r="I635" s="36"/>
      <c r="J635" s="38"/>
      <c r="K635" s="38"/>
      <c r="L635" s="39"/>
      <c r="M635" s="39"/>
      <c r="N635" s="39"/>
      <c r="O635" s="39"/>
      <c r="P635" s="39"/>
      <c r="Q635" s="39"/>
      <c r="R635" s="39"/>
      <c r="S635" s="39"/>
      <c r="T635" s="39"/>
      <c r="U635" s="39"/>
      <c r="V635" s="39"/>
      <c r="W635" s="39"/>
      <c r="X635" s="39"/>
      <c r="Y635" s="39"/>
      <c r="Z635" s="39"/>
      <c r="AA635" s="39"/>
      <c r="AB635" s="39"/>
    </row>
    <row r="636">
      <c r="A636" s="1"/>
      <c r="B636" s="36"/>
      <c r="C636" s="36"/>
      <c r="D636" s="36"/>
      <c r="E636" s="36"/>
      <c r="F636" s="36"/>
      <c r="G636" s="36"/>
      <c r="H636" s="37"/>
      <c r="I636" s="36"/>
      <c r="J636" s="38"/>
      <c r="K636" s="38"/>
      <c r="L636" s="39"/>
      <c r="M636" s="39"/>
      <c r="N636" s="39"/>
      <c r="O636" s="39"/>
      <c r="P636" s="39"/>
      <c r="Q636" s="39"/>
      <c r="R636" s="39"/>
      <c r="S636" s="39"/>
      <c r="T636" s="39"/>
      <c r="U636" s="39"/>
      <c r="V636" s="39"/>
      <c r="W636" s="39"/>
      <c r="X636" s="39"/>
      <c r="Y636" s="39"/>
      <c r="Z636" s="39"/>
      <c r="AA636" s="39"/>
      <c r="AB636" s="39"/>
    </row>
    <row r="637">
      <c r="A637" s="1"/>
      <c r="B637" s="36"/>
      <c r="C637" s="36"/>
      <c r="D637" s="36"/>
      <c r="E637" s="36"/>
      <c r="F637" s="36"/>
      <c r="G637" s="36"/>
      <c r="H637" s="37"/>
      <c r="I637" s="36"/>
      <c r="J637" s="38"/>
      <c r="K637" s="38"/>
      <c r="L637" s="39"/>
      <c r="M637" s="39"/>
      <c r="N637" s="39"/>
      <c r="O637" s="39"/>
      <c r="P637" s="39"/>
      <c r="Q637" s="39"/>
      <c r="R637" s="39"/>
      <c r="S637" s="39"/>
      <c r="T637" s="39"/>
      <c r="U637" s="39"/>
      <c r="V637" s="39"/>
      <c r="W637" s="39"/>
      <c r="X637" s="39"/>
      <c r="Y637" s="39"/>
      <c r="Z637" s="39"/>
      <c r="AA637" s="39"/>
      <c r="AB637" s="39"/>
    </row>
    <row r="638">
      <c r="A638" s="1"/>
      <c r="B638" s="36"/>
      <c r="C638" s="36"/>
      <c r="D638" s="36"/>
      <c r="E638" s="36"/>
      <c r="F638" s="36"/>
      <c r="G638" s="36"/>
      <c r="H638" s="37"/>
      <c r="I638" s="36"/>
      <c r="J638" s="38"/>
      <c r="K638" s="38"/>
      <c r="L638" s="39"/>
      <c r="M638" s="39"/>
      <c r="N638" s="39"/>
      <c r="O638" s="39"/>
      <c r="P638" s="39"/>
      <c r="Q638" s="39"/>
      <c r="R638" s="39"/>
      <c r="S638" s="39"/>
      <c r="T638" s="39"/>
      <c r="U638" s="39"/>
      <c r="V638" s="39"/>
      <c r="W638" s="39"/>
      <c r="X638" s="39"/>
      <c r="Y638" s="39"/>
      <c r="Z638" s="39"/>
      <c r="AA638" s="39"/>
      <c r="AB638" s="39"/>
    </row>
    <row r="639">
      <c r="A639" s="1"/>
      <c r="B639" s="36"/>
      <c r="C639" s="36"/>
      <c r="D639" s="36"/>
      <c r="E639" s="36"/>
      <c r="F639" s="36"/>
      <c r="G639" s="36"/>
      <c r="H639" s="37"/>
      <c r="I639" s="36"/>
      <c r="J639" s="38"/>
      <c r="K639" s="38"/>
      <c r="L639" s="39"/>
      <c r="M639" s="39"/>
      <c r="N639" s="39"/>
      <c r="O639" s="39"/>
      <c r="P639" s="39"/>
      <c r="Q639" s="39"/>
      <c r="R639" s="39"/>
      <c r="S639" s="39"/>
      <c r="T639" s="39"/>
      <c r="U639" s="39"/>
      <c r="V639" s="39"/>
      <c r="W639" s="39"/>
      <c r="X639" s="39"/>
      <c r="Y639" s="39"/>
      <c r="Z639" s="39"/>
      <c r="AA639" s="39"/>
      <c r="AB639" s="39"/>
    </row>
    <row r="640">
      <c r="A640" s="1"/>
      <c r="B640" s="36"/>
      <c r="C640" s="36"/>
      <c r="D640" s="36"/>
      <c r="E640" s="36"/>
      <c r="F640" s="36"/>
      <c r="G640" s="36"/>
      <c r="H640" s="37"/>
      <c r="I640" s="36"/>
      <c r="J640" s="38"/>
      <c r="K640" s="38"/>
      <c r="L640" s="39"/>
      <c r="M640" s="39"/>
      <c r="N640" s="39"/>
      <c r="O640" s="39"/>
      <c r="P640" s="39"/>
      <c r="Q640" s="39"/>
      <c r="R640" s="39"/>
      <c r="S640" s="39"/>
      <c r="T640" s="39"/>
      <c r="U640" s="39"/>
      <c r="V640" s="39"/>
      <c r="W640" s="39"/>
      <c r="X640" s="39"/>
      <c r="Y640" s="39"/>
      <c r="Z640" s="39"/>
      <c r="AA640" s="39"/>
      <c r="AB640" s="39"/>
    </row>
    <row r="641">
      <c r="A641" s="1"/>
      <c r="B641" s="36"/>
      <c r="C641" s="36"/>
      <c r="D641" s="36"/>
      <c r="E641" s="36"/>
      <c r="F641" s="36"/>
      <c r="G641" s="36"/>
      <c r="H641" s="37"/>
      <c r="I641" s="36"/>
      <c r="J641" s="38"/>
      <c r="K641" s="38"/>
      <c r="L641" s="39"/>
      <c r="M641" s="39"/>
      <c r="N641" s="39"/>
      <c r="O641" s="39"/>
      <c r="P641" s="39"/>
      <c r="Q641" s="39"/>
      <c r="R641" s="39"/>
      <c r="S641" s="39"/>
      <c r="T641" s="39"/>
      <c r="U641" s="39"/>
      <c r="V641" s="39"/>
      <c r="W641" s="39"/>
      <c r="X641" s="39"/>
      <c r="Y641" s="39"/>
      <c r="Z641" s="39"/>
      <c r="AA641" s="39"/>
      <c r="AB641" s="39"/>
    </row>
    <row r="642">
      <c r="A642" s="1"/>
      <c r="B642" s="36"/>
      <c r="C642" s="36"/>
      <c r="D642" s="36"/>
      <c r="E642" s="36"/>
      <c r="F642" s="36"/>
      <c r="G642" s="36"/>
      <c r="H642" s="37"/>
      <c r="I642" s="36"/>
      <c r="J642" s="38"/>
      <c r="K642" s="38"/>
      <c r="L642" s="39"/>
      <c r="M642" s="39"/>
      <c r="N642" s="39"/>
      <c r="O642" s="39"/>
      <c r="P642" s="39"/>
      <c r="Q642" s="39"/>
      <c r="R642" s="39"/>
      <c r="S642" s="39"/>
      <c r="T642" s="39"/>
      <c r="U642" s="39"/>
      <c r="V642" s="39"/>
      <c r="W642" s="39"/>
      <c r="X642" s="39"/>
      <c r="Y642" s="39"/>
      <c r="Z642" s="39"/>
      <c r="AA642" s="39"/>
      <c r="AB642" s="39"/>
    </row>
    <row r="643">
      <c r="A643" s="1"/>
      <c r="B643" s="36"/>
      <c r="C643" s="36"/>
      <c r="D643" s="36"/>
      <c r="E643" s="36"/>
      <c r="F643" s="36"/>
      <c r="G643" s="36"/>
      <c r="H643" s="37"/>
      <c r="I643" s="36"/>
      <c r="J643" s="38"/>
      <c r="K643" s="38"/>
      <c r="L643" s="39"/>
      <c r="M643" s="39"/>
      <c r="N643" s="39"/>
      <c r="O643" s="39"/>
      <c r="P643" s="39"/>
      <c r="Q643" s="39"/>
      <c r="R643" s="39"/>
      <c r="S643" s="39"/>
      <c r="T643" s="39"/>
      <c r="U643" s="39"/>
      <c r="V643" s="39"/>
      <c r="W643" s="39"/>
      <c r="X643" s="39"/>
      <c r="Y643" s="39"/>
      <c r="Z643" s="39"/>
      <c r="AA643" s="39"/>
      <c r="AB643" s="39"/>
    </row>
    <row r="644">
      <c r="A644" s="1"/>
      <c r="B644" s="36"/>
      <c r="C644" s="36"/>
      <c r="D644" s="36"/>
      <c r="E644" s="36"/>
      <c r="F644" s="36"/>
      <c r="G644" s="36"/>
      <c r="H644" s="37"/>
      <c r="I644" s="36"/>
      <c r="J644" s="38"/>
      <c r="K644" s="38"/>
      <c r="L644" s="39"/>
      <c r="M644" s="39"/>
      <c r="N644" s="39"/>
      <c r="O644" s="39"/>
      <c r="P644" s="39"/>
      <c r="Q644" s="39"/>
      <c r="R644" s="39"/>
      <c r="S644" s="39"/>
      <c r="T644" s="39"/>
      <c r="U644" s="39"/>
      <c r="V644" s="39"/>
      <c r="W644" s="39"/>
      <c r="X644" s="39"/>
      <c r="Y644" s="39"/>
      <c r="Z644" s="39"/>
      <c r="AA644" s="39"/>
      <c r="AB644" s="39"/>
    </row>
    <row r="645">
      <c r="A645" s="1"/>
      <c r="B645" s="36"/>
      <c r="C645" s="36"/>
      <c r="D645" s="36"/>
      <c r="E645" s="36"/>
      <c r="F645" s="36"/>
      <c r="G645" s="36"/>
      <c r="H645" s="37"/>
      <c r="I645" s="36"/>
      <c r="J645" s="38"/>
      <c r="K645" s="38"/>
      <c r="L645" s="39"/>
      <c r="M645" s="39"/>
      <c r="N645" s="39"/>
      <c r="O645" s="39"/>
      <c r="P645" s="39"/>
      <c r="Q645" s="39"/>
      <c r="R645" s="39"/>
      <c r="S645" s="39"/>
      <c r="T645" s="39"/>
      <c r="U645" s="39"/>
      <c r="V645" s="39"/>
      <c r="W645" s="39"/>
      <c r="X645" s="39"/>
      <c r="Y645" s="39"/>
      <c r="Z645" s="39"/>
      <c r="AA645" s="39"/>
      <c r="AB645" s="39"/>
    </row>
    <row r="646">
      <c r="A646" s="1"/>
      <c r="B646" s="36"/>
      <c r="C646" s="36"/>
      <c r="D646" s="36"/>
      <c r="E646" s="36"/>
      <c r="F646" s="36"/>
      <c r="G646" s="36"/>
      <c r="H646" s="37"/>
      <c r="I646" s="36"/>
      <c r="J646" s="38"/>
      <c r="K646" s="38"/>
      <c r="L646" s="39"/>
      <c r="M646" s="39"/>
      <c r="N646" s="39"/>
      <c r="O646" s="39"/>
      <c r="P646" s="39"/>
      <c r="Q646" s="39"/>
      <c r="R646" s="39"/>
      <c r="S646" s="39"/>
      <c r="T646" s="39"/>
      <c r="U646" s="39"/>
      <c r="V646" s="39"/>
      <c r="W646" s="39"/>
      <c r="X646" s="39"/>
      <c r="Y646" s="39"/>
      <c r="Z646" s="39"/>
      <c r="AA646" s="39"/>
      <c r="AB646" s="39"/>
    </row>
    <row r="647">
      <c r="A647" s="1"/>
      <c r="B647" s="36"/>
      <c r="C647" s="36"/>
      <c r="D647" s="36"/>
      <c r="E647" s="36"/>
      <c r="F647" s="36"/>
      <c r="G647" s="36"/>
      <c r="H647" s="37"/>
      <c r="I647" s="36"/>
      <c r="J647" s="38"/>
      <c r="K647" s="38"/>
      <c r="L647" s="39"/>
      <c r="M647" s="39"/>
      <c r="N647" s="39"/>
      <c r="O647" s="39"/>
      <c r="P647" s="39"/>
      <c r="Q647" s="39"/>
      <c r="R647" s="39"/>
      <c r="S647" s="39"/>
      <c r="T647" s="39"/>
      <c r="U647" s="39"/>
      <c r="V647" s="39"/>
      <c r="W647" s="39"/>
      <c r="X647" s="39"/>
      <c r="Y647" s="39"/>
      <c r="Z647" s="39"/>
      <c r="AA647" s="39"/>
      <c r="AB647" s="39"/>
    </row>
    <row r="648">
      <c r="A648" s="1"/>
      <c r="B648" s="36"/>
      <c r="C648" s="36"/>
      <c r="D648" s="36"/>
      <c r="E648" s="36"/>
      <c r="F648" s="36"/>
      <c r="G648" s="36"/>
      <c r="H648" s="37"/>
      <c r="I648" s="36"/>
      <c r="J648" s="38"/>
      <c r="K648" s="38"/>
      <c r="L648" s="39"/>
      <c r="M648" s="39"/>
      <c r="N648" s="39"/>
      <c r="O648" s="39"/>
      <c r="P648" s="39"/>
      <c r="Q648" s="39"/>
      <c r="R648" s="39"/>
      <c r="S648" s="39"/>
      <c r="T648" s="39"/>
      <c r="U648" s="39"/>
      <c r="V648" s="39"/>
      <c r="W648" s="39"/>
      <c r="X648" s="39"/>
      <c r="Y648" s="39"/>
      <c r="Z648" s="39"/>
      <c r="AA648" s="39"/>
      <c r="AB648" s="39"/>
    </row>
    <row r="649">
      <c r="A649" s="1"/>
      <c r="B649" s="36"/>
      <c r="C649" s="36"/>
      <c r="D649" s="36"/>
      <c r="E649" s="36"/>
      <c r="F649" s="36"/>
      <c r="G649" s="36"/>
      <c r="H649" s="37"/>
      <c r="I649" s="36"/>
      <c r="J649" s="38"/>
      <c r="K649" s="38"/>
      <c r="L649" s="39"/>
      <c r="M649" s="39"/>
      <c r="N649" s="39"/>
      <c r="O649" s="39"/>
      <c r="P649" s="39"/>
      <c r="Q649" s="39"/>
      <c r="R649" s="39"/>
      <c r="S649" s="39"/>
      <c r="T649" s="39"/>
      <c r="U649" s="39"/>
      <c r="V649" s="39"/>
      <c r="W649" s="39"/>
      <c r="X649" s="39"/>
      <c r="Y649" s="39"/>
      <c r="Z649" s="39"/>
      <c r="AA649" s="39"/>
      <c r="AB649" s="39"/>
    </row>
    <row r="650">
      <c r="A650" s="1"/>
      <c r="B650" s="36"/>
      <c r="C650" s="36"/>
      <c r="D650" s="36"/>
      <c r="E650" s="36"/>
      <c r="F650" s="36"/>
      <c r="G650" s="36"/>
      <c r="H650" s="37"/>
      <c r="I650" s="36"/>
      <c r="J650" s="38"/>
      <c r="K650" s="38"/>
      <c r="L650" s="39"/>
      <c r="M650" s="39"/>
      <c r="N650" s="39"/>
      <c r="O650" s="39"/>
      <c r="P650" s="39"/>
      <c r="Q650" s="39"/>
      <c r="R650" s="39"/>
      <c r="S650" s="39"/>
      <c r="T650" s="39"/>
      <c r="U650" s="39"/>
      <c r="V650" s="39"/>
      <c r="W650" s="39"/>
      <c r="X650" s="39"/>
      <c r="Y650" s="39"/>
      <c r="Z650" s="39"/>
      <c r="AA650" s="39"/>
      <c r="AB650" s="39"/>
    </row>
    <row r="651">
      <c r="A651" s="1"/>
      <c r="B651" s="36"/>
      <c r="C651" s="36"/>
      <c r="D651" s="36"/>
      <c r="E651" s="36"/>
      <c r="F651" s="36"/>
      <c r="G651" s="36"/>
      <c r="H651" s="37"/>
      <c r="I651" s="36"/>
      <c r="J651" s="38"/>
      <c r="K651" s="38"/>
      <c r="L651" s="39"/>
      <c r="M651" s="39"/>
      <c r="N651" s="39"/>
      <c r="O651" s="39"/>
      <c r="P651" s="39"/>
      <c r="Q651" s="39"/>
      <c r="R651" s="39"/>
      <c r="S651" s="39"/>
      <c r="T651" s="39"/>
      <c r="U651" s="39"/>
      <c r="V651" s="39"/>
      <c r="W651" s="39"/>
      <c r="X651" s="39"/>
      <c r="Y651" s="39"/>
      <c r="Z651" s="39"/>
      <c r="AA651" s="39"/>
      <c r="AB651" s="39"/>
    </row>
    <row r="652">
      <c r="A652" s="1"/>
      <c r="B652" s="36"/>
      <c r="C652" s="36"/>
      <c r="D652" s="36"/>
      <c r="E652" s="36"/>
      <c r="F652" s="36"/>
      <c r="G652" s="36"/>
      <c r="H652" s="37"/>
      <c r="I652" s="36"/>
      <c r="J652" s="38"/>
      <c r="K652" s="38"/>
      <c r="L652" s="39"/>
      <c r="M652" s="39"/>
      <c r="N652" s="39"/>
      <c r="O652" s="39"/>
      <c r="P652" s="39"/>
      <c r="Q652" s="39"/>
      <c r="R652" s="39"/>
      <c r="S652" s="39"/>
      <c r="T652" s="39"/>
      <c r="U652" s="39"/>
      <c r="V652" s="39"/>
      <c r="W652" s="39"/>
      <c r="X652" s="39"/>
      <c r="Y652" s="39"/>
      <c r="Z652" s="39"/>
      <c r="AA652" s="39"/>
      <c r="AB652" s="39"/>
    </row>
    <row r="653">
      <c r="A653" s="1"/>
      <c r="B653" s="36"/>
      <c r="C653" s="36"/>
      <c r="D653" s="36"/>
      <c r="E653" s="36"/>
      <c r="F653" s="36"/>
      <c r="G653" s="36"/>
      <c r="H653" s="37"/>
      <c r="I653" s="36"/>
      <c r="J653" s="38"/>
      <c r="K653" s="38"/>
      <c r="L653" s="39"/>
      <c r="M653" s="39"/>
      <c r="N653" s="39"/>
      <c r="O653" s="39"/>
      <c r="P653" s="39"/>
      <c r="Q653" s="39"/>
      <c r="R653" s="39"/>
      <c r="S653" s="39"/>
      <c r="T653" s="39"/>
      <c r="U653" s="39"/>
      <c r="V653" s="39"/>
      <c r="W653" s="39"/>
      <c r="X653" s="39"/>
      <c r="Y653" s="39"/>
      <c r="Z653" s="39"/>
      <c r="AA653" s="39"/>
      <c r="AB653" s="39"/>
    </row>
    <row r="654">
      <c r="A654" s="1"/>
      <c r="B654" s="36"/>
      <c r="C654" s="36"/>
      <c r="D654" s="36"/>
      <c r="E654" s="36"/>
      <c r="F654" s="36"/>
      <c r="G654" s="36"/>
      <c r="H654" s="37"/>
      <c r="I654" s="36"/>
      <c r="J654" s="38"/>
      <c r="K654" s="38"/>
      <c r="L654" s="39"/>
      <c r="M654" s="39"/>
      <c r="N654" s="39"/>
      <c r="O654" s="39"/>
      <c r="P654" s="39"/>
      <c r="Q654" s="39"/>
      <c r="R654" s="39"/>
      <c r="S654" s="39"/>
      <c r="T654" s="39"/>
      <c r="U654" s="39"/>
      <c r="V654" s="39"/>
      <c r="W654" s="39"/>
      <c r="X654" s="39"/>
      <c r="Y654" s="39"/>
      <c r="Z654" s="39"/>
      <c r="AA654" s="39"/>
      <c r="AB654" s="39"/>
    </row>
    <row r="655">
      <c r="A655" s="1"/>
      <c r="B655" s="36"/>
      <c r="C655" s="36"/>
      <c r="D655" s="36"/>
      <c r="E655" s="36"/>
      <c r="F655" s="36"/>
      <c r="G655" s="36"/>
      <c r="H655" s="37"/>
      <c r="I655" s="36"/>
      <c r="J655" s="38"/>
      <c r="K655" s="38"/>
      <c r="L655" s="39"/>
      <c r="M655" s="39"/>
      <c r="N655" s="39"/>
      <c r="O655" s="39"/>
      <c r="P655" s="39"/>
      <c r="Q655" s="39"/>
      <c r="R655" s="39"/>
      <c r="S655" s="39"/>
      <c r="T655" s="39"/>
      <c r="U655" s="39"/>
      <c r="V655" s="39"/>
      <c r="W655" s="39"/>
      <c r="X655" s="39"/>
      <c r="Y655" s="39"/>
      <c r="Z655" s="39"/>
      <c r="AA655" s="39"/>
      <c r="AB655" s="39"/>
    </row>
    <row r="656">
      <c r="A656" s="1"/>
      <c r="B656" s="36"/>
      <c r="C656" s="36"/>
      <c r="D656" s="36"/>
      <c r="E656" s="36"/>
      <c r="F656" s="36"/>
      <c r="G656" s="36"/>
      <c r="H656" s="37"/>
      <c r="I656" s="36"/>
      <c r="J656" s="38"/>
      <c r="K656" s="38"/>
      <c r="L656" s="39"/>
      <c r="M656" s="39"/>
      <c r="N656" s="39"/>
      <c r="O656" s="39"/>
      <c r="P656" s="39"/>
      <c r="Q656" s="39"/>
      <c r="R656" s="39"/>
      <c r="S656" s="39"/>
      <c r="T656" s="39"/>
      <c r="U656" s="39"/>
      <c r="V656" s="39"/>
      <c r="W656" s="39"/>
      <c r="X656" s="39"/>
      <c r="Y656" s="39"/>
      <c r="Z656" s="39"/>
      <c r="AA656" s="39"/>
      <c r="AB656" s="39"/>
    </row>
    <row r="657">
      <c r="A657" s="1"/>
      <c r="B657" s="36"/>
      <c r="C657" s="36"/>
      <c r="D657" s="36"/>
      <c r="E657" s="36"/>
      <c r="F657" s="36"/>
      <c r="G657" s="36"/>
      <c r="H657" s="37"/>
      <c r="I657" s="36"/>
      <c r="J657" s="38"/>
      <c r="K657" s="38"/>
      <c r="L657" s="39"/>
      <c r="M657" s="39"/>
      <c r="N657" s="39"/>
      <c r="O657" s="39"/>
      <c r="P657" s="39"/>
      <c r="Q657" s="39"/>
      <c r="R657" s="39"/>
      <c r="S657" s="39"/>
      <c r="T657" s="39"/>
      <c r="U657" s="39"/>
      <c r="V657" s="39"/>
      <c r="W657" s="39"/>
      <c r="X657" s="39"/>
      <c r="Y657" s="39"/>
      <c r="Z657" s="39"/>
      <c r="AA657" s="39"/>
      <c r="AB657" s="39"/>
    </row>
    <row r="658">
      <c r="A658" s="1"/>
      <c r="B658" s="36"/>
      <c r="C658" s="36"/>
      <c r="D658" s="36"/>
      <c r="E658" s="36"/>
      <c r="F658" s="36"/>
      <c r="G658" s="36"/>
      <c r="H658" s="37"/>
      <c r="I658" s="36"/>
      <c r="J658" s="38"/>
      <c r="K658" s="38"/>
      <c r="L658" s="39"/>
      <c r="M658" s="39"/>
      <c r="N658" s="39"/>
      <c r="O658" s="39"/>
      <c r="P658" s="39"/>
      <c r="Q658" s="39"/>
      <c r="R658" s="39"/>
      <c r="S658" s="39"/>
      <c r="T658" s="39"/>
      <c r="U658" s="39"/>
      <c r="V658" s="39"/>
      <c r="W658" s="39"/>
      <c r="X658" s="39"/>
      <c r="Y658" s="39"/>
      <c r="Z658" s="39"/>
      <c r="AA658" s="39"/>
      <c r="AB658" s="39"/>
    </row>
    <row r="659">
      <c r="A659" s="1"/>
      <c r="B659" s="36"/>
      <c r="C659" s="36"/>
      <c r="D659" s="36"/>
      <c r="E659" s="36"/>
      <c r="F659" s="36"/>
      <c r="G659" s="36"/>
      <c r="H659" s="37"/>
      <c r="I659" s="36"/>
      <c r="J659" s="38"/>
      <c r="K659" s="38"/>
      <c r="L659" s="39"/>
      <c r="M659" s="39"/>
      <c r="N659" s="39"/>
      <c r="O659" s="39"/>
      <c r="P659" s="39"/>
      <c r="Q659" s="39"/>
      <c r="R659" s="39"/>
      <c r="S659" s="39"/>
      <c r="T659" s="39"/>
      <c r="U659" s="39"/>
      <c r="V659" s="39"/>
      <c r="W659" s="39"/>
      <c r="X659" s="39"/>
      <c r="Y659" s="39"/>
      <c r="Z659" s="39"/>
      <c r="AA659" s="39"/>
      <c r="AB659" s="39"/>
    </row>
    <row r="660">
      <c r="A660" s="1"/>
      <c r="B660" s="36"/>
      <c r="C660" s="36"/>
      <c r="D660" s="36"/>
      <c r="E660" s="36"/>
      <c r="F660" s="36"/>
      <c r="G660" s="36"/>
      <c r="H660" s="37"/>
      <c r="I660" s="36"/>
      <c r="J660" s="38"/>
      <c r="K660" s="38"/>
      <c r="L660" s="39"/>
      <c r="M660" s="39"/>
      <c r="N660" s="39"/>
      <c r="O660" s="39"/>
      <c r="P660" s="39"/>
      <c r="Q660" s="39"/>
      <c r="R660" s="39"/>
      <c r="S660" s="39"/>
      <c r="T660" s="39"/>
      <c r="U660" s="39"/>
      <c r="V660" s="39"/>
      <c r="W660" s="39"/>
      <c r="X660" s="39"/>
      <c r="Y660" s="39"/>
      <c r="Z660" s="39"/>
      <c r="AA660" s="39"/>
      <c r="AB660" s="39"/>
    </row>
    <row r="661">
      <c r="A661" s="1"/>
      <c r="B661" s="36"/>
      <c r="C661" s="36"/>
      <c r="D661" s="36"/>
      <c r="E661" s="36"/>
      <c r="F661" s="36"/>
      <c r="G661" s="36"/>
      <c r="H661" s="37"/>
      <c r="I661" s="36"/>
      <c r="J661" s="38"/>
      <c r="K661" s="38"/>
      <c r="L661" s="39"/>
      <c r="M661" s="39"/>
      <c r="N661" s="39"/>
      <c r="O661" s="39"/>
      <c r="P661" s="39"/>
      <c r="Q661" s="39"/>
      <c r="R661" s="39"/>
      <c r="S661" s="39"/>
      <c r="T661" s="39"/>
      <c r="U661" s="39"/>
      <c r="V661" s="39"/>
      <c r="W661" s="39"/>
      <c r="X661" s="39"/>
      <c r="Y661" s="39"/>
      <c r="Z661" s="39"/>
      <c r="AA661" s="39"/>
      <c r="AB661" s="39"/>
    </row>
    <row r="662">
      <c r="A662" s="1"/>
      <c r="B662" s="36"/>
      <c r="C662" s="36"/>
      <c r="D662" s="36"/>
      <c r="E662" s="36"/>
      <c r="F662" s="36"/>
      <c r="G662" s="36"/>
      <c r="H662" s="37"/>
      <c r="I662" s="36"/>
      <c r="J662" s="38"/>
      <c r="K662" s="38"/>
      <c r="L662" s="39"/>
      <c r="M662" s="39"/>
      <c r="N662" s="39"/>
      <c r="O662" s="39"/>
      <c r="P662" s="39"/>
      <c r="Q662" s="39"/>
      <c r="R662" s="39"/>
      <c r="S662" s="39"/>
      <c r="T662" s="39"/>
      <c r="U662" s="39"/>
      <c r="V662" s="39"/>
      <c r="W662" s="39"/>
      <c r="X662" s="39"/>
      <c r="Y662" s="39"/>
      <c r="Z662" s="39"/>
      <c r="AA662" s="39"/>
      <c r="AB662" s="39"/>
    </row>
    <row r="663">
      <c r="A663" s="1"/>
      <c r="B663" s="36"/>
      <c r="C663" s="36"/>
      <c r="D663" s="36"/>
      <c r="E663" s="36"/>
      <c r="F663" s="36"/>
      <c r="G663" s="36"/>
      <c r="H663" s="37"/>
      <c r="I663" s="36"/>
      <c r="J663" s="38"/>
      <c r="K663" s="38"/>
      <c r="L663" s="39"/>
      <c r="M663" s="39"/>
      <c r="N663" s="39"/>
      <c r="O663" s="39"/>
      <c r="P663" s="39"/>
      <c r="Q663" s="39"/>
      <c r="R663" s="39"/>
      <c r="S663" s="39"/>
      <c r="T663" s="39"/>
      <c r="U663" s="39"/>
      <c r="V663" s="39"/>
      <c r="W663" s="39"/>
      <c r="X663" s="39"/>
      <c r="Y663" s="39"/>
      <c r="Z663" s="39"/>
      <c r="AA663" s="39"/>
      <c r="AB663" s="39"/>
    </row>
    <row r="664">
      <c r="A664" s="1"/>
      <c r="B664" s="36"/>
      <c r="C664" s="36"/>
      <c r="D664" s="36"/>
      <c r="E664" s="36"/>
      <c r="F664" s="36"/>
      <c r="G664" s="36"/>
      <c r="H664" s="37"/>
      <c r="I664" s="36"/>
      <c r="J664" s="38"/>
      <c r="K664" s="38"/>
      <c r="L664" s="39"/>
      <c r="M664" s="39"/>
      <c r="N664" s="39"/>
      <c r="O664" s="39"/>
      <c r="P664" s="39"/>
      <c r="Q664" s="39"/>
      <c r="R664" s="39"/>
      <c r="S664" s="39"/>
      <c r="T664" s="39"/>
      <c r="U664" s="39"/>
      <c r="V664" s="39"/>
      <c r="W664" s="39"/>
      <c r="X664" s="39"/>
      <c r="Y664" s="39"/>
      <c r="Z664" s="39"/>
      <c r="AA664" s="39"/>
      <c r="AB664" s="39"/>
    </row>
    <row r="665">
      <c r="A665" s="1"/>
      <c r="B665" s="36"/>
      <c r="C665" s="36"/>
      <c r="D665" s="36"/>
      <c r="E665" s="36"/>
      <c r="F665" s="36"/>
      <c r="G665" s="36"/>
      <c r="H665" s="37"/>
      <c r="I665" s="36"/>
      <c r="J665" s="38"/>
      <c r="K665" s="38"/>
      <c r="L665" s="39"/>
      <c r="M665" s="39"/>
      <c r="N665" s="39"/>
      <c r="O665" s="39"/>
      <c r="P665" s="39"/>
      <c r="Q665" s="39"/>
      <c r="R665" s="39"/>
      <c r="S665" s="39"/>
      <c r="T665" s="39"/>
      <c r="U665" s="39"/>
      <c r="V665" s="39"/>
      <c r="W665" s="39"/>
      <c r="X665" s="39"/>
      <c r="Y665" s="39"/>
      <c r="Z665" s="39"/>
      <c r="AA665" s="39"/>
      <c r="AB665" s="39"/>
    </row>
    <row r="666">
      <c r="A666" s="1"/>
      <c r="B666" s="36"/>
      <c r="C666" s="36"/>
      <c r="D666" s="36"/>
      <c r="E666" s="36"/>
      <c r="F666" s="36"/>
      <c r="G666" s="36"/>
      <c r="H666" s="37"/>
      <c r="I666" s="36"/>
      <c r="J666" s="38"/>
      <c r="K666" s="38"/>
      <c r="L666" s="39"/>
      <c r="M666" s="39"/>
      <c r="N666" s="39"/>
      <c r="O666" s="39"/>
      <c r="P666" s="39"/>
      <c r="Q666" s="39"/>
      <c r="R666" s="39"/>
      <c r="S666" s="39"/>
      <c r="T666" s="39"/>
      <c r="U666" s="39"/>
      <c r="V666" s="39"/>
      <c r="W666" s="39"/>
      <c r="X666" s="39"/>
      <c r="Y666" s="39"/>
      <c r="Z666" s="39"/>
      <c r="AA666" s="39"/>
      <c r="AB666" s="39"/>
    </row>
    <row r="667">
      <c r="A667" s="1"/>
      <c r="B667" s="36"/>
      <c r="C667" s="36"/>
      <c r="D667" s="36"/>
      <c r="E667" s="36"/>
      <c r="F667" s="36"/>
      <c r="G667" s="36"/>
      <c r="H667" s="37"/>
      <c r="I667" s="36"/>
      <c r="J667" s="38"/>
      <c r="K667" s="38"/>
      <c r="L667" s="39"/>
      <c r="M667" s="39"/>
      <c r="N667" s="39"/>
      <c r="O667" s="39"/>
      <c r="P667" s="39"/>
      <c r="Q667" s="39"/>
      <c r="R667" s="39"/>
      <c r="S667" s="39"/>
      <c r="T667" s="39"/>
      <c r="U667" s="39"/>
      <c r="V667" s="39"/>
      <c r="W667" s="39"/>
      <c r="X667" s="39"/>
      <c r="Y667" s="39"/>
      <c r="Z667" s="39"/>
      <c r="AA667" s="39"/>
      <c r="AB667" s="39"/>
    </row>
    <row r="668">
      <c r="A668" s="1"/>
      <c r="B668" s="36"/>
      <c r="C668" s="36"/>
      <c r="D668" s="36"/>
      <c r="E668" s="36"/>
      <c r="F668" s="36"/>
      <c r="G668" s="36"/>
      <c r="H668" s="37"/>
      <c r="I668" s="36"/>
      <c r="J668" s="38"/>
      <c r="K668" s="38"/>
      <c r="L668" s="39"/>
      <c r="M668" s="39"/>
      <c r="N668" s="39"/>
      <c r="O668" s="39"/>
      <c r="P668" s="39"/>
      <c r="Q668" s="39"/>
      <c r="R668" s="39"/>
      <c r="S668" s="39"/>
      <c r="T668" s="39"/>
      <c r="U668" s="39"/>
      <c r="V668" s="39"/>
      <c r="W668" s="39"/>
      <c r="X668" s="39"/>
      <c r="Y668" s="39"/>
      <c r="Z668" s="39"/>
      <c r="AA668" s="39"/>
      <c r="AB668" s="39"/>
    </row>
    <row r="669">
      <c r="A669" s="1"/>
      <c r="B669" s="36"/>
      <c r="C669" s="36"/>
      <c r="D669" s="36"/>
      <c r="E669" s="36"/>
      <c r="F669" s="36"/>
      <c r="G669" s="36"/>
      <c r="H669" s="37"/>
      <c r="I669" s="36"/>
      <c r="J669" s="38"/>
      <c r="K669" s="38"/>
      <c r="L669" s="39"/>
      <c r="M669" s="39"/>
      <c r="N669" s="39"/>
      <c r="O669" s="39"/>
      <c r="P669" s="39"/>
      <c r="Q669" s="39"/>
      <c r="R669" s="39"/>
      <c r="S669" s="39"/>
      <c r="T669" s="39"/>
      <c r="U669" s="39"/>
      <c r="V669" s="39"/>
      <c r="W669" s="39"/>
      <c r="X669" s="39"/>
      <c r="Y669" s="39"/>
      <c r="Z669" s="39"/>
      <c r="AA669" s="39"/>
      <c r="AB669" s="39"/>
    </row>
    <row r="670">
      <c r="A670" s="1"/>
      <c r="B670" s="36"/>
      <c r="C670" s="36"/>
      <c r="D670" s="36"/>
      <c r="E670" s="36"/>
      <c r="F670" s="36"/>
      <c r="G670" s="36"/>
      <c r="H670" s="37"/>
      <c r="I670" s="36"/>
      <c r="J670" s="38"/>
      <c r="K670" s="38"/>
      <c r="L670" s="39"/>
      <c r="M670" s="39"/>
      <c r="N670" s="39"/>
      <c r="O670" s="39"/>
      <c r="P670" s="39"/>
      <c r="Q670" s="39"/>
      <c r="R670" s="39"/>
      <c r="S670" s="39"/>
      <c r="T670" s="39"/>
      <c r="U670" s="39"/>
      <c r="V670" s="39"/>
      <c r="W670" s="39"/>
      <c r="X670" s="39"/>
      <c r="Y670" s="39"/>
      <c r="Z670" s="39"/>
      <c r="AA670" s="39"/>
      <c r="AB670" s="39"/>
    </row>
    <row r="671">
      <c r="A671" s="1"/>
      <c r="B671" s="36"/>
      <c r="C671" s="36"/>
      <c r="D671" s="36"/>
      <c r="E671" s="36"/>
      <c r="F671" s="36"/>
      <c r="G671" s="36"/>
      <c r="H671" s="37"/>
      <c r="I671" s="36"/>
      <c r="J671" s="38"/>
      <c r="K671" s="38"/>
      <c r="L671" s="39"/>
      <c r="M671" s="39"/>
      <c r="N671" s="39"/>
      <c r="O671" s="39"/>
      <c r="P671" s="39"/>
      <c r="Q671" s="39"/>
      <c r="R671" s="39"/>
      <c r="S671" s="39"/>
      <c r="T671" s="39"/>
      <c r="U671" s="39"/>
      <c r="V671" s="39"/>
      <c r="W671" s="39"/>
      <c r="X671" s="39"/>
      <c r="Y671" s="39"/>
      <c r="Z671" s="39"/>
      <c r="AA671" s="39"/>
      <c r="AB671" s="39"/>
    </row>
    <row r="672">
      <c r="A672" s="1"/>
      <c r="B672" s="36"/>
      <c r="C672" s="36"/>
      <c r="D672" s="36"/>
      <c r="E672" s="36"/>
      <c r="F672" s="36"/>
      <c r="G672" s="36"/>
      <c r="H672" s="37"/>
      <c r="I672" s="36"/>
      <c r="J672" s="38"/>
      <c r="K672" s="38"/>
      <c r="L672" s="39"/>
      <c r="M672" s="39"/>
      <c r="N672" s="39"/>
      <c r="O672" s="39"/>
      <c r="P672" s="39"/>
      <c r="Q672" s="39"/>
      <c r="R672" s="39"/>
      <c r="S672" s="39"/>
      <c r="T672" s="39"/>
      <c r="U672" s="39"/>
      <c r="V672" s="39"/>
      <c r="W672" s="39"/>
      <c r="X672" s="39"/>
      <c r="Y672" s="39"/>
      <c r="Z672" s="39"/>
      <c r="AA672" s="39"/>
      <c r="AB672" s="39"/>
    </row>
    <row r="673">
      <c r="A673" s="1"/>
      <c r="B673" s="36"/>
      <c r="C673" s="36"/>
      <c r="D673" s="36"/>
      <c r="E673" s="36"/>
      <c r="F673" s="36"/>
      <c r="G673" s="36"/>
      <c r="H673" s="37"/>
      <c r="I673" s="36"/>
      <c r="J673" s="38"/>
      <c r="K673" s="38"/>
      <c r="L673" s="39"/>
      <c r="M673" s="39"/>
      <c r="N673" s="39"/>
      <c r="O673" s="39"/>
      <c r="P673" s="39"/>
      <c r="Q673" s="39"/>
      <c r="R673" s="39"/>
      <c r="S673" s="39"/>
      <c r="T673" s="39"/>
      <c r="U673" s="39"/>
      <c r="V673" s="39"/>
      <c r="W673" s="39"/>
      <c r="X673" s="39"/>
      <c r="Y673" s="39"/>
      <c r="Z673" s="39"/>
      <c r="AA673" s="39"/>
      <c r="AB673" s="39"/>
    </row>
    <row r="674">
      <c r="A674" s="1"/>
      <c r="B674" s="36"/>
      <c r="C674" s="36"/>
      <c r="D674" s="36"/>
      <c r="E674" s="36"/>
      <c r="F674" s="36"/>
      <c r="G674" s="36"/>
      <c r="H674" s="37"/>
      <c r="I674" s="36"/>
      <c r="J674" s="38"/>
      <c r="K674" s="38"/>
      <c r="L674" s="39"/>
      <c r="M674" s="39"/>
      <c r="N674" s="39"/>
      <c r="O674" s="39"/>
      <c r="P674" s="39"/>
      <c r="Q674" s="39"/>
      <c r="R674" s="39"/>
      <c r="S674" s="39"/>
      <c r="T674" s="39"/>
      <c r="U674" s="39"/>
      <c r="V674" s="39"/>
      <c r="W674" s="39"/>
      <c r="X674" s="39"/>
      <c r="Y674" s="39"/>
      <c r="Z674" s="39"/>
      <c r="AA674" s="39"/>
      <c r="AB674" s="39"/>
    </row>
    <row r="675">
      <c r="A675" s="1"/>
      <c r="B675" s="36"/>
      <c r="C675" s="36"/>
      <c r="D675" s="36"/>
      <c r="E675" s="36"/>
      <c r="F675" s="36"/>
      <c r="G675" s="36"/>
      <c r="H675" s="37"/>
      <c r="I675" s="36"/>
      <c r="J675" s="38"/>
      <c r="K675" s="38"/>
      <c r="L675" s="39"/>
      <c r="M675" s="39"/>
      <c r="N675" s="39"/>
      <c r="O675" s="39"/>
      <c r="P675" s="39"/>
      <c r="Q675" s="39"/>
      <c r="R675" s="39"/>
      <c r="S675" s="39"/>
      <c r="T675" s="39"/>
      <c r="U675" s="39"/>
      <c r="V675" s="39"/>
      <c r="W675" s="39"/>
      <c r="X675" s="39"/>
      <c r="Y675" s="39"/>
      <c r="Z675" s="39"/>
      <c r="AA675" s="39"/>
      <c r="AB675" s="39"/>
    </row>
    <row r="676">
      <c r="A676" s="1"/>
      <c r="B676" s="36"/>
      <c r="C676" s="36"/>
      <c r="D676" s="36"/>
      <c r="E676" s="36"/>
      <c r="F676" s="36"/>
      <c r="G676" s="36"/>
      <c r="H676" s="37"/>
      <c r="I676" s="36"/>
      <c r="J676" s="38"/>
      <c r="K676" s="38"/>
      <c r="L676" s="39"/>
      <c r="M676" s="39"/>
      <c r="N676" s="39"/>
      <c r="O676" s="39"/>
      <c r="P676" s="39"/>
      <c r="Q676" s="39"/>
      <c r="R676" s="39"/>
      <c r="S676" s="39"/>
      <c r="T676" s="39"/>
      <c r="U676" s="39"/>
      <c r="V676" s="39"/>
      <c r="W676" s="39"/>
      <c r="X676" s="39"/>
      <c r="Y676" s="39"/>
      <c r="Z676" s="39"/>
      <c r="AA676" s="39"/>
      <c r="AB676" s="39"/>
    </row>
    <row r="677">
      <c r="A677" s="1"/>
      <c r="B677" s="36"/>
      <c r="C677" s="36"/>
      <c r="D677" s="36"/>
      <c r="E677" s="36"/>
      <c r="F677" s="36"/>
      <c r="G677" s="36"/>
      <c r="H677" s="37"/>
      <c r="I677" s="36"/>
      <c r="J677" s="38"/>
      <c r="K677" s="38"/>
      <c r="L677" s="39"/>
      <c r="M677" s="39"/>
      <c r="N677" s="39"/>
      <c r="O677" s="39"/>
      <c r="P677" s="39"/>
      <c r="Q677" s="39"/>
      <c r="R677" s="39"/>
      <c r="S677" s="39"/>
      <c r="T677" s="39"/>
      <c r="U677" s="39"/>
      <c r="V677" s="39"/>
      <c r="W677" s="39"/>
      <c r="X677" s="39"/>
      <c r="Y677" s="39"/>
      <c r="Z677" s="39"/>
      <c r="AA677" s="39"/>
      <c r="AB677" s="39"/>
    </row>
    <row r="678">
      <c r="A678" s="1"/>
      <c r="B678" s="36"/>
      <c r="C678" s="36"/>
      <c r="D678" s="36"/>
      <c r="E678" s="36"/>
      <c r="F678" s="36"/>
      <c r="G678" s="36"/>
      <c r="H678" s="37"/>
      <c r="I678" s="36"/>
      <c r="J678" s="38"/>
      <c r="K678" s="38"/>
      <c r="L678" s="39"/>
      <c r="M678" s="39"/>
      <c r="N678" s="39"/>
      <c r="O678" s="39"/>
      <c r="P678" s="39"/>
      <c r="Q678" s="39"/>
      <c r="R678" s="39"/>
      <c r="S678" s="39"/>
      <c r="T678" s="39"/>
      <c r="U678" s="39"/>
      <c r="V678" s="39"/>
      <c r="W678" s="39"/>
      <c r="X678" s="39"/>
      <c r="Y678" s="39"/>
      <c r="Z678" s="39"/>
      <c r="AA678" s="39"/>
      <c r="AB678" s="39"/>
    </row>
    <row r="679">
      <c r="A679" s="1"/>
      <c r="B679" s="36"/>
      <c r="C679" s="36"/>
      <c r="D679" s="36"/>
      <c r="E679" s="36"/>
      <c r="F679" s="36"/>
      <c r="G679" s="36"/>
      <c r="H679" s="37"/>
      <c r="I679" s="36"/>
      <c r="J679" s="38"/>
      <c r="K679" s="38"/>
      <c r="L679" s="39"/>
      <c r="M679" s="39"/>
      <c r="N679" s="39"/>
      <c r="O679" s="39"/>
      <c r="P679" s="39"/>
      <c r="Q679" s="39"/>
      <c r="R679" s="39"/>
      <c r="S679" s="39"/>
      <c r="T679" s="39"/>
      <c r="U679" s="39"/>
      <c r="V679" s="39"/>
      <c r="W679" s="39"/>
      <c r="X679" s="39"/>
      <c r="Y679" s="39"/>
      <c r="Z679" s="39"/>
      <c r="AA679" s="39"/>
      <c r="AB679" s="39"/>
    </row>
    <row r="680">
      <c r="A680" s="1"/>
      <c r="B680" s="36"/>
      <c r="C680" s="36"/>
      <c r="D680" s="36"/>
      <c r="E680" s="36"/>
      <c r="F680" s="36"/>
      <c r="G680" s="36"/>
      <c r="H680" s="37"/>
      <c r="I680" s="36"/>
      <c r="J680" s="38"/>
      <c r="K680" s="38"/>
      <c r="L680" s="39"/>
      <c r="M680" s="39"/>
      <c r="N680" s="39"/>
      <c r="O680" s="39"/>
      <c r="P680" s="39"/>
      <c r="Q680" s="39"/>
      <c r="R680" s="39"/>
      <c r="S680" s="39"/>
      <c r="T680" s="39"/>
      <c r="U680" s="39"/>
      <c r="V680" s="39"/>
      <c r="W680" s="39"/>
      <c r="X680" s="39"/>
      <c r="Y680" s="39"/>
      <c r="Z680" s="39"/>
      <c r="AA680" s="39"/>
      <c r="AB680" s="39"/>
    </row>
    <row r="681">
      <c r="A681" s="1"/>
      <c r="B681" s="36"/>
      <c r="C681" s="36"/>
      <c r="D681" s="36"/>
      <c r="E681" s="36"/>
      <c r="F681" s="36"/>
      <c r="G681" s="36"/>
      <c r="H681" s="37"/>
      <c r="I681" s="36"/>
      <c r="J681" s="38"/>
      <c r="K681" s="38"/>
      <c r="L681" s="39"/>
      <c r="M681" s="39"/>
      <c r="N681" s="39"/>
      <c r="O681" s="39"/>
      <c r="P681" s="39"/>
      <c r="Q681" s="39"/>
      <c r="R681" s="39"/>
      <c r="S681" s="39"/>
      <c r="T681" s="39"/>
      <c r="U681" s="39"/>
      <c r="V681" s="39"/>
      <c r="W681" s="39"/>
      <c r="X681" s="39"/>
      <c r="Y681" s="39"/>
      <c r="Z681" s="39"/>
      <c r="AA681" s="39"/>
      <c r="AB681" s="39"/>
    </row>
    <row r="682">
      <c r="A682" s="1"/>
      <c r="B682" s="36"/>
      <c r="C682" s="36"/>
      <c r="D682" s="36"/>
      <c r="E682" s="36"/>
      <c r="F682" s="36"/>
      <c r="G682" s="36"/>
      <c r="H682" s="37"/>
      <c r="I682" s="36"/>
      <c r="J682" s="38"/>
      <c r="K682" s="38"/>
      <c r="L682" s="39"/>
      <c r="M682" s="39"/>
      <c r="N682" s="39"/>
      <c r="O682" s="39"/>
      <c r="P682" s="39"/>
      <c r="Q682" s="39"/>
      <c r="R682" s="39"/>
      <c r="S682" s="39"/>
      <c r="T682" s="39"/>
      <c r="U682" s="39"/>
      <c r="V682" s="39"/>
      <c r="W682" s="39"/>
      <c r="X682" s="39"/>
      <c r="Y682" s="39"/>
      <c r="Z682" s="39"/>
      <c r="AA682" s="39"/>
      <c r="AB682" s="39"/>
    </row>
    <row r="683">
      <c r="A683" s="1"/>
      <c r="B683" s="36"/>
      <c r="C683" s="36"/>
      <c r="D683" s="36"/>
      <c r="E683" s="36"/>
      <c r="F683" s="36"/>
      <c r="G683" s="36"/>
      <c r="H683" s="37"/>
      <c r="I683" s="36"/>
      <c r="J683" s="38"/>
      <c r="K683" s="38"/>
      <c r="L683" s="39"/>
      <c r="M683" s="39"/>
      <c r="N683" s="39"/>
      <c r="O683" s="39"/>
      <c r="P683" s="39"/>
      <c r="Q683" s="39"/>
      <c r="R683" s="39"/>
      <c r="S683" s="39"/>
      <c r="T683" s="39"/>
      <c r="U683" s="39"/>
      <c r="V683" s="39"/>
      <c r="W683" s="39"/>
      <c r="X683" s="39"/>
      <c r="Y683" s="39"/>
      <c r="Z683" s="39"/>
      <c r="AA683" s="39"/>
      <c r="AB683" s="39"/>
    </row>
    <row r="684">
      <c r="A684" s="1"/>
      <c r="B684" s="36"/>
      <c r="C684" s="36"/>
      <c r="D684" s="36"/>
      <c r="E684" s="36"/>
      <c r="F684" s="36"/>
      <c r="G684" s="36"/>
      <c r="H684" s="37"/>
      <c r="I684" s="36"/>
      <c r="J684" s="38"/>
      <c r="K684" s="38"/>
      <c r="L684" s="39"/>
      <c r="M684" s="39"/>
      <c r="N684" s="39"/>
      <c r="O684" s="39"/>
      <c r="P684" s="39"/>
      <c r="Q684" s="39"/>
      <c r="R684" s="39"/>
      <c r="S684" s="39"/>
      <c r="T684" s="39"/>
      <c r="U684" s="39"/>
      <c r="V684" s="39"/>
      <c r="W684" s="39"/>
      <c r="X684" s="39"/>
      <c r="Y684" s="39"/>
      <c r="Z684" s="39"/>
      <c r="AA684" s="39"/>
      <c r="AB684" s="39"/>
    </row>
    <row r="685">
      <c r="A685" s="1"/>
      <c r="B685" s="36"/>
      <c r="C685" s="36"/>
      <c r="D685" s="36"/>
      <c r="E685" s="36"/>
      <c r="F685" s="36"/>
      <c r="G685" s="36"/>
      <c r="H685" s="37"/>
      <c r="I685" s="36"/>
      <c r="J685" s="38"/>
      <c r="K685" s="38"/>
      <c r="L685" s="39"/>
      <c r="M685" s="39"/>
      <c r="N685" s="39"/>
      <c r="O685" s="39"/>
      <c r="P685" s="39"/>
      <c r="Q685" s="39"/>
      <c r="R685" s="39"/>
      <c r="S685" s="39"/>
      <c r="T685" s="39"/>
      <c r="U685" s="39"/>
      <c r="V685" s="39"/>
      <c r="W685" s="39"/>
      <c r="X685" s="39"/>
      <c r="Y685" s="39"/>
      <c r="Z685" s="39"/>
      <c r="AA685" s="39"/>
      <c r="AB685" s="39"/>
    </row>
    <row r="686">
      <c r="A686" s="1"/>
      <c r="B686" s="36"/>
      <c r="C686" s="36"/>
      <c r="D686" s="36"/>
      <c r="E686" s="36"/>
      <c r="F686" s="36"/>
      <c r="G686" s="36"/>
      <c r="H686" s="37"/>
      <c r="I686" s="36"/>
      <c r="J686" s="38"/>
      <c r="K686" s="38"/>
      <c r="L686" s="39"/>
      <c r="M686" s="39"/>
      <c r="N686" s="39"/>
      <c r="O686" s="39"/>
      <c r="P686" s="39"/>
      <c r="Q686" s="39"/>
      <c r="R686" s="39"/>
      <c r="S686" s="39"/>
      <c r="T686" s="39"/>
      <c r="U686" s="39"/>
      <c r="V686" s="39"/>
      <c r="W686" s="39"/>
      <c r="X686" s="39"/>
      <c r="Y686" s="39"/>
      <c r="Z686" s="39"/>
      <c r="AA686" s="39"/>
      <c r="AB686" s="39"/>
    </row>
    <row r="687">
      <c r="A687" s="1"/>
      <c r="B687" s="36"/>
      <c r="C687" s="36"/>
      <c r="D687" s="36"/>
      <c r="E687" s="36"/>
      <c r="F687" s="36"/>
      <c r="G687" s="36"/>
      <c r="H687" s="37"/>
      <c r="I687" s="36"/>
      <c r="J687" s="38"/>
      <c r="K687" s="38"/>
      <c r="L687" s="39"/>
      <c r="M687" s="39"/>
      <c r="N687" s="39"/>
      <c r="O687" s="39"/>
      <c r="P687" s="39"/>
      <c r="Q687" s="39"/>
      <c r="R687" s="39"/>
      <c r="S687" s="39"/>
      <c r="T687" s="39"/>
      <c r="U687" s="39"/>
      <c r="V687" s="39"/>
      <c r="W687" s="39"/>
      <c r="X687" s="39"/>
      <c r="Y687" s="39"/>
      <c r="Z687" s="39"/>
      <c r="AA687" s="39"/>
      <c r="AB687" s="39"/>
    </row>
    <row r="688">
      <c r="A688" s="1"/>
      <c r="B688" s="36"/>
      <c r="C688" s="36"/>
      <c r="D688" s="36"/>
      <c r="E688" s="36"/>
      <c r="F688" s="36"/>
      <c r="G688" s="36"/>
      <c r="H688" s="37"/>
      <c r="I688" s="36"/>
      <c r="J688" s="38"/>
      <c r="K688" s="38"/>
      <c r="L688" s="39"/>
      <c r="M688" s="39"/>
      <c r="N688" s="39"/>
      <c r="O688" s="39"/>
      <c r="P688" s="39"/>
      <c r="Q688" s="39"/>
      <c r="R688" s="39"/>
      <c r="S688" s="39"/>
      <c r="T688" s="39"/>
      <c r="U688" s="39"/>
      <c r="V688" s="39"/>
      <c r="W688" s="39"/>
      <c r="X688" s="39"/>
      <c r="Y688" s="39"/>
      <c r="Z688" s="39"/>
      <c r="AA688" s="39"/>
      <c r="AB688" s="39"/>
    </row>
    <row r="689">
      <c r="A689" s="1"/>
      <c r="B689" s="36"/>
      <c r="C689" s="36"/>
      <c r="D689" s="36"/>
      <c r="E689" s="36"/>
      <c r="F689" s="36"/>
      <c r="G689" s="36"/>
      <c r="H689" s="37"/>
      <c r="I689" s="36"/>
      <c r="J689" s="38"/>
      <c r="K689" s="38"/>
      <c r="L689" s="39"/>
      <c r="M689" s="39"/>
      <c r="N689" s="39"/>
      <c r="O689" s="39"/>
      <c r="P689" s="39"/>
      <c r="Q689" s="39"/>
      <c r="R689" s="39"/>
      <c r="S689" s="39"/>
      <c r="T689" s="39"/>
      <c r="U689" s="39"/>
      <c r="V689" s="39"/>
      <c r="W689" s="39"/>
      <c r="X689" s="39"/>
      <c r="Y689" s="39"/>
      <c r="Z689" s="39"/>
      <c r="AA689" s="39"/>
      <c r="AB689" s="39"/>
    </row>
    <row r="690">
      <c r="A690" s="1"/>
      <c r="B690" s="36"/>
      <c r="C690" s="36"/>
      <c r="D690" s="36"/>
      <c r="E690" s="36"/>
      <c r="F690" s="36"/>
      <c r="G690" s="36"/>
      <c r="H690" s="37"/>
      <c r="I690" s="36"/>
      <c r="J690" s="38"/>
      <c r="K690" s="38"/>
      <c r="L690" s="39"/>
      <c r="M690" s="39"/>
      <c r="N690" s="39"/>
      <c r="O690" s="39"/>
      <c r="P690" s="39"/>
      <c r="Q690" s="39"/>
      <c r="R690" s="39"/>
      <c r="S690" s="39"/>
      <c r="T690" s="39"/>
      <c r="U690" s="39"/>
      <c r="V690" s="39"/>
      <c r="W690" s="39"/>
      <c r="X690" s="39"/>
      <c r="Y690" s="39"/>
      <c r="Z690" s="39"/>
      <c r="AA690" s="39"/>
      <c r="AB690" s="39"/>
    </row>
    <row r="691">
      <c r="A691" s="1"/>
      <c r="B691" s="36"/>
      <c r="C691" s="36"/>
      <c r="D691" s="36"/>
      <c r="E691" s="36"/>
      <c r="F691" s="36"/>
      <c r="G691" s="36"/>
      <c r="H691" s="37"/>
      <c r="I691" s="36"/>
      <c r="J691" s="38"/>
      <c r="K691" s="38"/>
      <c r="L691" s="39"/>
      <c r="M691" s="39"/>
      <c r="N691" s="39"/>
      <c r="O691" s="39"/>
      <c r="P691" s="39"/>
      <c r="Q691" s="39"/>
      <c r="R691" s="39"/>
      <c r="S691" s="39"/>
      <c r="T691" s="39"/>
      <c r="U691" s="39"/>
      <c r="V691" s="39"/>
      <c r="W691" s="39"/>
      <c r="X691" s="39"/>
      <c r="Y691" s="39"/>
      <c r="Z691" s="39"/>
      <c r="AA691" s="39"/>
      <c r="AB691" s="39"/>
    </row>
    <row r="692">
      <c r="A692" s="1"/>
      <c r="B692" s="36"/>
      <c r="C692" s="36"/>
      <c r="D692" s="36"/>
      <c r="E692" s="36"/>
      <c r="F692" s="36"/>
      <c r="G692" s="36"/>
      <c r="H692" s="37"/>
      <c r="I692" s="36"/>
      <c r="J692" s="38"/>
      <c r="K692" s="38"/>
      <c r="L692" s="39"/>
      <c r="M692" s="39"/>
      <c r="N692" s="39"/>
      <c r="O692" s="39"/>
      <c r="P692" s="39"/>
      <c r="Q692" s="39"/>
      <c r="R692" s="39"/>
      <c r="S692" s="39"/>
      <c r="T692" s="39"/>
      <c r="U692" s="39"/>
      <c r="V692" s="39"/>
      <c r="W692" s="39"/>
      <c r="X692" s="39"/>
      <c r="Y692" s="39"/>
      <c r="Z692" s="39"/>
      <c r="AA692" s="39"/>
      <c r="AB692" s="39"/>
    </row>
    <row r="693">
      <c r="A693" s="1"/>
      <c r="B693" s="36"/>
      <c r="C693" s="36"/>
      <c r="D693" s="36"/>
      <c r="E693" s="36"/>
      <c r="F693" s="36"/>
      <c r="G693" s="36"/>
      <c r="H693" s="37"/>
      <c r="I693" s="36"/>
      <c r="J693" s="38"/>
      <c r="K693" s="38"/>
      <c r="L693" s="39"/>
      <c r="M693" s="39"/>
      <c r="N693" s="39"/>
      <c r="O693" s="39"/>
      <c r="P693" s="39"/>
      <c r="Q693" s="39"/>
      <c r="R693" s="39"/>
      <c r="S693" s="39"/>
      <c r="T693" s="39"/>
      <c r="U693" s="39"/>
      <c r="V693" s="39"/>
      <c r="W693" s="39"/>
      <c r="X693" s="39"/>
      <c r="Y693" s="39"/>
      <c r="Z693" s="39"/>
      <c r="AA693" s="39"/>
      <c r="AB693" s="39"/>
    </row>
    <row r="694">
      <c r="A694" s="1"/>
      <c r="B694" s="36"/>
      <c r="C694" s="36"/>
      <c r="D694" s="36"/>
      <c r="E694" s="36"/>
      <c r="F694" s="36"/>
      <c r="G694" s="36"/>
      <c r="H694" s="37"/>
      <c r="I694" s="36"/>
      <c r="J694" s="38"/>
      <c r="K694" s="38"/>
      <c r="L694" s="39"/>
      <c r="M694" s="39"/>
      <c r="N694" s="39"/>
      <c r="O694" s="39"/>
      <c r="P694" s="39"/>
      <c r="Q694" s="39"/>
      <c r="R694" s="39"/>
      <c r="S694" s="39"/>
      <c r="T694" s="39"/>
      <c r="U694" s="39"/>
      <c r="V694" s="39"/>
      <c r="W694" s="39"/>
      <c r="X694" s="39"/>
      <c r="Y694" s="39"/>
      <c r="Z694" s="39"/>
      <c r="AA694" s="39"/>
      <c r="AB694" s="39"/>
    </row>
    <row r="695">
      <c r="A695" s="1"/>
      <c r="B695" s="36"/>
      <c r="C695" s="36"/>
      <c r="D695" s="36"/>
      <c r="E695" s="36"/>
      <c r="F695" s="36"/>
      <c r="G695" s="36"/>
      <c r="H695" s="37"/>
      <c r="I695" s="36"/>
      <c r="J695" s="38"/>
      <c r="K695" s="38"/>
      <c r="L695" s="39"/>
      <c r="M695" s="39"/>
      <c r="N695" s="39"/>
      <c r="O695" s="39"/>
      <c r="P695" s="39"/>
      <c r="Q695" s="39"/>
      <c r="R695" s="39"/>
      <c r="S695" s="39"/>
      <c r="T695" s="39"/>
      <c r="U695" s="39"/>
      <c r="V695" s="39"/>
      <c r="W695" s="39"/>
      <c r="X695" s="39"/>
      <c r="Y695" s="39"/>
      <c r="Z695" s="39"/>
      <c r="AA695" s="39"/>
      <c r="AB695" s="39"/>
    </row>
    <row r="696">
      <c r="A696" s="1"/>
      <c r="B696" s="36"/>
      <c r="C696" s="36"/>
      <c r="D696" s="36"/>
      <c r="E696" s="36"/>
      <c r="F696" s="36"/>
      <c r="G696" s="36"/>
      <c r="H696" s="37"/>
      <c r="I696" s="36"/>
      <c r="J696" s="38"/>
      <c r="K696" s="38"/>
      <c r="L696" s="39"/>
      <c r="M696" s="39"/>
      <c r="N696" s="39"/>
      <c r="O696" s="39"/>
      <c r="P696" s="39"/>
      <c r="Q696" s="39"/>
      <c r="R696" s="39"/>
      <c r="S696" s="39"/>
      <c r="T696" s="39"/>
      <c r="U696" s="39"/>
      <c r="V696" s="39"/>
      <c r="W696" s="39"/>
      <c r="X696" s="39"/>
      <c r="Y696" s="39"/>
      <c r="Z696" s="39"/>
      <c r="AA696" s="39"/>
      <c r="AB696" s="39"/>
    </row>
    <row r="697">
      <c r="A697" s="1"/>
      <c r="B697" s="36"/>
      <c r="C697" s="36"/>
      <c r="D697" s="36"/>
      <c r="E697" s="36"/>
      <c r="F697" s="36"/>
      <c r="G697" s="36"/>
      <c r="H697" s="37"/>
      <c r="I697" s="36"/>
      <c r="J697" s="38"/>
      <c r="K697" s="38"/>
      <c r="L697" s="39"/>
      <c r="M697" s="39"/>
      <c r="N697" s="39"/>
      <c r="O697" s="39"/>
      <c r="P697" s="39"/>
      <c r="Q697" s="39"/>
      <c r="R697" s="39"/>
      <c r="S697" s="39"/>
      <c r="T697" s="39"/>
      <c r="U697" s="39"/>
      <c r="V697" s="39"/>
      <c r="W697" s="39"/>
      <c r="X697" s="39"/>
      <c r="Y697" s="39"/>
      <c r="Z697" s="39"/>
      <c r="AA697" s="39"/>
      <c r="AB697" s="39"/>
    </row>
    <row r="698">
      <c r="A698" s="1"/>
      <c r="B698" s="36"/>
      <c r="C698" s="36"/>
      <c r="D698" s="36"/>
      <c r="E698" s="36"/>
      <c r="F698" s="36"/>
      <c r="G698" s="36"/>
      <c r="H698" s="37"/>
      <c r="I698" s="36"/>
      <c r="J698" s="38"/>
      <c r="K698" s="38"/>
      <c r="L698" s="39"/>
      <c r="M698" s="39"/>
      <c r="N698" s="39"/>
      <c r="O698" s="39"/>
      <c r="P698" s="39"/>
      <c r="Q698" s="39"/>
      <c r="R698" s="39"/>
      <c r="S698" s="39"/>
      <c r="T698" s="39"/>
      <c r="U698" s="39"/>
      <c r="V698" s="39"/>
      <c r="W698" s="39"/>
      <c r="X698" s="39"/>
      <c r="Y698" s="39"/>
      <c r="Z698" s="39"/>
      <c r="AA698" s="39"/>
      <c r="AB698" s="39"/>
    </row>
    <row r="699">
      <c r="A699" s="1"/>
      <c r="B699" s="36"/>
      <c r="C699" s="36"/>
      <c r="D699" s="36"/>
      <c r="E699" s="36"/>
      <c r="F699" s="36"/>
      <c r="G699" s="36"/>
      <c r="H699" s="37"/>
      <c r="I699" s="36"/>
      <c r="J699" s="38"/>
      <c r="K699" s="38"/>
      <c r="L699" s="39"/>
      <c r="M699" s="39"/>
      <c r="N699" s="39"/>
      <c r="O699" s="39"/>
      <c r="P699" s="39"/>
      <c r="Q699" s="39"/>
      <c r="R699" s="39"/>
      <c r="S699" s="39"/>
      <c r="T699" s="39"/>
      <c r="U699" s="39"/>
      <c r="V699" s="39"/>
      <c r="W699" s="39"/>
      <c r="X699" s="39"/>
      <c r="Y699" s="39"/>
      <c r="Z699" s="39"/>
      <c r="AA699" s="39"/>
      <c r="AB699" s="39"/>
    </row>
    <row r="700">
      <c r="A700" s="1"/>
      <c r="B700" s="36"/>
      <c r="C700" s="36"/>
      <c r="D700" s="36"/>
      <c r="E700" s="36"/>
      <c r="F700" s="36"/>
      <c r="G700" s="36"/>
      <c r="H700" s="37"/>
      <c r="I700" s="36"/>
      <c r="J700" s="38"/>
      <c r="K700" s="38"/>
      <c r="L700" s="39"/>
      <c r="M700" s="39"/>
      <c r="N700" s="39"/>
      <c r="O700" s="39"/>
      <c r="P700" s="39"/>
      <c r="Q700" s="39"/>
      <c r="R700" s="39"/>
      <c r="S700" s="39"/>
      <c r="T700" s="39"/>
      <c r="U700" s="39"/>
      <c r="V700" s="39"/>
      <c r="W700" s="39"/>
      <c r="X700" s="39"/>
      <c r="Y700" s="39"/>
      <c r="Z700" s="39"/>
      <c r="AA700" s="39"/>
      <c r="AB700" s="39"/>
    </row>
    <row r="701">
      <c r="A701" s="1"/>
      <c r="B701" s="36"/>
      <c r="C701" s="36"/>
      <c r="D701" s="36"/>
      <c r="E701" s="36"/>
      <c r="F701" s="36"/>
      <c r="G701" s="36"/>
      <c r="H701" s="37"/>
      <c r="I701" s="36"/>
      <c r="J701" s="38"/>
      <c r="K701" s="38"/>
      <c r="L701" s="39"/>
      <c r="M701" s="39"/>
      <c r="N701" s="39"/>
      <c r="O701" s="39"/>
      <c r="P701" s="39"/>
      <c r="Q701" s="39"/>
      <c r="R701" s="39"/>
      <c r="S701" s="39"/>
      <c r="T701" s="39"/>
      <c r="U701" s="39"/>
      <c r="V701" s="39"/>
      <c r="W701" s="39"/>
      <c r="X701" s="39"/>
      <c r="Y701" s="39"/>
      <c r="Z701" s="39"/>
      <c r="AA701" s="39"/>
      <c r="AB701" s="39"/>
    </row>
    <row r="702">
      <c r="A702" s="1"/>
      <c r="B702" s="36"/>
      <c r="C702" s="36"/>
      <c r="D702" s="36"/>
      <c r="E702" s="36"/>
      <c r="F702" s="36"/>
      <c r="G702" s="36"/>
      <c r="H702" s="37"/>
      <c r="I702" s="36"/>
      <c r="J702" s="38"/>
      <c r="K702" s="38"/>
      <c r="L702" s="39"/>
      <c r="M702" s="39"/>
      <c r="N702" s="39"/>
      <c r="O702" s="39"/>
      <c r="P702" s="39"/>
      <c r="Q702" s="39"/>
      <c r="R702" s="39"/>
      <c r="S702" s="39"/>
      <c r="T702" s="39"/>
      <c r="U702" s="39"/>
      <c r="V702" s="39"/>
      <c r="W702" s="39"/>
      <c r="X702" s="39"/>
      <c r="Y702" s="39"/>
      <c r="Z702" s="39"/>
      <c r="AA702" s="39"/>
      <c r="AB702" s="39"/>
    </row>
    <row r="703">
      <c r="A703" s="1"/>
      <c r="B703" s="36"/>
      <c r="C703" s="36"/>
      <c r="D703" s="36"/>
      <c r="E703" s="36"/>
      <c r="F703" s="36"/>
      <c r="G703" s="36"/>
      <c r="H703" s="37"/>
      <c r="I703" s="36"/>
      <c r="J703" s="38"/>
      <c r="K703" s="38"/>
      <c r="L703" s="39"/>
      <c r="M703" s="39"/>
      <c r="N703" s="39"/>
      <c r="O703" s="39"/>
      <c r="P703" s="39"/>
      <c r="Q703" s="39"/>
      <c r="R703" s="39"/>
      <c r="S703" s="39"/>
      <c r="T703" s="39"/>
      <c r="U703" s="39"/>
      <c r="V703" s="39"/>
      <c r="W703" s="39"/>
      <c r="X703" s="39"/>
      <c r="Y703" s="39"/>
      <c r="Z703" s="39"/>
      <c r="AA703" s="39"/>
      <c r="AB703" s="39"/>
    </row>
    <row r="704">
      <c r="A704" s="1"/>
      <c r="B704" s="36"/>
      <c r="C704" s="36"/>
      <c r="D704" s="36"/>
      <c r="E704" s="36"/>
      <c r="F704" s="36"/>
      <c r="G704" s="36"/>
      <c r="H704" s="37"/>
      <c r="I704" s="36"/>
      <c r="J704" s="38"/>
      <c r="K704" s="38"/>
      <c r="L704" s="39"/>
      <c r="M704" s="39"/>
      <c r="N704" s="39"/>
      <c r="O704" s="39"/>
      <c r="P704" s="39"/>
      <c r="Q704" s="39"/>
      <c r="R704" s="39"/>
      <c r="S704" s="39"/>
      <c r="T704" s="39"/>
      <c r="U704" s="39"/>
      <c r="V704" s="39"/>
      <c r="W704" s="39"/>
      <c r="X704" s="39"/>
      <c r="Y704" s="39"/>
      <c r="Z704" s="39"/>
      <c r="AA704" s="39"/>
      <c r="AB704" s="39"/>
    </row>
    <row r="705">
      <c r="A705" s="1"/>
      <c r="B705" s="36"/>
      <c r="C705" s="36"/>
      <c r="D705" s="36"/>
      <c r="E705" s="36"/>
      <c r="F705" s="36"/>
      <c r="G705" s="36"/>
      <c r="H705" s="37"/>
      <c r="I705" s="36"/>
      <c r="J705" s="38"/>
      <c r="K705" s="38"/>
      <c r="L705" s="39"/>
      <c r="M705" s="39"/>
      <c r="N705" s="39"/>
      <c r="O705" s="39"/>
      <c r="P705" s="39"/>
      <c r="Q705" s="39"/>
      <c r="R705" s="39"/>
      <c r="S705" s="39"/>
      <c r="T705" s="39"/>
      <c r="U705" s="39"/>
      <c r="V705" s="39"/>
      <c r="W705" s="39"/>
      <c r="X705" s="39"/>
      <c r="Y705" s="39"/>
      <c r="Z705" s="39"/>
      <c r="AA705" s="39"/>
      <c r="AB705" s="39"/>
    </row>
    <row r="706">
      <c r="A706" s="1"/>
      <c r="B706" s="36"/>
      <c r="C706" s="36"/>
      <c r="D706" s="36"/>
      <c r="E706" s="36"/>
      <c r="F706" s="36"/>
      <c r="G706" s="36"/>
      <c r="H706" s="37"/>
      <c r="I706" s="36"/>
      <c r="J706" s="38"/>
      <c r="K706" s="38"/>
      <c r="L706" s="39"/>
      <c r="M706" s="39"/>
      <c r="N706" s="39"/>
      <c r="O706" s="39"/>
      <c r="P706" s="39"/>
      <c r="Q706" s="39"/>
      <c r="R706" s="39"/>
      <c r="S706" s="39"/>
      <c r="T706" s="39"/>
      <c r="U706" s="39"/>
      <c r="V706" s="39"/>
      <c r="W706" s="39"/>
      <c r="X706" s="39"/>
      <c r="Y706" s="39"/>
      <c r="Z706" s="39"/>
      <c r="AA706" s="39"/>
      <c r="AB706" s="39"/>
    </row>
    <row r="707">
      <c r="A707" s="1"/>
      <c r="B707" s="36"/>
      <c r="C707" s="36"/>
      <c r="D707" s="36"/>
      <c r="E707" s="36"/>
      <c r="F707" s="36"/>
      <c r="G707" s="36"/>
      <c r="H707" s="37"/>
      <c r="I707" s="36"/>
      <c r="J707" s="38"/>
      <c r="K707" s="38"/>
      <c r="L707" s="39"/>
      <c r="M707" s="39"/>
      <c r="N707" s="39"/>
      <c r="O707" s="39"/>
      <c r="P707" s="39"/>
      <c r="Q707" s="39"/>
      <c r="R707" s="39"/>
      <c r="S707" s="39"/>
      <c r="T707" s="39"/>
      <c r="U707" s="39"/>
      <c r="V707" s="39"/>
      <c r="W707" s="39"/>
      <c r="X707" s="39"/>
      <c r="Y707" s="39"/>
      <c r="Z707" s="39"/>
      <c r="AA707" s="39"/>
      <c r="AB707" s="39"/>
    </row>
    <row r="708">
      <c r="A708" s="1"/>
      <c r="B708" s="36"/>
      <c r="C708" s="36"/>
      <c r="D708" s="36"/>
      <c r="E708" s="36"/>
      <c r="F708" s="36"/>
      <c r="G708" s="36"/>
      <c r="H708" s="37"/>
      <c r="I708" s="36"/>
      <c r="J708" s="38"/>
      <c r="K708" s="38"/>
      <c r="L708" s="39"/>
      <c r="M708" s="39"/>
      <c r="N708" s="39"/>
      <c r="O708" s="39"/>
      <c r="P708" s="39"/>
      <c r="Q708" s="39"/>
      <c r="R708" s="39"/>
      <c r="S708" s="39"/>
      <c r="T708" s="39"/>
      <c r="U708" s="39"/>
      <c r="V708" s="39"/>
      <c r="W708" s="39"/>
      <c r="X708" s="39"/>
      <c r="Y708" s="39"/>
      <c r="Z708" s="39"/>
      <c r="AA708" s="39"/>
      <c r="AB708" s="39"/>
    </row>
    <row r="709">
      <c r="A709" s="1"/>
      <c r="B709" s="36"/>
      <c r="C709" s="36"/>
      <c r="D709" s="36"/>
      <c r="E709" s="36"/>
      <c r="F709" s="36"/>
      <c r="G709" s="36"/>
      <c r="H709" s="37"/>
      <c r="I709" s="36"/>
      <c r="J709" s="38"/>
      <c r="K709" s="38"/>
      <c r="L709" s="39"/>
      <c r="M709" s="39"/>
      <c r="N709" s="39"/>
      <c r="O709" s="39"/>
      <c r="P709" s="39"/>
      <c r="Q709" s="39"/>
      <c r="R709" s="39"/>
      <c r="S709" s="39"/>
      <c r="T709" s="39"/>
      <c r="U709" s="39"/>
      <c r="V709" s="39"/>
      <c r="W709" s="39"/>
      <c r="X709" s="39"/>
      <c r="Y709" s="39"/>
      <c r="Z709" s="39"/>
      <c r="AA709" s="39"/>
      <c r="AB709" s="39"/>
    </row>
    <row r="710">
      <c r="A710" s="1"/>
      <c r="B710" s="36"/>
      <c r="C710" s="36"/>
      <c r="D710" s="36"/>
      <c r="E710" s="36"/>
      <c r="F710" s="36"/>
      <c r="G710" s="36"/>
      <c r="H710" s="37"/>
      <c r="I710" s="36"/>
      <c r="J710" s="38"/>
      <c r="K710" s="38"/>
      <c r="L710" s="39"/>
      <c r="M710" s="39"/>
      <c r="N710" s="39"/>
      <c r="O710" s="39"/>
      <c r="P710" s="39"/>
      <c r="Q710" s="39"/>
      <c r="R710" s="39"/>
      <c r="S710" s="39"/>
      <c r="T710" s="39"/>
      <c r="U710" s="39"/>
      <c r="V710" s="39"/>
      <c r="W710" s="39"/>
      <c r="X710" s="39"/>
      <c r="Y710" s="39"/>
      <c r="Z710" s="39"/>
      <c r="AA710" s="39"/>
      <c r="AB710" s="39"/>
    </row>
    <row r="711">
      <c r="A711" s="1"/>
      <c r="B711" s="36"/>
      <c r="C711" s="36"/>
      <c r="D711" s="36"/>
      <c r="E711" s="36"/>
      <c r="F711" s="36"/>
      <c r="G711" s="36"/>
      <c r="H711" s="37"/>
      <c r="I711" s="36"/>
      <c r="J711" s="38"/>
      <c r="K711" s="38"/>
      <c r="L711" s="39"/>
      <c r="M711" s="39"/>
      <c r="N711" s="39"/>
      <c r="O711" s="39"/>
      <c r="P711" s="39"/>
      <c r="Q711" s="39"/>
      <c r="R711" s="39"/>
      <c r="S711" s="39"/>
      <c r="T711" s="39"/>
      <c r="U711" s="39"/>
      <c r="V711" s="39"/>
      <c r="W711" s="39"/>
      <c r="X711" s="39"/>
      <c r="Y711" s="39"/>
      <c r="Z711" s="39"/>
      <c r="AA711" s="39"/>
      <c r="AB711" s="39"/>
    </row>
    <row r="712">
      <c r="A712" s="1"/>
      <c r="B712" s="36"/>
      <c r="C712" s="36"/>
      <c r="D712" s="36"/>
      <c r="E712" s="36"/>
      <c r="F712" s="36"/>
      <c r="G712" s="36"/>
      <c r="H712" s="37"/>
      <c r="I712" s="36"/>
      <c r="J712" s="38"/>
      <c r="K712" s="38"/>
      <c r="L712" s="39"/>
      <c r="M712" s="39"/>
      <c r="N712" s="39"/>
      <c r="O712" s="39"/>
      <c r="P712" s="39"/>
      <c r="Q712" s="39"/>
      <c r="R712" s="39"/>
      <c r="S712" s="39"/>
      <c r="T712" s="39"/>
      <c r="U712" s="39"/>
      <c r="V712" s="39"/>
      <c r="W712" s="39"/>
      <c r="X712" s="39"/>
      <c r="Y712" s="39"/>
      <c r="Z712" s="39"/>
      <c r="AA712" s="39"/>
      <c r="AB712" s="39"/>
    </row>
    <row r="713">
      <c r="A713" s="1"/>
      <c r="B713" s="36"/>
      <c r="C713" s="36"/>
      <c r="D713" s="36"/>
      <c r="E713" s="36"/>
      <c r="F713" s="36"/>
      <c r="G713" s="36"/>
      <c r="H713" s="37"/>
      <c r="I713" s="36"/>
      <c r="J713" s="38"/>
      <c r="K713" s="38"/>
      <c r="L713" s="39"/>
      <c r="M713" s="39"/>
      <c r="N713" s="39"/>
      <c r="O713" s="39"/>
      <c r="P713" s="39"/>
      <c r="Q713" s="39"/>
      <c r="R713" s="39"/>
      <c r="S713" s="39"/>
      <c r="T713" s="39"/>
      <c r="U713" s="39"/>
      <c r="V713" s="39"/>
      <c r="W713" s="39"/>
      <c r="X713" s="39"/>
      <c r="Y713" s="39"/>
      <c r="Z713" s="39"/>
      <c r="AA713" s="39"/>
      <c r="AB713" s="39"/>
    </row>
    <row r="714">
      <c r="A714" s="1"/>
      <c r="B714" s="36"/>
      <c r="C714" s="36"/>
      <c r="D714" s="36"/>
      <c r="E714" s="36"/>
      <c r="F714" s="36"/>
      <c r="G714" s="36"/>
      <c r="H714" s="37"/>
      <c r="I714" s="36"/>
      <c r="J714" s="38"/>
      <c r="K714" s="38"/>
      <c r="L714" s="39"/>
      <c r="M714" s="39"/>
      <c r="N714" s="39"/>
      <c r="O714" s="39"/>
      <c r="P714" s="39"/>
      <c r="Q714" s="39"/>
      <c r="R714" s="39"/>
      <c r="S714" s="39"/>
      <c r="T714" s="39"/>
      <c r="U714" s="39"/>
      <c r="V714" s="39"/>
      <c r="W714" s="39"/>
      <c r="X714" s="39"/>
      <c r="Y714" s="39"/>
      <c r="Z714" s="39"/>
      <c r="AA714" s="39"/>
      <c r="AB714" s="39"/>
    </row>
    <row r="715">
      <c r="A715" s="1"/>
      <c r="B715" s="36"/>
      <c r="C715" s="36"/>
      <c r="D715" s="36"/>
      <c r="E715" s="36"/>
      <c r="F715" s="36"/>
      <c r="G715" s="36"/>
      <c r="H715" s="37"/>
      <c r="I715" s="36"/>
      <c r="J715" s="38"/>
      <c r="K715" s="38"/>
      <c r="L715" s="39"/>
      <c r="M715" s="39"/>
      <c r="N715" s="39"/>
      <c r="O715" s="39"/>
      <c r="P715" s="39"/>
      <c r="Q715" s="39"/>
      <c r="R715" s="39"/>
      <c r="S715" s="39"/>
      <c r="T715" s="39"/>
      <c r="U715" s="39"/>
      <c r="V715" s="39"/>
      <c r="W715" s="39"/>
      <c r="X715" s="39"/>
      <c r="Y715" s="39"/>
      <c r="Z715" s="39"/>
      <c r="AA715" s="39"/>
      <c r="AB715" s="39"/>
    </row>
    <row r="716">
      <c r="A716" s="1"/>
      <c r="B716" s="36"/>
      <c r="C716" s="36"/>
      <c r="D716" s="36"/>
      <c r="E716" s="36"/>
      <c r="F716" s="36"/>
      <c r="G716" s="36"/>
      <c r="H716" s="37"/>
      <c r="I716" s="36"/>
      <c r="J716" s="38"/>
      <c r="K716" s="38"/>
      <c r="L716" s="39"/>
      <c r="M716" s="39"/>
      <c r="N716" s="39"/>
      <c r="O716" s="39"/>
      <c r="P716" s="39"/>
      <c r="Q716" s="39"/>
      <c r="R716" s="39"/>
      <c r="S716" s="39"/>
      <c r="T716" s="39"/>
      <c r="U716" s="39"/>
      <c r="V716" s="39"/>
      <c r="W716" s="39"/>
      <c r="X716" s="39"/>
      <c r="Y716" s="39"/>
      <c r="Z716" s="39"/>
      <c r="AA716" s="39"/>
      <c r="AB716" s="39"/>
    </row>
    <row r="717">
      <c r="A717" s="1"/>
      <c r="B717" s="36"/>
      <c r="C717" s="36"/>
      <c r="D717" s="36"/>
      <c r="E717" s="36"/>
      <c r="F717" s="36"/>
      <c r="G717" s="36"/>
      <c r="H717" s="37"/>
      <c r="I717" s="36"/>
      <c r="J717" s="38"/>
      <c r="K717" s="38"/>
      <c r="L717" s="39"/>
      <c r="M717" s="39"/>
      <c r="N717" s="39"/>
      <c r="O717" s="39"/>
      <c r="P717" s="39"/>
      <c r="Q717" s="39"/>
      <c r="R717" s="39"/>
      <c r="S717" s="39"/>
      <c r="T717" s="39"/>
      <c r="U717" s="39"/>
      <c r="V717" s="39"/>
      <c r="W717" s="39"/>
      <c r="X717" s="39"/>
      <c r="Y717" s="39"/>
      <c r="Z717" s="39"/>
      <c r="AA717" s="39"/>
      <c r="AB717" s="39"/>
    </row>
    <row r="718">
      <c r="A718" s="1"/>
      <c r="B718" s="36"/>
      <c r="C718" s="36"/>
      <c r="D718" s="36"/>
      <c r="E718" s="36"/>
      <c r="F718" s="36"/>
      <c r="G718" s="36"/>
      <c r="H718" s="37"/>
      <c r="I718" s="36"/>
      <c r="J718" s="38"/>
      <c r="K718" s="38"/>
      <c r="L718" s="39"/>
      <c r="M718" s="39"/>
      <c r="N718" s="39"/>
      <c r="O718" s="39"/>
      <c r="P718" s="39"/>
      <c r="Q718" s="39"/>
      <c r="R718" s="39"/>
      <c r="S718" s="39"/>
      <c r="T718" s="39"/>
      <c r="U718" s="39"/>
      <c r="V718" s="39"/>
      <c r="W718" s="39"/>
      <c r="X718" s="39"/>
      <c r="Y718" s="39"/>
      <c r="Z718" s="39"/>
      <c r="AA718" s="39"/>
      <c r="AB718" s="39"/>
    </row>
    <row r="719">
      <c r="A719" s="1"/>
      <c r="B719" s="36"/>
      <c r="C719" s="36"/>
      <c r="D719" s="36"/>
      <c r="E719" s="36"/>
      <c r="F719" s="36"/>
      <c r="G719" s="36"/>
      <c r="H719" s="37"/>
      <c r="I719" s="36"/>
      <c r="J719" s="38"/>
      <c r="K719" s="38"/>
      <c r="L719" s="39"/>
      <c r="M719" s="39"/>
      <c r="N719" s="39"/>
      <c r="O719" s="39"/>
      <c r="P719" s="39"/>
      <c r="Q719" s="39"/>
      <c r="R719" s="39"/>
      <c r="S719" s="39"/>
      <c r="T719" s="39"/>
      <c r="U719" s="39"/>
      <c r="V719" s="39"/>
      <c r="W719" s="39"/>
      <c r="X719" s="39"/>
      <c r="Y719" s="39"/>
      <c r="Z719" s="39"/>
      <c r="AA719" s="39"/>
      <c r="AB719" s="39"/>
    </row>
    <row r="720">
      <c r="A720" s="1"/>
      <c r="B720" s="36"/>
      <c r="C720" s="36"/>
      <c r="D720" s="36"/>
      <c r="E720" s="36"/>
      <c r="F720" s="36"/>
      <c r="G720" s="36"/>
      <c r="H720" s="37"/>
      <c r="I720" s="36"/>
      <c r="J720" s="38"/>
      <c r="K720" s="38"/>
      <c r="L720" s="39"/>
      <c r="M720" s="39"/>
      <c r="N720" s="39"/>
      <c r="O720" s="39"/>
      <c r="P720" s="39"/>
      <c r="Q720" s="39"/>
      <c r="R720" s="39"/>
      <c r="S720" s="39"/>
      <c r="T720" s="39"/>
      <c r="U720" s="39"/>
      <c r="V720" s="39"/>
      <c r="W720" s="39"/>
      <c r="X720" s="39"/>
      <c r="Y720" s="39"/>
      <c r="Z720" s="39"/>
      <c r="AA720" s="39"/>
      <c r="AB720" s="39"/>
    </row>
    <row r="721">
      <c r="A721" s="1"/>
      <c r="B721" s="36"/>
      <c r="C721" s="36"/>
      <c r="D721" s="36"/>
      <c r="E721" s="36"/>
      <c r="F721" s="36"/>
      <c r="G721" s="36"/>
      <c r="H721" s="37"/>
      <c r="I721" s="36"/>
      <c r="J721" s="38"/>
      <c r="K721" s="38"/>
      <c r="L721" s="39"/>
      <c r="M721" s="39"/>
      <c r="N721" s="39"/>
      <c r="O721" s="39"/>
      <c r="P721" s="39"/>
      <c r="Q721" s="39"/>
      <c r="R721" s="39"/>
      <c r="S721" s="39"/>
      <c r="T721" s="39"/>
      <c r="U721" s="39"/>
      <c r="V721" s="39"/>
      <c r="W721" s="39"/>
      <c r="X721" s="39"/>
      <c r="Y721" s="39"/>
      <c r="Z721" s="39"/>
      <c r="AA721" s="39"/>
      <c r="AB721" s="39"/>
    </row>
    <row r="722">
      <c r="A722" s="1"/>
      <c r="B722" s="36"/>
      <c r="C722" s="36"/>
      <c r="D722" s="36"/>
      <c r="E722" s="36"/>
      <c r="F722" s="36"/>
      <c r="G722" s="36"/>
      <c r="H722" s="37"/>
      <c r="I722" s="36"/>
      <c r="J722" s="38"/>
      <c r="K722" s="38"/>
      <c r="L722" s="39"/>
      <c r="M722" s="39"/>
      <c r="N722" s="39"/>
      <c r="O722" s="39"/>
      <c r="P722" s="39"/>
      <c r="Q722" s="39"/>
      <c r="R722" s="39"/>
      <c r="S722" s="39"/>
      <c r="T722" s="39"/>
      <c r="U722" s="39"/>
      <c r="V722" s="39"/>
      <c r="W722" s="39"/>
      <c r="X722" s="39"/>
      <c r="Y722" s="39"/>
      <c r="Z722" s="39"/>
      <c r="AA722" s="39"/>
      <c r="AB722" s="39"/>
    </row>
    <row r="723">
      <c r="A723" s="1"/>
      <c r="B723" s="36"/>
      <c r="C723" s="36"/>
      <c r="D723" s="36"/>
      <c r="E723" s="36"/>
      <c r="F723" s="36"/>
      <c r="G723" s="36"/>
      <c r="H723" s="37"/>
      <c r="I723" s="36"/>
      <c r="J723" s="38"/>
      <c r="K723" s="38"/>
      <c r="L723" s="39"/>
      <c r="M723" s="39"/>
      <c r="N723" s="39"/>
      <c r="O723" s="39"/>
      <c r="P723" s="39"/>
      <c r="Q723" s="39"/>
      <c r="R723" s="39"/>
      <c r="S723" s="39"/>
      <c r="T723" s="39"/>
      <c r="U723" s="39"/>
      <c r="V723" s="39"/>
      <c r="W723" s="39"/>
      <c r="X723" s="39"/>
      <c r="Y723" s="39"/>
      <c r="Z723" s="39"/>
      <c r="AA723" s="39"/>
      <c r="AB723" s="39"/>
    </row>
    <row r="724">
      <c r="A724" s="1"/>
      <c r="B724" s="36"/>
      <c r="C724" s="36"/>
      <c r="D724" s="36"/>
      <c r="E724" s="36"/>
      <c r="F724" s="36"/>
      <c r="G724" s="36"/>
      <c r="H724" s="37"/>
      <c r="I724" s="36"/>
      <c r="J724" s="38"/>
      <c r="K724" s="38"/>
      <c r="L724" s="39"/>
      <c r="M724" s="39"/>
      <c r="N724" s="39"/>
      <c r="O724" s="39"/>
      <c r="P724" s="39"/>
      <c r="Q724" s="39"/>
      <c r="R724" s="39"/>
      <c r="S724" s="39"/>
      <c r="T724" s="39"/>
      <c r="U724" s="39"/>
      <c r="V724" s="39"/>
      <c r="W724" s="39"/>
      <c r="X724" s="39"/>
      <c r="Y724" s="39"/>
      <c r="Z724" s="39"/>
      <c r="AA724" s="39"/>
      <c r="AB724" s="39"/>
    </row>
    <row r="725">
      <c r="A725" s="1"/>
      <c r="B725" s="36"/>
      <c r="C725" s="36"/>
      <c r="D725" s="36"/>
      <c r="E725" s="36"/>
      <c r="F725" s="36"/>
      <c r="G725" s="36"/>
      <c r="H725" s="37"/>
      <c r="I725" s="36"/>
      <c r="J725" s="38"/>
      <c r="K725" s="38"/>
      <c r="L725" s="39"/>
      <c r="M725" s="39"/>
      <c r="N725" s="39"/>
      <c r="O725" s="39"/>
      <c r="P725" s="39"/>
      <c r="Q725" s="39"/>
      <c r="R725" s="39"/>
      <c r="S725" s="39"/>
      <c r="T725" s="39"/>
      <c r="U725" s="39"/>
      <c r="V725" s="39"/>
      <c r="W725" s="39"/>
      <c r="X725" s="39"/>
      <c r="Y725" s="39"/>
      <c r="Z725" s="39"/>
      <c r="AA725" s="39"/>
      <c r="AB725" s="39"/>
    </row>
    <row r="726">
      <c r="A726" s="1"/>
      <c r="B726" s="36"/>
      <c r="C726" s="36"/>
      <c r="D726" s="36"/>
      <c r="E726" s="36"/>
      <c r="F726" s="36"/>
      <c r="G726" s="36"/>
      <c r="H726" s="37"/>
      <c r="I726" s="36"/>
      <c r="J726" s="38"/>
      <c r="K726" s="38"/>
      <c r="L726" s="39"/>
      <c r="M726" s="39"/>
      <c r="N726" s="39"/>
      <c r="O726" s="39"/>
      <c r="P726" s="39"/>
      <c r="Q726" s="39"/>
      <c r="R726" s="39"/>
      <c r="S726" s="39"/>
      <c r="T726" s="39"/>
      <c r="U726" s="39"/>
      <c r="V726" s="39"/>
      <c r="W726" s="39"/>
      <c r="X726" s="39"/>
      <c r="Y726" s="39"/>
      <c r="Z726" s="39"/>
      <c r="AA726" s="39"/>
      <c r="AB726" s="39"/>
    </row>
    <row r="727">
      <c r="A727" s="1"/>
      <c r="B727" s="36"/>
      <c r="C727" s="36"/>
      <c r="D727" s="36"/>
      <c r="E727" s="36"/>
      <c r="F727" s="36"/>
      <c r="G727" s="36"/>
      <c r="H727" s="37"/>
      <c r="I727" s="36"/>
      <c r="J727" s="38"/>
      <c r="K727" s="38"/>
      <c r="L727" s="39"/>
      <c r="M727" s="39"/>
      <c r="N727" s="39"/>
      <c r="O727" s="39"/>
      <c r="P727" s="39"/>
      <c r="Q727" s="39"/>
      <c r="R727" s="39"/>
      <c r="S727" s="39"/>
      <c r="T727" s="39"/>
      <c r="U727" s="39"/>
      <c r="V727" s="39"/>
      <c r="W727" s="39"/>
      <c r="X727" s="39"/>
      <c r="Y727" s="39"/>
      <c r="Z727" s="39"/>
      <c r="AA727" s="39"/>
      <c r="AB727" s="39"/>
    </row>
    <row r="728">
      <c r="A728" s="1"/>
      <c r="B728" s="36"/>
      <c r="C728" s="36"/>
      <c r="D728" s="36"/>
      <c r="E728" s="36"/>
      <c r="F728" s="36"/>
      <c r="G728" s="36"/>
      <c r="H728" s="37"/>
      <c r="I728" s="36"/>
      <c r="J728" s="38"/>
      <c r="K728" s="38"/>
      <c r="L728" s="39"/>
      <c r="M728" s="39"/>
      <c r="N728" s="39"/>
      <c r="O728" s="39"/>
      <c r="P728" s="39"/>
      <c r="Q728" s="39"/>
      <c r="R728" s="39"/>
      <c r="S728" s="39"/>
      <c r="T728" s="39"/>
      <c r="U728" s="39"/>
      <c r="V728" s="39"/>
      <c r="W728" s="39"/>
      <c r="X728" s="39"/>
      <c r="Y728" s="39"/>
      <c r="Z728" s="39"/>
      <c r="AA728" s="39"/>
      <c r="AB728" s="39"/>
    </row>
    <row r="729">
      <c r="A729" s="1"/>
      <c r="B729" s="36"/>
      <c r="C729" s="36"/>
      <c r="D729" s="36"/>
      <c r="E729" s="36"/>
      <c r="F729" s="36"/>
      <c r="G729" s="36"/>
      <c r="H729" s="37"/>
      <c r="I729" s="36"/>
      <c r="J729" s="38"/>
      <c r="K729" s="38"/>
      <c r="L729" s="39"/>
      <c r="M729" s="39"/>
      <c r="N729" s="39"/>
      <c r="O729" s="39"/>
      <c r="P729" s="39"/>
      <c r="Q729" s="39"/>
      <c r="R729" s="39"/>
      <c r="S729" s="39"/>
      <c r="T729" s="39"/>
      <c r="U729" s="39"/>
      <c r="V729" s="39"/>
      <c r="W729" s="39"/>
      <c r="X729" s="39"/>
      <c r="Y729" s="39"/>
      <c r="Z729" s="39"/>
      <c r="AA729" s="39"/>
      <c r="AB729" s="39"/>
    </row>
    <row r="730">
      <c r="A730" s="1"/>
      <c r="B730" s="36"/>
      <c r="C730" s="36"/>
      <c r="D730" s="36"/>
      <c r="E730" s="36"/>
      <c r="F730" s="36"/>
      <c r="G730" s="36"/>
      <c r="H730" s="37"/>
      <c r="I730" s="36"/>
      <c r="J730" s="38"/>
      <c r="K730" s="38"/>
      <c r="L730" s="39"/>
      <c r="M730" s="39"/>
      <c r="N730" s="39"/>
      <c r="O730" s="39"/>
      <c r="P730" s="39"/>
      <c r="Q730" s="39"/>
      <c r="R730" s="39"/>
      <c r="S730" s="39"/>
      <c r="T730" s="39"/>
      <c r="U730" s="39"/>
      <c r="V730" s="39"/>
      <c r="W730" s="39"/>
      <c r="X730" s="39"/>
      <c r="Y730" s="39"/>
      <c r="Z730" s="39"/>
      <c r="AA730" s="39"/>
      <c r="AB730" s="39"/>
    </row>
    <row r="731">
      <c r="A731" s="1"/>
      <c r="B731" s="36"/>
      <c r="C731" s="36"/>
      <c r="D731" s="36"/>
      <c r="E731" s="36"/>
      <c r="F731" s="36"/>
      <c r="G731" s="36"/>
      <c r="H731" s="37"/>
      <c r="I731" s="36"/>
      <c r="J731" s="38"/>
      <c r="K731" s="38"/>
      <c r="L731" s="39"/>
      <c r="M731" s="39"/>
      <c r="N731" s="39"/>
      <c r="O731" s="39"/>
      <c r="P731" s="39"/>
      <c r="Q731" s="39"/>
      <c r="R731" s="39"/>
      <c r="S731" s="39"/>
      <c r="T731" s="39"/>
      <c r="U731" s="39"/>
      <c r="V731" s="39"/>
      <c r="W731" s="39"/>
      <c r="X731" s="39"/>
      <c r="Y731" s="39"/>
      <c r="Z731" s="39"/>
      <c r="AA731" s="39"/>
      <c r="AB731" s="39"/>
    </row>
    <row r="732">
      <c r="A732" s="1"/>
      <c r="B732" s="36"/>
      <c r="C732" s="36"/>
      <c r="D732" s="36"/>
      <c r="E732" s="36"/>
      <c r="F732" s="36"/>
      <c r="G732" s="36"/>
      <c r="H732" s="37"/>
      <c r="I732" s="36"/>
      <c r="J732" s="38"/>
      <c r="K732" s="38"/>
      <c r="L732" s="39"/>
      <c r="M732" s="39"/>
      <c r="N732" s="39"/>
      <c r="O732" s="39"/>
      <c r="P732" s="39"/>
      <c r="Q732" s="39"/>
      <c r="R732" s="39"/>
      <c r="S732" s="39"/>
      <c r="T732" s="39"/>
      <c r="U732" s="39"/>
      <c r="V732" s="39"/>
      <c r="W732" s="39"/>
      <c r="X732" s="39"/>
      <c r="Y732" s="39"/>
      <c r="Z732" s="39"/>
      <c r="AA732" s="39"/>
      <c r="AB732" s="39"/>
    </row>
    <row r="733">
      <c r="A733" s="1"/>
      <c r="B733" s="36"/>
      <c r="C733" s="36"/>
      <c r="D733" s="36"/>
      <c r="E733" s="36"/>
      <c r="F733" s="36"/>
      <c r="G733" s="36"/>
      <c r="H733" s="37"/>
      <c r="I733" s="36"/>
      <c r="J733" s="38"/>
      <c r="K733" s="38"/>
      <c r="L733" s="39"/>
      <c r="M733" s="39"/>
      <c r="N733" s="39"/>
      <c r="O733" s="39"/>
      <c r="P733" s="39"/>
      <c r="Q733" s="39"/>
      <c r="R733" s="39"/>
      <c r="S733" s="39"/>
      <c r="T733" s="39"/>
      <c r="U733" s="39"/>
      <c r="V733" s="39"/>
      <c r="W733" s="39"/>
      <c r="X733" s="39"/>
      <c r="Y733" s="39"/>
      <c r="Z733" s="39"/>
      <c r="AA733" s="39"/>
      <c r="AB733" s="39"/>
    </row>
    <row r="734">
      <c r="A734" s="1"/>
      <c r="B734" s="36"/>
      <c r="C734" s="36"/>
      <c r="D734" s="36"/>
      <c r="E734" s="36"/>
      <c r="F734" s="36"/>
      <c r="G734" s="36"/>
      <c r="H734" s="37"/>
      <c r="I734" s="36"/>
      <c r="J734" s="38"/>
      <c r="K734" s="38"/>
      <c r="L734" s="39"/>
      <c r="M734" s="39"/>
      <c r="N734" s="39"/>
      <c r="O734" s="39"/>
      <c r="P734" s="39"/>
      <c r="Q734" s="39"/>
      <c r="R734" s="39"/>
      <c r="S734" s="39"/>
      <c r="T734" s="39"/>
      <c r="U734" s="39"/>
      <c r="V734" s="39"/>
      <c r="W734" s="39"/>
      <c r="X734" s="39"/>
      <c r="Y734" s="39"/>
      <c r="Z734" s="39"/>
      <c r="AA734" s="39"/>
      <c r="AB734" s="39"/>
    </row>
    <row r="735">
      <c r="A735" s="1"/>
      <c r="B735" s="36"/>
      <c r="C735" s="36"/>
      <c r="D735" s="36"/>
      <c r="E735" s="36"/>
      <c r="F735" s="36"/>
      <c r="G735" s="36"/>
      <c r="H735" s="37"/>
      <c r="I735" s="36"/>
      <c r="J735" s="38"/>
      <c r="K735" s="38"/>
      <c r="L735" s="39"/>
      <c r="M735" s="39"/>
      <c r="N735" s="39"/>
      <c r="O735" s="39"/>
      <c r="P735" s="39"/>
      <c r="Q735" s="39"/>
      <c r="R735" s="39"/>
      <c r="S735" s="39"/>
      <c r="T735" s="39"/>
      <c r="U735" s="39"/>
      <c r="V735" s="39"/>
      <c r="W735" s="39"/>
      <c r="X735" s="39"/>
      <c r="Y735" s="39"/>
      <c r="Z735" s="39"/>
      <c r="AA735" s="39"/>
      <c r="AB735" s="39"/>
    </row>
    <row r="736">
      <c r="A736" s="1"/>
      <c r="B736" s="36"/>
      <c r="C736" s="36"/>
      <c r="D736" s="36"/>
      <c r="E736" s="36"/>
      <c r="F736" s="36"/>
      <c r="G736" s="36"/>
      <c r="H736" s="37"/>
      <c r="I736" s="36"/>
      <c r="J736" s="38"/>
      <c r="K736" s="38"/>
      <c r="L736" s="39"/>
      <c r="M736" s="39"/>
      <c r="N736" s="39"/>
      <c r="O736" s="39"/>
      <c r="P736" s="39"/>
      <c r="Q736" s="39"/>
      <c r="R736" s="39"/>
      <c r="S736" s="39"/>
      <c r="T736" s="39"/>
      <c r="U736" s="39"/>
      <c r="V736" s="39"/>
      <c r="W736" s="39"/>
      <c r="X736" s="39"/>
      <c r="Y736" s="39"/>
      <c r="Z736" s="39"/>
      <c r="AA736" s="39"/>
      <c r="AB736" s="39"/>
    </row>
    <row r="737">
      <c r="A737" s="1"/>
      <c r="B737" s="36"/>
      <c r="C737" s="36"/>
      <c r="D737" s="36"/>
      <c r="E737" s="36"/>
      <c r="F737" s="36"/>
      <c r="G737" s="36"/>
      <c r="H737" s="37"/>
      <c r="I737" s="36"/>
      <c r="J737" s="38"/>
      <c r="K737" s="38"/>
      <c r="L737" s="39"/>
      <c r="M737" s="39"/>
      <c r="N737" s="39"/>
      <c r="O737" s="39"/>
      <c r="P737" s="39"/>
      <c r="Q737" s="39"/>
      <c r="R737" s="39"/>
      <c r="S737" s="39"/>
      <c r="T737" s="39"/>
      <c r="U737" s="39"/>
      <c r="V737" s="39"/>
      <c r="W737" s="39"/>
      <c r="X737" s="39"/>
      <c r="Y737" s="39"/>
      <c r="Z737" s="39"/>
      <c r="AA737" s="39"/>
      <c r="AB737" s="39"/>
    </row>
    <row r="738">
      <c r="A738" s="1"/>
      <c r="B738" s="36"/>
      <c r="C738" s="36"/>
      <c r="D738" s="36"/>
      <c r="E738" s="36"/>
      <c r="F738" s="36"/>
      <c r="G738" s="36"/>
      <c r="H738" s="37"/>
      <c r="I738" s="36"/>
      <c r="J738" s="38"/>
      <c r="K738" s="38"/>
      <c r="L738" s="39"/>
      <c r="M738" s="39"/>
      <c r="N738" s="39"/>
      <c r="O738" s="39"/>
      <c r="P738" s="39"/>
      <c r="Q738" s="39"/>
      <c r="R738" s="39"/>
      <c r="S738" s="39"/>
      <c r="T738" s="39"/>
      <c r="U738" s="39"/>
      <c r="V738" s="39"/>
      <c r="W738" s="39"/>
      <c r="X738" s="39"/>
      <c r="Y738" s="39"/>
      <c r="Z738" s="39"/>
      <c r="AA738" s="39"/>
      <c r="AB738" s="39"/>
    </row>
    <row r="739">
      <c r="A739" s="1"/>
      <c r="B739" s="36"/>
      <c r="C739" s="36"/>
      <c r="D739" s="36"/>
      <c r="E739" s="36"/>
      <c r="F739" s="36"/>
      <c r="G739" s="36"/>
      <c r="H739" s="37"/>
      <c r="I739" s="36"/>
      <c r="J739" s="38"/>
      <c r="K739" s="38"/>
      <c r="L739" s="39"/>
      <c r="M739" s="39"/>
      <c r="N739" s="39"/>
      <c r="O739" s="39"/>
      <c r="P739" s="39"/>
      <c r="Q739" s="39"/>
      <c r="R739" s="39"/>
      <c r="S739" s="39"/>
      <c r="T739" s="39"/>
      <c r="U739" s="39"/>
      <c r="V739" s="39"/>
      <c r="W739" s="39"/>
      <c r="X739" s="39"/>
      <c r="Y739" s="39"/>
      <c r="Z739" s="39"/>
      <c r="AA739" s="39"/>
      <c r="AB739" s="39"/>
    </row>
    <row r="740">
      <c r="A740" s="1"/>
      <c r="B740" s="36"/>
      <c r="C740" s="36"/>
      <c r="D740" s="36"/>
      <c r="E740" s="36"/>
      <c r="F740" s="36"/>
      <c r="G740" s="36"/>
      <c r="H740" s="37"/>
      <c r="I740" s="36"/>
      <c r="J740" s="38"/>
      <c r="K740" s="38"/>
      <c r="L740" s="39"/>
      <c r="M740" s="39"/>
      <c r="N740" s="39"/>
      <c r="O740" s="39"/>
      <c r="P740" s="39"/>
      <c r="Q740" s="39"/>
      <c r="R740" s="39"/>
      <c r="S740" s="39"/>
      <c r="T740" s="39"/>
      <c r="U740" s="39"/>
      <c r="V740" s="39"/>
      <c r="W740" s="39"/>
      <c r="X740" s="39"/>
      <c r="Y740" s="39"/>
      <c r="Z740" s="39"/>
      <c r="AA740" s="39"/>
      <c r="AB740" s="39"/>
    </row>
    <row r="741">
      <c r="A741" s="1"/>
      <c r="B741" s="36"/>
      <c r="C741" s="36"/>
      <c r="D741" s="36"/>
      <c r="E741" s="36"/>
      <c r="F741" s="36"/>
      <c r="G741" s="36"/>
      <c r="H741" s="37"/>
      <c r="I741" s="36"/>
      <c r="J741" s="38"/>
      <c r="K741" s="38"/>
      <c r="L741" s="39"/>
      <c r="M741" s="39"/>
      <c r="N741" s="39"/>
      <c r="O741" s="39"/>
      <c r="P741" s="39"/>
      <c r="Q741" s="39"/>
      <c r="R741" s="39"/>
      <c r="S741" s="39"/>
      <c r="T741" s="39"/>
      <c r="U741" s="39"/>
      <c r="V741" s="39"/>
      <c r="W741" s="39"/>
      <c r="X741" s="39"/>
      <c r="Y741" s="39"/>
      <c r="Z741" s="39"/>
      <c r="AA741" s="39"/>
      <c r="AB741" s="39"/>
    </row>
    <row r="742">
      <c r="A742" s="1"/>
      <c r="B742" s="36"/>
      <c r="C742" s="36"/>
      <c r="D742" s="36"/>
      <c r="E742" s="36"/>
      <c r="F742" s="36"/>
      <c r="G742" s="36"/>
      <c r="H742" s="37"/>
      <c r="I742" s="36"/>
      <c r="J742" s="38"/>
      <c r="K742" s="38"/>
      <c r="L742" s="39"/>
      <c r="M742" s="39"/>
      <c r="N742" s="39"/>
      <c r="O742" s="39"/>
      <c r="P742" s="39"/>
      <c r="Q742" s="39"/>
      <c r="R742" s="39"/>
      <c r="S742" s="39"/>
      <c r="T742" s="39"/>
      <c r="U742" s="39"/>
      <c r="V742" s="39"/>
      <c r="W742" s="39"/>
      <c r="X742" s="39"/>
      <c r="Y742" s="39"/>
      <c r="Z742" s="39"/>
      <c r="AA742" s="39"/>
      <c r="AB742" s="39"/>
    </row>
    <row r="743">
      <c r="A743" s="1"/>
      <c r="B743" s="36"/>
      <c r="C743" s="36"/>
      <c r="D743" s="36"/>
      <c r="E743" s="36"/>
      <c r="F743" s="36"/>
      <c r="G743" s="36"/>
      <c r="H743" s="37"/>
      <c r="I743" s="36"/>
      <c r="J743" s="38"/>
      <c r="K743" s="38"/>
      <c r="L743" s="39"/>
      <c r="M743" s="39"/>
      <c r="N743" s="39"/>
      <c r="O743" s="39"/>
      <c r="P743" s="39"/>
      <c r="Q743" s="39"/>
      <c r="R743" s="39"/>
      <c r="S743" s="39"/>
      <c r="T743" s="39"/>
      <c r="U743" s="39"/>
      <c r="V743" s="39"/>
      <c r="W743" s="39"/>
      <c r="X743" s="39"/>
      <c r="Y743" s="39"/>
      <c r="Z743" s="39"/>
      <c r="AA743" s="39"/>
      <c r="AB743" s="39"/>
    </row>
    <row r="744">
      <c r="A744" s="1"/>
      <c r="B744" s="36"/>
      <c r="C744" s="36"/>
      <c r="D744" s="36"/>
      <c r="E744" s="36"/>
      <c r="F744" s="36"/>
      <c r="G744" s="36"/>
      <c r="H744" s="37"/>
      <c r="I744" s="36"/>
      <c r="J744" s="38"/>
      <c r="K744" s="38"/>
      <c r="L744" s="39"/>
      <c r="M744" s="39"/>
      <c r="N744" s="39"/>
      <c r="O744" s="39"/>
      <c r="P744" s="39"/>
      <c r="Q744" s="39"/>
      <c r="R744" s="39"/>
      <c r="S744" s="39"/>
      <c r="T744" s="39"/>
      <c r="U744" s="39"/>
      <c r="V744" s="39"/>
      <c r="W744" s="39"/>
      <c r="X744" s="39"/>
      <c r="Y744" s="39"/>
      <c r="Z744" s="39"/>
      <c r="AA744" s="39"/>
      <c r="AB744" s="39"/>
    </row>
    <row r="745">
      <c r="A745" s="1"/>
      <c r="B745" s="36"/>
      <c r="C745" s="36"/>
      <c r="D745" s="36"/>
      <c r="E745" s="36"/>
      <c r="F745" s="36"/>
      <c r="G745" s="36"/>
      <c r="H745" s="37"/>
      <c r="I745" s="36"/>
      <c r="J745" s="38"/>
      <c r="K745" s="38"/>
      <c r="L745" s="39"/>
      <c r="M745" s="39"/>
      <c r="N745" s="39"/>
      <c r="O745" s="39"/>
      <c r="P745" s="39"/>
      <c r="Q745" s="39"/>
      <c r="R745" s="39"/>
      <c r="S745" s="39"/>
      <c r="T745" s="39"/>
      <c r="U745" s="39"/>
      <c r="V745" s="39"/>
      <c r="W745" s="39"/>
      <c r="X745" s="39"/>
      <c r="Y745" s="39"/>
      <c r="Z745" s="39"/>
      <c r="AA745" s="39"/>
      <c r="AB745" s="39"/>
    </row>
    <row r="746">
      <c r="A746" s="1"/>
      <c r="B746" s="36"/>
      <c r="C746" s="36"/>
      <c r="D746" s="36"/>
      <c r="E746" s="36"/>
      <c r="F746" s="36"/>
      <c r="G746" s="36"/>
      <c r="H746" s="37"/>
      <c r="I746" s="36"/>
      <c r="J746" s="38"/>
      <c r="K746" s="38"/>
      <c r="L746" s="39"/>
      <c r="M746" s="39"/>
      <c r="N746" s="39"/>
      <c r="O746" s="39"/>
      <c r="P746" s="39"/>
      <c r="Q746" s="39"/>
      <c r="R746" s="39"/>
      <c r="S746" s="39"/>
      <c r="T746" s="39"/>
      <c r="U746" s="39"/>
      <c r="V746" s="39"/>
      <c r="W746" s="39"/>
      <c r="X746" s="39"/>
      <c r="Y746" s="39"/>
      <c r="Z746" s="39"/>
      <c r="AA746" s="39"/>
      <c r="AB746" s="39"/>
    </row>
    <row r="747">
      <c r="A747" s="1"/>
      <c r="B747" s="36"/>
      <c r="C747" s="36"/>
      <c r="D747" s="36"/>
      <c r="E747" s="36"/>
      <c r="F747" s="36"/>
      <c r="G747" s="36"/>
      <c r="H747" s="37"/>
      <c r="I747" s="36"/>
      <c r="J747" s="38"/>
      <c r="K747" s="38"/>
      <c r="L747" s="39"/>
      <c r="M747" s="39"/>
      <c r="N747" s="39"/>
      <c r="O747" s="39"/>
      <c r="P747" s="39"/>
      <c r="Q747" s="39"/>
      <c r="R747" s="39"/>
      <c r="S747" s="39"/>
      <c r="T747" s="39"/>
      <c r="U747" s="39"/>
      <c r="V747" s="39"/>
      <c r="W747" s="39"/>
      <c r="X747" s="39"/>
      <c r="Y747" s="39"/>
      <c r="Z747" s="39"/>
      <c r="AA747" s="39"/>
      <c r="AB747" s="39"/>
    </row>
    <row r="748">
      <c r="A748" s="1"/>
      <c r="B748" s="36"/>
      <c r="C748" s="36"/>
      <c r="D748" s="36"/>
      <c r="E748" s="36"/>
      <c r="F748" s="36"/>
      <c r="G748" s="36"/>
      <c r="H748" s="37"/>
      <c r="I748" s="36"/>
      <c r="J748" s="38"/>
      <c r="K748" s="38"/>
      <c r="L748" s="39"/>
      <c r="M748" s="39"/>
      <c r="N748" s="39"/>
      <c r="O748" s="39"/>
      <c r="P748" s="39"/>
      <c r="Q748" s="39"/>
      <c r="R748" s="39"/>
      <c r="S748" s="39"/>
      <c r="T748" s="39"/>
      <c r="U748" s="39"/>
      <c r="V748" s="39"/>
      <c r="W748" s="39"/>
      <c r="X748" s="39"/>
      <c r="Y748" s="39"/>
      <c r="Z748" s="39"/>
      <c r="AA748" s="39"/>
      <c r="AB748" s="39"/>
    </row>
    <row r="749">
      <c r="A749" s="1"/>
      <c r="B749" s="36"/>
      <c r="C749" s="36"/>
      <c r="D749" s="36"/>
      <c r="E749" s="36"/>
      <c r="F749" s="36"/>
      <c r="G749" s="36"/>
      <c r="H749" s="37"/>
      <c r="I749" s="36"/>
      <c r="J749" s="38"/>
      <c r="K749" s="38"/>
      <c r="L749" s="39"/>
      <c r="M749" s="39"/>
      <c r="N749" s="39"/>
      <c r="O749" s="39"/>
      <c r="P749" s="39"/>
      <c r="Q749" s="39"/>
      <c r="R749" s="39"/>
      <c r="S749" s="39"/>
      <c r="T749" s="39"/>
      <c r="U749" s="39"/>
      <c r="V749" s="39"/>
      <c r="W749" s="39"/>
      <c r="X749" s="39"/>
      <c r="Y749" s="39"/>
      <c r="Z749" s="39"/>
      <c r="AA749" s="39"/>
      <c r="AB749" s="39"/>
    </row>
    <row r="750">
      <c r="A750" s="1"/>
      <c r="B750" s="36"/>
      <c r="C750" s="36"/>
      <c r="D750" s="36"/>
      <c r="E750" s="36"/>
      <c r="F750" s="36"/>
      <c r="G750" s="36"/>
      <c r="H750" s="37"/>
      <c r="I750" s="36"/>
      <c r="J750" s="38"/>
      <c r="K750" s="38"/>
      <c r="L750" s="39"/>
      <c r="M750" s="39"/>
      <c r="N750" s="39"/>
      <c r="O750" s="39"/>
      <c r="P750" s="39"/>
      <c r="Q750" s="39"/>
      <c r="R750" s="39"/>
      <c r="S750" s="39"/>
      <c r="T750" s="39"/>
      <c r="U750" s="39"/>
      <c r="V750" s="39"/>
      <c r="W750" s="39"/>
      <c r="X750" s="39"/>
      <c r="Y750" s="39"/>
      <c r="Z750" s="39"/>
      <c r="AA750" s="39"/>
      <c r="AB750" s="39"/>
    </row>
    <row r="751">
      <c r="A751" s="1"/>
      <c r="B751" s="36"/>
      <c r="C751" s="36"/>
      <c r="D751" s="36"/>
      <c r="E751" s="36"/>
      <c r="F751" s="36"/>
      <c r="G751" s="36"/>
      <c r="H751" s="37"/>
      <c r="I751" s="36"/>
      <c r="J751" s="38"/>
      <c r="K751" s="38"/>
      <c r="L751" s="39"/>
      <c r="M751" s="39"/>
      <c r="N751" s="39"/>
      <c r="O751" s="39"/>
      <c r="P751" s="39"/>
      <c r="Q751" s="39"/>
      <c r="R751" s="39"/>
      <c r="S751" s="39"/>
      <c r="T751" s="39"/>
      <c r="U751" s="39"/>
      <c r="V751" s="39"/>
      <c r="W751" s="39"/>
      <c r="X751" s="39"/>
      <c r="Y751" s="39"/>
      <c r="Z751" s="39"/>
      <c r="AA751" s="39"/>
      <c r="AB751" s="39"/>
    </row>
    <row r="752">
      <c r="A752" s="1"/>
      <c r="B752" s="36"/>
      <c r="C752" s="36"/>
      <c r="D752" s="36"/>
      <c r="E752" s="36"/>
      <c r="F752" s="36"/>
      <c r="G752" s="36"/>
      <c r="H752" s="37"/>
      <c r="I752" s="36"/>
      <c r="J752" s="38"/>
      <c r="K752" s="38"/>
      <c r="L752" s="39"/>
      <c r="M752" s="39"/>
      <c r="N752" s="39"/>
      <c r="O752" s="39"/>
      <c r="P752" s="39"/>
      <c r="Q752" s="39"/>
      <c r="R752" s="39"/>
      <c r="S752" s="39"/>
      <c r="T752" s="39"/>
      <c r="U752" s="39"/>
      <c r="V752" s="39"/>
      <c r="W752" s="39"/>
      <c r="X752" s="39"/>
      <c r="Y752" s="39"/>
      <c r="Z752" s="39"/>
      <c r="AA752" s="39"/>
      <c r="AB752" s="39"/>
    </row>
    <row r="753">
      <c r="A753" s="1"/>
      <c r="B753" s="36"/>
      <c r="C753" s="36"/>
      <c r="D753" s="36"/>
      <c r="E753" s="36"/>
      <c r="F753" s="36"/>
      <c r="G753" s="36"/>
      <c r="H753" s="37"/>
      <c r="I753" s="36"/>
      <c r="J753" s="38"/>
      <c r="K753" s="38"/>
      <c r="L753" s="39"/>
      <c r="M753" s="39"/>
      <c r="N753" s="39"/>
      <c r="O753" s="39"/>
      <c r="P753" s="39"/>
      <c r="Q753" s="39"/>
      <c r="R753" s="39"/>
      <c r="S753" s="39"/>
      <c r="T753" s="39"/>
      <c r="U753" s="39"/>
      <c r="V753" s="39"/>
      <c r="W753" s="39"/>
      <c r="X753" s="39"/>
      <c r="Y753" s="39"/>
      <c r="Z753" s="39"/>
      <c r="AA753" s="39"/>
      <c r="AB753" s="39"/>
    </row>
    <row r="754">
      <c r="A754" s="1"/>
      <c r="B754" s="36"/>
      <c r="C754" s="36"/>
      <c r="D754" s="36"/>
      <c r="E754" s="36"/>
      <c r="F754" s="36"/>
      <c r="G754" s="36"/>
      <c r="H754" s="37"/>
      <c r="I754" s="36"/>
      <c r="J754" s="38"/>
      <c r="K754" s="38"/>
      <c r="L754" s="39"/>
      <c r="M754" s="39"/>
      <c r="N754" s="39"/>
      <c r="O754" s="39"/>
      <c r="P754" s="39"/>
      <c r="Q754" s="39"/>
      <c r="R754" s="39"/>
      <c r="S754" s="39"/>
      <c r="T754" s="39"/>
      <c r="U754" s="39"/>
      <c r="V754" s="39"/>
      <c r="W754" s="39"/>
      <c r="X754" s="39"/>
      <c r="Y754" s="39"/>
      <c r="Z754" s="39"/>
      <c r="AA754" s="39"/>
      <c r="AB754" s="39"/>
    </row>
    <row r="755">
      <c r="A755" s="1"/>
      <c r="B755" s="36"/>
      <c r="C755" s="36"/>
      <c r="D755" s="36"/>
      <c r="E755" s="36"/>
      <c r="F755" s="36"/>
      <c r="G755" s="36"/>
      <c r="H755" s="37"/>
      <c r="I755" s="36"/>
      <c r="J755" s="38"/>
      <c r="K755" s="38"/>
      <c r="L755" s="39"/>
      <c r="M755" s="39"/>
      <c r="N755" s="39"/>
      <c r="O755" s="39"/>
      <c r="P755" s="39"/>
      <c r="Q755" s="39"/>
      <c r="R755" s="39"/>
      <c r="S755" s="39"/>
      <c r="T755" s="39"/>
      <c r="U755" s="39"/>
      <c r="V755" s="39"/>
      <c r="W755" s="39"/>
      <c r="X755" s="39"/>
      <c r="Y755" s="39"/>
      <c r="Z755" s="39"/>
      <c r="AA755" s="39"/>
      <c r="AB755" s="39"/>
    </row>
    <row r="756">
      <c r="A756" s="1"/>
      <c r="B756" s="36"/>
      <c r="C756" s="36"/>
      <c r="D756" s="36"/>
      <c r="E756" s="36"/>
      <c r="F756" s="36"/>
      <c r="G756" s="36"/>
      <c r="H756" s="37"/>
      <c r="I756" s="36"/>
      <c r="J756" s="38"/>
      <c r="K756" s="38"/>
      <c r="L756" s="39"/>
      <c r="M756" s="39"/>
      <c r="N756" s="39"/>
      <c r="O756" s="39"/>
      <c r="P756" s="39"/>
      <c r="Q756" s="39"/>
      <c r="R756" s="39"/>
      <c r="S756" s="39"/>
      <c r="T756" s="39"/>
      <c r="U756" s="39"/>
      <c r="V756" s="39"/>
      <c r="W756" s="39"/>
      <c r="X756" s="39"/>
      <c r="Y756" s="39"/>
      <c r="Z756" s="39"/>
      <c r="AA756" s="39"/>
      <c r="AB756" s="39"/>
    </row>
    <row r="757">
      <c r="A757" s="1"/>
      <c r="B757" s="36"/>
      <c r="C757" s="36"/>
      <c r="D757" s="36"/>
      <c r="E757" s="36"/>
      <c r="F757" s="36"/>
      <c r="G757" s="36"/>
      <c r="H757" s="37"/>
      <c r="I757" s="36"/>
      <c r="J757" s="38"/>
      <c r="K757" s="38"/>
      <c r="L757" s="39"/>
      <c r="M757" s="39"/>
      <c r="N757" s="39"/>
      <c r="O757" s="39"/>
      <c r="P757" s="39"/>
      <c r="Q757" s="39"/>
      <c r="R757" s="39"/>
      <c r="S757" s="39"/>
      <c r="T757" s="39"/>
      <c r="U757" s="39"/>
      <c r="V757" s="39"/>
      <c r="W757" s="39"/>
      <c r="X757" s="39"/>
      <c r="Y757" s="39"/>
      <c r="Z757" s="39"/>
      <c r="AA757" s="39"/>
      <c r="AB757" s="39"/>
    </row>
    <row r="758">
      <c r="A758" s="1"/>
      <c r="B758" s="36"/>
      <c r="C758" s="36"/>
      <c r="D758" s="36"/>
      <c r="E758" s="36"/>
      <c r="F758" s="36"/>
      <c r="G758" s="36"/>
      <c r="H758" s="37"/>
      <c r="I758" s="36"/>
      <c r="J758" s="38"/>
      <c r="K758" s="38"/>
      <c r="L758" s="39"/>
      <c r="M758" s="39"/>
      <c r="N758" s="39"/>
      <c r="O758" s="39"/>
      <c r="P758" s="39"/>
      <c r="Q758" s="39"/>
      <c r="R758" s="39"/>
      <c r="S758" s="39"/>
      <c r="T758" s="39"/>
      <c r="U758" s="39"/>
      <c r="V758" s="39"/>
      <c r="W758" s="39"/>
      <c r="X758" s="39"/>
      <c r="Y758" s="39"/>
      <c r="Z758" s="39"/>
      <c r="AA758" s="39"/>
      <c r="AB758" s="39"/>
    </row>
    <row r="759">
      <c r="A759" s="1"/>
      <c r="B759" s="36"/>
      <c r="C759" s="36"/>
      <c r="D759" s="36"/>
      <c r="E759" s="36"/>
      <c r="F759" s="36"/>
      <c r="G759" s="36"/>
      <c r="H759" s="37"/>
      <c r="I759" s="36"/>
      <c r="J759" s="38"/>
      <c r="K759" s="38"/>
      <c r="L759" s="39"/>
      <c r="M759" s="39"/>
      <c r="N759" s="39"/>
      <c r="O759" s="39"/>
      <c r="P759" s="39"/>
      <c r="Q759" s="39"/>
      <c r="R759" s="39"/>
      <c r="S759" s="39"/>
      <c r="T759" s="39"/>
      <c r="U759" s="39"/>
      <c r="V759" s="39"/>
      <c r="W759" s="39"/>
      <c r="X759" s="39"/>
      <c r="Y759" s="39"/>
      <c r="Z759" s="39"/>
      <c r="AA759" s="39"/>
      <c r="AB759" s="39"/>
    </row>
    <row r="760">
      <c r="A760" s="1"/>
      <c r="B760" s="36"/>
      <c r="C760" s="36"/>
      <c r="D760" s="36"/>
      <c r="E760" s="36"/>
      <c r="F760" s="36"/>
      <c r="G760" s="36"/>
      <c r="H760" s="37"/>
      <c r="I760" s="36"/>
      <c r="J760" s="38"/>
      <c r="K760" s="38"/>
      <c r="L760" s="39"/>
      <c r="M760" s="39"/>
      <c r="N760" s="39"/>
      <c r="O760" s="39"/>
      <c r="P760" s="39"/>
      <c r="Q760" s="39"/>
      <c r="R760" s="39"/>
      <c r="S760" s="39"/>
      <c r="T760" s="39"/>
      <c r="U760" s="39"/>
      <c r="V760" s="39"/>
      <c r="W760" s="39"/>
      <c r="X760" s="39"/>
      <c r="Y760" s="39"/>
      <c r="Z760" s="39"/>
      <c r="AA760" s="39"/>
      <c r="AB760" s="39"/>
    </row>
    <row r="761">
      <c r="A761" s="1"/>
      <c r="B761" s="36"/>
      <c r="C761" s="36"/>
      <c r="D761" s="36"/>
      <c r="E761" s="36"/>
      <c r="F761" s="36"/>
      <c r="G761" s="36"/>
      <c r="H761" s="37"/>
      <c r="I761" s="36"/>
      <c r="J761" s="38"/>
      <c r="K761" s="38"/>
      <c r="L761" s="39"/>
      <c r="M761" s="39"/>
      <c r="N761" s="39"/>
      <c r="O761" s="39"/>
      <c r="P761" s="39"/>
      <c r="Q761" s="39"/>
      <c r="R761" s="39"/>
      <c r="S761" s="39"/>
      <c r="T761" s="39"/>
      <c r="U761" s="39"/>
      <c r="V761" s="39"/>
      <c r="W761" s="39"/>
      <c r="X761" s="39"/>
      <c r="Y761" s="39"/>
      <c r="Z761" s="39"/>
      <c r="AA761" s="39"/>
      <c r="AB761" s="39"/>
    </row>
    <row r="762">
      <c r="A762" s="1"/>
      <c r="B762" s="36"/>
      <c r="C762" s="36"/>
      <c r="D762" s="36"/>
      <c r="E762" s="36"/>
      <c r="F762" s="36"/>
      <c r="G762" s="36"/>
      <c r="H762" s="37"/>
      <c r="I762" s="36"/>
      <c r="J762" s="38"/>
      <c r="K762" s="38"/>
      <c r="L762" s="39"/>
      <c r="M762" s="39"/>
      <c r="N762" s="39"/>
      <c r="O762" s="39"/>
      <c r="P762" s="39"/>
      <c r="Q762" s="39"/>
      <c r="R762" s="39"/>
      <c r="S762" s="39"/>
      <c r="T762" s="39"/>
      <c r="U762" s="39"/>
      <c r="V762" s="39"/>
      <c r="W762" s="39"/>
      <c r="X762" s="39"/>
      <c r="Y762" s="39"/>
      <c r="Z762" s="39"/>
      <c r="AA762" s="39"/>
      <c r="AB762" s="39"/>
    </row>
    <row r="763">
      <c r="A763" s="1"/>
      <c r="B763" s="36"/>
      <c r="C763" s="36"/>
      <c r="D763" s="36"/>
      <c r="E763" s="36"/>
      <c r="F763" s="36"/>
      <c r="G763" s="36"/>
      <c r="H763" s="37"/>
      <c r="I763" s="36"/>
      <c r="J763" s="38"/>
      <c r="K763" s="38"/>
      <c r="L763" s="39"/>
      <c r="M763" s="39"/>
      <c r="N763" s="39"/>
      <c r="O763" s="39"/>
      <c r="P763" s="39"/>
      <c r="Q763" s="39"/>
      <c r="R763" s="39"/>
      <c r="S763" s="39"/>
      <c r="T763" s="39"/>
      <c r="U763" s="39"/>
      <c r="V763" s="39"/>
      <c r="W763" s="39"/>
      <c r="X763" s="39"/>
      <c r="Y763" s="39"/>
      <c r="Z763" s="39"/>
      <c r="AA763" s="39"/>
      <c r="AB763" s="39"/>
    </row>
    <row r="764">
      <c r="A764" s="1"/>
      <c r="B764" s="36"/>
      <c r="C764" s="36"/>
      <c r="D764" s="36"/>
      <c r="E764" s="36"/>
      <c r="F764" s="36"/>
      <c r="G764" s="36"/>
      <c r="H764" s="37"/>
      <c r="I764" s="36"/>
      <c r="J764" s="38"/>
      <c r="K764" s="38"/>
      <c r="L764" s="39"/>
      <c r="M764" s="39"/>
      <c r="N764" s="39"/>
      <c r="O764" s="39"/>
      <c r="P764" s="39"/>
      <c r="Q764" s="39"/>
      <c r="R764" s="39"/>
      <c r="S764" s="39"/>
      <c r="T764" s="39"/>
      <c r="U764" s="39"/>
      <c r="V764" s="39"/>
      <c r="W764" s="39"/>
      <c r="X764" s="39"/>
      <c r="Y764" s="39"/>
      <c r="Z764" s="39"/>
      <c r="AA764" s="39"/>
      <c r="AB764" s="39"/>
    </row>
    <row r="765">
      <c r="A765" s="1"/>
      <c r="B765" s="36"/>
      <c r="C765" s="36"/>
      <c r="D765" s="36"/>
      <c r="E765" s="36"/>
      <c r="F765" s="36"/>
      <c r="G765" s="36"/>
      <c r="H765" s="37"/>
      <c r="I765" s="36"/>
      <c r="J765" s="38"/>
      <c r="K765" s="38"/>
      <c r="L765" s="39"/>
      <c r="M765" s="39"/>
      <c r="N765" s="39"/>
      <c r="O765" s="39"/>
      <c r="P765" s="39"/>
      <c r="Q765" s="39"/>
      <c r="R765" s="39"/>
      <c r="S765" s="39"/>
      <c r="T765" s="39"/>
      <c r="U765" s="39"/>
      <c r="V765" s="39"/>
      <c r="W765" s="39"/>
      <c r="X765" s="39"/>
      <c r="Y765" s="39"/>
      <c r="Z765" s="39"/>
      <c r="AA765" s="39"/>
      <c r="AB765" s="39"/>
    </row>
    <row r="766">
      <c r="A766" s="1"/>
      <c r="B766" s="36"/>
      <c r="C766" s="36"/>
      <c r="D766" s="36"/>
      <c r="E766" s="36"/>
      <c r="F766" s="36"/>
      <c r="G766" s="36"/>
      <c r="H766" s="37"/>
      <c r="I766" s="36"/>
      <c r="J766" s="38"/>
      <c r="K766" s="38"/>
      <c r="L766" s="39"/>
      <c r="M766" s="39"/>
      <c r="N766" s="39"/>
      <c r="O766" s="39"/>
      <c r="P766" s="39"/>
      <c r="Q766" s="39"/>
      <c r="R766" s="39"/>
      <c r="S766" s="39"/>
      <c r="T766" s="39"/>
      <c r="U766" s="39"/>
      <c r="V766" s="39"/>
      <c r="W766" s="39"/>
      <c r="X766" s="39"/>
      <c r="Y766" s="39"/>
      <c r="Z766" s="39"/>
      <c r="AA766" s="39"/>
      <c r="AB766" s="39"/>
    </row>
    <row r="767">
      <c r="A767" s="1"/>
      <c r="B767" s="36"/>
      <c r="C767" s="36"/>
      <c r="D767" s="36"/>
      <c r="E767" s="36"/>
      <c r="F767" s="36"/>
      <c r="G767" s="36"/>
      <c r="H767" s="37"/>
      <c r="I767" s="36"/>
      <c r="J767" s="38"/>
      <c r="K767" s="38"/>
      <c r="L767" s="39"/>
      <c r="M767" s="39"/>
      <c r="N767" s="39"/>
      <c r="O767" s="39"/>
      <c r="P767" s="39"/>
      <c r="Q767" s="39"/>
      <c r="R767" s="39"/>
      <c r="S767" s="39"/>
      <c r="T767" s="39"/>
      <c r="U767" s="39"/>
      <c r="V767" s="39"/>
      <c r="W767" s="39"/>
      <c r="X767" s="39"/>
      <c r="Y767" s="39"/>
      <c r="Z767" s="39"/>
      <c r="AA767" s="39"/>
      <c r="AB767" s="39"/>
    </row>
    <row r="768">
      <c r="A768" s="1"/>
      <c r="B768" s="36"/>
      <c r="C768" s="36"/>
      <c r="D768" s="36"/>
      <c r="E768" s="36"/>
      <c r="F768" s="36"/>
      <c r="G768" s="36"/>
      <c r="H768" s="37"/>
      <c r="I768" s="36"/>
      <c r="J768" s="38"/>
      <c r="K768" s="38"/>
      <c r="L768" s="39"/>
      <c r="M768" s="39"/>
      <c r="N768" s="39"/>
      <c r="O768" s="39"/>
      <c r="P768" s="39"/>
      <c r="Q768" s="39"/>
      <c r="R768" s="39"/>
      <c r="S768" s="39"/>
      <c r="T768" s="39"/>
      <c r="U768" s="39"/>
      <c r="V768" s="39"/>
      <c r="W768" s="39"/>
      <c r="X768" s="39"/>
      <c r="Y768" s="39"/>
      <c r="Z768" s="39"/>
      <c r="AA768" s="39"/>
      <c r="AB768" s="39"/>
    </row>
    <row r="769">
      <c r="A769" s="1"/>
      <c r="B769" s="36"/>
      <c r="C769" s="36"/>
      <c r="D769" s="36"/>
      <c r="E769" s="36"/>
      <c r="F769" s="36"/>
      <c r="G769" s="36"/>
      <c r="H769" s="37"/>
      <c r="I769" s="36"/>
      <c r="J769" s="38"/>
      <c r="K769" s="38"/>
      <c r="L769" s="39"/>
      <c r="M769" s="39"/>
      <c r="N769" s="39"/>
      <c r="O769" s="39"/>
      <c r="P769" s="39"/>
      <c r="Q769" s="39"/>
      <c r="R769" s="39"/>
      <c r="S769" s="39"/>
      <c r="T769" s="39"/>
      <c r="U769" s="39"/>
      <c r="V769" s="39"/>
      <c r="W769" s="39"/>
      <c r="X769" s="39"/>
      <c r="Y769" s="39"/>
      <c r="Z769" s="39"/>
      <c r="AA769" s="39"/>
      <c r="AB769" s="39"/>
    </row>
    <row r="770">
      <c r="A770" s="1"/>
      <c r="B770" s="36"/>
      <c r="C770" s="36"/>
      <c r="D770" s="36"/>
      <c r="E770" s="36"/>
      <c r="F770" s="36"/>
      <c r="G770" s="36"/>
      <c r="H770" s="37"/>
      <c r="I770" s="36"/>
      <c r="J770" s="38"/>
      <c r="K770" s="38"/>
      <c r="L770" s="39"/>
      <c r="M770" s="39"/>
      <c r="N770" s="39"/>
      <c r="O770" s="39"/>
      <c r="P770" s="39"/>
      <c r="Q770" s="39"/>
      <c r="R770" s="39"/>
      <c r="S770" s="39"/>
      <c r="T770" s="39"/>
      <c r="U770" s="39"/>
      <c r="V770" s="39"/>
      <c r="W770" s="39"/>
      <c r="X770" s="39"/>
      <c r="Y770" s="39"/>
      <c r="Z770" s="39"/>
      <c r="AA770" s="39"/>
      <c r="AB770" s="39"/>
    </row>
    <row r="771">
      <c r="A771" s="1"/>
      <c r="B771" s="36"/>
      <c r="C771" s="36"/>
      <c r="D771" s="36"/>
      <c r="E771" s="36"/>
      <c r="F771" s="36"/>
      <c r="G771" s="36"/>
      <c r="H771" s="37"/>
      <c r="I771" s="36"/>
      <c r="J771" s="38"/>
      <c r="K771" s="38"/>
      <c r="L771" s="39"/>
      <c r="M771" s="39"/>
      <c r="N771" s="39"/>
      <c r="O771" s="39"/>
      <c r="P771" s="39"/>
      <c r="Q771" s="39"/>
      <c r="R771" s="39"/>
      <c r="S771" s="39"/>
      <c r="T771" s="39"/>
      <c r="U771" s="39"/>
      <c r="V771" s="39"/>
      <c r="W771" s="39"/>
      <c r="X771" s="39"/>
      <c r="Y771" s="39"/>
      <c r="Z771" s="39"/>
      <c r="AA771" s="39"/>
      <c r="AB771" s="39"/>
    </row>
    <row r="772">
      <c r="A772" s="1"/>
      <c r="B772" s="36"/>
      <c r="C772" s="36"/>
      <c r="D772" s="36"/>
      <c r="E772" s="36"/>
      <c r="F772" s="36"/>
      <c r="G772" s="36"/>
      <c r="H772" s="37"/>
      <c r="I772" s="36"/>
      <c r="J772" s="38"/>
      <c r="K772" s="38"/>
      <c r="L772" s="39"/>
      <c r="M772" s="39"/>
      <c r="N772" s="39"/>
      <c r="O772" s="39"/>
      <c r="P772" s="39"/>
      <c r="Q772" s="39"/>
      <c r="R772" s="39"/>
      <c r="S772" s="39"/>
      <c r="T772" s="39"/>
      <c r="U772" s="39"/>
      <c r="V772" s="39"/>
      <c r="W772" s="39"/>
      <c r="X772" s="39"/>
      <c r="Y772" s="39"/>
      <c r="Z772" s="39"/>
      <c r="AA772" s="39"/>
      <c r="AB772" s="39"/>
    </row>
    <row r="773">
      <c r="A773" s="1"/>
      <c r="B773" s="36"/>
      <c r="C773" s="36"/>
      <c r="D773" s="36"/>
      <c r="E773" s="36"/>
      <c r="F773" s="36"/>
      <c r="G773" s="36"/>
      <c r="H773" s="37"/>
      <c r="I773" s="36"/>
      <c r="J773" s="38"/>
      <c r="K773" s="38"/>
      <c r="L773" s="39"/>
      <c r="M773" s="39"/>
      <c r="N773" s="39"/>
      <c r="O773" s="39"/>
      <c r="P773" s="39"/>
      <c r="Q773" s="39"/>
      <c r="R773" s="39"/>
      <c r="S773" s="39"/>
      <c r="T773" s="39"/>
      <c r="U773" s="39"/>
      <c r="V773" s="39"/>
      <c r="W773" s="39"/>
      <c r="X773" s="39"/>
      <c r="Y773" s="39"/>
      <c r="Z773" s="39"/>
      <c r="AA773" s="39"/>
      <c r="AB773" s="39"/>
    </row>
    <row r="774">
      <c r="A774" s="1"/>
      <c r="B774" s="36"/>
      <c r="C774" s="36"/>
      <c r="D774" s="36"/>
      <c r="E774" s="36"/>
      <c r="F774" s="36"/>
      <c r="G774" s="36"/>
      <c r="H774" s="37"/>
      <c r="I774" s="36"/>
      <c r="J774" s="38"/>
      <c r="K774" s="38"/>
      <c r="L774" s="39"/>
      <c r="M774" s="39"/>
      <c r="N774" s="39"/>
      <c r="O774" s="39"/>
      <c r="P774" s="39"/>
      <c r="Q774" s="39"/>
      <c r="R774" s="39"/>
      <c r="S774" s="39"/>
      <c r="T774" s="39"/>
      <c r="U774" s="39"/>
      <c r="V774" s="39"/>
      <c r="W774" s="39"/>
      <c r="X774" s="39"/>
      <c r="Y774" s="39"/>
      <c r="Z774" s="39"/>
      <c r="AA774" s="39"/>
      <c r="AB774" s="39"/>
    </row>
    <row r="775">
      <c r="A775" s="1"/>
      <c r="B775" s="36"/>
      <c r="C775" s="36"/>
      <c r="D775" s="36"/>
      <c r="E775" s="36"/>
      <c r="F775" s="36"/>
      <c r="G775" s="36"/>
      <c r="H775" s="37"/>
      <c r="I775" s="36"/>
      <c r="J775" s="38"/>
      <c r="K775" s="38"/>
      <c r="L775" s="39"/>
      <c r="M775" s="39"/>
      <c r="N775" s="39"/>
      <c r="O775" s="39"/>
      <c r="P775" s="39"/>
      <c r="Q775" s="39"/>
      <c r="R775" s="39"/>
      <c r="S775" s="39"/>
      <c r="T775" s="39"/>
      <c r="U775" s="39"/>
      <c r="V775" s="39"/>
      <c r="W775" s="39"/>
      <c r="X775" s="39"/>
      <c r="Y775" s="39"/>
      <c r="Z775" s="39"/>
      <c r="AA775" s="39"/>
      <c r="AB775" s="39"/>
    </row>
    <row r="776">
      <c r="A776" s="1"/>
      <c r="B776" s="36"/>
      <c r="C776" s="36"/>
      <c r="D776" s="36"/>
      <c r="E776" s="36"/>
      <c r="F776" s="36"/>
      <c r="G776" s="36"/>
      <c r="H776" s="37"/>
      <c r="I776" s="36"/>
      <c r="J776" s="38"/>
      <c r="K776" s="38"/>
      <c r="L776" s="39"/>
      <c r="M776" s="39"/>
      <c r="N776" s="39"/>
      <c r="O776" s="39"/>
      <c r="P776" s="39"/>
      <c r="Q776" s="39"/>
      <c r="R776" s="39"/>
      <c r="S776" s="39"/>
      <c r="T776" s="39"/>
      <c r="U776" s="39"/>
      <c r="V776" s="39"/>
      <c r="W776" s="39"/>
      <c r="X776" s="39"/>
      <c r="Y776" s="39"/>
      <c r="Z776" s="39"/>
      <c r="AA776" s="39"/>
      <c r="AB776" s="39"/>
    </row>
    <row r="777">
      <c r="A777" s="1"/>
      <c r="B777" s="36"/>
      <c r="C777" s="36"/>
      <c r="D777" s="36"/>
      <c r="E777" s="36"/>
      <c r="F777" s="36"/>
      <c r="G777" s="36"/>
      <c r="H777" s="37"/>
      <c r="I777" s="36"/>
      <c r="J777" s="38"/>
      <c r="K777" s="38"/>
      <c r="L777" s="39"/>
      <c r="M777" s="39"/>
      <c r="N777" s="39"/>
      <c r="O777" s="39"/>
      <c r="P777" s="39"/>
      <c r="Q777" s="39"/>
      <c r="R777" s="39"/>
      <c r="S777" s="39"/>
      <c r="T777" s="39"/>
      <c r="U777" s="39"/>
      <c r="V777" s="39"/>
      <c r="W777" s="39"/>
      <c r="X777" s="39"/>
      <c r="Y777" s="39"/>
      <c r="Z777" s="39"/>
      <c r="AA777" s="39"/>
      <c r="AB777" s="39"/>
    </row>
    <row r="778">
      <c r="A778" s="1"/>
      <c r="B778" s="36"/>
      <c r="C778" s="36"/>
      <c r="D778" s="36"/>
      <c r="E778" s="36"/>
      <c r="F778" s="36"/>
      <c r="G778" s="36"/>
      <c r="H778" s="37"/>
      <c r="I778" s="36"/>
      <c r="J778" s="38"/>
      <c r="K778" s="38"/>
      <c r="L778" s="39"/>
      <c r="M778" s="39"/>
      <c r="N778" s="39"/>
      <c r="O778" s="39"/>
      <c r="P778" s="39"/>
      <c r="Q778" s="39"/>
      <c r="R778" s="39"/>
      <c r="S778" s="39"/>
      <c r="T778" s="39"/>
      <c r="U778" s="39"/>
      <c r="V778" s="39"/>
      <c r="W778" s="39"/>
      <c r="X778" s="39"/>
      <c r="Y778" s="39"/>
      <c r="Z778" s="39"/>
      <c r="AA778" s="39"/>
      <c r="AB778" s="39"/>
    </row>
    <row r="779">
      <c r="A779" s="1"/>
      <c r="B779" s="36"/>
      <c r="C779" s="36"/>
      <c r="D779" s="36"/>
      <c r="E779" s="36"/>
      <c r="F779" s="36"/>
      <c r="G779" s="36"/>
      <c r="H779" s="37"/>
      <c r="I779" s="36"/>
      <c r="J779" s="38"/>
      <c r="K779" s="38"/>
      <c r="L779" s="39"/>
      <c r="M779" s="39"/>
      <c r="N779" s="39"/>
      <c r="O779" s="39"/>
      <c r="P779" s="39"/>
      <c r="Q779" s="39"/>
      <c r="R779" s="39"/>
      <c r="S779" s="39"/>
      <c r="T779" s="39"/>
      <c r="U779" s="39"/>
      <c r="V779" s="39"/>
      <c r="W779" s="39"/>
      <c r="X779" s="39"/>
      <c r="Y779" s="39"/>
      <c r="Z779" s="39"/>
      <c r="AA779" s="39"/>
      <c r="AB779" s="39"/>
    </row>
    <row r="780">
      <c r="A780" s="1"/>
      <c r="B780" s="36"/>
      <c r="C780" s="36"/>
      <c r="D780" s="36"/>
      <c r="E780" s="36"/>
      <c r="F780" s="36"/>
      <c r="G780" s="36"/>
      <c r="H780" s="37"/>
      <c r="I780" s="36"/>
      <c r="J780" s="38"/>
      <c r="K780" s="38"/>
      <c r="L780" s="39"/>
      <c r="M780" s="39"/>
      <c r="N780" s="39"/>
      <c r="O780" s="39"/>
      <c r="P780" s="39"/>
      <c r="Q780" s="39"/>
      <c r="R780" s="39"/>
      <c r="S780" s="39"/>
      <c r="T780" s="39"/>
      <c r="U780" s="39"/>
      <c r="V780" s="39"/>
      <c r="W780" s="39"/>
      <c r="X780" s="39"/>
      <c r="Y780" s="39"/>
      <c r="Z780" s="39"/>
      <c r="AA780" s="39"/>
      <c r="AB780" s="39"/>
    </row>
    <row r="781">
      <c r="A781" s="1"/>
      <c r="B781" s="36"/>
      <c r="C781" s="36"/>
      <c r="D781" s="36"/>
      <c r="E781" s="36"/>
      <c r="F781" s="36"/>
      <c r="G781" s="36"/>
      <c r="H781" s="37"/>
      <c r="I781" s="36"/>
      <c r="J781" s="38"/>
      <c r="K781" s="38"/>
      <c r="L781" s="39"/>
      <c r="M781" s="39"/>
      <c r="N781" s="39"/>
      <c r="O781" s="39"/>
      <c r="P781" s="39"/>
      <c r="Q781" s="39"/>
      <c r="R781" s="39"/>
      <c r="S781" s="39"/>
      <c r="T781" s="39"/>
      <c r="U781" s="39"/>
      <c r="V781" s="39"/>
      <c r="W781" s="39"/>
      <c r="X781" s="39"/>
      <c r="Y781" s="39"/>
      <c r="Z781" s="39"/>
      <c r="AA781" s="39"/>
      <c r="AB781" s="39"/>
    </row>
    <row r="782">
      <c r="A782" s="1"/>
      <c r="B782" s="36"/>
      <c r="C782" s="36"/>
      <c r="D782" s="36"/>
      <c r="E782" s="36"/>
      <c r="F782" s="36"/>
      <c r="G782" s="36"/>
      <c r="H782" s="37"/>
      <c r="I782" s="36"/>
      <c r="J782" s="38"/>
      <c r="K782" s="38"/>
      <c r="L782" s="39"/>
      <c r="M782" s="39"/>
      <c r="N782" s="39"/>
      <c r="O782" s="39"/>
      <c r="P782" s="39"/>
      <c r="Q782" s="39"/>
      <c r="R782" s="39"/>
      <c r="S782" s="39"/>
      <c r="T782" s="39"/>
      <c r="U782" s="39"/>
      <c r="V782" s="39"/>
      <c r="W782" s="39"/>
      <c r="X782" s="39"/>
      <c r="Y782" s="39"/>
      <c r="Z782" s="39"/>
      <c r="AA782" s="39"/>
      <c r="AB782" s="39"/>
    </row>
    <row r="783">
      <c r="A783" s="1"/>
      <c r="B783" s="36"/>
      <c r="C783" s="36"/>
      <c r="D783" s="36"/>
      <c r="E783" s="36"/>
      <c r="F783" s="36"/>
      <c r="G783" s="36"/>
      <c r="H783" s="37"/>
      <c r="I783" s="36"/>
      <c r="J783" s="38"/>
      <c r="K783" s="38"/>
      <c r="L783" s="39"/>
      <c r="M783" s="39"/>
      <c r="N783" s="39"/>
      <c r="O783" s="39"/>
      <c r="P783" s="39"/>
      <c r="Q783" s="39"/>
      <c r="R783" s="39"/>
      <c r="S783" s="39"/>
      <c r="T783" s="39"/>
      <c r="U783" s="39"/>
      <c r="V783" s="39"/>
      <c r="W783" s="39"/>
      <c r="X783" s="39"/>
      <c r="Y783" s="39"/>
      <c r="Z783" s="39"/>
      <c r="AA783" s="39"/>
      <c r="AB783" s="39"/>
    </row>
    <row r="784">
      <c r="A784" s="1"/>
      <c r="B784" s="36"/>
      <c r="C784" s="36"/>
      <c r="D784" s="36"/>
      <c r="E784" s="36"/>
      <c r="F784" s="36"/>
      <c r="G784" s="36"/>
      <c r="H784" s="37"/>
      <c r="I784" s="36"/>
      <c r="J784" s="38"/>
      <c r="K784" s="38"/>
      <c r="L784" s="39"/>
      <c r="M784" s="39"/>
      <c r="N784" s="39"/>
      <c r="O784" s="39"/>
      <c r="P784" s="39"/>
      <c r="Q784" s="39"/>
      <c r="R784" s="39"/>
      <c r="S784" s="39"/>
      <c r="T784" s="39"/>
      <c r="U784" s="39"/>
      <c r="V784" s="39"/>
      <c r="W784" s="39"/>
      <c r="X784" s="39"/>
      <c r="Y784" s="39"/>
      <c r="Z784" s="39"/>
      <c r="AA784" s="39"/>
      <c r="AB784" s="39"/>
    </row>
    <row r="785">
      <c r="A785" s="1"/>
      <c r="B785" s="36"/>
      <c r="C785" s="36"/>
      <c r="D785" s="36"/>
      <c r="E785" s="36"/>
      <c r="F785" s="36"/>
      <c r="G785" s="36"/>
      <c r="H785" s="37"/>
      <c r="I785" s="36"/>
      <c r="J785" s="38"/>
      <c r="K785" s="38"/>
      <c r="L785" s="39"/>
      <c r="M785" s="39"/>
      <c r="N785" s="39"/>
      <c r="O785" s="39"/>
      <c r="P785" s="39"/>
      <c r="Q785" s="39"/>
      <c r="R785" s="39"/>
      <c r="S785" s="39"/>
      <c r="T785" s="39"/>
      <c r="U785" s="39"/>
      <c r="V785" s="39"/>
      <c r="W785" s="39"/>
      <c r="X785" s="39"/>
      <c r="Y785" s="39"/>
      <c r="Z785" s="39"/>
      <c r="AA785" s="39"/>
      <c r="AB785" s="39"/>
    </row>
    <row r="786">
      <c r="A786" s="1"/>
      <c r="B786" s="36"/>
      <c r="C786" s="36"/>
      <c r="D786" s="36"/>
      <c r="E786" s="36"/>
      <c r="F786" s="36"/>
      <c r="G786" s="36"/>
      <c r="H786" s="37"/>
      <c r="I786" s="36"/>
      <c r="J786" s="38"/>
      <c r="K786" s="38"/>
      <c r="L786" s="39"/>
      <c r="M786" s="39"/>
      <c r="N786" s="39"/>
      <c r="O786" s="39"/>
      <c r="P786" s="39"/>
      <c r="Q786" s="39"/>
      <c r="R786" s="39"/>
      <c r="S786" s="39"/>
      <c r="T786" s="39"/>
      <c r="U786" s="39"/>
      <c r="V786" s="39"/>
      <c r="W786" s="39"/>
      <c r="X786" s="39"/>
      <c r="Y786" s="39"/>
      <c r="Z786" s="39"/>
      <c r="AA786" s="39"/>
      <c r="AB786" s="39"/>
    </row>
    <row r="787">
      <c r="A787" s="1"/>
      <c r="B787" s="36"/>
      <c r="C787" s="36"/>
      <c r="D787" s="36"/>
      <c r="E787" s="36"/>
      <c r="F787" s="36"/>
      <c r="G787" s="36"/>
      <c r="H787" s="37"/>
      <c r="I787" s="36"/>
      <c r="J787" s="38"/>
      <c r="K787" s="38"/>
      <c r="L787" s="39"/>
      <c r="M787" s="39"/>
      <c r="N787" s="39"/>
      <c r="O787" s="39"/>
      <c r="P787" s="39"/>
      <c r="Q787" s="39"/>
      <c r="R787" s="39"/>
      <c r="S787" s="39"/>
      <c r="T787" s="39"/>
      <c r="U787" s="39"/>
      <c r="V787" s="39"/>
      <c r="W787" s="39"/>
      <c r="X787" s="39"/>
      <c r="Y787" s="39"/>
      <c r="Z787" s="39"/>
      <c r="AA787" s="39"/>
      <c r="AB787" s="39"/>
    </row>
    <row r="788">
      <c r="A788" s="1"/>
      <c r="B788" s="36"/>
      <c r="C788" s="36"/>
      <c r="D788" s="36"/>
      <c r="E788" s="36"/>
      <c r="F788" s="36"/>
      <c r="G788" s="36"/>
      <c r="H788" s="37"/>
      <c r="I788" s="36"/>
      <c r="J788" s="38"/>
      <c r="K788" s="38"/>
      <c r="L788" s="39"/>
      <c r="M788" s="39"/>
      <c r="N788" s="39"/>
      <c r="O788" s="39"/>
      <c r="P788" s="39"/>
      <c r="Q788" s="39"/>
      <c r="R788" s="39"/>
      <c r="S788" s="39"/>
      <c r="T788" s="39"/>
      <c r="U788" s="39"/>
      <c r="V788" s="39"/>
      <c r="W788" s="39"/>
      <c r="X788" s="39"/>
      <c r="Y788" s="39"/>
      <c r="Z788" s="39"/>
      <c r="AA788" s="39"/>
      <c r="AB788" s="39"/>
    </row>
    <row r="789">
      <c r="A789" s="1"/>
      <c r="B789" s="36"/>
      <c r="C789" s="36"/>
      <c r="D789" s="36"/>
      <c r="E789" s="36"/>
      <c r="F789" s="36"/>
      <c r="G789" s="36"/>
      <c r="H789" s="37"/>
      <c r="I789" s="36"/>
      <c r="J789" s="38"/>
      <c r="K789" s="38"/>
      <c r="L789" s="39"/>
      <c r="M789" s="39"/>
      <c r="N789" s="39"/>
      <c r="O789" s="39"/>
      <c r="P789" s="39"/>
      <c r="Q789" s="39"/>
      <c r="R789" s="39"/>
      <c r="S789" s="39"/>
      <c r="T789" s="39"/>
      <c r="U789" s="39"/>
      <c r="V789" s="39"/>
      <c r="W789" s="39"/>
      <c r="X789" s="39"/>
      <c r="Y789" s="39"/>
      <c r="Z789" s="39"/>
      <c r="AA789" s="39"/>
      <c r="AB789" s="39"/>
    </row>
    <row r="790">
      <c r="A790" s="1"/>
      <c r="B790" s="36"/>
      <c r="C790" s="36"/>
      <c r="D790" s="36"/>
      <c r="E790" s="36"/>
      <c r="F790" s="36"/>
      <c r="G790" s="36"/>
      <c r="H790" s="37"/>
      <c r="I790" s="36"/>
      <c r="J790" s="38"/>
      <c r="K790" s="38"/>
      <c r="L790" s="39"/>
      <c r="M790" s="39"/>
      <c r="N790" s="39"/>
      <c r="O790" s="39"/>
      <c r="P790" s="39"/>
      <c r="Q790" s="39"/>
      <c r="R790" s="39"/>
      <c r="S790" s="39"/>
      <c r="T790" s="39"/>
      <c r="U790" s="39"/>
      <c r="V790" s="39"/>
      <c r="W790" s="39"/>
      <c r="X790" s="39"/>
      <c r="Y790" s="39"/>
      <c r="Z790" s="39"/>
      <c r="AA790" s="39"/>
      <c r="AB790" s="39"/>
    </row>
    <row r="791">
      <c r="A791" s="1"/>
      <c r="B791" s="36"/>
      <c r="C791" s="36"/>
      <c r="D791" s="36"/>
      <c r="E791" s="36"/>
      <c r="F791" s="36"/>
      <c r="G791" s="36"/>
      <c r="H791" s="37"/>
      <c r="I791" s="36"/>
      <c r="J791" s="38"/>
      <c r="K791" s="38"/>
      <c r="L791" s="39"/>
      <c r="M791" s="39"/>
      <c r="N791" s="39"/>
      <c r="O791" s="39"/>
      <c r="P791" s="39"/>
      <c r="Q791" s="39"/>
      <c r="R791" s="39"/>
      <c r="S791" s="39"/>
      <c r="T791" s="39"/>
      <c r="U791" s="39"/>
      <c r="V791" s="39"/>
      <c r="W791" s="39"/>
      <c r="X791" s="39"/>
      <c r="Y791" s="39"/>
      <c r="Z791" s="39"/>
      <c r="AA791" s="39"/>
      <c r="AB791" s="39"/>
    </row>
    <row r="792">
      <c r="A792" s="1"/>
      <c r="B792" s="36"/>
      <c r="C792" s="36"/>
      <c r="D792" s="36"/>
      <c r="E792" s="36"/>
      <c r="F792" s="36"/>
      <c r="G792" s="36"/>
      <c r="H792" s="37"/>
      <c r="I792" s="36"/>
      <c r="J792" s="38"/>
      <c r="K792" s="38"/>
      <c r="L792" s="39"/>
      <c r="M792" s="39"/>
      <c r="N792" s="39"/>
      <c r="O792" s="39"/>
      <c r="P792" s="39"/>
      <c r="Q792" s="39"/>
      <c r="R792" s="39"/>
      <c r="S792" s="39"/>
      <c r="T792" s="39"/>
      <c r="U792" s="39"/>
      <c r="V792" s="39"/>
      <c r="W792" s="39"/>
      <c r="X792" s="39"/>
      <c r="Y792" s="39"/>
      <c r="Z792" s="39"/>
      <c r="AA792" s="39"/>
      <c r="AB792" s="39"/>
    </row>
    <row r="793">
      <c r="A793" s="1"/>
      <c r="B793" s="36"/>
      <c r="C793" s="36"/>
      <c r="D793" s="36"/>
      <c r="E793" s="36"/>
      <c r="F793" s="36"/>
      <c r="G793" s="36"/>
      <c r="H793" s="37"/>
      <c r="I793" s="36"/>
      <c r="J793" s="38"/>
      <c r="K793" s="38"/>
      <c r="L793" s="39"/>
      <c r="M793" s="39"/>
      <c r="N793" s="39"/>
      <c r="O793" s="39"/>
      <c r="P793" s="39"/>
      <c r="Q793" s="39"/>
      <c r="R793" s="39"/>
      <c r="S793" s="39"/>
      <c r="T793" s="39"/>
      <c r="U793" s="39"/>
      <c r="V793" s="39"/>
      <c r="W793" s="39"/>
      <c r="X793" s="39"/>
      <c r="Y793" s="39"/>
      <c r="Z793" s="39"/>
      <c r="AA793" s="39"/>
      <c r="AB793" s="39"/>
    </row>
    <row r="794">
      <c r="A794" s="1"/>
      <c r="B794" s="36"/>
      <c r="C794" s="36"/>
      <c r="D794" s="36"/>
      <c r="E794" s="36"/>
      <c r="F794" s="36"/>
      <c r="G794" s="36"/>
      <c r="H794" s="37"/>
      <c r="I794" s="36"/>
      <c r="J794" s="38"/>
      <c r="K794" s="38"/>
      <c r="L794" s="39"/>
      <c r="M794" s="39"/>
      <c r="N794" s="39"/>
      <c r="O794" s="39"/>
      <c r="P794" s="39"/>
      <c r="Q794" s="39"/>
      <c r="R794" s="39"/>
      <c r="S794" s="39"/>
      <c r="T794" s="39"/>
      <c r="U794" s="39"/>
      <c r="V794" s="39"/>
      <c r="W794" s="39"/>
      <c r="X794" s="39"/>
      <c r="Y794" s="39"/>
      <c r="Z794" s="39"/>
      <c r="AA794" s="39"/>
      <c r="AB794" s="39"/>
    </row>
    <row r="795">
      <c r="A795" s="1"/>
      <c r="B795" s="36"/>
      <c r="C795" s="36"/>
      <c r="D795" s="36"/>
      <c r="E795" s="36"/>
      <c r="F795" s="36"/>
      <c r="G795" s="36"/>
      <c r="H795" s="37"/>
      <c r="I795" s="36"/>
      <c r="J795" s="38"/>
      <c r="K795" s="38"/>
      <c r="L795" s="39"/>
      <c r="M795" s="39"/>
      <c r="N795" s="39"/>
      <c r="O795" s="39"/>
      <c r="P795" s="39"/>
      <c r="Q795" s="39"/>
      <c r="R795" s="39"/>
      <c r="S795" s="39"/>
      <c r="T795" s="39"/>
      <c r="U795" s="39"/>
      <c r="V795" s="39"/>
      <c r="W795" s="39"/>
      <c r="X795" s="39"/>
      <c r="Y795" s="39"/>
      <c r="Z795" s="39"/>
      <c r="AA795" s="39"/>
      <c r="AB795" s="39"/>
    </row>
    <row r="796">
      <c r="A796" s="1"/>
      <c r="B796" s="36"/>
      <c r="C796" s="36"/>
      <c r="D796" s="36"/>
      <c r="E796" s="36"/>
      <c r="F796" s="36"/>
      <c r="G796" s="36"/>
      <c r="H796" s="37"/>
      <c r="I796" s="36"/>
      <c r="J796" s="38"/>
      <c r="K796" s="38"/>
      <c r="L796" s="39"/>
      <c r="M796" s="39"/>
      <c r="N796" s="39"/>
      <c r="O796" s="39"/>
      <c r="P796" s="39"/>
      <c r="Q796" s="39"/>
      <c r="R796" s="39"/>
      <c r="S796" s="39"/>
      <c r="T796" s="39"/>
      <c r="U796" s="39"/>
      <c r="V796" s="39"/>
      <c r="W796" s="39"/>
      <c r="X796" s="39"/>
      <c r="Y796" s="39"/>
      <c r="Z796" s="39"/>
      <c r="AA796" s="39"/>
      <c r="AB796" s="39"/>
    </row>
    <row r="797">
      <c r="A797" s="1"/>
      <c r="B797" s="36"/>
      <c r="C797" s="36"/>
      <c r="D797" s="36"/>
      <c r="E797" s="36"/>
      <c r="F797" s="36"/>
      <c r="G797" s="36"/>
      <c r="H797" s="37"/>
      <c r="I797" s="36"/>
      <c r="J797" s="38"/>
      <c r="K797" s="38"/>
      <c r="L797" s="39"/>
      <c r="M797" s="39"/>
      <c r="N797" s="39"/>
      <c r="O797" s="39"/>
      <c r="P797" s="39"/>
      <c r="Q797" s="39"/>
      <c r="R797" s="39"/>
      <c r="S797" s="39"/>
      <c r="T797" s="39"/>
      <c r="U797" s="39"/>
      <c r="V797" s="39"/>
      <c r="W797" s="39"/>
      <c r="X797" s="39"/>
      <c r="Y797" s="39"/>
      <c r="Z797" s="39"/>
      <c r="AA797" s="39"/>
      <c r="AB797" s="39"/>
    </row>
    <row r="798">
      <c r="A798" s="1"/>
      <c r="B798" s="36"/>
      <c r="C798" s="36"/>
      <c r="D798" s="36"/>
      <c r="E798" s="36"/>
      <c r="F798" s="36"/>
      <c r="G798" s="36"/>
      <c r="H798" s="37"/>
      <c r="I798" s="36"/>
      <c r="J798" s="38"/>
      <c r="K798" s="38"/>
      <c r="L798" s="39"/>
      <c r="M798" s="39"/>
      <c r="N798" s="39"/>
      <c r="O798" s="39"/>
      <c r="P798" s="39"/>
      <c r="Q798" s="39"/>
      <c r="R798" s="39"/>
      <c r="S798" s="39"/>
      <c r="T798" s="39"/>
      <c r="U798" s="39"/>
      <c r="V798" s="39"/>
      <c r="W798" s="39"/>
      <c r="X798" s="39"/>
      <c r="Y798" s="39"/>
      <c r="Z798" s="39"/>
      <c r="AA798" s="39"/>
      <c r="AB798" s="39"/>
    </row>
    <row r="799">
      <c r="A799" s="1"/>
      <c r="B799" s="36"/>
      <c r="C799" s="36"/>
      <c r="D799" s="36"/>
      <c r="E799" s="36"/>
      <c r="F799" s="36"/>
      <c r="G799" s="36"/>
      <c r="H799" s="37"/>
      <c r="I799" s="36"/>
      <c r="J799" s="38"/>
      <c r="K799" s="38"/>
      <c r="L799" s="39"/>
      <c r="M799" s="39"/>
      <c r="N799" s="39"/>
      <c r="O799" s="39"/>
      <c r="P799" s="39"/>
      <c r="Q799" s="39"/>
      <c r="R799" s="39"/>
      <c r="S799" s="39"/>
      <c r="T799" s="39"/>
      <c r="U799" s="39"/>
      <c r="V799" s="39"/>
      <c r="W799" s="39"/>
      <c r="X799" s="39"/>
      <c r="Y799" s="39"/>
      <c r="Z799" s="39"/>
      <c r="AA799" s="39"/>
      <c r="AB799" s="39"/>
    </row>
    <row r="800">
      <c r="A800" s="1"/>
      <c r="B800" s="36"/>
      <c r="C800" s="36"/>
      <c r="D800" s="36"/>
      <c r="E800" s="36"/>
      <c r="F800" s="36"/>
      <c r="G800" s="36"/>
      <c r="H800" s="37"/>
      <c r="I800" s="36"/>
      <c r="J800" s="38"/>
      <c r="K800" s="38"/>
      <c r="L800" s="39"/>
      <c r="M800" s="39"/>
      <c r="N800" s="39"/>
      <c r="O800" s="39"/>
      <c r="P800" s="39"/>
      <c r="Q800" s="39"/>
      <c r="R800" s="39"/>
      <c r="S800" s="39"/>
      <c r="T800" s="39"/>
      <c r="U800" s="39"/>
      <c r="V800" s="39"/>
      <c r="W800" s="39"/>
      <c r="X800" s="39"/>
      <c r="Y800" s="39"/>
      <c r="Z800" s="39"/>
      <c r="AA800" s="39"/>
      <c r="AB800" s="39"/>
    </row>
    <row r="801">
      <c r="A801" s="1"/>
      <c r="B801" s="36"/>
      <c r="C801" s="36"/>
      <c r="D801" s="36"/>
      <c r="E801" s="36"/>
      <c r="F801" s="36"/>
      <c r="G801" s="36"/>
      <c r="H801" s="37"/>
      <c r="I801" s="36"/>
      <c r="J801" s="38"/>
      <c r="K801" s="38"/>
      <c r="L801" s="39"/>
      <c r="M801" s="39"/>
      <c r="N801" s="39"/>
      <c r="O801" s="39"/>
      <c r="P801" s="39"/>
      <c r="Q801" s="39"/>
      <c r="R801" s="39"/>
      <c r="S801" s="39"/>
      <c r="T801" s="39"/>
      <c r="U801" s="39"/>
      <c r="V801" s="39"/>
      <c r="W801" s="39"/>
      <c r="X801" s="39"/>
      <c r="Y801" s="39"/>
      <c r="Z801" s="39"/>
      <c r="AA801" s="39"/>
      <c r="AB801" s="39"/>
    </row>
    <row r="802">
      <c r="A802" s="1"/>
      <c r="B802" s="36"/>
      <c r="C802" s="36"/>
      <c r="D802" s="36"/>
      <c r="E802" s="36"/>
      <c r="F802" s="36"/>
      <c r="G802" s="36"/>
      <c r="H802" s="37"/>
      <c r="I802" s="36"/>
      <c r="J802" s="38"/>
      <c r="K802" s="38"/>
      <c r="L802" s="39"/>
      <c r="M802" s="39"/>
      <c r="N802" s="39"/>
      <c r="O802" s="39"/>
      <c r="P802" s="39"/>
      <c r="Q802" s="39"/>
      <c r="R802" s="39"/>
      <c r="S802" s="39"/>
      <c r="T802" s="39"/>
      <c r="U802" s="39"/>
      <c r="V802" s="39"/>
      <c r="W802" s="39"/>
      <c r="X802" s="39"/>
      <c r="Y802" s="39"/>
      <c r="Z802" s="39"/>
      <c r="AA802" s="39"/>
      <c r="AB802" s="39"/>
    </row>
    <row r="803">
      <c r="A803" s="1"/>
      <c r="B803" s="36"/>
      <c r="C803" s="36"/>
      <c r="D803" s="36"/>
      <c r="E803" s="36"/>
      <c r="F803" s="36"/>
      <c r="G803" s="36"/>
      <c r="H803" s="37"/>
      <c r="I803" s="36"/>
      <c r="J803" s="38"/>
      <c r="K803" s="38"/>
      <c r="L803" s="39"/>
      <c r="M803" s="39"/>
      <c r="N803" s="39"/>
      <c r="O803" s="39"/>
      <c r="P803" s="39"/>
      <c r="Q803" s="39"/>
      <c r="R803" s="39"/>
      <c r="S803" s="39"/>
      <c r="T803" s="39"/>
      <c r="U803" s="39"/>
      <c r="V803" s="39"/>
      <c r="W803" s="39"/>
      <c r="X803" s="39"/>
      <c r="Y803" s="39"/>
      <c r="Z803" s="39"/>
      <c r="AA803" s="39"/>
      <c r="AB803" s="39"/>
    </row>
    <row r="804">
      <c r="A804" s="1"/>
      <c r="B804" s="36"/>
      <c r="C804" s="36"/>
      <c r="D804" s="36"/>
      <c r="E804" s="36"/>
      <c r="F804" s="36"/>
      <c r="G804" s="36"/>
      <c r="H804" s="37"/>
      <c r="I804" s="36"/>
      <c r="J804" s="38"/>
      <c r="K804" s="38"/>
      <c r="L804" s="39"/>
      <c r="M804" s="39"/>
      <c r="N804" s="39"/>
      <c r="O804" s="39"/>
      <c r="P804" s="39"/>
      <c r="Q804" s="39"/>
      <c r="R804" s="39"/>
      <c r="S804" s="39"/>
      <c r="T804" s="39"/>
      <c r="U804" s="39"/>
      <c r="V804" s="39"/>
      <c r="W804" s="39"/>
      <c r="X804" s="39"/>
      <c r="Y804" s="39"/>
      <c r="Z804" s="39"/>
      <c r="AA804" s="39"/>
      <c r="AB804" s="39"/>
    </row>
    <row r="805">
      <c r="A805" s="1"/>
      <c r="B805" s="36"/>
      <c r="C805" s="36"/>
      <c r="D805" s="36"/>
      <c r="E805" s="36"/>
      <c r="F805" s="36"/>
      <c r="G805" s="36"/>
      <c r="H805" s="37"/>
      <c r="I805" s="36"/>
      <c r="J805" s="38"/>
      <c r="K805" s="38"/>
      <c r="L805" s="39"/>
      <c r="M805" s="39"/>
      <c r="N805" s="39"/>
      <c r="O805" s="39"/>
      <c r="P805" s="39"/>
      <c r="Q805" s="39"/>
      <c r="R805" s="39"/>
      <c r="S805" s="39"/>
      <c r="T805" s="39"/>
      <c r="U805" s="39"/>
      <c r="V805" s="39"/>
      <c r="W805" s="39"/>
      <c r="X805" s="39"/>
      <c r="Y805" s="39"/>
      <c r="Z805" s="39"/>
      <c r="AA805" s="39"/>
      <c r="AB805" s="39"/>
    </row>
    <row r="806">
      <c r="A806" s="1"/>
      <c r="B806" s="36"/>
      <c r="C806" s="36"/>
      <c r="D806" s="36"/>
      <c r="E806" s="36"/>
      <c r="F806" s="36"/>
      <c r="G806" s="36"/>
      <c r="H806" s="37"/>
      <c r="I806" s="36"/>
      <c r="J806" s="38"/>
      <c r="K806" s="38"/>
      <c r="L806" s="39"/>
      <c r="M806" s="39"/>
      <c r="N806" s="39"/>
      <c r="O806" s="39"/>
      <c r="P806" s="39"/>
      <c r="Q806" s="39"/>
      <c r="R806" s="39"/>
      <c r="S806" s="39"/>
      <c r="T806" s="39"/>
      <c r="U806" s="39"/>
      <c r="V806" s="39"/>
      <c r="W806" s="39"/>
      <c r="X806" s="39"/>
      <c r="Y806" s="39"/>
      <c r="Z806" s="39"/>
      <c r="AA806" s="39"/>
      <c r="AB806" s="39"/>
    </row>
    <row r="807">
      <c r="A807" s="1"/>
      <c r="B807" s="36"/>
      <c r="C807" s="36"/>
      <c r="D807" s="36"/>
      <c r="E807" s="36"/>
      <c r="F807" s="36"/>
      <c r="G807" s="36"/>
      <c r="H807" s="37"/>
      <c r="I807" s="36"/>
      <c r="J807" s="38"/>
      <c r="K807" s="38"/>
      <c r="L807" s="39"/>
      <c r="M807" s="39"/>
      <c r="N807" s="39"/>
      <c r="O807" s="39"/>
      <c r="P807" s="39"/>
      <c r="Q807" s="39"/>
      <c r="R807" s="39"/>
      <c r="S807" s="39"/>
      <c r="T807" s="39"/>
      <c r="U807" s="39"/>
      <c r="V807" s="39"/>
      <c r="W807" s="39"/>
      <c r="X807" s="39"/>
      <c r="Y807" s="39"/>
      <c r="Z807" s="39"/>
      <c r="AA807" s="39"/>
      <c r="AB807" s="39"/>
    </row>
    <row r="808">
      <c r="A808" s="1"/>
      <c r="B808" s="36"/>
      <c r="C808" s="36"/>
      <c r="D808" s="36"/>
      <c r="E808" s="36"/>
      <c r="F808" s="36"/>
      <c r="G808" s="36"/>
      <c r="H808" s="37"/>
      <c r="I808" s="36"/>
      <c r="J808" s="38"/>
      <c r="K808" s="38"/>
      <c r="L808" s="39"/>
      <c r="M808" s="39"/>
      <c r="N808" s="39"/>
      <c r="O808" s="39"/>
      <c r="P808" s="39"/>
      <c r="Q808" s="39"/>
      <c r="R808" s="39"/>
      <c r="S808" s="39"/>
      <c r="T808" s="39"/>
      <c r="U808" s="39"/>
      <c r="V808" s="39"/>
      <c r="W808" s="39"/>
      <c r="X808" s="39"/>
      <c r="Y808" s="39"/>
      <c r="Z808" s="39"/>
      <c r="AA808" s="39"/>
      <c r="AB808" s="39"/>
    </row>
    <row r="809">
      <c r="A809" s="1"/>
      <c r="B809" s="36"/>
      <c r="C809" s="36"/>
      <c r="D809" s="36"/>
      <c r="E809" s="36"/>
      <c r="F809" s="36"/>
      <c r="G809" s="36"/>
      <c r="H809" s="37"/>
      <c r="I809" s="36"/>
      <c r="J809" s="38"/>
      <c r="K809" s="38"/>
      <c r="L809" s="39"/>
      <c r="M809" s="39"/>
      <c r="N809" s="39"/>
      <c r="O809" s="39"/>
      <c r="P809" s="39"/>
      <c r="Q809" s="39"/>
      <c r="R809" s="39"/>
      <c r="S809" s="39"/>
      <c r="T809" s="39"/>
      <c r="U809" s="39"/>
      <c r="V809" s="39"/>
      <c r="W809" s="39"/>
      <c r="X809" s="39"/>
      <c r="Y809" s="39"/>
      <c r="Z809" s="39"/>
      <c r="AA809" s="39"/>
      <c r="AB809" s="39"/>
    </row>
    <row r="810">
      <c r="A810" s="1"/>
      <c r="B810" s="36"/>
      <c r="C810" s="36"/>
      <c r="D810" s="36"/>
      <c r="E810" s="36"/>
      <c r="F810" s="36"/>
      <c r="G810" s="36"/>
      <c r="H810" s="37"/>
      <c r="I810" s="36"/>
      <c r="J810" s="38"/>
      <c r="K810" s="38"/>
      <c r="L810" s="39"/>
      <c r="M810" s="39"/>
      <c r="N810" s="39"/>
      <c r="O810" s="39"/>
      <c r="P810" s="39"/>
      <c r="Q810" s="39"/>
      <c r="R810" s="39"/>
      <c r="S810" s="39"/>
      <c r="T810" s="39"/>
      <c r="U810" s="39"/>
      <c r="V810" s="39"/>
      <c r="W810" s="39"/>
      <c r="X810" s="39"/>
      <c r="Y810" s="39"/>
      <c r="Z810" s="39"/>
      <c r="AA810" s="39"/>
      <c r="AB810" s="39"/>
    </row>
    <row r="811">
      <c r="A811" s="1"/>
      <c r="B811" s="36"/>
      <c r="C811" s="36"/>
      <c r="D811" s="36"/>
      <c r="E811" s="36"/>
      <c r="F811" s="36"/>
      <c r="G811" s="36"/>
      <c r="H811" s="37"/>
      <c r="I811" s="36"/>
      <c r="J811" s="38"/>
      <c r="K811" s="38"/>
      <c r="L811" s="39"/>
      <c r="M811" s="39"/>
      <c r="N811" s="39"/>
      <c r="O811" s="39"/>
      <c r="P811" s="39"/>
      <c r="Q811" s="39"/>
      <c r="R811" s="39"/>
      <c r="S811" s="39"/>
      <c r="T811" s="39"/>
      <c r="U811" s="39"/>
      <c r="V811" s="39"/>
      <c r="W811" s="39"/>
      <c r="X811" s="39"/>
      <c r="Y811" s="39"/>
      <c r="Z811" s="39"/>
      <c r="AA811" s="39"/>
      <c r="AB811" s="39"/>
    </row>
    <row r="812">
      <c r="A812" s="1"/>
      <c r="B812" s="36"/>
      <c r="C812" s="36"/>
      <c r="D812" s="36"/>
      <c r="E812" s="36"/>
      <c r="F812" s="36"/>
      <c r="G812" s="36"/>
      <c r="H812" s="37"/>
      <c r="I812" s="36"/>
      <c r="J812" s="38"/>
      <c r="K812" s="38"/>
      <c r="L812" s="39"/>
      <c r="M812" s="39"/>
      <c r="N812" s="39"/>
      <c r="O812" s="39"/>
      <c r="P812" s="39"/>
      <c r="Q812" s="39"/>
      <c r="R812" s="39"/>
      <c r="S812" s="39"/>
      <c r="T812" s="39"/>
      <c r="U812" s="39"/>
      <c r="V812" s="39"/>
      <c r="W812" s="39"/>
      <c r="X812" s="39"/>
      <c r="Y812" s="39"/>
      <c r="Z812" s="39"/>
      <c r="AA812" s="39"/>
      <c r="AB812" s="39"/>
    </row>
    <row r="813">
      <c r="A813" s="1"/>
      <c r="B813" s="36"/>
      <c r="C813" s="36"/>
      <c r="D813" s="36"/>
      <c r="E813" s="36"/>
      <c r="F813" s="36"/>
      <c r="G813" s="36"/>
      <c r="H813" s="37"/>
      <c r="I813" s="36"/>
      <c r="J813" s="38"/>
      <c r="K813" s="38"/>
      <c r="L813" s="39"/>
      <c r="M813" s="39"/>
      <c r="N813" s="39"/>
      <c r="O813" s="39"/>
      <c r="P813" s="39"/>
      <c r="Q813" s="39"/>
      <c r="R813" s="39"/>
      <c r="S813" s="39"/>
      <c r="T813" s="39"/>
      <c r="U813" s="39"/>
      <c r="V813" s="39"/>
      <c r="W813" s="39"/>
      <c r="X813" s="39"/>
      <c r="Y813" s="39"/>
      <c r="Z813" s="39"/>
      <c r="AA813" s="39"/>
      <c r="AB813" s="39"/>
    </row>
    <row r="814">
      <c r="A814" s="1"/>
      <c r="B814" s="36"/>
      <c r="C814" s="36"/>
      <c r="D814" s="36"/>
      <c r="E814" s="36"/>
      <c r="F814" s="36"/>
      <c r="G814" s="36"/>
      <c r="H814" s="37"/>
      <c r="I814" s="36"/>
      <c r="J814" s="38"/>
      <c r="K814" s="38"/>
      <c r="L814" s="39"/>
      <c r="M814" s="39"/>
      <c r="N814" s="39"/>
      <c r="O814" s="39"/>
      <c r="P814" s="39"/>
      <c r="Q814" s="39"/>
      <c r="R814" s="39"/>
      <c r="S814" s="39"/>
      <c r="T814" s="39"/>
      <c r="U814" s="39"/>
      <c r="V814" s="39"/>
      <c r="W814" s="39"/>
      <c r="X814" s="39"/>
      <c r="Y814" s="39"/>
      <c r="Z814" s="39"/>
      <c r="AA814" s="39"/>
      <c r="AB814" s="39"/>
    </row>
    <row r="815">
      <c r="A815" s="1"/>
      <c r="B815" s="36"/>
      <c r="C815" s="36"/>
      <c r="D815" s="36"/>
      <c r="E815" s="36"/>
      <c r="F815" s="36"/>
      <c r="G815" s="36"/>
      <c r="H815" s="37"/>
      <c r="I815" s="36"/>
      <c r="J815" s="38"/>
      <c r="K815" s="38"/>
      <c r="L815" s="39"/>
      <c r="M815" s="39"/>
      <c r="N815" s="39"/>
      <c r="O815" s="39"/>
      <c r="P815" s="39"/>
      <c r="Q815" s="39"/>
      <c r="R815" s="39"/>
      <c r="S815" s="39"/>
      <c r="T815" s="39"/>
      <c r="U815" s="39"/>
      <c r="V815" s="39"/>
      <c r="W815" s="39"/>
      <c r="X815" s="39"/>
      <c r="Y815" s="39"/>
      <c r="Z815" s="39"/>
      <c r="AA815" s="39"/>
      <c r="AB815" s="39"/>
    </row>
    <row r="816">
      <c r="A816" s="1"/>
      <c r="B816" s="36"/>
      <c r="C816" s="36"/>
      <c r="D816" s="36"/>
      <c r="E816" s="36"/>
      <c r="F816" s="36"/>
      <c r="G816" s="36"/>
      <c r="H816" s="37"/>
      <c r="I816" s="36"/>
      <c r="J816" s="38"/>
      <c r="K816" s="38"/>
      <c r="L816" s="39"/>
      <c r="M816" s="39"/>
      <c r="N816" s="39"/>
      <c r="O816" s="39"/>
      <c r="P816" s="39"/>
      <c r="Q816" s="39"/>
      <c r="R816" s="39"/>
      <c r="S816" s="39"/>
      <c r="T816" s="39"/>
      <c r="U816" s="39"/>
      <c r="V816" s="39"/>
      <c r="W816" s="39"/>
      <c r="X816" s="39"/>
      <c r="Y816" s="39"/>
      <c r="Z816" s="39"/>
      <c r="AA816" s="39"/>
      <c r="AB816" s="39"/>
    </row>
    <row r="817">
      <c r="A817" s="1"/>
      <c r="B817" s="36"/>
      <c r="C817" s="36"/>
      <c r="D817" s="36"/>
      <c r="E817" s="36"/>
      <c r="F817" s="36"/>
      <c r="G817" s="36"/>
      <c r="H817" s="37"/>
      <c r="I817" s="36"/>
      <c r="J817" s="38"/>
      <c r="K817" s="38"/>
      <c r="L817" s="39"/>
      <c r="M817" s="39"/>
      <c r="N817" s="39"/>
      <c r="O817" s="39"/>
      <c r="P817" s="39"/>
      <c r="Q817" s="39"/>
      <c r="R817" s="39"/>
      <c r="S817" s="39"/>
      <c r="T817" s="39"/>
      <c r="U817" s="39"/>
      <c r="V817" s="39"/>
      <c r="W817" s="39"/>
      <c r="X817" s="39"/>
      <c r="Y817" s="39"/>
      <c r="Z817" s="39"/>
      <c r="AA817" s="39"/>
      <c r="AB817" s="39"/>
    </row>
    <row r="818">
      <c r="A818" s="1"/>
      <c r="B818" s="36"/>
      <c r="C818" s="36"/>
      <c r="D818" s="36"/>
      <c r="E818" s="36"/>
      <c r="F818" s="36"/>
      <c r="G818" s="36"/>
      <c r="H818" s="37"/>
      <c r="I818" s="36"/>
      <c r="J818" s="38"/>
      <c r="K818" s="38"/>
      <c r="L818" s="39"/>
      <c r="M818" s="39"/>
      <c r="N818" s="39"/>
      <c r="O818" s="39"/>
      <c r="P818" s="39"/>
      <c r="Q818" s="39"/>
      <c r="R818" s="39"/>
      <c r="S818" s="39"/>
      <c r="T818" s="39"/>
      <c r="U818" s="39"/>
      <c r="V818" s="39"/>
      <c r="W818" s="39"/>
      <c r="X818" s="39"/>
      <c r="Y818" s="39"/>
      <c r="Z818" s="39"/>
      <c r="AA818" s="39"/>
      <c r="AB818" s="39"/>
    </row>
    <row r="819">
      <c r="A819" s="1"/>
      <c r="B819" s="36"/>
      <c r="C819" s="36"/>
      <c r="D819" s="36"/>
      <c r="E819" s="36"/>
      <c r="F819" s="36"/>
      <c r="G819" s="36"/>
      <c r="H819" s="37"/>
      <c r="I819" s="36"/>
      <c r="J819" s="38"/>
      <c r="K819" s="38"/>
      <c r="L819" s="39"/>
      <c r="M819" s="39"/>
      <c r="N819" s="39"/>
      <c r="O819" s="39"/>
      <c r="P819" s="39"/>
      <c r="Q819" s="39"/>
      <c r="R819" s="39"/>
      <c r="S819" s="39"/>
      <c r="T819" s="39"/>
      <c r="U819" s="39"/>
      <c r="V819" s="39"/>
      <c r="W819" s="39"/>
      <c r="X819" s="39"/>
      <c r="Y819" s="39"/>
      <c r="Z819" s="39"/>
      <c r="AA819" s="39"/>
      <c r="AB819" s="39"/>
    </row>
    <row r="820">
      <c r="A820" s="1"/>
      <c r="B820" s="36"/>
      <c r="C820" s="36"/>
      <c r="D820" s="36"/>
      <c r="E820" s="36"/>
      <c r="F820" s="36"/>
      <c r="G820" s="36"/>
      <c r="H820" s="37"/>
      <c r="I820" s="36"/>
      <c r="J820" s="38"/>
      <c r="K820" s="38"/>
      <c r="L820" s="39"/>
      <c r="M820" s="39"/>
      <c r="N820" s="39"/>
      <c r="O820" s="39"/>
      <c r="P820" s="39"/>
      <c r="Q820" s="39"/>
      <c r="R820" s="39"/>
      <c r="S820" s="39"/>
      <c r="T820" s="39"/>
      <c r="U820" s="39"/>
      <c r="V820" s="39"/>
      <c r="W820" s="39"/>
      <c r="X820" s="39"/>
      <c r="Y820" s="39"/>
      <c r="Z820" s="39"/>
      <c r="AA820" s="39"/>
      <c r="AB820" s="39"/>
    </row>
    <row r="821">
      <c r="A821" s="1"/>
      <c r="B821" s="36"/>
      <c r="C821" s="36"/>
      <c r="D821" s="36"/>
      <c r="E821" s="36"/>
      <c r="F821" s="36"/>
      <c r="G821" s="36"/>
      <c r="H821" s="37"/>
      <c r="I821" s="36"/>
      <c r="J821" s="38"/>
      <c r="K821" s="38"/>
      <c r="L821" s="39"/>
      <c r="M821" s="39"/>
      <c r="N821" s="39"/>
      <c r="O821" s="39"/>
      <c r="P821" s="39"/>
      <c r="Q821" s="39"/>
      <c r="R821" s="39"/>
      <c r="S821" s="39"/>
      <c r="T821" s="39"/>
      <c r="U821" s="39"/>
      <c r="V821" s="39"/>
      <c r="W821" s="39"/>
      <c r="X821" s="39"/>
      <c r="Y821" s="39"/>
      <c r="Z821" s="39"/>
      <c r="AA821" s="39"/>
      <c r="AB821" s="39"/>
    </row>
    <row r="822">
      <c r="A822" s="1"/>
      <c r="B822" s="36"/>
      <c r="C822" s="36"/>
      <c r="D822" s="36"/>
      <c r="E822" s="36"/>
      <c r="F822" s="36"/>
      <c r="G822" s="36"/>
      <c r="H822" s="37"/>
      <c r="I822" s="36"/>
      <c r="J822" s="38"/>
      <c r="K822" s="38"/>
      <c r="L822" s="39"/>
      <c r="M822" s="39"/>
      <c r="N822" s="39"/>
      <c r="O822" s="39"/>
      <c r="P822" s="39"/>
      <c r="Q822" s="39"/>
      <c r="R822" s="39"/>
      <c r="S822" s="39"/>
      <c r="T822" s="39"/>
      <c r="U822" s="39"/>
      <c r="V822" s="39"/>
      <c r="W822" s="39"/>
      <c r="X822" s="39"/>
      <c r="Y822" s="39"/>
      <c r="Z822" s="39"/>
      <c r="AA822" s="39"/>
      <c r="AB822" s="39"/>
    </row>
    <row r="823">
      <c r="A823" s="1"/>
      <c r="B823" s="36"/>
      <c r="C823" s="36"/>
      <c r="D823" s="36"/>
      <c r="E823" s="36"/>
      <c r="F823" s="36"/>
      <c r="G823" s="36"/>
      <c r="H823" s="37"/>
      <c r="I823" s="36"/>
      <c r="J823" s="38"/>
      <c r="K823" s="38"/>
      <c r="L823" s="39"/>
      <c r="M823" s="39"/>
      <c r="N823" s="39"/>
      <c r="O823" s="39"/>
      <c r="P823" s="39"/>
      <c r="Q823" s="39"/>
      <c r="R823" s="39"/>
      <c r="S823" s="39"/>
      <c r="T823" s="39"/>
      <c r="U823" s="39"/>
      <c r="V823" s="39"/>
      <c r="W823" s="39"/>
      <c r="X823" s="39"/>
      <c r="Y823" s="39"/>
      <c r="Z823" s="39"/>
      <c r="AA823" s="39"/>
      <c r="AB823" s="39"/>
    </row>
    <row r="824">
      <c r="A824" s="1"/>
      <c r="B824" s="36"/>
      <c r="C824" s="36"/>
      <c r="D824" s="36"/>
      <c r="E824" s="36"/>
      <c r="F824" s="36"/>
      <c r="G824" s="36"/>
      <c r="H824" s="37"/>
      <c r="I824" s="36"/>
      <c r="J824" s="38"/>
      <c r="K824" s="38"/>
      <c r="L824" s="39"/>
      <c r="M824" s="39"/>
      <c r="N824" s="39"/>
      <c r="O824" s="39"/>
      <c r="P824" s="39"/>
      <c r="Q824" s="39"/>
      <c r="R824" s="39"/>
      <c r="S824" s="39"/>
      <c r="T824" s="39"/>
      <c r="U824" s="39"/>
      <c r="V824" s="39"/>
      <c r="W824" s="39"/>
      <c r="X824" s="39"/>
      <c r="Y824" s="39"/>
      <c r="Z824" s="39"/>
      <c r="AA824" s="39"/>
      <c r="AB824" s="39"/>
    </row>
    <row r="825">
      <c r="A825" s="1"/>
      <c r="B825" s="36"/>
      <c r="C825" s="36"/>
      <c r="D825" s="36"/>
      <c r="E825" s="36"/>
      <c r="F825" s="36"/>
      <c r="G825" s="36"/>
      <c r="H825" s="37"/>
      <c r="I825" s="36"/>
      <c r="J825" s="38"/>
      <c r="K825" s="38"/>
      <c r="L825" s="39"/>
      <c r="M825" s="39"/>
      <c r="N825" s="39"/>
      <c r="O825" s="39"/>
      <c r="P825" s="39"/>
      <c r="Q825" s="39"/>
      <c r="R825" s="39"/>
      <c r="S825" s="39"/>
      <c r="T825" s="39"/>
      <c r="U825" s="39"/>
      <c r="V825" s="39"/>
      <c r="W825" s="39"/>
      <c r="X825" s="39"/>
      <c r="Y825" s="39"/>
      <c r="Z825" s="39"/>
      <c r="AA825" s="39"/>
      <c r="AB825" s="39"/>
    </row>
    <row r="826">
      <c r="A826" s="1"/>
      <c r="B826" s="36"/>
      <c r="C826" s="36"/>
      <c r="D826" s="36"/>
      <c r="E826" s="36"/>
      <c r="F826" s="36"/>
      <c r="G826" s="36"/>
      <c r="H826" s="37"/>
      <c r="I826" s="36"/>
      <c r="J826" s="38"/>
      <c r="K826" s="38"/>
      <c r="L826" s="39"/>
      <c r="M826" s="39"/>
      <c r="N826" s="39"/>
      <c r="O826" s="39"/>
      <c r="P826" s="39"/>
      <c r="Q826" s="39"/>
      <c r="R826" s="39"/>
      <c r="S826" s="39"/>
      <c r="T826" s="39"/>
      <c r="U826" s="39"/>
      <c r="V826" s="39"/>
      <c r="W826" s="39"/>
      <c r="X826" s="39"/>
      <c r="Y826" s="39"/>
      <c r="Z826" s="39"/>
      <c r="AA826" s="39"/>
      <c r="AB826" s="39"/>
    </row>
    <row r="827">
      <c r="A827" s="1"/>
      <c r="B827" s="36"/>
      <c r="C827" s="36"/>
      <c r="D827" s="36"/>
      <c r="E827" s="36"/>
      <c r="F827" s="36"/>
      <c r="G827" s="36"/>
      <c r="H827" s="37"/>
      <c r="I827" s="36"/>
      <c r="J827" s="38"/>
      <c r="K827" s="38"/>
      <c r="L827" s="39"/>
      <c r="M827" s="39"/>
      <c r="N827" s="39"/>
      <c r="O827" s="39"/>
      <c r="P827" s="39"/>
      <c r="Q827" s="39"/>
      <c r="R827" s="39"/>
      <c r="S827" s="39"/>
      <c r="T827" s="39"/>
      <c r="U827" s="39"/>
      <c r="V827" s="39"/>
      <c r="W827" s="39"/>
      <c r="X827" s="39"/>
      <c r="Y827" s="39"/>
      <c r="Z827" s="39"/>
      <c r="AA827" s="39"/>
      <c r="AB827" s="39"/>
    </row>
    <row r="828">
      <c r="A828" s="1"/>
      <c r="B828" s="36"/>
      <c r="C828" s="36"/>
      <c r="D828" s="36"/>
      <c r="E828" s="36"/>
      <c r="F828" s="36"/>
      <c r="G828" s="36"/>
      <c r="H828" s="37"/>
      <c r="I828" s="36"/>
      <c r="J828" s="38"/>
      <c r="K828" s="38"/>
      <c r="L828" s="39"/>
      <c r="M828" s="39"/>
      <c r="N828" s="39"/>
      <c r="O828" s="39"/>
      <c r="P828" s="39"/>
      <c r="Q828" s="39"/>
      <c r="R828" s="39"/>
      <c r="S828" s="39"/>
      <c r="T828" s="39"/>
      <c r="U828" s="39"/>
      <c r="V828" s="39"/>
      <c r="W828" s="39"/>
      <c r="X828" s="39"/>
      <c r="Y828" s="39"/>
      <c r="Z828" s="39"/>
      <c r="AA828" s="39"/>
      <c r="AB828" s="39"/>
    </row>
    <row r="829">
      <c r="A829" s="1"/>
      <c r="B829" s="36"/>
      <c r="C829" s="36"/>
      <c r="D829" s="36"/>
      <c r="E829" s="36"/>
      <c r="F829" s="36"/>
      <c r="G829" s="36"/>
      <c r="H829" s="37"/>
      <c r="I829" s="36"/>
      <c r="J829" s="38"/>
      <c r="K829" s="38"/>
      <c r="L829" s="39"/>
      <c r="M829" s="39"/>
      <c r="N829" s="39"/>
      <c r="O829" s="39"/>
      <c r="P829" s="39"/>
      <c r="Q829" s="39"/>
      <c r="R829" s="39"/>
      <c r="S829" s="39"/>
      <c r="T829" s="39"/>
      <c r="U829" s="39"/>
      <c r="V829" s="39"/>
      <c r="W829" s="39"/>
      <c r="X829" s="39"/>
      <c r="Y829" s="39"/>
      <c r="Z829" s="39"/>
      <c r="AA829" s="39"/>
      <c r="AB829" s="39"/>
    </row>
    <row r="830">
      <c r="A830" s="1"/>
      <c r="B830" s="36"/>
      <c r="C830" s="36"/>
      <c r="D830" s="36"/>
      <c r="E830" s="36"/>
      <c r="F830" s="36"/>
      <c r="G830" s="36"/>
      <c r="H830" s="37"/>
      <c r="I830" s="36"/>
      <c r="J830" s="38"/>
      <c r="K830" s="38"/>
      <c r="L830" s="39"/>
      <c r="M830" s="39"/>
      <c r="N830" s="39"/>
      <c r="O830" s="39"/>
      <c r="P830" s="39"/>
      <c r="Q830" s="39"/>
      <c r="R830" s="39"/>
      <c r="S830" s="39"/>
      <c r="T830" s="39"/>
      <c r="U830" s="39"/>
      <c r="V830" s="39"/>
      <c r="W830" s="39"/>
      <c r="X830" s="39"/>
      <c r="Y830" s="39"/>
      <c r="Z830" s="39"/>
      <c r="AA830" s="39"/>
      <c r="AB830" s="39"/>
    </row>
    <row r="831">
      <c r="A831" s="1"/>
      <c r="B831" s="36"/>
      <c r="C831" s="36"/>
      <c r="D831" s="36"/>
      <c r="E831" s="36"/>
      <c r="F831" s="36"/>
      <c r="G831" s="36"/>
      <c r="H831" s="37"/>
      <c r="I831" s="36"/>
      <c r="J831" s="38"/>
      <c r="K831" s="38"/>
      <c r="L831" s="39"/>
      <c r="M831" s="39"/>
      <c r="N831" s="39"/>
      <c r="O831" s="39"/>
      <c r="P831" s="39"/>
      <c r="Q831" s="39"/>
      <c r="R831" s="39"/>
      <c r="S831" s="39"/>
      <c r="T831" s="39"/>
      <c r="U831" s="39"/>
      <c r="V831" s="39"/>
      <c r="W831" s="39"/>
      <c r="X831" s="39"/>
      <c r="Y831" s="39"/>
      <c r="Z831" s="39"/>
      <c r="AA831" s="39"/>
      <c r="AB831" s="39"/>
    </row>
    <row r="832">
      <c r="A832" s="1"/>
      <c r="B832" s="36"/>
      <c r="C832" s="36"/>
      <c r="D832" s="36"/>
      <c r="E832" s="36"/>
      <c r="F832" s="36"/>
      <c r="G832" s="36"/>
      <c r="H832" s="37"/>
      <c r="I832" s="36"/>
      <c r="J832" s="38"/>
      <c r="K832" s="38"/>
      <c r="L832" s="39"/>
      <c r="M832" s="39"/>
      <c r="N832" s="39"/>
      <c r="O832" s="39"/>
      <c r="P832" s="39"/>
      <c r="Q832" s="39"/>
      <c r="R832" s="39"/>
      <c r="S832" s="39"/>
      <c r="T832" s="39"/>
      <c r="U832" s="39"/>
      <c r="V832" s="39"/>
      <c r="W832" s="39"/>
      <c r="X832" s="39"/>
      <c r="Y832" s="39"/>
      <c r="Z832" s="39"/>
      <c r="AA832" s="39"/>
      <c r="AB832" s="39"/>
    </row>
    <row r="833">
      <c r="A833" s="1"/>
      <c r="B833" s="36"/>
      <c r="C833" s="36"/>
      <c r="D833" s="36"/>
      <c r="E833" s="36"/>
      <c r="F833" s="36"/>
      <c r="G833" s="36"/>
      <c r="H833" s="37"/>
      <c r="I833" s="36"/>
      <c r="J833" s="38"/>
      <c r="K833" s="38"/>
      <c r="L833" s="39"/>
      <c r="M833" s="39"/>
      <c r="N833" s="39"/>
      <c r="O833" s="39"/>
      <c r="P833" s="39"/>
      <c r="Q833" s="39"/>
      <c r="R833" s="39"/>
      <c r="S833" s="39"/>
      <c r="T833" s="39"/>
      <c r="U833" s="39"/>
      <c r="V833" s="39"/>
      <c r="W833" s="39"/>
      <c r="X833" s="39"/>
      <c r="Y833" s="39"/>
      <c r="Z833" s="39"/>
      <c r="AA833" s="39"/>
      <c r="AB833" s="39"/>
    </row>
    <row r="834">
      <c r="A834" s="1"/>
      <c r="B834" s="36"/>
      <c r="C834" s="36"/>
      <c r="D834" s="36"/>
      <c r="E834" s="36"/>
      <c r="F834" s="36"/>
      <c r="G834" s="36"/>
      <c r="H834" s="37"/>
      <c r="I834" s="36"/>
      <c r="J834" s="38"/>
      <c r="K834" s="38"/>
      <c r="L834" s="39"/>
      <c r="M834" s="39"/>
      <c r="N834" s="39"/>
      <c r="O834" s="39"/>
      <c r="P834" s="39"/>
      <c r="Q834" s="39"/>
      <c r="R834" s="39"/>
      <c r="S834" s="39"/>
      <c r="T834" s="39"/>
      <c r="U834" s="39"/>
      <c r="V834" s="39"/>
      <c r="W834" s="39"/>
      <c r="X834" s="39"/>
      <c r="Y834" s="39"/>
      <c r="Z834" s="39"/>
      <c r="AA834" s="39"/>
      <c r="AB834" s="39"/>
    </row>
    <row r="835">
      <c r="A835" s="1"/>
      <c r="B835" s="36"/>
      <c r="C835" s="36"/>
      <c r="D835" s="36"/>
      <c r="E835" s="36"/>
      <c r="F835" s="36"/>
      <c r="G835" s="36"/>
      <c r="H835" s="37"/>
      <c r="I835" s="36"/>
      <c r="J835" s="38"/>
      <c r="K835" s="38"/>
      <c r="L835" s="39"/>
      <c r="M835" s="39"/>
      <c r="N835" s="39"/>
      <c r="O835" s="39"/>
      <c r="P835" s="39"/>
      <c r="Q835" s="39"/>
      <c r="R835" s="39"/>
      <c r="S835" s="39"/>
      <c r="T835" s="39"/>
      <c r="U835" s="39"/>
      <c r="V835" s="39"/>
      <c r="W835" s="39"/>
      <c r="X835" s="39"/>
      <c r="Y835" s="39"/>
      <c r="Z835" s="39"/>
      <c r="AA835" s="39"/>
      <c r="AB835" s="39"/>
    </row>
    <row r="836">
      <c r="A836" s="1"/>
      <c r="B836" s="36"/>
      <c r="C836" s="36"/>
      <c r="D836" s="36"/>
      <c r="E836" s="36"/>
      <c r="F836" s="36"/>
      <c r="G836" s="36"/>
      <c r="H836" s="37"/>
      <c r="I836" s="36"/>
      <c r="J836" s="38"/>
      <c r="K836" s="38"/>
      <c r="L836" s="39"/>
      <c r="M836" s="39"/>
      <c r="N836" s="39"/>
      <c r="O836" s="39"/>
      <c r="P836" s="39"/>
      <c r="Q836" s="39"/>
      <c r="R836" s="39"/>
      <c r="S836" s="39"/>
      <c r="T836" s="39"/>
      <c r="U836" s="39"/>
      <c r="V836" s="39"/>
      <c r="W836" s="39"/>
      <c r="X836" s="39"/>
      <c r="Y836" s="39"/>
      <c r="Z836" s="39"/>
      <c r="AA836" s="39"/>
      <c r="AB836" s="39"/>
    </row>
    <row r="837">
      <c r="A837" s="1"/>
      <c r="B837" s="36"/>
      <c r="C837" s="36"/>
      <c r="D837" s="36"/>
      <c r="E837" s="36"/>
      <c r="F837" s="36"/>
      <c r="G837" s="36"/>
      <c r="H837" s="37"/>
      <c r="I837" s="36"/>
      <c r="J837" s="38"/>
      <c r="K837" s="38"/>
      <c r="L837" s="39"/>
      <c r="M837" s="39"/>
      <c r="N837" s="39"/>
      <c r="O837" s="39"/>
      <c r="P837" s="39"/>
      <c r="Q837" s="39"/>
      <c r="R837" s="39"/>
      <c r="S837" s="39"/>
      <c r="T837" s="39"/>
      <c r="U837" s="39"/>
      <c r="V837" s="39"/>
      <c r="W837" s="39"/>
      <c r="X837" s="39"/>
      <c r="Y837" s="39"/>
      <c r="Z837" s="39"/>
      <c r="AA837" s="39"/>
      <c r="AB837" s="39"/>
    </row>
    <row r="838">
      <c r="A838" s="1"/>
      <c r="B838" s="36"/>
      <c r="C838" s="36"/>
      <c r="D838" s="36"/>
      <c r="E838" s="36"/>
      <c r="F838" s="36"/>
      <c r="G838" s="36"/>
      <c r="H838" s="37"/>
      <c r="I838" s="36"/>
      <c r="J838" s="38"/>
      <c r="K838" s="38"/>
      <c r="L838" s="39"/>
      <c r="M838" s="39"/>
      <c r="N838" s="39"/>
      <c r="O838" s="39"/>
      <c r="P838" s="39"/>
      <c r="Q838" s="39"/>
      <c r="R838" s="39"/>
      <c r="S838" s="39"/>
      <c r="T838" s="39"/>
      <c r="U838" s="39"/>
      <c r="V838" s="39"/>
      <c r="W838" s="39"/>
      <c r="X838" s="39"/>
      <c r="Y838" s="39"/>
      <c r="Z838" s="39"/>
      <c r="AA838" s="39"/>
      <c r="AB838" s="39"/>
    </row>
    <row r="839">
      <c r="A839" s="1"/>
      <c r="B839" s="36"/>
      <c r="C839" s="36"/>
      <c r="D839" s="36"/>
      <c r="E839" s="36"/>
      <c r="F839" s="36"/>
      <c r="G839" s="36"/>
      <c r="H839" s="37"/>
      <c r="I839" s="36"/>
      <c r="J839" s="38"/>
      <c r="K839" s="38"/>
      <c r="L839" s="39"/>
      <c r="M839" s="39"/>
      <c r="N839" s="39"/>
      <c r="O839" s="39"/>
      <c r="P839" s="39"/>
      <c r="Q839" s="39"/>
      <c r="R839" s="39"/>
      <c r="S839" s="39"/>
      <c r="T839" s="39"/>
      <c r="U839" s="39"/>
      <c r="V839" s="39"/>
      <c r="W839" s="39"/>
      <c r="X839" s="39"/>
      <c r="Y839" s="39"/>
      <c r="Z839" s="39"/>
      <c r="AA839" s="39"/>
      <c r="AB839" s="39"/>
    </row>
    <row r="840">
      <c r="A840" s="1"/>
      <c r="B840" s="36"/>
      <c r="C840" s="36"/>
      <c r="D840" s="36"/>
      <c r="E840" s="36"/>
      <c r="F840" s="36"/>
      <c r="G840" s="36"/>
      <c r="H840" s="37"/>
      <c r="I840" s="36"/>
      <c r="J840" s="38"/>
      <c r="K840" s="38"/>
      <c r="L840" s="39"/>
      <c r="M840" s="39"/>
      <c r="N840" s="39"/>
      <c r="O840" s="39"/>
      <c r="P840" s="39"/>
      <c r="Q840" s="39"/>
      <c r="R840" s="39"/>
      <c r="S840" s="39"/>
      <c r="T840" s="39"/>
      <c r="U840" s="39"/>
      <c r="V840" s="39"/>
      <c r="W840" s="39"/>
      <c r="X840" s="39"/>
      <c r="Y840" s="39"/>
      <c r="Z840" s="39"/>
      <c r="AA840" s="39"/>
      <c r="AB840" s="39"/>
    </row>
    <row r="841">
      <c r="A841" s="1"/>
      <c r="B841" s="36"/>
      <c r="C841" s="36"/>
      <c r="D841" s="36"/>
      <c r="E841" s="36"/>
      <c r="F841" s="36"/>
      <c r="G841" s="36"/>
      <c r="H841" s="37"/>
      <c r="I841" s="36"/>
      <c r="J841" s="38"/>
      <c r="K841" s="38"/>
      <c r="L841" s="39"/>
      <c r="M841" s="39"/>
      <c r="N841" s="39"/>
      <c r="O841" s="39"/>
      <c r="P841" s="39"/>
      <c r="Q841" s="39"/>
      <c r="R841" s="39"/>
      <c r="S841" s="39"/>
      <c r="T841" s="39"/>
      <c r="U841" s="39"/>
      <c r="V841" s="39"/>
      <c r="W841" s="39"/>
      <c r="X841" s="39"/>
      <c r="Y841" s="39"/>
      <c r="Z841" s="39"/>
      <c r="AA841" s="39"/>
      <c r="AB841" s="39"/>
    </row>
    <row r="842">
      <c r="A842" s="1"/>
      <c r="B842" s="36"/>
      <c r="C842" s="36"/>
      <c r="D842" s="36"/>
      <c r="E842" s="36"/>
      <c r="F842" s="36"/>
      <c r="G842" s="36"/>
      <c r="H842" s="37"/>
      <c r="I842" s="36"/>
      <c r="J842" s="38"/>
      <c r="K842" s="38"/>
      <c r="L842" s="39"/>
      <c r="M842" s="39"/>
      <c r="N842" s="39"/>
      <c r="O842" s="39"/>
      <c r="P842" s="39"/>
      <c r="Q842" s="39"/>
      <c r="R842" s="39"/>
      <c r="S842" s="39"/>
      <c r="T842" s="39"/>
      <c r="U842" s="39"/>
      <c r="V842" s="39"/>
      <c r="W842" s="39"/>
      <c r="X842" s="39"/>
      <c r="Y842" s="39"/>
      <c r="Z842" s="39"/>
      <c r="AA842" s="39"/>
      <c r="AB842" s="39"/>
    </row>
    <row r="843">
      <c r="A843" s="1"/>
      <c r="B843" s="36"/>
      <c r="C843" s="36"/>
      <c r="D843" s="36"/>
      <c r="E843" s="36"/>
      <c r="F843" s="36"/>
      <c r="G843" s="36"/>
      <c r="H843" s="37"/>
      <c r="I843" s="36"/>
      <c r="J843" s="38"/>
      <c r="K843" s="38"/>
      <c r="L843" s="39"/>
      <c r="M843" s="39"/>
      <c r="N843" s="39"/>
      <c r="O843" s="39"/>
      <c r="P843" s="39"/>
      <c r="Q843" s="39"/>
      <c r="R843" s="39"/>
      <c r="S843" s="39"/>
      <c r="T843" s="39"/>
      <c r="U843" s="39"/>
      <c r="V843" s="39"/>
      <c r="W843" s="39"/>
      <c r="X843" s="39"/>
      <c r="Y843" s="39"/>
      <c r="Z843" s="39"/>
      <c r="AA843" s="39"/>
      <c r="AB843" s="39"/>
    </row>
    <row r="844">
      <c r="A844" s="1"/>
      <c r="B844" s="36"/>
      <c r="C844" s="36"/>
      <c r="D844" s="36"/>
      <c r="E844" s="36"/>
      <c r="F844" s="36"/>
      <c r="G844" s="36"/>
      <c r="H844" s="37"/>
      <c r="I844" s="36"/>
      <c r="J844" s="38"/>
      <c r="K844" s="38"/>
      <c r="L844" s="39"/>
      <c r="M844" s="39"/>
      <c r="N844" s="39"/>
      <c r="O844" s="39"/>
      <c r="P844" s="39"/>
      <c r="Q844" s="39"/>
      <c r="R844" s="39"/>
      <c r="S844" s="39"/>
      <c r="T844" s="39"/>
      <c r="U844" s="39"/>
      <c r="V844" s="39"/>
      <c r="W844" s="39"/>
      <c r="X844" s="39"/>
      <c r="Y844" s="39"/>
      <c r="Z844" s="39"/>
      <c r="AA844" s="39"/>
      <c r="AB844" s="39"/>
    </row>
    <row r="845">
      <c r="A845" s="1"/>
      <c r="B845" s="36"/>
      <c r="C845" s="36"/>
      <c r="D845" s="36"/>
      <c r="E845" s="36"/>
      <c r="F845" s="36"/>
      <c r="G845" s="36"/>
      <c r="H845" s="37"/>
      <c r="I845" s="36"/>
      <c r="J845" s="38"/>
      <c r="K845" s="38"/>
      <c r="L845" s="39"/>
      <c r="M845" s="39"/>
      <c r="N845" s="39"/>
      <c r="O845" s="39"/>
      <c r="P845" s="39"/>
      <c r="Q845" s="39"/>
      <c r="R845" s="39"/>
      <c r="S845" s="39"/>
      <c r="T845" s="39"/>
      <c r="U845" s="39"/>
      <c r="V845" s="39"/>
      <c r="W845" s="39"/>
      <c r="X845" s="39"/>
      <c r="Y845" s="39"/>
      <c r="Z845" s="39"/>
      <c r="AA845" s="39"/>
      <c r="AB845" s="39"/>
    </row>
    <row r="846">
      <c r="A846" s="1"/>
      <c r="B846" s="36"/>
      <c r="C846" s="36"/>
      <c r="D846" s="36"/>
      <c r="E846" s="36"/>
      <c r="F846" s="36"/>
      <c r="G846" s="36"/>
      <c r="H846" s="37"/>
      <c r="I846" s="36"/>
      <c r="J846" s="38"/>
      <c r="K846" s="38"/>
      <c r="L846" s="39"/>
      <c r="M846" s="39"/>
      <c r="N846" s="39"/>
      <c r="O846" s="39"/>
      <c r="P846" s="39"/>
      <c r="Q846" s="39"/>
      <c r="R846" s="39"/>
      <c r="S846" s="39"/>
      <c r="T846" s="39"/>
      <c r="U846" s="39"/>
      <c r="V846" s="39"/>
      <c r="W846" s="39"/>
      <c r="X846" s="39"/>
      <c r="Y846" s="39"/>
      <c r="Z846" s="39"/>
      <c r="AA846" s="39"/>
      <c r="AB846" s="39"/>
    </row>
    <row r="847">
      <c r="A847" s="1"/>
      <c r="B847" s="36"/>
      <c r="C847" s="36"/>
      <c r="D847" s="36"/>
      <c r="E847" s="36"/>
      <c r="F847" s="36"/>
      <c r="G847" s="36"/>
      <c r="H847" s="37"/>
      <c r="I847" s="36"/>
      <c r="J847" s="38"/>
      <c r="K847" s="38"/>
      <c r="L847" s="39"/>
      <c r="M847" s="39"/>
      <c r="N847" s="39"/>
      <c r="O847" s="39"/>
      <c r="P847" s="39"/>
      <c r="Q847" s="39"/>
      <c r="R847" s="39"/>
      <c r="S847" s="39"/>
      <c r="T847" s="39"/>
      <c r="U847" s="39"/>
      <c r="V847" s="39"/>
      <c r="W847" s="39"/>
      <c r="X847" s="39"/>
      <c r="Y847" s="39"/>
      <c r="Z847" s="39"/>
      <c r="AA847" s="39"/>
      <c r="AB847" s="39"/>
    </row>
    <row r="848">
      <c r="A848" s="1"/>
      <c r="B848" s="36"/>
      <c r="C848" s="36"/>
      <c r="D848" s="36"/>
      <c r="E848" s="36"/>
      <c r="F848" s="36"/>
      <c r="G848" s="36"/>
      <c r="H848" s="37"/>
      <c r="I848" s="36"/>
      <c r="J848" s="38"/>
      <c r="K848" s="38"/>
      <c r="L848" s="39"/>
      <c r="M848" s="39"/>
      <c r="N848" s="39"/>
      <c r="O848" s="39"/>
      <c r="P848" s="39"/>
      <c r="Q848" s="39"/>
      <c r="R848" s="39"/>
      <c r="S848" s="39"/>
      <c r="T848" s="39"/>
      <c r="U848" s="39"/>
      <c r="V848" s="39"/>
      <c r="W848" s="39"/>
      <c r="X848" s="39"/>
      <c r="Y848" s="39"/>
      <c r="Z848" s="39"/>
      <c r="AA848" s="39"/>
      <c r="AB848" s="39"/>
    </row>
    <row r="849">
      <c r="A849" s="1"/>
      <c r="B849" s="36"/>
      <c r="C849" s="36"/>
      <c r="D849" s="36"/>
      <c r="E849" s="36"/>
      <c r="F849" s="36"/>
      <c r="G849" s="36"/>
      <c r="H849" s="37"/>
      <c r="I849" s="36"/>
      <c r="J849" s="38"/>
      <c r="K849" s="38"/>
      <c r="L849" s="39"/>
      <c r="M849" s="39"/>
      <c r="N849" s="39"/>
      <c r="O849" s="39"/>
      <c r="P849" s="39"/>
      <c r="Q849" s="39"/>
      <c r="R849" s="39"/>
      <c r="S849" s="39"/>
      <c r="T849" s="39"/>
      <c r="U849" s="39"/>
      <c r="V849" s="39"/>
      <c r="W849" s="39"/>
      <c r="X849" s="39"/>
      <c r="Y849" s="39"/>
      <c r="Z849" s="39"/>
      <c r="AA849" s="39"/>
      <c r="AB849" s="39"/>
    </row>
    <row r="850">
      <c r="A850" s="1"/>
      <c r="B850" s="36"/>
      <c r="C850" s="36"/>
      <c r="D850" s="36"/>
      <c r="E850" s="36"/>
      <c r="F850" s="36"/>
      <c r="G850" s="36"/>
      <c r="H850" s="37"/>
      <c r="I850" s="36"/>
      <c r="J850" s="38"/>
      <c r="K850" s="38"/>
      <c r="L850" s="39"/>
      <c r="M850" s="39"/>
      <c r="N850" s="39"/>
      <c r="O850" s="39"/>
      <c r="P850" s="39"/>
      <c r="Q850" s="39"/>
      <c r="R850" s="39"/>
      <c r="S850" s="39"/>
      <c r="T850" s="39"/>
      <c r="U850" s="39"/>
      <c r="V850" s="39"/>
      <c r="W850" s="39"/>
      <c r="X850" s="39"/>
      <c r="Y850" s="39"/>
      <c r="Z850" s="39"/>
      <c r="AA850" s="39"/>
      <c r="AB850" s="39"/>
    </row>
    <row r="851">
      <c r="A851" s="1"/>
      <c r="B851" s="36"/>
      <c r="C851" s="36"/>
      <c r="D851" s="36"/>
      <c r="E851" s="36"/>
      <c r="F851" s="36"/>
      <c r="G851" s="36"/>
      <c r="H851" s="37"/>
      <c r="I851" s="36"/>
      <c r="J851" s="38"/>
      <c r="K851" s="38"/>
      <c r="L851" s="39"/>
      <c r="M851" s="39"/>
      <c r="N851" s="39"/>
      <c r="O851" s="39"/>
      <c r="P851" s="39"/>
      <c r="Q851" s="39"/>
      <c r="R851" s="39"/>
      <c r="S851" s="39"/>
      <c r="T851" s="39"/>
      <c r="U851" s="39"/>
      <c r="V851" s="39"/>
      <c r="W851" s="39"/>
      <c r="X851" s="39"/>
      <c r="Y851" s="39"/>
      <c r="Z851" s="39"/>
      <c r="AA851" s="39"/>
      <c r="AB851" s="39"/>
    </row>
    <row r="852">
      <c r="A852" s="1"/>
      <c r="B852" s="36"/>
      <c r="C852" s="36"/>
      <c r="D852" s="36"/>
      <c r="E852" s="36"/>
      <c r="F852" s="36"/>
      <c r="G852" s="36"/>
      <c r="H852" s="37"/>
      <c r="I852" s="36"/>
      <c r="J852" s="38"/>
      <c r="K852" s="38"/>
      <c r="L852" s="39"/>
      <c r="M852" s="39"/>
      <c r="N852" s="39"/>
      <c r="O852" s="39"/>
      <c r="P852" s="39"/>
      <c r="Q852" s="39"/>
      <c r="R852" s="39"/>
      <c r="S852" s="39"/>
      <c r="T852" s="39"/>
      <c r="U852" s="39"/>
      <c r="V852" s="39"/>
      <c r="W852" s="39"/>
      <c r="X852" s="39"/>
      <c r="Y852" s="39"/>
      <c r="Z852" s="39"/>
      <c r="AA852" s="39"/>
      <c r="AB852" s="39"/>
    </row>
    <row r="853">
      <c r="A853" s="1"/>
      <c r="B853" s="36"/>
      <c r="C853" s="36"/>
      <c r="D853" s="36"/>
      <c r="E853" s="36"/>
      <c r="F853" s="36"/>
      <c r="G853" s="36"/>
      <c r="H853" s="37"/>
      <c r="I853" s="36"/>
      <c r="J853" s="38"/>
      <c r="K853" s="38"/>
      <c r="L853" s="39"/>
      <c r="M853" s="39"/>
      <c r="N853" s="39"/>
      <c r="O853" s="39"/>
      <c r="P853" s="39"/>
      <c r="Q853" s="39"/>
      <c r="R853" s="39"/>
      <c r="S853" s="39"/>
      <c r="T853" s="39"/>
      <c r="U853" s="39"/>
      <c r="V853" s="39"/>
      <c r="W853" s="39"/>
      <c r="X853" s="39"/>
      <c r="Y853" s="39"/>
      <c r="Z853" s="39"/>
      <c r="AA853" s="39"/>
      <c r="AB853" s="39"/>
    </row>
    <row r="854">
      <c r="A854" s="1"/>
      <c r="B854" s="36"/>
      <c r="C854" s="36"/>
      <c r="D854" s="36"/>
      <c r="E854" s="36"/>
      <c r="F854" s="36"/>
      <c r="G854" s="36"/>
      <c r="H854" s="37"/>
      <c r="I854" s="36"/>
      <c r="J854" s="38"/>
      <c r="K854" s="38"/>
      <c r="L854" s="39"/>
      <c r="M854" s="39"/>
      <c r="N854" s="39"/>
      <c r="O854" s="39"/>
      <c r="P854" s="39"/>
      <c r="Q854" s="39"/>
      <c r="R854" s="39"/>
      <c r="S854" s="39"/>
      <c r="T854" s="39"/>
      <c r="U854" s="39"/>
      <c r="V854" s="39"/>
      <c r="W854" s="39"/>
      <c r="X854" s="39"/>
      <c r="Y854" s="39"/>
      <c r="Z854" s="39"/>
      <c r="AA854" s="39"/>
      <c r="AB854" s="39"/>
    </row>
    <row r="855">
      <c r="A855" s="1"/>
      <c r="B855" s="36"/>
      <c r="C855" s="36"/>
      <c r="D855" s="36"/>
      <c r="E855" s="36"/>
      <c r="F855" s="36"/>
      <c r="G855" s="36"/>
      <c r="H855" s="37"/>
      <c r="I855" s="36"/>
      <c r="J855" s="38"/>
      <c r="K855" s="38"/>
      <c r="L855" s="39"/>
      <c r="M855" s="39"/>
      <c r="N855" s="39"/>
      <c r="O855" s="39"/>
      <c r="P855" s="39"/>
      <c r="Q855" s="39"/>
      <c r="R855" s="39"/>
      <c r="S855" s="39"/>
      <c r="T855" s="39"/>
      <c r="U855" s="39"/>
      <c r="V855" s="39"/>
      <c r="W855" s="39"/>
      <c r="X855" s="39"/>
      <c r="Y855" s="39"/>
      <c r="Z855" s="39"/>
      <c r="AA855" s="39"/>
      <c r="AB855" s="39"/>
    </row>
    <row r="856">
      <c r="A856" s="1"/>
      <c r="B856" s="36"/>
      <c r="C856" s="36"/>
      <c r="D856" s="36"/>
      <c r="E856" s="36"/>
      <c r="F856" s="36"/>
      <c r="G856" s="36"/>
      <c r="H856" s="37"/>
      <c r="I856" s="36"/>
      <c r="J856" s="38"/>
      <c r="K856" s="38"/>
      <c r="L856" s="39"/>
      <c r="M856" s="39"/>
      <c r="N856" s="39"/>
      <c r="O856" s="39"/>
      <c r="P856" s="39"/>
      <c r="Q856" s="39"/>
      <c r="R856" s="39"/>
      <c r="S856" s="39"/>
      <c r="T856" s="39"/>
      <c r="U856" s="39"/>
      <c r="V856" s="39"/>
      <c r="W856" s="39"/>
      <c r="X856" s="39"/>
      <c r="Y856" s="39"/>
      <c r="Z856" s="39"/>
      <c r="AA856" s="39"/>
      <c r="AB856" s="39"/>
    </row>
    <row r="857">
      <c r="A857" s="1"/>
      <c r="B857" s="36"/>
      <c r="C857" s="36"/>
      <c r="D857" s="36"/>
      <c r="E857" s="36"/>
      <c r="F857" s="36"/>
      <c r="G857" s="36"/>
      <c r="H857" s="37"/>
      <c r="I857" s="36"/>
      <c r="J857" s="38"/>
      <c r="K857" s="38"/>
      <c r="L857" s="39"/>
      <c r="M857" s="39"/>
      <c r="N857" s="39"/>
      <c r="O857" s="39"/>
      <c r="P857" s="39"/>
      <c r="Q857" s="39"/>
      <c r="R857" s="39"/>
      <c r="S857" s="39"/>
      <c r="T857" s="39"/>
      <c r="U857" s="39"/>
      <c r="V857" s="39"/>
      <c r="W857" s="39"/>
      <c r="X857" s="39"/>
      <c r="Y857" s="39"/>
      <c r="Z857" s="39"/>
      <c r="AA857" s="39"/>
      <c r="AB857" s="39"/>
    </row>
    <row r="858">
      <c r="A858" s="1"/>
      <c r="B858" s="36"/>
      <c r="C858" s="36"/>
      <c r="D858" s="36"/>
      <c r="E858" s="36"/>
      <c r="F858" s="36"/>
      <c r="G858" s="36"/>
      <c r="H858" s="37"/>
      <c r="I858" s="36"/>
      <c r="J858" s="38"/>
      <c r="K858" s="38"/>
      <c r="L858" s="39"/>
      <c r="M858" s="39"/>
      <c r="N858" s="39"/>
      <c r="O858" s="39"/>
      <c r="P858" s="39"/>
      <c r="Q858" s="39"/>
      <c r="R858" s="39"/>
      <c r="S858" s="39"/>
      <c r="T858" s="39"/>
      <c r="U858" s="39"/>
      <c r="V858" s="39"/>
      <c r="W858" s="39"/>
      <c r="X858" s="39"/>
      <c r="Y858" s="39"/>
      <c r="Z858" s="39"/>
      <c r="AA858" s="39"/>
      <c r="AB858" s="39"/>
    </row>
    <row r="859">
      <c r="A859" s="1"/>
      <c r="B859" s="36"/>
      <c r="C859" s="36"/>
      <c r="D859" s="36"/>
      <c r="E859" s="36"/>
      <c r="F859" s="36"/>
      <c r="G859" s="36"/>
      <c r="H859" s="37"/>
      <c r="I859" s="36"/>
      <c r="J859" s="38"/>
      <c r="K859" s="38"/>
      <c r="L859" s="39"/>
      <c r="M859" s="39"/>
      <c r="N859" s="39"/>
      <c r="O859" s="39"/>
      <c r="P859" s="39"/>
      <c r="Q859" s="39"/>
      <c r="R859" s="39"/>
      <c r="S859" s="39"/>
      <c r="T859" s="39"/>
      <c r="U859" s="39"/>
      <c r="V859" s="39"/>
      <c r="W859" s="39"/>
      <c r="X859" s="39"/>
      <c r="Y859" s="39"/>
      <c r="Z859" s="39"/>
      <c r="AA859" s="39"/>
      <c r="AB859" s="39"/>
    </row>
    <row r="860">
      <c r="A860" s="1"/>
      <c r="B860" s="36"/>
      <c r="C860" s="36"/>
      <c r="D860" s="36"/>
      <c r="E860" s="36"/>
      <c r="F860" s="36"/>
      <c r="G860" s="36"/>
      <c r="H860" s="37"/>
      <c r="I860" s="36"/>
      <c r="J860" s="38"/>
      <c r="K860" s="38"/>
      <c r="L860" s="39"/>
      <c r="M860" s="39"/>
      <c r="N860" s="39"/>
      <c r="O860" s="39"/>
      <c r="P860" s="39"/>
      <c r="Q860" s="39"/>
      <c r="R860" s="39"/>
      <c r="S860" s="39"/>
      <c r="T860" s="39"/>
      <c r="U860" s="39"/>
      <c r="V860" s="39"/>
      <c r="W860" s="39"/>
      <c r="X860" s="39"/>
      <c r="Y860" s="39"/>
      <c r="Z860" s="39"/>
      <c r="AA860" s="39"/>
      <c r="AB860" s="39"/>
    </row>
    <row r="861">
      <c r="A861" s="1"/>
      <c r="B861" s="36"/>
      <c r="C861" s="36"/>
      <c r="D861" s="36"/>
      <c r="E861" s="36"/>
      <c r="F861" s="36"/>
      <c r="G861" s="36"/>
      <c r="H861" s="37"/>
      <c r="I861" s="36"/>
      <c r="J861" s="38"/>
      <c r="K861" s="38"/>
      <c r="L861" s="39"/>
      <c r="M861" s="39"/>
      <c r="N861" s="39"/>
      <c r="O861" s="39"/>
      <c r="P861" s="39"/>
      <c r="Q861" s="39"/>
      <c r="R861" s="39"/>
      <c r="S861" s="39"/>
      <c r="T861" s="39"/>
      <c r="U861" s="39"/>
      <c r="V861" s="39"/>
      <c r="W861" s="39"/>
      <c r="X861" s="39"/>
      <c r="Y861" s="39"/>
      <c r="Z861" s="39"/>
      <c r="AA861" s="39"/>
      <c r="AB861" s="39"/>
    </row>
    <row r="862">
      <c r="A862" s="1"/>
      <c r="B862" s="36"/>
      <c r="C862" s="36"/>
      <c r="D862" s="36"/>
      <c r="E862" s="36"/>
      <c r="F862" s="36"/>
      <c r="G862" s="36"/>
      <c r="H862" s="37"/>
      <c r="I862" s="36"/>
      <c r="J862" s="38"/>
      <c r="K862" s="38"/>
      <c r="L862" s="39"/>
      <c r="M862" s="39"/>
      <c r="N862" s="39"/>
      <c r="O862" s="39"/>
      <c r="P862" s="39"/>
      <c r="Q862" s="39"/>
      <c r="R862" s="39"/>
      <c r="S862" s="39"/>
      <c r="T862" s="39"/>
      <c r="U862" s="39"/>
      <c r="V862" s="39"/>
      <c r="W862" s="39"/>
      <c r="X862" s="39"/>
      <c r="Y862" s="39"/>
      <c r="Z862" s="39"/>
      <c r="AA862" s="39"/>
      <c r="AB862" s="39"/>
    </row>
    <row r="863">
      <c r="A863" s="1"/>
      <c r="B863" s="36"/>
      <c r="C863" s="36"/>
      <c r="D863" s="36"/>
      <c r="E863" s="36"/>
      <c r="F863" s="36"/>
      <c r="G863" s="36"/>
      <c r="H863" s="37"/>
      <c r="I863" s="36"/>
      <c r="J863" s="38"/>
      <c r="K863" s="38"/>
      <c r="L863" s="39"/>
      <c r="M863" s="39"/>
      <c r="N863" s="39"/>
      <c r="O863" s="39"/>
      <c r="P863" s="39"/>
      <c r="Q863" s="39"/>
      <c r="R863" s="39"/>
      <c r="S863" s="39"/>
      <c r="T863" s="39"/>
      <c r="U863" s="39"/>
      <c r="V863" s="39"/>
      <c r="W863" s="39"/>
      <c r="X863" s="39"/>
      <c r="Y863" s="39"/>
      <c r="Z863" s="39"/>
      <c r="AA863" s="39"/>
      <c r="AB863" s="39"/>
    </row>
    <row r="864">
      <c r="A864" s="1"/>
      <c r="B864" s="36"/>
      <c r="C864" s="36"/>
      <c r="D864" s="36"/>
      <c r="E864" s="36"/>
      <c r="F864" s="36"/>
      <c r="G864" s="36"/>
      <c r="H864" s="37"/>
      <c r="I864" s="36"/>
      <c r="J864" s="38"/>
      <c r="K864" s="38"/>
      <c r="L864" s="39"/>
      <c r="M864" s="39"/>
      <c r="N864" s="39"/>
      <c r="O864" s="39"/>
      <c r="P864" s="39"/>
      <c r="Q864" s="39"/>
      <c r="R864" s="39"/>
      <c r="S864" s="39"/>
      <c r="T864" s="39"/>
      <c r="U864" s="39"/>
      <c r="V864" s="39"/>
      <c r="W864" s="39"/>
      <c r="X864" s="39"/>
      <c r="Y864" s="39"/>
      <c r="Z864" s="39"/>
      <c r="AA864" s="39"/>
      <c r="AB864" s="39"/>
    </row>
    <row r="865">
      <c r="A865" s="1"/>
      <c r="B865" s="36"/>
      <c r="C865" s="36"/>
      <c r="D865" s="36"/>
      <c r="E865" s="36"/>
      <c r="F865" s="36"/>
      <c r="G865" s="36"/>
      <c r="H865" s="37"/>
      <c r="I865" s="36"/>
      <c r="J865" s="38"/>
      <c r="K865" s="38"/>
      <c r="L865" s="39"/>
      <c r="M865" s="39"/>
      <c r="N865" s="39"/>
      <c r="O865" s="39"/>
      <c r="P865" s="39"/>
      <c r="Q865" s="39"/>
      <c r="R865" s="39"/>
      <c r="S865" s="39"/>
      <c r="T865" s="39"/>
      <c r="U865" s="39"/>
      <c r="V865" s="39"/>
      <c r="W865" s="39"/>
      <c r="X865" s="39"/>
      <c r="Y865" s="39"/>
      <c r="Z865" s="39"/>
      <c r="AA865" s="39"/>
      <c r="AB865" s="39"/>
    </row>
    <row r="866">
      <c r="A866" s="1"/>
      <c r="B866" s="36"/>
      <c r="C866" s="36"/>
      <c r="D866" s="36"/>
      <c r="E866" s="36"/>
      <c r="F866" s="36"/>
      <c r="G866" s="36"/>
      <c r="H866" s="37"/>
      <c r="I866" s="36"/>
      <c r="J866" s="38"/>
      <c r="K866" s="38"/>
      <c r="L866" s="39"/>
      <c r="M866" s="39"/>
      <c r="N866" s="39"/>
      <c r="O866" s="39"/>
      <c r="P866" s="39"/>
      <c r="Q866" s="39"/>
      <c r="R866" s="39"/>
      <c r="S866" s="39"/>
      <c r="T866" s="39"/>
      <c r="U866" s="39"/>
      <c r="V866" s="39"/>
      <c r="W866" s="39"/>
      <c r="X866" s="39"/>
      <c r="Y866" s="39"/>
      <c r="Z866" s="39"/>
      <c r="AA866" s="39"/>
      <c r="AB866" s="39"/>
    </row>
    <row r="867">
      <c r="A867" s="1"/>
      <c r="B867" s="36"/>
      <c r="C867" s="36"/>
      <c r="D867" s="36"/>
      <c r="E867" s="36"/>
      <c r="F867" s="36"/>
      <c r="G867" s="36"/>
      <c r="H867" s="37"/>
      <c r="I867" s="36"/>
      <c r="J867" s="38"/>
      <c r="K867" s="38"/>
      <c r="L867" s="39"/>
      <c r="M867" s="39"/>
      <c r="N867" s="39"/>
      <c r="O867" s="39"/>
      <c r="P867" s="39"/>
      <c r="Q867" s="39"/>
      <c r="R867" s="39"/>
      <c r="S867" s="39"/>
      <c r="T867" s="39"/>
      <c r="U867" s="39"/>
      <c r="V867" s="39"/>
      <c r="W867" s="39"/>
      <c r="X867" s="39"/>
      <c r="Y867" s="39"/>
      <c r="Z867" s="39"/>
      <c r="AA867" s="39"/>
      <c r="AB867" s="39"/>
    </row>
    <row r="868">
      <c r="A868" s="1"/>
      <c r="B868" s="36"/>
      <c r="C868" s="36"/>
      <c r="D868" s="36"/>
      <c r="E868" s="36"/>
      <c r="F868" s="36"/>
      <c r="G868" s="36"/>
      <c r="H868" s="37"/>
      <c r="I868" s="36"/>
      <c r="J868" s="38"/>
      <c r="K868" s="38"/>
      <c r="L868" s="39"/>
      <c r="M868" s="39"/>
      <c r="N868" s="39"/>
      <c r="O868" s="39"/>
      <c r="P868" s="39"/>
      <c r="Q868" s="39"/>
      <c r="R868" s="39"/>
      <c r="S868" s="39"/>
      <c r="T868" s="39"/>
      <c r="U868" s="39"/>
      <c r="V868" s="39"/>
      <c r="W868" s="39"/>
      <c r="X868" s="39"/>
      <c r="Y868" s="39"/>
      <c r="Z868" s="39"/>
      <c r="AA868" s="39"/>
      <c r="AB868" s="39"/>
    </row>
    <row r="869">
      <c r="A869" s="1"/>
      <c r="B869" s="36"/>
      <c r="C869" s="36"/>
      <c r="D869" s="36"/>
      <c r="E869" s="36"/>
      <c r="F869" s="36"/>
      <c r="G869" s="36"/>
      <c r="H869" s="37"/>
      <c r="I869" s="36"/>
      <c r="J869" s="38"/>
      <c r="K869" s="38"/>
      <c r="L869" s="39"/>
      <c r="M869" s="39"/>
      <c r="N869" s="39"/>
      <c r="O869" s="39"/>
      <c r="P869" s="39"/>
      <c r="Q869" s="39"/>
      <c r="R869" s="39"/>
      <c r="S869" s="39"/>
      <c r="T869" s="39"/>
      <c r="U869" s="39"/>
      <c r="V869" s="39"/>
      <c r="W869" s="39"/>
      <c r="X869" s="39"/>
      <c r="Y869" s="39"/>
      <c r="Z869" s="39"/>
      <c r="AA869" s="39"/>
      <c r="AB869" s="39"/>
    </row>
    <row r="870">
      <c r="A870" s="1"/>
      <c r="B870" s="36"/>
      <c r="C870" s="36"/>
      <c r="D870" s="36"/>
      <c r="E870" s="36"/>
      <c r="F870" s="36"/>
      <c r="G870" s="36"/>
      <c r="H870" s="37"/>
      <c r="I870" s="36"/>
      <c r="J870" s="38"/>
      <c r="K870" s="38"/>
      <c r="L870" s="39"/>
      <c r="M870" s="39"/>
      <c r="N870" s="39"/>
      <c r="O870" s="39"/>
      <c r="P870" s="39"/>
      <c r="Q870" s="39"/>
      <c r="R870" s="39"/>
      <c r="S870" s="39"/>
      <c r="T870" s="39"/>
      <c r="U870" s="39"/>
      <c r="V870" s="39"/>
      <c r="W870" s="39"/>
      <c r="X870" s="39"/>
      <c r="Y870" s="39"/>
      <c r="Z870" s="39"/>
      <c r="AA870" s="39"/>
      <c r="AB870" s="39"/>
    </row>
    <row r="871">
      <c r="A871" s="1"/>
      <c r="B871" s="36"/>
      <c r="C871" s="36"/>
      <c r="D871" s="36"/>
      <c r="E871" s="36"/>
      <c r="F871" s="36"/>
      <c r="G871" s="36"/>
      <c r="H871" s="37"/>
      <c r="I871" s="36"/>
      <c r="J871" s="38"/>
      <c r="K871" s="38"/>
      <c r="L871" s="39"/>
      <c r="M871" s="39"/>
      <c r="N871" s="39"/>
      <c r="O871" s="39"/>
      <c r="P871" s="39"/>
      <c r="Q871" s="39"/>
      <c r="R871" s="39"/>
      <c r="S871" s="39"/>
      <c r="T871" s="39"/>
      <c r="U871" s="39"/>
      <c r="V871" s="39"/>
      <c r="W871" s="39"/>
      <c r="X871" s="39"/>
      <c r="Y871" s="39"/>
      <c r="Z871" s="39"/>
      <c r="AA871" s="39"/>
      <c r="AB871" s="39"/>
    </row>
    <row r="872">
      <c r="A872" s="1"/>
      <c r="B872" s="36"/>
      <c r="C872" s="36"/>
      <c r="D872" s="36"/>
      <c r="E872" s="36"/>
      <c r="F872" s="36"/>
      <c r="G872" s="36"/>
      <c r="H872" s="37"/>
      <c r="I872" s="36"/>
      <c r="J872" s="38"/>
      <c r="K872" s="38"/>
      <c r="L872" s="39"/>
      <c r="M872" s="39"/>
      <c r="N872" s="39"/>
      <c r="O872" s="39"/>
      <c r="P872" s="39"/>
      <c r="Q872" s="39"/>
      <c r="R872" s="39"/>
      <c r="S872" s="39"/>
      <c r="T872" s="39"/>
      <c r="U872" s="39"/>
      <c r="V872" s="39"/>
      <c r="W872" s="39"/>
      <c r="X872" s="39"/>
      <c r="Y872" s="39"/>
      <c r="Z872" s="39"/>
      <c r="AA872" s="39"/>
      <c r="AB872" s="39"/>
    </row>
    <row r="873">
      <c r="A873" s="1"/>
      <c r="B873" s="36"/>
      <c r="C873" s="36"/>
      <c r="D873" s="36"/>
      <c r="E873" s="36"/>
      <c r="F873" s="36"/>
      <c r="G873" s="36"/>
      <c r="H873" s="37"/>
      <c r="I873" s="36"/>
      <c r="J873" s="38"/>
      <c r="K873" s="38"/>
      <c r="L873" s="39"/>
      <c r="M873" s="39"/>
      <c r="N873" s="39"/>
      <c r="O873" s="39"/>
      <c r="P873" s="39"/>
      <c r="Q873" s="39"/>
      <c r="R873" s="39"/>
      <c r="S873" s="39"/>
      <c r="T873" s="39"/>
      <c r="U873" s="39"/>
      <c r="V873" s="39"/>
      <c r="W873" s="39"/>
      <c r="X873" s="39"/>
      <c r="Y873" s="39"/>
      <c r="Z873" s="39"/>
      <c r="AA873" s="39"/>
      <c r="AB873" s="39"/>
    </row>
    <row r="874">
      <c r="A874" s="1"/>
      <c r="B874" s="36"/>
      <c r="C874" s="36"/>
      <c r="D874" s="36"/>
      <c r="E874" s="36"/>
      <c r="F874" s="36"/>
      <c r="G874" s="36"/>
      <c r="H874" s="37"/>
      <c r="I874" s="36"/>
      <c r="J874" s="38"/>
      <c r="K874" s="38"/>
      <c r="L874" s="39"/>
      <c r="M874" s="39"/>
      <c r="N874" s="39"/>
      <c r="O874" s="39"/>
      <c r="P874" s="39"/>
      <c r="Q874" s="39"/>
      <c r="R874" s="39"/>
      <c r="S874" s="39"/>
      <c r="T874" s="39"/>
      <c r="U874" s="39"/>
      <c r="V874" s="39"/>
      <c r="W874" s="39"/>
      <c r="X874" s="39"/>
      <c r="Y874" s="39"/>
      <c r="Z874" s="39"/>
      <c r="AA874" s="39"/>
      <c r="AB874" s="39"/>
    </row>
    <row r="875">
      <c r="A875" s="1"/>
      <c r="B875" s="36"/>
      <c r="C875" s="36"/>
      <c r="D875" s="36"/>
      <c r="E875" s="36"/>
      <c r="F875" s="36"/>
      <c r="G875" s="36"/>
      <c r="H875" s="37"/>
      <c r="I875" s="36"/>
      <c r="J875" s="38"/>
      <c r="K875" s="38"/>
      <c r="L875" s="39"/>
      <c r="M875" s="39"/>
      <c r="N875" s="39"/>
      <c r="O875" s="39"/>
      <c r="P875" s="39"/>
      <c r="Q875" s="39"/>
      <c r="R875" s="39"/>
      <c r="S875" s="39"/>
      <c r="T875" s="39"/>
      <c r="U875" s="39"/>
      <c r="V875" s="39"/>
      <c r="W875" s="39"/>
      <c r="X875" s="39"/>
      <c r="Y875" s="39"/>
      <c r="Z875" s="39"/>
      <c r="AA875" s="39"/>
      <c r="AB875" s="39"/>
    </row>
    <row r="876">
      <c r="A876" s="1"/>
      <c r="B876" s="36"/>
      <c r="C876" s="36"/>
      <c r="D876" s="36"/>
      <c r="E876" s="36"/>
      <c r="F876" s="36"/>
      <c r="G876" s="36"/>
      <c r="H876" s="37"/>
      <c r="I876" s="36"/>
      <c r="J876" s="38"/>
      <c r="K876" s="38"/>
      <c r="L876" s="39"/>
      <c r="M876" s="39"/>
      <c r="N876" s="39"/>
      <c r="O876" s="39"/>
      <c r="P876" s="39"/>
      <c r="Q876" s="39"/>
      <c r="R876" s="39"/>
      <c r="S876" s="39"/>
      <c r="T876" s="39"/>
      <c r="U876" s="39"/>
      <c r="V876" s="39"/>
      <c r="W876" s="39"/>
      <c r="X876" s="39"/>
      <c r="Y876" s="39"/>
      <c r="Z876" s="39"/>
      <c r="AA876" s="39"/>
      <c r="AB876" s="39"/>
    </row>
    <row r="877">
      <c r="A877" s="1"/>
      <c r="B877" s="36"/>
      <c r="C877" s="36"/>
      <c r="D877" s="36"/>
      <c r="E877" s="36"/>
      <c r="F877" s="36"/>
      <c r="G877" s="36"/>
      <c r="H877" s="37"/>
      <c r="I877" s="36"/>
      <c r="J877" s="38"/>
      <c r="K877" s="38"/>
      <c r="L877" s="39"/>
      <c r="M877" s="39"/>
      <c r="N877" s="39"/>
      <c r="O877" s="39"/>
      <c r="P877" s="39"/>
      <c r="Q877" s="39"/>
      <c r="R877" s="39"/>
      <c r="S877" s="39"/>
      <c r="T877" s="39"/>
      <c r="U877" s="39"/>
      <c r="V877" s="39"/>
      <c r="W877" s="39"/>
      <c r="X877" s="39"/>
      <c r="Y877" s="39"/>
      <c r="Z877" s="39"/>
      <c r="AA877" s="39"/>
      <c r="AB877" s="39"/>
    </row>
    <row r="878">
      <c r="A878" s="1"/>
      <c r="B878" s="36"/>
      <c r="C878" s="36"/>
      <c r="D878" s="36"/>
      <c r="E878" s="36"/>
      <c r="F878" s="36"/>
      <c r="G878" s="36"/>
      <c r="H878" s="37"/>
      <c r="I878" s="36"/>
      <c r="J878" s="38"/>
      <c r="K878" s="38"/>
      <c r="L878" s="39"/>
      <c r="M878" s="39"/>
      <c r="N878" s="39"/>
      <c r="O878" s="39"/>
      <c r="P878" s="39"/>
      <c r="Q878" s="39"/>
      <c r="R878" s="39"/>
      <c r="S878" s="39"/>
      <c r="T878" s="39"/>
      <c r="U878" s="39"/>
      <c r="V878" s="39"/>
      <c r="W878" s="39"/>
      <c r="X878" s="39"/>
      <c r="Y878" s="39"/>
      <c r="Z878" s="39"/>
      <c r="AA878" s="39"/>
      <c r="AB878" s="39"/>
    </row>
    <row r="879">
      <c r="A879" s="1"/>
      <c r="B879" s="36"/>
      <c r="C879" s="36"/>
      <c r="D879" s="36"/>
      <c r="E879" s="36"/>
      <c r="F879" s="36"/>
      <c r="G879" s="36"/>
      <c r="H879" s="37"/>
      <c r="I879" s="36"/>
      <c r="J879" s="38"/>
      <c r="K879" s="38"/>
      <c r="L879" s="39"/>
      <c r="M879" s="39"/>
      <c r="N879" s="39"/>
      <c r="O879" s="39"/>
      <c r="P879" s="39"/>
      <c r="Q879" s="39"/>
      <c r="R879" s="39"/>
      <c r="S879" s="39"/>
      <c r="T879" s="39"/>
      <c r="U879" s="39"/>
      <c r="V879" s="39"/>
      <c r="W879" s="39"/>
      <c r="X879" s="39"/>
      <c r="Y879" s="39"/>
      <c r="Z879" s="39"/>
      <c r="AA879" s="39"/>
      <c r="AB879" s="39"/>
    </row>
    <row r="880">
      <c r="A880" s="1"/>
      <c r="B880" s="36"/>
      <c r="C880" s="36"/>
      <c r="D880" s="36"/>
      <c r="E880" s="36"/>
      <c r="F880" s="36"/>
      <c r="G880" s="36"/>
      <c r="H880" s="37"/>
      <c r="I880" s="36"/>
      <c r="J880" s="38"/>
      <c r="K880" s="38"/>
      <c r="L880" s="39"/>
      <c r="M880" s="39"/>
      <c r="N880" s="39"/>
      <c r="O880" s="39"/>
      <c r="P880" s="39"/>
      <c r="Q880" s="39"/>
      <c r="R880" s="39"/>
      <c r="S880" s="39"/>
      <c r="T880" s="39"/>
      <c r="U880" s="39"/>
      <c r="V880" s="39"/>
      <c r="W880" s="39"/>
      <c r="X880" s="39"/>
      <c r="Y880" s="39"/>
      <c r="Z880" s="39"/>
      <c r="AA880" s="39"/>
      <c r="AB880" s="39"/>
    </row>
    <row r="881">
      <c r="A881" s="1"/>
      <c r="B881" s="36"/>
      <c r="C881" s="36"/>
      <c r="D881" s="36"/>
      <c r="E881" s="36"/>
      <c r="F881" s="36"/>
      <c r="G881" s="36"/>
      <c r="H881" s="37"/>
      <c r="I881" s="36"/>
      <c r="J881" s="38"/>
      <c r="K881" s="38"/>
      <c r="L881" s="39"/>
      <c r="M881" s="39"/>
      <c r="N881" s="39"/>
      <c r="O881" s="39"/>
      <c r="P881" s="39"/>
      <c r="Q881" s="39"/>
      <c r="R881" s="39"/>
      <c r="S881" s="39"/>
      <c r="T881" s="39"/>
      <c r="U881" s="39"/>
      <c r="V881" s="39"/>
      <c r="W881" s="39"/>
      <c r="X881" s="39"/>
      <c r="Y881" s="39"/>
      <c r="Z881" s="39"/>
      <c r="AA881" s="39"/>
      <c r="AB881" s="39"/>
    </row>
    <row r="882">
      <c r="A882" s="1"/>
      <c r="B882" s="36"/>
      <c r="C882" s="36"/>
      <c r="D882" s="36"/>
      <c r="E882" s="36"/>
      <c r="F882" s="36"/>
      <c r="G882" s="36"/>
      <c r="H882" s="37"/>
      <c r="I882" s="36"/>
      <c r="J882" s="38"/>
      <c r="K882" s="38"/>
      <c r="L882" s="39"/>
      <c r="M882" s="39"/>
      <c r="N882" s="39"/>
      <c r="O882" s="39"/>
      <c r="P882" s="39"/>
      <c r="Q882" s="39"/>
      <c r="R882" s="39"/>
      <c r="S882" s="39"/>
      <c r="T882" s="39"/>
      <c r="U882" s="39"/>
      <c r="V882" s="39"/>
      <c r="W882" s="39"/>
      <c r="X882" s="39"/>
      <c r="Y882" s="39"/>
      <c r="Z882" s="39"/>
      <c r="AA882" s="39"/>
      <c r="AB882" s="39"/>
    </row>
    <row r="883">
      <c r="A883" s="1"/>
      <c r="B883" s="36"/>
      <c r="C883" s="36"/>
      <c r="D883" s="36"/>
      <c r="E883" s="36"/>
      <c r="F883" s="36"/>
      <c r="G883" s="36"/>
      <c r="H883" s="37"/>
      <c r="I883" s="36"/>
      <c r="J883" s="38"/>
      <c r="K883" s="38"/>
      <c r="L883" s="39"/>
      <c r="M883" s="39"/>
      <c r="N883" s="39"/>
      <c r="O883" s="39"/>
      <c r="P883" s="39"/>
      <c r="Q883" s="39"/>
      <c r="R883" s="39"/>
      <c r="S883" s="39"/>
      <c r="T883" s="39"/>
      <c r="U883" s="39"/>
      <c r="V883" s="39"/>
      <c r="W883" s="39"/>
      <c r="X883" s="39"/>
      <c r="Y883" s="39"/>
      <c r="Z883" s="39"/>
      <c r="AA883" s="39"/>
      <c r="AB883" s="39"/>
    </row>
    <row r="884">
      <c r="A884" s="1"/>
      <c r="B884" s="36"/>
      <c r="C884" s="36"/>
      <c r="D884" s="36"/>
      <c r="E884" s="36"/>
      <c r="F884" s="36"/>
      <c r="G884" s="36"/>
      <c r="H884" s="37"/>
      <c r="I884" s="36"/>
      <c r="J884" s="38"/>
      <c r="K884" s="38"/>
      <c r="L884" s="39"/>
      <c r="M884" s="39"/>
      <c r="N884" s="39"/>
      <c r="O884" s="39"/>
      <c r="P884" s="39"/>
      <c r="Q884" s="39"/>
      <c r="R884" s="39"/>
      <c r="S884" s="39"/>
      <c r="T884" s="39"/>
      <c r="U884" s="39"/>
      <c r="V884" s="39"/>
      <c r="W884" s="39"/>
      <c r="X884" s="39"/>
      <c r="Y884" s="39"/>
      <c r="Z884" s="39"/>
      <c r="AA884" s="39"/>
      <c r="AB884" s="39"/>
    </row>
    <row r="885">
      <c r="A885" s="1"/>
      <c r="B885" s="36"/>
      <c r="C885" s="36"/>
      <c r="D885" s="36"/>
      <c r="E885" s="36"/>
      <c r="F885" s="36"/>
      <c r="G885" s="36"/>
      <c r="H885" s="37"/>
      <c r="I885" s="36"/>
      <c r="J885" s="38"/>
      <c r="K885" s="38"/>
      <c r="L885" s="39"/>
      <c r="M885" s="39"/>
      <c r="N885" s="39"/>
      <c r="O885" s="39"/>
      <c r="P885" s="39"/>
      <c r="Q885" s="39"/>
      <c r="R885" s="39"/>
      <c r="S885" s="39"/>
      <c r="T885" s="39"/>
      <c r="U885" s="39"/>
      <c r="V885" s="39"/>
      <c r="W885" s="39"/>
      <c r="X885" s="39"/>
      <c r="Y885" s="39"/>
      <c r="Z885" s="39"/>
      <c r="AA885" s="39"/>
      <c r="AB885" s="39"/>
    </row>
    <row r="886">
      <c r="A886" s="1"/>
      <c r="B886" s="36"/>
      <c r="C886" s="36"/>
      <c r="D886" s="36"/>
      <c r="E886" s="36"/>
      <c r="F886" s="36"/>
      <c r="G886" s="36"/>
      <c r="H886" s="37"/>
      <c r="I886" s="36"/>
      <c r="J886" s="38"/>
      <c r="K886" s="38"/>
      <c r="L886" s="39"/>
      <c r="M886" s="39"/>
      <c r="N886" s="39"/>
      <c r="O886" s="39"/>
      <c r="P886" s="39"/>
      <c r="Q886" s="39"/>
      <c r="R886" s="39"/>
      <c r="S886" s="39"/>
      <c r="T886" s="39"/>
      <c r="U886" s="39"/>
      <c r="V886" s="39"/>
      <c r="W886" s="39"/>
      <c r="X886" s="39"/>
      <c r="Y886" s="39"/>
      <c r="Z886" s="39"/>
      <c r="AA886" s="39"/>
      <c r="AB886" s="39"/>
    </row>
    <row r="887">
      <c r="A887" s="1"/>
      <c r="B887" s="36"/>
      <c r="C887" s="36"/>
      <c r="D887" s="36"/>
      <c r="E887" s="36"/>
      <c r="F887" s="36"/>
      <c r="G887" s="36"/>
      <c r="H887" s="37"/>
      <c r="I887" s="36"/>
      <c r="J887" s="38"/>
      <c r="K887" s="38"/>
      <c r="L887" s="39"/>
      <c r="M887" s="39"/>
      <c r="N887" s="39"/>
      <c r="O887" s="39"/>
      <c r="P887" s="39"/>
      <c r="Q887" s="39"/>
      <c r="R887" s="39"/>
      <c r="S887" s="39"/>
      <c r="T887" s="39"/>
      <c r="U887" s="39"/>
      <c r="V887" s="39"/>
      <c r="W887" s="39"/>
      <c r="X887" s="39"/>
      <c r="Y887" s="39"/>
      <c r="Z887" s="39"/>
      <c r="AA887" s="39"/>
      <c r="AB887" s="39"/>
    </row>
    <row r="888">
      <c r="A888" s="1"/>
      <c r="B888" s="36"/>
      <c r="C888" s="36"/>
      <c r="D888" s="36"/>
      <c r="E888" s="36"/>
      <c r="F888" s="36"/>
      <c r="G888" s="36"/>
      <c r="H888" s="37"/>
      <c r="I888" s="36"/>
      <c r="J888" s="38"/>
      <c r="K888" s="38"/>
      <c r="L888" s="39"/>
      <c r="M888" s="39"/>
      <c r="N888" s="39"/>
      <c r="O888" s="39"/>
      <c r="P888" s="39"/>
      <c r="Q888" s="39"/>
      <c r="R888" s="39"/>
      <c r="S888" s="39"/>
      <c r="T888" s="39"/>
      <c r="U888" s="39"/>
      <c r="V888" s="39"/>
      <c r="W888" s="39"/>
      <c r="X888" s="39"/>
      <c r="Y888" s="39"/>
      <c r="Z888" s="39"/>
      <c r="AA888" s="39"/>
      <c r="AB888" s="39"/>
    </row>
    <row r="889">
      <c r="A889" s="1"/>
      <c r="B889" s="36"/>
      <c r="C889" s="36"/>
      <c r="D889" s="36"/>
      <c r="E889" s="36"/>
      <c r="F889" s="36"/>
      <c r="G889" s="36"/>
      <c r="H889" s="37"/>
      <c r="I889" s="36"/>
      <c r="J889" s="38"/>
      <c r="K889" s="38"/>
      <c r="L889" s="39"/>
      <c r="M889" s="39"/>
      <c r="N889" s="39"/>
      <c r="O889" s="39"/>
      <c r="P889" s="39"/>
      <c r="Q889" s="39"/>
      <c r="R889" s="39"/>
      <c r="S889" s="39"/>
      <c r="T889" s="39"/>
      <c r="U889" s="39"/>
      <c r="V889" s="39"/>
      <c r="W889" s="39"/>
      <c r="X889" s="39"/>
      <c r="Y889" s="39"/>
      <c r="Z889" s="39"/>
      <c r="AA889" s="39"/>
      <c r="AB889" s="39"/>
    </row>
    <row r="890">
      <c r="A890" s="1"/>
      <c r="B890" s="36"/>
      <c r="C890" s="36"/>
      <c r="D890" s="36"/>
      <c r="E890" s="36"/>
      <c r="F890" s="36"/>
      <c r="G890" s="36"/>
      <c r="H890" s="37"/>
      <c r="I890" s="36"/>
      <c r="J890" s="38"/>
      <c r="K890" s="38"/>
      <c r="L890" s="39"/>
      <c r="M890" s="39"/>
      <c r="N890" s="39"/>
      <c r="O890" s="39"/>
      <c r="P890" s="39"/>
      <c r="Q890" s="39"/>
      <c r="R890" s="39"/>
      <c r="S890" s="39"/>
      <c r="T890" s="39"/>
      <c r="U890" s="39"/>
      <c r="V890" s="39"/>
      <c r="W890" s="39"/>
      <c r="X890" s="39"/>
      <c r="Y890" s="39"/>
      <c r="Z890" s="39"/>
      <c r="AA890" s="39"/>
      <c r="AB890" s="39"/>
    </row>
    <row r="891">
      <c r="A891" s="1"/>
      <c r="B891" s="36"/>
      <c r="C891" s="36"/>
      <c r="D891" s="36"/>
      <c r="E891" s="36"/>
      <c r="F891" s="36"/>
      <c r="G891" s="36"/>
      <c r="H891" s="37"/>
      <c r="I891" s="36"/>
      <c r="J891" s="38"/>
      <c r="K891" s="38"/>
      <c r="L891" s="39"/>
      <c r="M891" s="39"/>
      <c r="N891" s="39"/>
      <c r="O891" s="39"/>
      <c r="P891" s="39"/>
      <c r="Q891" s="39"/>
      <c r="R891" s="39"/>
      <c r="S891" s="39"/>
      <c r="T891" s="39"/>
      <c r="U891" s="39"/>
      <c r="V891" s="39"/>
      <c r="W891" s="39"/>
      <c r="X891" s="39"/>
      <c r="Y891" s="39"/>
      <c r="Z891" s="39"/>
      <c r="AA891" s="39"/>
      <c r="AB891" s="39"/>
    </row>
    <row r="892">
      <c r="A892" s="1"/>
      <c r="B892" s="36"/>
      <c r="C892" s="36"/>
      <c r="D892" s="36"/>
      <c r="E892" s="36"/>
      <c r="F892" s="36"/>
      <c r="G892" s="36"/>
      <c r="H892" s="37"/>
      <c r="I892" s="36"/>
      <c r="J892" s="38"/>
      <c r="K892" s="38"/>
      <c r="L892" s="39"/>
      <c r="M892" s="39"/>
      <c r="N892" s="39"/>
      <c r="O892" s="39"/>
      <c r="P892" s="39"/>
      <c r="Q892" s="39"/>
      <c r="R892" s="39"/>
      <c r="S892" s="39"/>
      <c r="T892" s="39"/>
      <c r="U892" s="39"/>
      <c r="V892" s="39"/>
      <c r="W892" s="39"/>
      <c r="X892" s="39"/>
      <c r="Y892" s="39"/>
      <c r="Z892" s="39"/>
      <c r="AA892" s="39"/>
      <c r="AB892" s="39"/>
    </row>
    <row r="893">
      <c r="A893" s="1"/>
      <c r="B893" s="36"/>
      <c r="C893" s="36"/>
      <c r="D893" s="36"/>
      <c r="E893" s="36"/>
      <c r="F893" s="36"/>
      <c r="G893" s="36"/>
      <c r="H893" s="37"/>
      <c r="I893" s="36"/>
      <c r="J893" s="38"/>
      <c r="K893" s="38"/>
      <c r="L893" s="39"/>
      <c r="M893" s="39"/>
      <c r="N893" s="39"/>
      <c r="O893" s="39"/>
      <c r="P893" s="39"/>
      <c r="Q893" s="39"/>
      <c r="R893" s="39"/>
      <c r="S893" s="39"/>
      <c r="T893" s="39"/>
      <c r="U893" s="39"/>
      <c r="V893" s="39"/>
      <c r="W893" s="39"/>
      <c r="X893" s="39"/>
      <c r="Y893" s="39"/>
      <c r="Z893" s="39"/>
      <c r="AA893" s="39"/>
      <c r="AB893" s="39"/>
    </row>
    <row r="894">
      <c r="A894" s="1"/>
      <c r="B894" s="36"/>
      <c r="C894" s="36"/>
      <c r="D894" s="36"/>
      <c r="E894" s="36"/>
      <c r="F894" s="36"/>
      <c r="G894" s="36"/>
      <c r="H894" s="37"/>
      <c r="I894" s="36"/>
      <c r="J894" s="38"/>
      <c r="K894" s="38"/>
      <c r="L894" s="39"/>
      <c r="M894" s="39"/>
      <c r="N894" s="39"/>
      <c r="O894" s="39"/>
      <c r="P894" s="39"/>
      <c r="Q894" s="39"/>
      <c r="R894" s="39"/>
      <c r="S894" s="39"/>
      <c r="T894" s="39"/>
      <c r="U894" s="39"/>
      <c r="V894" s="39"/>
      <c r="W894" s="39"/>
      <c r="X894" s="39"/>
      <c r="Y894" s="39"/>
      <c r="Z894" s="39"/>
      <c r="AA894" s="39"/>
      <c r="AB894" s="39"/>
    </row>
    <row r="895">
      <c r="A895" s="1"/>
      <c r="B895" s="36"/>
      <c r="C895" s="36"/>
      <c r="D895" s="36"/>
      <c r="E895" s="36"/>
      <c r="F895" s="36"/>
      <c r="G895" s="36"/>
      <c r="H895" s="37"/>
      <c r="I895" s="36"/>
      <c r="J895" s="38"/>
      <c r="K895" s="38"/>
      <c r="L895" s="39"/>
      <c r="M895" s="39"/>
      <c r="N895" s="39"/>
      <c r="O895" s="39"/>
      <c r="P895" s="39"/>
      <c r="Q895" s="39"/>
      <c r="R895" s="39"/>
      <c r="S895" s="39"/>
      <c r="T895" s="39"/>
      <c r="U895" s="39"/>
      <c r="V895" s="39"/>
      <c r="W895" s="39"/>
      <c r="X895" s="39"/>
      <c r="Y895" s="39"/>
      <c r="Z895" s="39"/>
      <c r="AA895" s="39"/>
      <c r="AB895" s="39"/>
    </row>
    <row r="896">
      <c r="A896" s="1"/>
      <c r="B896" s="36"/>
      <c r="C896" s="36"/>
      <c r="D896" s="36"/>
      <c r="E896" s="36"/>
      <c r="F896" s="36"/>
      <c r="G896" s="36"/>
      <c r="H896" s="37"/>
      <c r="I896" s="36"/>
      <c r="J896" s="38"/>
      <c r="K896" s="38"/>
      <c r="L896" s="39"/>
      <c r="M896" s="39"/>
      <c r="N896" s="39"/>
      <c r="O896" s="39"/>
      <c r="P896" s="39"/>
      <c r="Q896" s="39"/>
      <c r="R896" s="39"/>
      <c r="S896" s="39"/>
      <c r="T896" s="39"/>
      <c r="U896" s="39"/>
      <c r="V896" s="39"/>
      <c r="W896" s="39"/>
      <c r="X896" s="39"/>
      <c r="Y896" s="39"/>
      <c r="Z896" s="39"/>
      <c r="AA896" s="39"/>
      <c r="AB896" s="39"/>
    </row>
    <row r="897">
      <c r="A897" s="1"/>
      <c r="B897" s="36"/>
      <c r="C897" s="36"/>
      <c r="D897" s="36"/>
      <c r="E897" s="36"/>
      <c r="F897" s="36"/>
      <c r="G897" s="36"/>
      <c r="H897" s="37"/>
      <c r="I897" s="36"/>
      <c r="J897" s="38"/>
      <c r="K897" s="38"/>
      <c r="L897" s="39"/>
      <c r="M897" s="39"/>
      <c r="N897" s="39"/>
      <c r="O897" s="39"/>
      <c r="P897" s="39"/>
      <c r="Q897" s="39"/>
      <c r="R897" s="39"/>
      <c r="S897" s="39"/>
      <c r="T897" s="39"/>
      <c r="U897" s="39"/>
      <c r="V897" s="39"/>
      <c r="W897" s="39"/>
      <c r="X897" s="39"/>
      <c r="Y897" s="39"/>
      <c r="Z897" s="39"/>
      <c r="AA897" s="39"/>
      <c r="AB897" s="39"/>
    </row>
    <row r="898">
      <c r="A898" s="1"/>
      <c r="B898" s="36"/>
      <c r="C898" s="36"/>
      <c r="D898" s="36"/>
      <c r="E898" s="36"/>
      <c r="F898" s="36"/>
      <c r="G898" s="36"/>
      <c r="H898" s="37"/>
      <c r="I898" s="36"/>
      <c r="J898" s="38"/>
      <c r="K898" s="38"/>
      <c r="L898" s="39"/>
      <c r="M898" s="39"/>
      <c r="N898" s="39"/>
      <c r="O898" s="39"/>
      <c r="P898" s="39"/>
      <c r="Q898" s="39"/>
      <c r="R898" s="39"/>
      <c r="S898" s="39"/>
      <c r="T898" s="39"/>
      <c r="U898" s="39"/>
      <c r="V898" s="39"/>
      <c r="W898" s="39"/>
      <c r="X898" s="39"/>
      <c r="Y898" s="39"/>
      <c r="Z898" s="39"/>
      <c r="AA898" s="39"/>
      <c r="AB898" s="39"/>
    </row>
    <row r="899">
      <c r="A899" s="1"/>
      <c r="B899" s="36"/>
      <c r="C899" s="36"/>
      <c r="D899" s="36"/>
      <c r="E899" s="36"/>
      <c r="F899" s="36"/>
      <c r="G899" s="36"/>
      <c r="H899" s="37"/>
      <c r="I899" s="36"/>
      <c r="J899" s="38"/>
      <c r="K899" s="38"/>
      <c r="L899" s="39"/>
      <c r="M899" s="39"/>
      <c r="N899" s="39"/>
      <c r="O899" s="39"/>
      <c r="P899" s="39"/>
      <c r="Q899" s="39"/>
      <c r="R899" s="39"/>
      <c r="S899" s="39"/>
      <c r="T899" s="39"/>
      <c r="U899" s="39"/>
      <c r="V899" s="39"/>
      <c r="W899" s="39"/>
      <c r="X899" s="39"/>
      <c r="Y899" s="39"/>
      <c r="Z899" s="39"/>
      <c r="AA899" s="39"/>
      <c r="AB899" s="39"/>
    </row>
    <row r="900">
      <c r="A900" s="1"/>
      <c r="B900" s="36"/>
      <c r="C900" s="36"/>
      <c r="D900" s="36"/>
      <c r="E900" s="36"/>
      <c r="F900" s="36"/>
      <c r="G900" s="36"/>
      <c r="H900" s="37"/>
      <c r="I900" s="36"/>
      <c r="J900" s="38"/>
      <c r="K900" s="38"/>
      <c r="L900" s="39"/>
      <c r="M900" s="39"/>
      <c r="N900" s="39"/>
      <c r="O900" s="39"/>
      <c r="P900" s="39"/>
      <c r="Q900" s="39"/>
      <c r="R900" s="39"/>
      <c r="S900" s="39"/>
      <c r="T900" s="39"/>
      <c r="U900" s="39"/>
      <c r="V900" s="39"/>
      <c r="W900" s="39"/>
      <c r="X900" s="39"/>
      <c r="Y900" s="39"/>
      <c r="Z900" s="39"/>
      <c r="AA900" s="39"/>
      <c r="AB900" s="39"/>
    </row>
    <row r="901">
      <c r="A901" s="1"/>
      <c r="B901" s="36"/>
      <c r="C901" s="36"/>
      <c r="D901" s="36"/>
      <c r="E901" s="36"/>
      <c r="F901" s="36"/>
      <c r="G901" s="36"/>
      <c r="H901" s="37"/>
      <c r="I901" s="36"/>
      <c r="J901" s="38"/>
      <c r="K901" s="38"/>
      <c r="L901" s="39"/>
      <c r="M901" s="39"/>
      <c r="N901" s="39"/>
      <c r="O901" s="39"/>
      <c r="P901" s="39"/>
      <c r="Q901" s="39"/>
      <c r="R901" s="39"/>
      <c r="S901" s="39"/>
      <c r="T901" s="39"/>
      <c r="U901" s="39"/>
      <c r="V901" s="39"/>
      <c r="W901" s="39"/>
      <c r="X901" s="39"/>
      <c r="Y901" s="39"/>
      <c r="Z901" s="39"/>
      <c r="AA901" s="39"/>
      <c r="AB901" s="39"/>
    </row>
    <row r="902">
      <c r="A902" s="1"/>
      <c r="B902" s="36"/>
      <c r="C902" s="36"/>
      <c r="D902" s="36"/>
      <c r="E902" s="36"/>
      <c r="F902" s="36"/>
      <c r="G902" s="36"/>
      <c r="H902" s="37"/>
      <c r="I902" s="36"/>
      <c r="J902" s="38"/>
      <c r="K902" s="38"/>
      <c r="L902" s="39"/>
      <c r="M902" s="39"/>
      <c r="N902" s="39"/>
      <c r="O902" s="39"/>
      <c r="P902" s="39"/>
      <c r="Q902" s="39"/>
      <c r="R902" s="39"/>
      <c r="S902" s="39"/>
      <c r="T902" s="39"/>
      <c r="U902" s="39"/>
      <c r="V902" s="39"/>
      <c r="W902" s="39"/>
      <c r="X902" s="39"/>
      <c r="Y902" s="39"/>
      <c r="Z902" s="39"/>
      <c r="AA902" s="39"/>
      <c r="AB902" s="39"/>
    </row>
    <row r="903">
      <c r="A903" s="1"/>
      <c r="B903" s="36"/>
      <c r="C903" s="36"/>
      <c r="D903" s="36"/>
      <c r="E903" s="36"/>
      <c r="F903" s="36"/>
      <c r="G903" s="36"/>
      <c r="H903" s="37"/>
      <c r="I903" s="36"/>
      <c r="J903" s="38"/>
      <c r="K903" s="38"/>
      <c r="L903" s="39"/>
      <c r="M903" s="39"/>
      <c r="N903" s="39"/>
      <c r="O903" s="39"/>
      <c r="P903" s="39"/>
      <c r="Q903" s="39"/>
      <c r="R903" s="39"/>
      <c r="S903" s="39"/>
      <c r="T903" s="39"/>
      <c r="U903" s="39"/>
      <c r="V903" s="39"/>
      <c r="W903" s="39"/>
      <c r="X903" s="39"/>
      <c r="Y903" s="39"/>
      <c r="Z903" s="39"/>
      <c r="AA903" s="39"/>
      <c r="AB903" s="39"/>
    </row>
    <row r="904">
      <c r="A904" s="1"/>
      <c r="B904" s="36"/>
      <c r="C904" s="36"/>
      <c r="D904" s="36"/>
      <c r="E904" s="36"/>
      <c r="F904" s="36"/>
      <c r="G904" s="36"/>
      <c r="H904" s="37"/>
      <c r="I904" s="36"/>
      <c r="J904" s="38"/>
      <c r="K904" s="38"/>
      <c r="L904" s="39"/>
      <c r="M904" s="39"/>
      <c r="N904" s="39"/>
      <c r="O904" s="39"/>
      <c r="P904" s="39"/>
      <c r="Q904" s="39"/>
      <c r="R904" s="39"/>
      <c r="S904" s="39"/>
      <c r="T904" s="39"/>
      <c r="U904" s="39"/>
      <c r="V904" s="39"/>
      <c r="W904" s="39"/>
      <c r="X904" s="39"/>
      <c r="Y904" s="39"/>
      <c r="Z904" s="39"/>
      <c r="AA904" s="39"/>
      <c r="AB904" s="39"/>
    </row>
    <row r="905">
      <c r="A905" s="1"/>
      <c r="B905" s="36"/>
      <c r="C905" s="36"/>
      <c r="D905" s="36"/>
      <c r="E905" s="36"/>
      <c r="F905" s="36"/>
      <c r="G905" s="36"/>
      <c r="H905" s="37"/>
      <c r="I905" s="36"/>
      <c r="J905" s="38"/>
      <c r="K905" s="38"/>
      <c r="L905" s="39"/>
      <c r="M905" s="39"/>
      <c r="N905" s="39"/>
      <c r="O905" s="39"/>
      <c r="P905" s="39"/>
      <c r="Q905" s="39"/>
      <c r="R905" s="39"/>
      <c r="S905" s="39"/>
      <c r="T905" s="39"/>
      <c r="U905" s="39"/>
      <c r="V905" s="39"/>
      <c r="W905" s="39"/>
      <c r="X905" s="39"/>
      <c r="Y905" s="39"/>
      <c r="Z905" s="39"/>
      <c r="AA905" s="39"/>
      <c r="AB905" s="39"/>
    </row>
    <row r="906">
      <c r="A906" s="1"/>
      <c r="B906" s="36"/>
      <c r="C906" s="36"/>
      <c r="D906" s="36"/>
      <c r="E906" s="36"/>
      <c r="F906" s="36"/>
      <c r="G906" s="36"/>
      <c r="H906" s="37"/>
      <c r="I906" s="36"/>
      <c r="J906" s="38"/>
      <c r="K906" s="38"/>
      <c r="L906" s="39"/>
      <c r="M906" s="39"/>
      <c r="N906" s="39"/>
      <c r="O906" s="39"/>
      <c r="P906" s="39"/>
      <c r="Q906" s="39"/>
      <c r="R906" s="39"/>
      <c r="S906" s="39"/>
      <c r="T906" s="39"/>
      <c r="U906" s="39"/>
      <c r="V906" s="39"/>
      <c r="W906" s="39"/>
      <c r="X906" s="39"/>
      <c r="Y906" s="39"/>
      <c r="Z906" s="39"/>
      <c r="AA906" s="39"/>
      <c r="AB906" s="39"/>
    </row>
    <row r="907">
      <c r="A907" s="1"/>
      <c r="B907" s="36"/>
      <c r="C907" s="36"/>
      <c r="D907" s="36"/>
      <c r="E907" s="36"/>
      <c r="F907" s="36"/>
      <c r="G907" s="36"/>
      <c r="H907" s="37"/>
      <c r="I907" s="36"/>
      <c r="J907" s="38"/>
      <c r="K907" s="38"/>
      <c r="L907" s="39"/>
      <c r="M907" s="39"/>
      <c r="N907" s="39"/>
      <c r="O907" s="39"/>
      <c r="P907" s="39"/>
      <c r="Q907" s="39"/>
      <c r="R907" s="39"/>
      <c r="S907" s="39"/>
      <c r="T907" s="39"/>
      <c r="U907" s="39"/>
      <c r="V907" s="39"/>
      <c r="W907" s="39"/>
      <c r="X907" s="39"/>
      <c r="Y907" s="39"/>
      <c r="Z907" s="39"/>
      <c r="AA907" s="39"/>
      <c r="AB907" s="39"/>
    </row>
    <row r="908">
      <c r="A908" s="1"/>
      <c r="B908" s="36"/>
      <c r="C908" s="36"/>
      <c r="D908" s="36"/>
      <c r="E908" s="36"/>
      <c r="F908" s="36"/>
      <c r="G908" s="36"/>
      <c r="H908" s="37"/>
      <c r="I908" s="36"/>
      <c r="J908" s="38"/>
      <c r="K908" s="38"/>
      <c r="L908" s="39"/>
      <c r="M908" s="39"/>
      <c r="N908" s="39"/>
      <c r="O908" s="39"/>
      <c r="P908" s="39"/>
      <c r="Q908" s="39"/>
      <c r="R908" s="39"/>
      <c r="S908" s="39"/>
      <c r="T908" s="39"/>
      <c r="U908" s="39"/>
      <c r="V908" s="39"/>
      <c r="W908" s="39"/>
      <c r="X908" s="39"/>
      <c r="Y908" s="39"/>
      <c r="Z908" s="39"/>
      <c r="AA908" s="39"/>
      <c r="AB908" s="39"/>
    </row>
    <row r="909">
      <c r="A909" s="1"/>
      <c r="B909" s="36"/>
      <c r="C909" s="36"/>
      <c r="D909" s="36"/>
      <c r="E909" s="36"/>
      <c r="F909" s="36"/>
      <c r="G909" s="36"/>
      <c r="H909" s="37"/>
      <c r="I909" s="36"/>
      <c r="J909" s="38"/>
      <c r="K909" s="38"/>
      <c r="L909" s="39"/>
      <c r="M909" s="39"/>
      <c r="N909" s="39"/>
      <c r="O909" s="39"/>
      <c r="P909" s="39"/>
      <c r="Q909" s="39"/>
      <c r="R909" s="39"/>
      <c r="S909" s="39"/>
      <c r="T909" s="39"/>
      <c r="U909" s="39"/>
      <c r="V909" s="39"/>
      <c r="W909" s="39"/>
      <c r="X909" s="39"/>
      <c r="Y909" s="39"/>
      <c r="Z909" s="39"/>
      <c r="AA909" s="39"/>
      <c r="AB909" s="39"/>
    </row>
    <row r="910">
      <c r="A910" s="1"/>
      <c r="B910" s="36"/>
      <c r="C910" s="36"/>
      <c r="D910" s="36"/>
      <c r="E910" s="36"/>
      <c r="F910" s="36"/>
      <c r="G910" s="36"/>
      <c r="H910" s="37"/>
      <c r="I910" s="36"/>
      <c r="J910" s="38"/>
      <c r="K910" s="38"/>
      <c r="L910" s="39"/>
      <c r="M910" s="39"/>
      <c r="N910" s="39"/>
      <c r="O910" s="39"/>
      <c r="P910" s="39"/>
      <c r="Q910" s="39"/>
      <c r="R910" s="39"/>
      <c r="S910" s="39"/>
      <c r="T910" s="39"/>
      <c r="U910" s="39"/>
      <c r="V910" s="39"/>
      <c r="W910" s="39"/>
      <c r="X910" s="39"/>
      <c r="Y910" s="39"/>
      <c r="Z910" s="39"/>
      <c r="AA910" s="39"/>
      <c r="AB910" s="39"/>
    </row>
    <row r="911">
      <c r="A911" s="1"/>
      <c r="B911" s="36"/>
      <c r="C911" s="36"/>
      <c r="D911" s="36"/>
      <c r="E911" s="36"/>
      <c r="F911" s="36"/>
      <c r="G911" s="36"/>
      <c r="H911" s="37"/>
      <c r="I911" s="36"/>
      <c r="J911" s="38"/>
      <c r="K911" s="38"/>
      <c r="L911" s="39"/>
      <c r="M911" s="39"/>
      <c r="N911" s="39"/>
      <c r="O911" s="39"/>
      <c r="P911" s="39"/>
      <c r="Q911" s="39"/>
      <c r="R911" s="39"/>
      <c r="S911" s="39"/>
      <c r="T911" s="39"/>
      <c r="U911" s="39"/>
      <c r="V911" s="39"/>
      <c r="W911" s="39"/>
      <c r="X911" s="39"/>
      <c r="Y911" s="39"/>
      <c r="Z911" s="39"/>
      <c r="AA911" s="39"/>
      <c r="AB911" s="39"/>
    </row>
    <row r="912">
      <c r="A912" s="1"/>
      <c r="B912" s="36"/>
      <c r="C912" s="36"/>
      <c r="D912" s="36"/>
      <c r="E912" s="36"/>
      <c r="F912" s="36"/>
      <c r="G912" s="36"/>
      <c r="H912" s="37"/>
      <c r="I912" s="36"/>
      <c r="J912" s="38"/>
      <c r="K912" s="38"/>
      <c r="L912" s="39"/>
      <c r="M912" s="39"/>
      <c r="N912" s="39"/>
      <c r="O912" s="39"/>
      <c r="P912" s="39"/>
      <c r="Q912" s="39"/>
      <c r="R912" s="39"/>
      <c r="S912" s="39"/>
      <c r="T912" s="39"/>
      <c r="U912" s="39"/>
      <c r="V912" s="39"/>
      <c r="W912" s="39"/>
      <c r="X912" s="39"/>
      <c r="Y912" s="39"/>
      <c r="Z912" s="39"/>
      <c r="AA912" s="39"/>
      <c r="AB912" s="39"/>
    </row>
    <row r="913">
      <c r="A913" s="1"/>
      <c r="B913" s="36"/>
      <c r="C913" s="36"/>
      <c r="D913" s="36"/>
      <c r="E913" s="36"/>
      <c r="F913" s="36"/>
      <c r="G913" s="36"/>
      <c r="H913" s="37"/>
      <c r="I913" s="36"/>
      <c r="J913" s="38"/>
      <c r="K913" s="38"/>
      <c r="L913" s="39"/>
      <c r="M913" s="39"/>
      <c r="N913" s="39"/>
      <c r="O913" s="39"/>
      <c r="P913" s="39"/>
      <c r="Q913" s="39"/>
      <c r="R913" s="39"/>
      <c r="S913" s="39"/>
      <c r="T913" s="39"/>
      <c r="U913" s="39"/>
      <c r="V913" s="39"/>
      <c r="W913" s="39"/>
      <c r="X913" s="39"/>
      <c r="Y913" s="39"/>
      <c r="Z913" s="39"/>
      <c r="AA913" s="39"/>
      <c r="AB913" s="39"/>
    </row>
    <row r="914">
      <c r="A914" s="1"/>
      <c r="B914" s="36"/>
      <c r="C914" s="36"/>
      <c r="D914" s="36"/>
      <c r="E914" s="36"/>
      <c r="F914" s="36"/>
      <c r="G914" s="36"/>
      <c r="H914" s="37"/>
      <c r="I914" s="36"/>
      <c r="J914" s="38"/>
      <c r="K914" s="38"/>
      <c r="L914" s="39"/>
      <c r="M914" s="39"/>
      <c r="N914" s="39"/>
      <c r="O914" s="39"/>
      <c r="P914" s="39"/>
      <c r="Q914" s="39"/>
      <c r="R914" s="39"/>
      <c r="S914" s="39"/>
      <c r="T914" s="39"/>
      <c r="U914" s="39"/>
      <c r="V914" s="39"/>
      <c r="W914" s="39"/>
      <c r="X914" s="39"/>
      <c r="Y914" s="39"/>
      <c r="Z914" s="39"/>
      <c r="AA914" s="39"/>
      <c r="AB914" s="39"/>
    </row>
    <row r="915">
      <c r="A915" s="1"/>
      <c r="B915" s="36"/>
      <c r="C915" s="36"/>
      <c r="D915" s="36"/>
      <c r="E915" s="36"/>
      <c r="F915" s="36"/>
      <c r="G915" s="36"/>
      <c r="H915" s="37"/>
      <c r="I915" s="36"/>
      <c r="J915" s="38"/>
      <c r="K915" s="38"/>
      <c r="L915" s="39"/>
      <c r="M915" s="39"/>
      <c r="N915" s="39"/>
      <c r="O915" s="39"/>
      <c r="P915" s="39"/>
      <c r="Q915" s="39"/>
      <c r="R915" s="39"/>
      <c r="S915" s="39"/>
      <c r="T915" s="39"/>
      <c r="U915" s="39"/>
      <c r="V915" s="39"/>
      <c r="W915" s="39"/>
      <c r="X915" s="39"/>
      <c r="Y915" s="39"/>
      <c r="Z915" s="39"/>
      <c r="AA915" s="39"/>
      <c r="AB915" s="39"/>
    </row>
    <row r="916">
      <c r="A916" s="1"/>
      <c r="B916" s="36"/>
      <c r="C916" s="36"/>
      <c r="D916" s="36"/>
      <c r="E916" s="36"/>
      <c r="F916" s="36"/>
      <c r="G916" s="36"/>
      <c r="H916" s="37"/>
      <c r="I916" s="36"/>
      <c r="J916" s="38"/>
      <c r="K916" s="38"/>
      <c r="L916" s="39"/>
      <c r="M916" s="39"/>
      <c r="N916" s="39"/>
      <c r="O916" s="39"/>
      <c r="P916" s="39"/>
      <c r="Q916" s="39"/>
      <c r="R916" s="39"/>
      <c r="S916" s="39"/>
      <c r="T916" s="39"/>
      <c r="U916" s="39"/>
      <c r="V916" s="39"/>
      <c r="W916" s="39"/>
      <c r="X916" s="39"/>
      <c r="Y916" s="39"/>
      <c r="Z916" s="39"/>
      <c r="AA916" s="39"/>
      <c r="AB916" s="39"/>
    </row>
    <row r="917">
      <c r="A917" s="1"/>
      <c r="B917" s="36"/>
      <c r="C917" s="36"/>
      <c r="D917" s="36"/>
      <c r="E917" s="36"/>
      <c r="F917" s="36"/>
      <c r="G917" s="36"/>
      <c r="H917" s="37"/>
      <c r="I917" s="36"/>
      <c r="J917" s="38"/>
      <c r="K917" s="38"/>
      <c r="L917" s="39"/>
      <c r="M917" s="39"/>
      <c r="N917" s="39"/>
      <c r="O917" s="39"/>
      <c r="P917" s="39"/>
      <c r="Q917" s="39"/>
      <c r="R917" s="39"/>
      <c r="S917" s="39"/>
      <c r="T917" s="39"/>
      <c r="U917" s="39"/>
      <c r="V917" s="39"/>
      <c r="W917" s="39"/>
      <c r="X917" s="39"/>
      <c r="Y917" s="39"/>
      <c r="Z917" s="39"/>
      <c r="AA917" s="39"/>
      <c r="AB917" s="39"/>
    </row>
    <row r="918">
      <c r="A918" s="1"/>
      <c r="B918" s="36"/>
      <c r="C918" s="36"/>
      <c r="D918" s="36"/>
      <c r="E918" s="36"/>
      <c r="F918" s="36"/>
      <c r="G918" s="36"/>
      <c r="H918" s="37"/>
      <c r="I918" s="36"/>
      <c r="J918" s="38"/>
      <c r="K918" s="38"/>
      <c r="L918" s="39"/>
      <c r="M918" s="39"/>
      <c r="N918" s="39"/>
      <c r="O918" s="39"/>
      <c r="P918" s="39"/>
      <c r="Q918" s="39"/>
      <c r="R918" s="39"/>
      <c r="S918" s="39"/>
      <c r="T918" s="39"/>
      <c r="U918" s="39"/>
      <c r="V918" s="39"/>
      <c r="W918" s="39"/>
      <c r="X918" s="39"/>
      <c r="Y918" s="39"/>
      <c r="Z918" s="39"/>
      <c r="AA918" s="39"/>
      <c r="AB918" s="39"/>
    </row>
    <row r="919">
      <c r="A919" s="1"/>
      <c r="B919" s="36"/>
      <c r="C919" s="36"/>
      <c r="D919" s="36"/>
      <c r="E919" s="36"/>
      <c r="F919" s="36"/>
      <c r="G919" s="36"/>
      <c r="H919" s="37"/>
      <c r="I919" s="36"/>
      <c r="J919" s="38"/>
      <c r="K919" s="38"/>
      <c r="L919" s="39"/>
      <c r="M919" s="39"/>
      <c r="N919" s="39"/>
      <c r="O919" s="39"/>
      <c r="P919" s="39"/>
      <c r="Q919" s="39"/>
      <c r="R919" s="39"/>
      <c r="S919" s="39"/>
      <c r="T919" s="39"/>
      <c r="U919" s="39"/>
      <c r="V919" s="39"/>
      <c r="W919" s="39"/>
      <c r="X919" s="39"/>
      <c r="Y919" s="39"/>
      <c r="Z919" s="39"/>
      <c r="AA919" s="39"/>
      <c r="AB919" s="39"/>
    </row>
    <row r="920">
      <c r="A920" s="1"/>
      <c r="B920" s="36"/>
      <c r="C920" s="36"/>
      <c r="D920" s="36"/>
      <c r="E920" s="36"/>
      <c r="F920" s="36"/>
      <c r="G920" s="36"/>
      <c r="H920" s="37"/>
      <c r="I920" s="36"/>
      <c r="J920" s="38"/>
      <c r="K920" s="38"/>
      <c r="L920" s="39"/>
      <c r="M920" s="39"/>
      <c r="N920" s="39"/>
      <c r="O920" s="39"/>
      <c r="P920" s="39"/>
      <c r="Q920" s="39"/>
      <c r="R920" s="39"/>
      <c r="S920" s="39"/>
      <c r="T920" s="39"/>
      <c r="U920" s="39"/>
      <c r="V920" s="39"/>
      <c r="W920" s="39"/>
      <c r="X920" s="39"/>
      <c r="Y920" s="39"/>
      <c r="Z920" s="39"/>
      <c r="AA920" s="39"/>
      <c r="AB920" s="39"/>
    </row>
    <row r="921">
      <c r="A921" s="1"/>
      <c r="B921" s="36"/>
      <c r="C921" s="36"/>
      <c r="D921" s="36"/>
      <c r="E921" s="36"/>
      <c r="F921" s="36"/>
      <c r="G921" s="36"/>
      <c r="H921" s="37"/>
      <c r="I921" s="36"/>
      <c r="J921" s="38"/>
      <c r="K921" s="38"/>
      <c r="L921" s="39"/>
      <c r="M921" s="39"/>
      <c r="N921" s="39"/>
      <c r="O921" s="39"/>
      <c r="P921" s="39"/>
      <c r="Q921" s="39"/>
      <c r="R921" s="39"/>
      <c r="S921" s="39"/>
      <c r="T921" s="39"/>
      <c r="U921" s="39"/>
      <c r="V921" s="39"/>
      <c r="W921" s="39"/>
      <c r="X921" s="39"/>
      <c r="Y921" s="39"/>
      <c r="Z921" s="39"/>
      <c r="AA921" s="39"/>
      <c r="AB921" s="39"/>
    </row>
    <row r="922">
      <c r="A922" s="1"/>
      <c r="B922" s="36"/>
      <c r="C922" s="36"/>
      <c r="D922" s="36"/>
      <c r="E922" s="36"/>
      <c r="F922" s="36"/>
      <c r="G922" s="36"/>
      <c r="H922" s="37"/>
      <c r="I922" s="36"/>
      <c r="J922" s="38"/>
      <c r="K922" s="38"/>
      <c r="L922" s="39"/>
      <c r="M922" s="39"/>
      <c r="N922" s="39"/>
      <c r="O922" s="39"/>
      <c r="P922" s="39"/>
      <c r="Q922" s="39"/>
      <c r="R922" s="39"/>
      <c r="S922" s="39"/>
      <c r="T922" s="39"/>
      <c r="U922" s="39"/>
      <c r="V922" s="39"/>
      <c r="W922" s="39"/>
      <c r="X922" s="39"/>
      <c r="Y922" s="39"/>
      <c r="Z922" s="39"/>
      <c r="AA922" s="39"/>
      <c r="AB922" s="39"/>
    </row>
    <row r="923">
      <c r="A923" s="1"/>
      <c r="B923" s="36"/>
      <c r="C923" s="36"/>
      <c r="D923" s="36"/>
      <c r="E923" s="36"/>
      <c r="F923" s="36"/>
      <c r="G923" s="36"/>
      <c r="H923" s="37"/>
      <c r="I923" s="36"/>
      <c r="J923" s="38"/>
      <c r="K923" s="38"/>
      <c r="L923" s="39"/>
      <c r="M923" s="39"/>
      <c r="N923" s="39"/>
      <c r="O923" s="39"/>
      <c r="P923" s="39"/>
      <c r="Q923" s="39"/>
      <c r="R923" s="39"/>
      <c r="S923" s="39"/>
      <c r="T923" s="39"/>
      <c r="U923" s="39"/>
      <c r="V923" s="39"/>
      <c r="W923" s="39"/>
      <c r="X923" s="39"/>
      <c r="Y923" s="39"/>
      <c r="Z923" s="39"/>
      <c r="AA923" s="39"/>
      <c r="AB923" s="39"/>
    </row>
    <row r="924">
      <c r="A924" s="1"/>
      <c r="B924" s="36"/>
      <c r="C924" s="36"/>
      <c r="D924" s="36"/>
      <c r="E924" s="36"/>
      <c r="F924" s="36"/>
      <c r="G924" s="36"/>
      <c r="H924" s="37"/>
      <c r="I924" s="36"/>
      <c r="J924" s="38"/>
      <c r="K924" s="38"/>
      <c r="L924" s="39"/>
      <c r="M924" s="39"/>
      <c r="N924" s="39"/>
      <c r="O924" s="39"/>
      <c r="P924" s="39"/>
      <c r="Q924" s="39"/>
      <c r="R924" s="39"/>
      <c r="S924" s="39"/>
      <c r="T924" s="39"/>
      <c r="U924" s="39"/>
      <c r="V924" s="39"/>
      <c r="W924" s="39"/>
      <c r="X924" s="39"/>
      <c r="Y924" s="39"/>
      <c r="Z924" s="39"/>
      <c r="AA924" s="39"/>
      <c r="AB924" s="39"/>
    </row>
    <row r="925">
      <c r="A925" s="1"/>
      <c r="B925" s="36"/>
      <c r="C925" s="36"/>
      <c r="D925" s="36"/>
      <c r="E925" s="36"/>
      <c r="F925" s="36"/>
      <c r="G925" s="36"/>
      <c r="H925" s="37"/>
      <c r="I925" s="36"/>
      <c r="J925" s="38"/>
      <c r="K925" s="38"/>
      <c r="L925" s="39"/>
      <c r="M925" s="39"/>
      <c r="N925" s="39"/>
      <c r="O925" s="39"/>
      <c r="P925" s="39"/>
      <c r="Q925" s="39"/>
      <c r="R925" s="39"/>
      <c r="S925" s="39"/>
      <c r="T925" s="39"/>
      <c r="U925" s="39"/>
      <c r="V925" s="39"/>
      <c r="W925" s="39"/>
      <c r="X925" s="39"/>
      <c r="Y925" s="39"/>
      <c r="Z925" s="39"/>
      <c r="AA925" s="39"/>
      <c r="AB925" s="39"/>
    </row>
    <row r="926">
      <c r="A926" s="1"/>
      <c r="B926" s="36"/>
      <c r="C926" s="36"/>
      <c r="D926" s="36"/>
      <c r="E926" s="36"/>
      <c r="F926" s="36"/>
      <c r="G926" s="36"/>
      <c r="H926" s="37"/>
      <c r="I926" s="36"/>
      <c r="J926" s="38"/>
      <c r="K926" s="38"/>
      <c r="L926" s="39"/>
      <c r="M926" s="39"/>
      <c r="N926" s="39"/>
      <c r="O926" s="39"/>
      <c r="P926" s="39"/>
      <c r="Q926" s="39"/>
      <c r="R926" s="39"/>
      <c r="S926" s="39"/>
      <c r="T926" s="39"/>
      <c r="U926" s="39"/>
      <c r="V926" s="39"/>
      <c r="W926" s="39"/>
      <c r="X926" s="39"/>
      <c r="Y926" s="39"/>
      <c r="Z926" s="39"/>
      <c r="AA926" s="39"/>
      <c r="AB926" s="39"/>
    </row>
    <row r="927">
      <c r="A927" s="1"/>
      <c r="B927" s="36"/>
      <c r="C927" s="36"/>
      <c r="D927" s="36"/>
      <c r="E927" s="36"/>
      <c r="F927" s="36"/>
      <c r="G927" s="36"/>
      <c r="H927" s="37"/>
      <c r="I927" s="36"/>
      <c r="J927" s="38"/>
      <c r="K927" s="38"/>
      <c r="L927" s="39"/>
      <c r="M927" s="39"/>
      <c r="N927" s="39"/>
      <c r="O927" s="39"/>
      <c r="P927" s="39"/>
      <c r="Q927" s="39"/>
      <c r="R927" s="39"/>
      <c r="S927" s="39"/>
      <c r="T927" s="39"/>
      <c r="U927" s="39"/>
      <c r="V927" s="39"/>
      <c r="W927" s="39"/>
      <c r="X927" s="39"/>
      <c r="Y927" s="39"/>
      <c r="Z927" s="39"/>
      <c r="AA927" s="39"/>
      <c r="AB927" s="39"/>
    </row>
    <row r="928">
      <c r="A928" s="1"/>
      <c r="B928" s="36"/>
      <c r="C928" s="36"/>
      <c r="D928" s="36"/>
      <c r="E928" s="36"/>
      <c r="F928" s="36"/>
      <c r="G928" s="36"/>
      <c r="H928" s="37"/>
      <c r="I928" s="36"/>
      <c r="J928" s="38"/>
      <c r="K928" s="38"/>
      <c r="L928" s="39"/>
      <c r="M928" s="39"/>
      <c r="N928" s="39"/>
      <c r="O928" s="39"/>
      <c r="P928" s="39"/>
      <c r="Q928" s="39"/>
      <c r="R928" s="39"/>
      <c r="S928" s="39"/>
      <c r="T928" s="39"/>
      <c r="U928" s="39"/>
      <c r="V928" s="39"/>
      <c r="W928" s="39"/>
      <c r="X928" s="39"/>
      <c r="Y928" s="39"/>
      <c r="Z928" s="39"/>
      <c r="AA928" s="39"/>
      <c r="AB928" s="39"/>
    </row>
    <row r="929">
      <c r="A929" s="1"/>
      <c r="B929" s="36"/>
      <c r="C929" s="36"/>
      <c r="D929" s="36"/>
      <c r="E929" s="36"/>
      <c r="F929" s="36"/>
      <c r="G929" s="36"/>
      <c r="H929" s="37"/>
      <c r="I929" s="36"/>
      <c r="J929" s="38"/>
      <c r="K929" s="38"/>
      <c r="L929" s="39"/>
      <c r="M929" s="39"/>
      <c r="N929" s="39"/>
      <c r="O929" s="39"/>
      <c r="P929" s="39"/>
      <c r="Q929" s="39"/>
      <c r="R929" s="39"/>
      <c r="S929" s="39"/>
      <c r="T929" s="39"/>
      <c r="U929" s="39"/>
      <c r="V929" s="39"/>
      <c r="W929" s="39"/>
      <c r="X929" s="39"/>
      <c r="Y929" s="39"/>
      <c r="Z929" s="39"/>
      <c r="AA929" s="39"/>
      <c r="AB929" s="39"/>
    </row>
    <row r="930">
      <c r="A930" s="1"/>
      <c r="B930" s="36"/>
      <c r="C930" s="36"/>
      <c r="D930" s="36"/>
      <c r="E930" s="36"/>
      <c r="F930" s="36"/>
      <c r="G930" s="36"/>
      <c r="H930" s="37"/>
      <c r="I930" s="36"/>
      <c r="J930" s="38"/>
      <c r="K930" s="38"/>
      <c r="L930" s="39"/>
      <c r="M930" s="39"/>
      <c r="N930" s="39"/>
      <c r="O930" s="39"/>
      <c r="P930" s="39"/>
      <c r="Q930" s="39"/>
      <c r="R930" s="39"/>
      <c r="S930" s="39"/>
      <c r="T930" s="39"/>
      <c r="U930" s="39"/>
      <c r="V930" s="39"/>
      <c r="W930" s="39"/>
      <c r="X930" s="39"/>
      <c r="Y930" s="39"/>
      <c r="Z930" s="39"/>
      <c r="AA930" s="39"/>
      <c r="AB930" s="39"/>
    </row>
    <row r="931">
      <c r="A931" s="1"/>
      <c r="B931" s="36"/>
      <c r="C931" s="36"/>
      <c r="D931" s="36"/>
      <c r="E931" s="36"/>
      <c r="F931" s="36"/>
      <c r="G931" s="36"/>
      <c r="H931" s="37"/>
      <c r="I931" s="36"/>
      <c r="J931" s="38"/>
      <c r="K931" s="38"/>
      <c r="L931" s="39"/>
      <c r="M931" s="39"/>
      <c r="N931" s="39"/>
      <c r="O931" s="39"/>
      <c r="P931" s="39"/>
      <c r="Q931" s="39"/>
      <c r="R931" s="39"/>
      <c r="S931" s="39"/>
      <c r="T931" s="39"/>
      <c r="U931" s="39"/>
      <c r="V931" s="39"/>
      <c r="W931" s="39"/>
      <c r="X931" s="39"/>
      <c r="Y931" s="39"/>
      <c r="Z931" s="39"/>
      <c r="AA931" s="39"/>
      <c r="AB931" s="39"/>
    </row>
    <row r="932">
      <c r="A932" s="1"/>
      <c r="B932" s="36"/>
      <c r="C932" s="36"/>
      <c r="D932" s="36"/>
      <c r="E932" s="36"/>
      <c r="F932" s="36"/>
      <c r="G932" s="36"/>
      <c r="H932" s="37"/>
      <c r="I932" s="36"/>
      <c r="J932" s="38"/>
      <c r="K932" s="38"/>
      <c r="L932" s="39"/>
      <c r="M932" s="39"/>
      <c r="N932" s="39"/>
      <c r="O932" s="39"/>
      <c r="P932" s="39"/>
      <c r="Q932" s="39"/>
      <c r="R932" s="39"/>
      <c r="S932" s="39"/>
      <c r="T932" s="39"/>
      <c r="U932" s="39"/>
      <c r="V932" s="39"/>
      <c r="W932" s="39"/>
      <c r="X932" s="39"/>
      <c r="Y932" s="39"/>
      <c r="Z932" s="39"/>
      <c r="AA932" s="39"/>
      <c r="AB932" s="39"/>
    </row>
    <row r="933">
      <c r="A933" s="1"/>
      <c r="B933" s="36"/>
      <c r="C933" s="36"/>
      <c r="D933" s="36"/>
      <c r="E933" s="36"/>
      <c r="F933" s="36"/>
      <c r="G933" s="36"/>
      <c r="H933" s="37"/>
      <c r="I933" s="36"/>
      <c r="J933" s="38"/>
      <c r="K933" s="38"/>
      <c r="L933" s="39"/>
      <c r="M933" s="39"/>
      <c r="N933" s="39"/>
      <c r="O933" s="39"/>
      <c r="P933" s="39"/>
      <c r="Q933" s="39"/>
      <c r="R933" s="39"/>
      <c r="S933" s="39"/>
      <c r="T933" s="39"/>
      <c r="U933" s="39"/>
      <c r="V933" s="39"/>
      <c r="W933" s="39"/>
      <c r="X933" s="39"/>
      <c r="Y933" s="39"/>
      <c r="Z933" s="39"/>
      <c r="AA933" s="39"/>
      <c r="AB933" s="39"/>
    </row>
    <row r="934">
      <c r="A934" s="1"/>
      <c r="B934" s="36"/>
      <c r="C934" s="36"/>
      <c r="D934" s="36"/>
      <c r="E934" s="36"/>
      <c r="F934" s="36"/>
      <c r="G934" s="36"/>
      <c r="H934" s="37"/>
      <c r="I934" s="36"/>
      <c r="J934" s="38"/>
      <c r="K934" s="38"/>
      <c r="L934" s="39"/>
      <c r="M934" s="39"/>
      <c r="N934" s="39"/>
      <c r="O934" s="39"/>
      <c r="P934" s="39"/>
      <c r="Q934" s="39"/>
      <c r="R934" s="39"/>
      <c r="S934" s="39"/>
      <c r="T934" s="39"/>
      <c r="U934" s="39"/>
      <c r="V934" s="39"/>
      <c r="W934" s="39"/>
      <c r="X934" s="39"/>
      <c r="Y934" s="39"/>
      <c r="Z934" s="39"/>
      <c r="AA934" s="39"/>
      <c r="AB934" s="39"/>
    </row>
    <row r="935">
      <c r="A935" s="1"/>
      <c r="B935" s="36"/>
      <c r="C935" s="36"/>
      <c r="D935" s="36"/>
      <c r="E935" s="36"/>
      <c r="F935" s="36"/>
      <c r="G935" s="36"/>
      <c r="H935" s="37"/>
      <c r="I935" s="36"/>
      <c r="J935" s="38"/>
      <c r="K935" s="38"/>
      <c r="L935" s="39"/>
      <c r="M935" s="39"/>
      <c r="N935" s="39"/>
      <c r="O935" s="39"/>
      <c r="P935" s="39"/>
      <c r="Q935" s="39"/>
      <c r="R935" s="39"/>
      <c r="S935" s="39"/>
      <c r="T935" s="39"/>
      <c r="U935" s="39"/>
      <c r="V935" s="39"/>
      <c r="W935" s="39"/>
      <c r="X935" s="39"/>
      <c r="Y935" s="39"/>
      <c r="Z935" s="39"/>
      <c r="AA935" s="39"/>
      <c r="AB935" s="39"/>
    </row>
    <row r="936">
      <c r="A936" s="1"/>
      <c r="B936" s="36"/>
      <c r="C936" s="36"/>
      <c r="D936" s="36"/>
      <c r="E936" s="36"/>
      <c r="F936" s="36"/>
      <c r="G936" s="36"/>
      <c r="H936" s="37"/>
      <c r="I936" s="36"/>
      <c r="J936" s="38"/>
      <c r="K936" s="38"/>
      <c r="L936" s="39"/>
      <c r="M936" s="39"/>
      <c r="N936" s="39"/>
      <c r="O936" s="39"/>
      <c r="P936" s="39"/>
      <c r="Q936" s="39"/>
      <c r="R936" s="39"/>
      <c r="S936" s="39"/>
      <c r="T936" s="39"/>
      <c r="U936" s="39"/>
      <c r="V936" s="39"/>
      <c r="W936" s="39"/>
      <c r="X936" s="39"/>
      <c r="Y936" s="39"/>
      <c r="Z936" s="39"/>
      <c r="AA936" s="39"/>
      <c r="AB936" s="39"/>
    </row>
    <row r="937">
      <c r="A937" s="1"/>
      <c r="B937" s="36"/>
      <c r="C937" s="36"/>
      <c r="D937" s="36"/>
      <c r="E937" s="36"/>
      <c r="F937" s="36"/>
      <c r="G937" s="36"/>
      <c r="H937" s="37"/>
      <c r="I937" s="36"/>
      <c r="J937" s="38"/>
      <c r="K937" s="38"/>
      <c r="L937" s="39"/>
      <c r="M937" s="39"/>
      <c r="N937" s="39"/>
      <c r="O937" s="39"/>
      <c r="P937" s="39"/>
      <c r="Q937" s="39"/>
      <c r="R937" s="39"/>
      <c r="S937" s="39"/>
      <c r="T937" s="39"/>
      <c r="U937" s="39"/>
      <c r="V937" s="39"/>
      <c r="W937" s="39"/>
      <c r="X937" s="39"/>
      <c r="Y937" s="39"/>
      <c r="Z937" s="39"/>
      <c r="AA937" s="39"/>
      <c r="AB937" s="39"/>
    </row>
    <row r="938">
      <c r="A938" s="1"/>
      <c r="B938" s="36"/>
      <c r="C938" s="36"/>
      <c r="D938" s="36"/>
      <c r="E938" s="36"/>
      <c r="F938" s="36"/>
      <c r="G938" s="36"/>
      <c r="H938" s="37"/>
      <c r="I938" s="36"/>
      <c r="J938" s="38"/>
      <c r="K938" s="38"/>
      <c r="L938" s="39"/>
      <c r="M938" s="39"/>
      <c r="N938" s="39"/>
      <c r="O938" s="39"/>
      <c r="P938" s="39"/>
      <c r="Q938" s="39"/>
      <c r="R938" s="39"/>
      <c r="S938" s="39"/>
      <c r="T938" s="39"/>
      <c r="U938" s="39"/>
      <c r="V938" s="39"/>
      <c r="W938" s="39"/>
      <c r="X938" s="39"/>
      <c r="Y938" s="39"/>
      <c r="Z938" s="39"/>
      <c r="AA938" s="39"/>
      <c r="AB938" s="39"/>
    </row>
    <row r="939">
      <c r="A939" s="1"/>
      <c r="B939" s="36"/>
      <c r="C939" s="36"/>
      <c r="D939" s="36"/>
      <c r="E939" s="36"/>
      <c r="F939" s="36"/>
      <c r="G939" s="36"/>
      <c r="H939" s="37"/>
      <c r="I939" s="36"/>
      <c r="J939" s="38"/>
      <c r="K939" s="38"/>
      <c r="L939" s="39"/>
      <c r="M939" s="39"/>
      <c r="N939" s="39"/>
      <c r="O939" s="39"/>
      <c r="P939" s="39"/>
      <c r="Q939" s="39"/>
      <c r="R939" s="39"/>
      <c r="S939" s="39"/>
      <c r="T939" s="39"/>
      <c r="U939" s="39"/>
      <c r="V939" s="39"/>
      <c r="W939" s="39"/>
      <c r="X939" s="39"/>
      <c r="Y939" s="39"/>
      <c r="Z939" s="39"/>
      <c r="AA939" s="39"/>
      <c r="AB939" s="39"/>
    </row>
    <row r="940">
      <c r="A940" s="1"/>
      <c r="B940" s="36"/>
      <c r="C940" s="36"/>
      <c r="D940" s="36"/>
      <c r="E940" s="36"/>
      <c r="F940" s="36"/>
      <c r="G940" s="36"/>
      <c r="H940" s="37"/>
      <c r="I940" s="36"/>
      <c r="J940" s="38"/>
      <c r="K940" s="38"/>
      <c r="L940" s="39"/>
      <c r="M940" s="39"/>
      <c r="N940" s="39"/>
      <c r="O940" s="39"/>
      <c r="P940" s="39"/>
      <c r="Q940" s="39"/>
      <c r="R940" s="39"/>
      <c r="S940" s="39"/>
      <c r="T940" s="39"/>
      <c r="U940" s="39"/>
      <c r="V940" s="39"/>
      <c r="W940" s="39"/>
      <c r="X940" s="39"/>
      <c r="Y940" s="39"/>
      <c r="Z940" s="39"/>
      <c r="AA940" s="39"/>
      <c r="AB940" s="39"/>
    </row>
    <row r="941">
      <c r="A941" s="1"/>
      <c r="B941" s="36"/>
      <c r="C941" s="36"/>
      <c r="D941" s="36"/>
      <c r="E941" s="36"/>
      <c r="F941" s="36"/>
      <c r="G941" s="36"/>
      <c r="H941" s="37"/>
      <c r="I941" s="36"/>
      <c r="J941" s="38"/>
      <c r="K941" s="38"/>
      <c r="L941" s="39"/>
      <c r="M941" s="39"/>
      <c r="N941" s="39"/>
      <c r="O941" s="39"/>
      <c r="P941" s="39"/>
      <c r="Q941" s="39"/>
      <c r="R941" s="39"/>
      <c r="S941" s="39"/>
      <c r="T941" s="39"/>
      <c r="U941" s="39"/>
      <c r="V941" s="39"/>
      <c r="W941" s="39"/>
      <c r="X941" s="39"/>
      <c r="Y941" s="39"/>
      <c r="Z941" s="39"/>
      <c r="AA941" s="39"/>
      <c r="AB941" s="39"/>
    </row>
    <row r="942">
      <c r="A942" s="1"/>
      <c r="B942" s="36"/>
      <c r="C942" s="36"/>
      <c r="D942" s="36"/>
      <c r="E942" s="36"/>
      <c r="F942" s="36"/>
      <c r="G942" s="36"/>
      <c r="H942" s="37"/>
      <c r="I942" s="36"/>
      <c r="J942" s="38"/>
      <c r="K942" s="38"/>
      <c r="L942" s="39"/>
      <c r="M942" s="39"/>
      <c r="N942" s="39"/>
      <c r="O942" s="39"/>
      <c r="P942" s="39"/>
      <c r="Q942" s="39"/>
      <c r="R942" s="39"/>
      <c r="S942" s="39"/>
      <c r="T942" s="39"/>
      <c r="U942" s="39"/>
      <c r="V942" s="39"/>
      <c r="W942" s="39"/>
      <c r="X942" s="39"/>
      <c r="Y942" s="39"/>
      <c r="Z942" s="39"/>
      <c r="AA942" s="39"/>
      <c r="AB942" s="39"/>
    </row>
    <row r="943">
      <c r="A943" s="1"/>
      <c r="B943" s="36"/>
      <c r="C943" s="36"/>
      <c r="D943" s="36"/>
      <c r="E943" s="36"/>
      <c r="F943" s="36"/>
      <c r="G943" s="36"/>
      <c r="H943" s="37"/>
      <c r="I943" s="36"/>
      <c r="J943" s="38"/>
      <c r="K943" s="38"/>
      <c r="L943" s="39"/>
      <c r="M943" s="39"/>
      <c r="N943" s="39"/>
      <c r="O943" s="39"/>
      <c r="P943" s="39"/>
      <c r="Q943" s="39"/>
      <c r="R943" s="39"/>
      <c r="S943" s="39"/>
      <c r="T943" s="39"/>
      <c r="U943" s="39"/>
      <c r="V943" s="39"/>
      <c r="W943" s="39"/>
      <c r="X943" s="39"/>
      <c r="Y943" s="39"/>
      <c r="Z943" s="39"/>
      <c r="AA943" s="39"/>
      <c r="AB943" s="39"/>
    </row>
    <row r="944">
      <c r="A944" s="1"/>
      <c r="B944" s="36"/>
      <c r="C944" s="36"/>
      <c r="D944" s="36"/>
      <c r="E944" s="36"/>
      <c r="F944" s="36"/>
      <c r="G944" s="36"/>
      <c r="H944" s="37"/>
      <c r="I944" s="36"/>
      <c r="J944" s="38"/>
      <c r="K944" s="38"/>
      <c r="L944" s="39"/>
      <c r="M944" s="39"/>
      <c r="N944" s="39"/>
      <c r="O944" s="39"/>
      <c r="P944" s="39"/>
      <c r="Q944" s="39"/>
      <c r="R944" s="39"/>
      <c r="S944" s="39"/>
      <c r="T944" s="39"/>
      <c r="U944" s="39"/>
      <c r="V944" s="39"/>
      <c r="W944" s="39"/>
      <c r="X944" s="39"/>
      <c r="Y944" s="39"/>
      <c r="Z944" s="39"/>
      <c r="AA944" s="39"/>
      <c r="AB944" s="39"/>
    </row>
    <row r="945">
      <c r="A945" s="1"/>
      <c r="B945" s="36"/>
      <c r="C945" s="36"/>
      <c r="D945" s="36"/>
      <c r="E945" s="36"/>
      <c r="F945" s="36"/>
      <c r="G945" s="36"/>
      <c r="H945" s="37"/>
      <c r="I945" s="36"/>
      <c r="J945" s="38"/>
      <c r="K945" s="38"/>
      <c r="L945" s="39"/>
      <c r="M945" s="39"/>
      <c r="N945" s="39"/>
      <c r="O945" s="39"/>
      <c r="P945" s="39"/>
      <c r="Q945" s="39"/>
      <c r="R945" s="39"/>
      <c r="S945" s="39"/>
      <c r="T945" s="39"/>
      <c r="U945" s="39"/>
      <c r="V945" s="39"/>
      <c r="W945" s="39"/>
      <c r="X945" s="39"/>
      <c r="Y945" s="39"/>
      <c r="Z945" s="39"/>
      <c r="AA945" s="39"/>
      <c r="AB945" s="39"/>
    </row>
    <row r="946">
      <c r="A946" s="1"/>
      <c r="B946" s="36"/>
      <c r="C946" s="36"/>
      <c r="D946" s="36"/>
      <c r="E946" s="36"/>
      <c r="F946" s="36"/>
      <c r="G946" s="36"/>
      <c r="H946" s="37"/>
      <c r="I946" s="36"/>
      <c r="J946" s="38"/>
      <c r="K946" s="38"/>
      <c r="L946" s="39"/>
      <c r="M946" s="39"/>
      <c r="N946" s="39"/>
      <c r="O946" s="39"/>
      <c r="P946" s="39"/>
      <c r="Q946" s="39"/>
      <c r="R946" s="39"/>
      <c r="S946" s="39"/>
      <c r="T946" s="39"/>
      <c r="U946" s="39"/>
      <c r="V946" s="39"/>
      <c r="W946" s="39"/>
      <c r="X946" s="39"/>
      <c r="Y946" s="39"/>
      <c r="Z946" s="39"/>
      <c r="AA946" s="39"/>
      <c r="AB946" s="39"/>
    </row>
    <row r="947">
      <c r="A947" s="1"/>
      <c r="B947" s="36"/>
      <c r="C947" s="36"/>
      <c r="D947" s="36"/>
      <c r="E947" s="36"/>
      <c r="F947" s="36"/>
      <c r="G947" s="36"/>
      <c r="H947" s="37"/>
      <c r="I947" s="36"/>
      <c r="J947" s="38"/>
      <c r="K947" s="38"/>
      <c r="L947" s="39"/>
      <c r="M947" s="39"/>
      <c r="N947" s="39"/>
      <c r="O947" s="39"/>
      <c r="P947" s="39"/>
      <c r="Q947" s="39"/>
      <c r="R947" s="39"/>
      <c r="S947" s="39"/>
      <c r="T947" s="39"/>
      <c r="U947" s="39"/>
      <c r="V947" s="39"/>
      <c r="W947" s="39"/>
      <c r="X947" s="39"/>
      <c r="Y947" s="39"/>
      <c r="Z947" s="39"/>
      <c r="AA947" s="39"/>
      <c r="AB947" s="39"/>
    </row>
    <row r="948">
      <c r="A948" s="1"/>
      <c r="B948" s="36"/>
      <c r="C948" s="36"/>
      <c r="D948" s="36"/>
      <c r="E948" s="36"/>
      <c r="F948" s="36"/>
      <c r="G948" s="36"/>
      <c r="H948" s="37"/>
      <c r="I948" s="36"/>
      <c r="J948" s="38"/>
      <c r="K948" s="38"/>
      <c r="L948" s="39"/>
      <c r="M948" s="39"/>
      <c r="N948" s="39"/>
      <c r="O948" s="39"/>
      <c r="P948" s="39"/>
      <c r="Q948" s="39"/>
      <c r="R948" s="39"/>
      <c r="S948" s="39"/>
      <c r="T948" s="39"/>
      <c r="U948" s="39"/>
      <c r="V948" s="39"/>
      <c r="W948" s="39"/>
      <c r="X948" s="39"/>
      <c r="Y948" s="39"/>
      <c r="Z948" s="39"/>
      <c r="AA948" s="39"/>
      <c r="AB948" s="39"/>
    </row>
    <row r="949">
      <c r="A949" s="1"/>
      <c r="B949" s="36"/>
      <c r="C949" s="36"/>
      <c r="D949" s="36"/>
      <c r="E949" s="36"/>
      <c r="F949" s="36"/>
      <c r="G949" s="36"/>
      <c r="H949" s="37"/>
      <c r="I949" s="36"/>
      <c r="J949" s="38"/>
      <c r="K949" s="38"/>
      <c r="L949" s="39"/>
      <c r="M949" s="39"/>
      <c r="N949" s="39"/>
      <c r="O949" s="39"/>
      <c r="P949" s="39"/>
      <c r="Q949" s="39"/>
      <c r="R949" s="39"/>
      <c r="S949" s="39"/>
      <c r="T949" s="39"/>
      <c r="U949" s="39"/>
      <c r="V949" s="39"/>
      <c r="W949" s="39"/>
      <c r="X949" s="39"/>
      <c r="Y949" s="39"/>
      <c r="Z949" s="39"/>
      <c r="AA949" s="39"/>
      <c r="AB949" s="39"/>
    </row>
    <row r="950">
      <c r="A950" s="1"/>
      <c r="B950" s="36"/>
      <c r="C950" s="36"/>
      <c r="D950" s="36"/>
      <c r="E950" s="36"/>
      <c r="F950" s="36"/>
      <c r="G950" s="36"/>
      <c r="H950" s="37"/>
      <c r="I950" s="36"/>
      <c r="J950" s="38"/>
      <c r="K950" s="38"/>
      <c r="L950" s="39"/>
      <c r="M950" s="39"/>
      <c r="N950" s="39"/>
      <c r="O950" s="39"/>
      <c r="P950" s="39"/>
      <c r="Q950" s="39"/>
      <c r="R950" s="39"/>
      <c r="S950" s="39"/>
      <c r="T950" s="39"/>
      <c r="U950" s="39"/>
      <c r="V950" s="39"/>
      <c r="W950" s="39"/>
      <c r="X950" s="39"/>
      <c r="Y950" s="39"/>
      <c r="Z950" s="39"/>
      <c r="AA950" s="39"/>
      <c r="AB950" s="39"/>
    </row>
    <row r="951">
      <c r="A951" s="1"/>
      <c r="B951" s="36"/>
      <c r="C951" s="36"/>
      <c r="D951" s="36"/>
      <c r="E951" s="36"/>
      <c r="F951" s="36"/>
      <c r="G951" s="36"/>
      <c r="H951" s="37"/>
      <c r="I951" s="36"/>
      <c r="J951" s="38"/>
      <c r="K951" s="38"/>
      <c r="L951" s="39"/>
      <c r="M951" s="39"/>
      <c r="N951" s="39"/>
      <c r="O951" s="39"/>
      <c r="P951" s="39"/>
      <c r="Q951" s="39"/>
      <c r="R951" s="39"/>
      <c r="S951" s="39"/>
      <c r="T951" s="39"/>
      <c r="U951" s="39"/>
      <c r="V951" s="39"/>
      <c r="W951" s="39"/>
      <c r="X951" s="39"/>
      <c r="Y951" s="39"/>
      <c r="Z951" s="39"/>
      <c r="AA951" s="39"/>
      <c r="AB951" s="39"/>
    </row>
    <row r="952">
      <c r="A952" s="1"/>
      <c r="B952" s="36"/>
      <c r="C952" s="36"/>
      <c r="D952" s="36"/>
      <c r="E952" s="36"/>
      <c r="F952" s="36"/>
      <c r="G952" s="36"/>
      <c r="H952" s="37"/>
      <c r="I952" s="36"/>
      <c r="J952" s="38"/>
      <c r="K952" s="38"/>
      <c r="L952" s="39"/>
      <c r="M952" s="39"/>
      <c r="N952" s="39"/>
      <c r="O952" s="39"/>
      <c r="P952" s="39"/>
      <c r="Q952" s="39"/>
      <c r="R952" s="39"/>
      <c r="S952" s="39"/>
      <c r="T952" s="39"/>
      <c r="U952" s="39"/>
      <c r="V952" s="39"/>
      <c r="W952" s="39"/>
      <c r="X952" s="39"/>
      <c r="Y952" s="39"/>
      <c r="Z952" s="39"/>
      <c r="AA952" s="39"/>
      <c r="AB952" s="39"/>
    </row>
    <row r="953">
      <c r="A953" s="1"/>
      <c r="B953" s="36"/>
      <c r="C953" s="36"/>
      <c r="D953" s="36"/>
      <c r="E953" s="36"/>
      <c r="F953" s="36"/>
      <c r="G953" s="36"/>
      <c r="H953" s="37"/>
      <c r="I953" s="36"/>
      <c r="J953" s="38"/>
      <c r="K953" s="38"/>
      <c r="L953" s="39"/>
      <c r="M953" s="39"/>
      <c r="N953" s="39"/>
      <c r="O953" s="39"/>
      <c r="P953" s="39"/>
      <c r="Q953" s="39"/>
      <c r="R953" s="39"/>
      <c r="S953" s="39"/>
      <c r="T953" s="39"/>
      <c r="U953" s="39"/>
      <c r="V953" s="39"/>
      <c r="W953" s="39"/>
      <c r="X953" s="39"/>
      <c r="Y953" s="39"/>
      <c r="Z953" s="39"/>
      <c r="AA953" s="39"/>
      <c r="AB953" s="39"/>
    </row>
    <row r="954">
      <c r="A954" s="1"/>
      <c r="B954" s="36"/>
      <c r="C954" s="36"/>
      <c r="D954" s="36"/>
      <c r="E954" s="36"/>
      <c r="F954" s="36"/>
      <c r="G954" s="36"/>
      <c r="H954" s="37"/>
      <c r="I954" s="36"/>
      <c r="J954" s="38"/>
      <c r="K954" s="38"/>
      <c r="L954" s="39"/>
      <c r="M954" s="39"/>
      <c r="N954" s="39"/>
      <c r="O954" s="39"/>
      <c r="P954" s="39"/>
      <c r="Q954" s="39"/>
      <c r="R954" s="39"/>
      <c r="S954" s="39"/>
      <c r="T954" s="39"/>
      <c r="U954" s="39"/>
      <c r="V954" s="39"/>
      <c r="W954" s="39"/>
      <c r="X954" s="39"/>
      <c r="Y954" s="39"/>
      <c r="Z954" s="39"/>
      <c r="AA954" s="39"/>
      <c r="AB954" s="39"/>
    </row>
    <row r="955">
      <c r="A955" s="1"/>
      <c r="B955" s="36"/>
      <c r="C955" s="36"/>
      <c r="D955" s="36"/>
      <c r="E955" s="36"/>
      <c r="F955" s="36"/>
      <c r="G955" s="36"/>
      <c r="H955" s="37"/>
      <c r="I955" s="36"/>
      <c r="J955" s="38"/>
      <c r="K955" s="38"/>
      <c r="L955" s="39"/>
      <c r="M955" s="39"/>
      <c r="N955" s="39"/>
      <c r="O955" s="39"/>
      <c r="P955" s="39"/>
      <c r="Q955" s="39"/>
      <c r="R955" s="39"/>
      <c r="S955" s="39"/>
      <c r="T955" s="39"/>
      <c r="U955" s="39"/>
      <c r="V955" s="39"/>
      <c r="W955" s="39"/>
      <c r="X955" s="39"/>
      <c r="Y955" s="39"/>
      <c r="Z955" s="39"/>
      <c r="AA955" s="39"/>
      <c r="AB955" s="39"/>
    </row>
    <row r="956">
      <c r="A956" s="1"/>
      <c r="B956" s="36"/>
      <c r="C956" s="36"/>
      <c r="D956" s="36"/>
      <c r="E956" s="36"/>
      <c r="F956" s="36"/>
      <c r="G956" s="36"/>
      <c r="H956" s="37"/>
      <c r="I956" s="36"/>
      <c r="J956" s="38"/>
      <c r="K956" s="38"/>
      <c r="L956" s="39"/>
      <c r="M956" s="39"/>
      <c r="N956" s="39"/>
      <c r="O956" s="39"/>
      <c r="P956" s="39"/>
      <c r="Q956" s="39"/>
      <c r="R956" s="39"/>
      <c r="S956" s="39"/>
      <c r="T956" s="39"/>
      <c r="U956" s="39"/>
      <c r="V956" s="39"/>
      <c r="W956" s="39"/>
      <c r="X956" s="39"/>
      <c r="Y956" s="39"/>
      <c r="Z956" s="39"/>
      <c r="AA956" s="39"/>
      <c r="AB956" s="39"/>
    </row>
    <row r="957">
      <c r="A957" s="1"/>
      <c r="B957" s="36"/>
      <c r="C957" s="36"/>
      <c r="D957" s="36"/>
      <c r="E957" s="36"/>
      <c r="F957" s="36"/>
      <c r="G957" s="36"/>
      <c r="H957" s="37"/>
      <c r="I957" s="36"/>
      <c r="J957" s="38"/>
      <c r="K957" s="38"/>
      <c r="L957" s="39"/>
      <c r="M957" s="39"/>
      <c r="N957" s="39"/>
      <c r="O957" s="39"/>
      <c r="P957" s="39"/>
      <c r="Q957" s="39"/>
      <c r="R957" s="39"/>
      <c r="S957" s="39"/>
      <c r="T957" s="39"/>
      <c r="U957" s="39"/>
      <c r="V957" s="39"/>
      <c r="W957" s="39"/>
      <c r="X957" s="39"/>
      <c r="Y957" s="39"/>
      <c r="Z957" s="39"/>
      <c r="AA957" s="39"/>
      <c r="AB957" s="39"/>
    </row>
    <row r="958">
      <c r="A958" s="1"/>
      <c r="B958" s="36"/>
      <c r="C958" s="36"/>
      <c r="D958" s="36"/>
      <c r="E958" s="36"/>
      <c r="F958" s="36"/>
      <c r="G958" s="36"/>
      <c r="H958" s="37"/>
      <c r="I958" s="36"/>
      <c r="J958" s="38"/>
      <c r="K958" s="38"/>
      <c r="L958" s="39"/>
      <c r="M958" s="39"/>
      <c r="N958" s="39"/>
      <c r="O958" s="39"/>
      <c r="P958" s="39"/>
      <c r="Q958" s="39"/>
      <c r="R958" s="39"/>
      <c r="S958" s="39"/>
      <c r="T958" s="39"/>
      <c r="U958" s="39"/>
      <c r="V958" s="39"/>
      <c r="W958" s="39"/>
      <c r="X958" s="39"/>
      <c r="Y958" s="39"/>
      <c r="Z958" s="39"/>
      <c r="AA958" s="39"/>
      <c r="AB958" s="39"/>
    </row>
    <row r="959">
      <c r="A959" s="1"/>
      <c r="B959" s="36"/>
      <c r="C959" s="36"/>
      <c r="D959" s="36"/>
      <c r="E959" s="36"/>
      <c r="F959" s="36"/>
      <c r="G959" s="36"/>
      <c r="H959" s="37"/>
      <c r="I959" s="36"/>
      <c r="J959" s="38"/>
      <c r="K959" s="38"/>
      <c r="L959" s="39"/>
      <c r="M959" s="39"/>
      <c r="N959" s="39"/>
      <c r="O959" s="39"/>
      <c r="P959" s="39"/>
      <c r="Q959" s="39"/>
      <c r="R959" s="39"/>
      <c r="S959" s="39"/>
      <c r="T959" s="39"/>
      <c r="U959" s="39"/>
      <c r="V959" s="39"/>
      <c r="W959" s="39"/>
      <c r="X959" s="39"/>
      <c r="Y959" s="39"/>
      <c r="Z959" s="39"/>
      <c r="AA959" s="39"/>
      <c r="AB959" s="39"/>
    </row>
    <row r="960">
      <c r="A960" s="1"/>
      <c r="B960" s="36"/>
      <c r="C960" s="36"/>
      <c r="D960" s="36"/>
      <c r="E960" s="36"/>
      <c r="F960" s="36"/>
      <c r="G960" s="36"/>
      <c r="H960" s="37"/>
      <c r="I960" s="36"/>
      <c r="J960" s="38"/>
      <c r="K960" s="38"/>
      <c r="L960" s="39"/>
      <c r="M960" s="39"/>
      <c r="N960" s="39"/>
      <c r="O960" s="39"/>
      <c r="P960" s="39"/>
      <c r="Q960" s="39"/>
      <c r="R960" s="39"/>
      <c r="S960" s="39"/>
      <c r="T960" s="39"/>
      <c r="U960" s="39"/>
      <c r="V960" s="39"/>
      <c r="W960" s="39"/>
      <c r="X960" s="39"/>
      <c r="Y960" s="39"/>
      <c r="Z960" s="39"/>
      <c r="AA960" s="39"/>
      <c r="AB960" s="39"/>
    </row>
    <row r="961">
      <c r="A961" s="1"/>
      <c r="B961" s="36"/>
      <c r="C961" s="36"/>
      <c r="D961" s="36"/>
      <c r="E961" s="36"/>
      <c r="F961" s="36"/>
      <c r="G961" s="36"/>
      <c r="H961" s="37"/>
      <c r="I961" s="36"/>
      <c r="J961" s="38"/>
      <c r="K961" s="38"/>
      <c r="L961" s="39"/>
      <c r="M961" s="39"/>
      <c r="N961" s="39"/>
      <c r="O961" s="39"/>
      <c r="P961" s="39"/>
      <c r="Q961" s="39"/>
      <c r="R961" s="39"/>
      <c r="S961" s="39"/>
      <c r="T961" s="39"/>
      <c r="U961" s="39"/>
      <c r="V961" s="39"/>
      <c r="W961" s="39"/>
      <c r="X961" s="39"/>
      <c r="Y961" s="39"/>
      <c r="Z961" s="39"/>
      <c r="AA961" s="39"/>
      <c r="AB961" s="39"/>
    </row>
    <row r="962">
      <c r="A962" s="1"/>
      <c r="B962" s="36"/>
      <c r="C962" s="36"/>
      <c r="D962" s="36"/>
      <c r="E962" s="36"/>
      <c r="F962" s="36"/>
      <c r="G962" s="36"/>
      <c r="H962" s="37"/>
      <c r="I962" s="36"/>
      <c r="J962" s="38"/>
      <c r="K962" s="38"/>
      <c r="L962" s="39"/>
      <c r="M962" s="39"/>
      <c r="N962" s="39"/>
      <c r="O962" s="39"/>
      <c r="P962" s="39"/>
      <c r="Q962" s="39"/>
      <c r="R962" s="39"/>
      <c r="S962" s="39"/>
      <c r="T962" s="39"/>
      <c r="U962" s="39"/>
      <c r="V962" s="39"/>
      <c r="W962" s="39"/>
      <c r="X962" s="39"/>
      <c r="Y962" s="39"/>
      <c r="Z962" s="39"/>
      <c r="AA962" s="39"/>
      <c r="AB962" s="39"/>
    </row>
    <row r="963">
      <c r="A963" s="1"/>
      <c r="B963" s="36"/>
      <c r="C963" s="36"/>
      <c r="D963" s="36"/>
      <c r="E963" s="36"/>
      <c r="F963" s="36"/>
      <c r="G963" s="36"/>
      <c r="H963" s="37"/>
      <c r="I963" s="36"/>
      <c r="J963" s="38"/>
      <c r="K963" s="38"/>
      <c r="L963" s="39"/>
      <c r="M963" s="39"/>
      <c r="N963" s="39"/>
      <c r="O963" s="39"/>
      <c r="P963" s="39"/>
      <c r="Q963" s="39"/>
      <c r="R963" s="39"/>
      <c r="S963" s="39"/>
      <c r="T963" s="39"/>
      <c r="U963" s="39"/>
      <c r="V963" s="39"/>
      <c r="W963" s="39"/>
      <c r="X963" s="39"/>
      <c r="Y963" s="39"/>
      <c r="Z963" s="39"/>
      <c r="AA963" s="39"/>
      <c r="AB963" s="39"/>
    </row>
    <row r="964">
      <c r="A964" s="1"/>
      <c r="B964" s="36"/>
      <c r="C964" s="36"/>
      <c r="D964" s="36"/>
      <c r="E964" s="36"/>
      <c r="F964" s="36"/>
      <c r="G964" s="36"/>
      <c r="H964" s="37"/>
      <c r="I964" s="36"/>
      <c r="J964" s="38"/>
      <c r="K964" s="38"/>
      <c r="L964" s="39"/>
      <c r="M964" s="39"/>
      <c r="N964" s="39"/>
      <c r="O964" s="39"/>
      <c r="P964" s="39"/>
      <c r="Q964" s="39"/>
      <c r="R964" s="39"/>
      <c r="S964" s="39"/>
      <c r="T964" s="39"/>
      <c r="U964" s="39"/>
      <c r="V964" s="39"/>
      <c r="W964" s="39"/>
      <c r="X964" s="39"/>
      <c r="Y964" s="39"/>
      <c r="Z964" s="39"/>
      <c r="AA964" s="39"/>
      <c r="AB964" s="39"/>
    </row>
    <row r="965">
      <c r="A965" s="1"/>
      <c r="B965" s="36"/>
      <c r="C965" s="36"/>
      <c r="D965" s="36"/>
      <c r="E965" s="36"/>
      <c r="F965" s="36"/>
      <c r="G965" s="36"/>
      <c r="H965" s="37"/>
      <c r="I965" s="36"/>
      <c r="J965" s="38"/>
      <c r="K965" s="38"/>
      <c r="L965" s="39"/>
      <c r="M965" s="39"/>
      <c r="N965" s="39"/>
      <c r="O965" s="39"/>
      <c r="P965" s="39"/>
      <c r="Q965" s="39"/>
      <c r="R965" s="39"/>
      <c r="S965" s="39"/>
      <c r="T965" s="39"/>
      <c r="U965" s="39"/>
      <c r="V965" s="39"/>
      <c r="W965" s="39"/>
      <c r="X965" s="39"/>
      <c r="Y965" s="39"/>
      <c r="Z965" s="39"/>
      <c r="AA965" s="39"/>
      <c r="AB965" s="39"/>
    </row>
    <row r="966">
      <c r="A966" s="1"/>
      <c r="B966" s="36"/>
      <c r="C966" s="36"/>
      <c r="D966" s="36"/>
      <c r="E966" s="36"/>
      <c r="F966" s="36"/>
      <c r="G966" s="36"/>
      <c r="H966" s="37"/>
      <c r="I966" s="36"/>
      <c r="J966" s="38"/>
      <c r="K966" s="38"/>
      <c r="L966" s="39"/>
      <c r="M966" s="39"/>
      <c r="N966" s="39"/>
      <c r="O966" s="39"/>
      <c r="P966" s="39"/>
      <c r="Q966" s="39"/>
      <c r="R966" s="39"/>
      <c r="S966" s="39"/>
      <c r="T966" s="39"/>
      <c r="U966" s="39"/>
      <c r="V966" s="39"/>
      <c r="W966" s="39"/>
      <c r="X966" s="39"/>
      <c r="Y966" s="39"/>
      <c r="Z966" s="39"/>
      <c r="AA966" s="39"/>
      <c r="AB966" s="39"/>
    </row>
    <row r="967">
      <c r="A967" s="1"/>
      <c r="B967" s="36"/>
      <c r="C967" s="36"/>
      <c r="D967" s="36"/>
      <c r="E967" s="36"/>
      <c r="F967" s="36"/>
      <c r="G967" s="36"/>
      <c r="H967" s="37"/>
      <c r="I967" s="36"/>
      <c r="J967" s="38"/>
      <c r="K967" s="38"/>
      <c r="L967" s="39"/>
      <c r="M967" s="39"/>
      <c r="N967" s="39"/>
      <c r="O967" s="39"/>
      <c r="P967" s="39"/>
      <c r="Q967" s="39"/>
      <c r="R967" s="39"/>
      <c r="S967" s="39"/>
      <c r="T967" s="39"/>
      <c r="U967" s="39"/>
      <c r="V967" s="39"/>
      <c r="W967" s="39"/>
      <c r="X967" s="39"/>
      <c r="Y967" s="39"/>
      <c r="Z967" s="39"/>
      <c r="AA967" s="39"/>
      <c r="AB967" s="39"/>
    </row>
    <row r="968">
      <c r="A968" s="1"/>
      <c r="B968" s="36"/>
      <c r="C968" s="36"/>
      <c r="D968" s="36"/>
      <c r="E968" s="36"/>
      <c r="F968" s="36"/>
      <c r="G968" s="36"/>
      <c r="H968" s="37"/>
      <c r="I968" s="36"/>
      <c r="J968" s="38"/>
      <c r="K968" s="38"/>
      <c r="L968" s="39"/>
      <c r="M968" s="39"/>
      <c r="N968" s="39"/>
      <c r="O968" s="39"/>
      <c r="P968" s="39"/>
      <c r="Q968" s="39"/>
      <c r="R968" s="39"/>
      <c r="S968" s="39"/>
      <c r="T968" s="39"/>
      <c r="U968" s="39"/>
      <c r="V968" s="39"/>
      <c r="W968" s="39"/>
      <c r="X968" s="39"/>
      <c r="Y968" s="39"/>
      <c r="Z968" s="39"/>
      <c r="AA968" s="39"/>
      <c r="AB968" s="39"/>
    </row>
    <row r="969">
      <c r="A969" s="1"/>
      <c r="B969" s="36"/>
      <c r="C969" s="36"/>
      <c r="D969" s="36"/>
      <c r="E969" s="36"/>
      <c r="F969" s="36"/>
      <c r="G969" s="36"/>
      <c r="H969" s="37"/>
      <c r="I969" s="36"/>
      <c r="J969" s="38"/>
      <c r="K969" s="38"/>
      <c r="L969" s="39"/>
      <c r="M969" s="39"/>
      <c r="N969" s="39"/>
      <c r="O969" s="39"/>
      <c r="P969" s="39"/>
      <c r="Q969" s="39"/>
      <c r="R969" s="39"/>
      <c r="S969" s="39"/>
      <c r="T969" s="39"/>
      <c r="U969" s="39"/>
      <c r="V969" s="39"/>
      <c r="W969" s="39"/>
      <c r="X969" s="39"/>
      <c r="Y969" s="39"/>
      <c r="Z969" s="39"/>
      <c r="AA969" s="39"/>
      <c r="AB969" s="39"/>
    </row>
    <row r="970">
      <c r="A970" s="1"/>
      <c r="B970" s="36"/>
      <c r="C970" s="36"/>
      <c r="D970" s="36"/>
      <c r="E970" s="36"/>
      <c r="F970" s="36"/>
      <c r="G970" s="36"/>
      <c r="H970" s="37"/>
      <c r="I970" s="36"/>
      <c r="J970" s="38"/>
      <c r="K970" s="38"/>
      <c r="L970" s="39"/>
      <c r="M970" s="39"/>
      <c r="N970" s="39"/>
      <c r="O970" s="39"/>
      <c r="P970" s="39"/>
      <c r="Q970" s="39"/>
      <c r="R970" s="39"/>
      <c r="S970" s="39"/>
      <c r="T970" s="39"/>
      <c r="U970" s="39"/>
      <c r="V970" s="39"/>
      <c r="W970" s="39"/>
      <c r="X970" s="39"/>
      <c r="Y970" s="39"/>
      <c r="Z970" s="39"/>
      <c r="AA970" s="39"/>
      <c r="AB970" s="39"/>
    </row>
    <row r="971">
      <c r="A971" s="1"/>
      <c r="B971" s="36"/>
      <c r="C971" s="36"/>
      <c r="D971" s="36"/>
      <c r="E971" s="36"/>
      <c r="F971" s="36"/>
      <c r="G971" s="36"/>
      <c r="H971" s="37"/>
      <c r="I971" s="36"/>
      <c r="J971" s="38"/>
      <c r="K971" s="38"/>
      <c r="L971" s="39"/>
      <c r="M971" s="39"/>
      <c r="N971" s="39"/>
      <c r="O971" s="39"/>
      <c r="P971" s="39"/>
      <c r="Q971" s="39"/>
      <c r="R971" s="39"/>
      <c r="S971" s="39"/>
      <c r="T971" s="39"/>
      <c r="U971" s="39"/>
      <c r="V971" s="39"/>
      <c r="W971" s="39"/>
      <c r="X971" s="39"/>
      <c r="Y971" s="39"/>
      <c r="Z971" s="39"/>
      <c r="AA971" s="39"/>
      <c r="AB971" s="39"/>
    </row>
    <row r="972">
      <c r="A972" s="1"/>
      <c r="B972" s="36"/>
      <c r="C972" s="36"/>
      <c r="D972" s="36"/>
      <c r="E972" s="36"/>
      <c r="F972" s="36"/>
      <c r="G972" s="36"/>
      <c r="H972" s="37"/>
      <c r="I972" s="36"/>
      <c r="J972" s="38"/>
      <c r="K972" s="38"/>
      <c r="L972" s="39"/>
      <c r="M972" s="39"/>
      <c r="N972" s="39"/>
      <c r="O972" s="39"/>
      <c r="P972" s="39"/>
      <c r="Q972" s="39"/>
      <c r="R972" s="39"/>
      <c r="S972" s="39"/>
      <c r="T972" s="39"/>
      <c r="U972" s="39"/>
      <c r="V972" s="39"/>
      <c r="W972" s="39"/>
      <c r="X972" s="39"/>
      <c r="Y972" s="39"/>
      <c r="Z972" s="39"/>
      <c r="AA972" s="39"/>
      <c r="AB972" s="39"/>
    </row>
    <row r="973">
      <c r="A973" s="1"/>
      <c r="B973" s="36"/>
      <c r="C973" s="36"/>
      <c r="D973" s="36"/>
      <c r="E973" s="36"/>
      <c r="F973" s="36"/>
      <c r="G973" s="36"/>
      <c r="H973" s="37"/>
      <c r="I973" s="36"/>
      <c r="J973" s="38"/>
      <c r="K973" s="38"/>
      <c r="L973" s="39"/>
      <c r="M973" s="39"/>
      <c r="N973" s="39"/>
      <c r="O973" s="39"/>
      <c r="P973" s="39"/>
      <c r="Q973" s="39"/>
      <c r="R973" s="39"/>
      <c r="S973" s="39"/>
      <c r="T973" s="39"/>
      <c r="U973" s="39"/>
      <c r="V973" s="39"/>
      <c r="W973" s="39"/>
      <c r="X973" s="39"/>
      <c r="Y973" s="39"/>
      <c r="Z973" s="39"/>
      <c r="AA973" s="39"/>
      <c r="AB973" s="39"/>
    </row>
    <row r="974">
      <c r="A974" s="1"/>
      <c r="B974" s="36"/>
      <c r="C974" s="36"/>
      <c r="D974" s="36"/>
      <c r="E974" s="36"/>
      <c r="F974" s="36"/>
      <c r="G974" s="36"/>
      <c r="H974" s="37"/>
      <c r="I974" s="36"/>
      <c r="J974" s="38"/>
      <c r="K974" s="38"/>
      <c r="L974" s="39"/>
      <c r="M974" s="39"/>
      <c r="N974" s="39"/>
      <c r="O974" s="39"/>
      <c r="P974" s="39"/>
      <c r="Q974" s="39"/>
      <c r="R974" s="39"/>
      <c r="S974" s="39"/>
      <c r="T974" s="39"/>
      <c r="U974" s="39"/>
      <c r="V974" s="39"/>
      <c r="W974" s="39"/>
      <c r="X974" s="39"/>
      <c r="Y974" s="39"/>
      <c r="Z974" s="39"/>
      <c r="AA974" s="39"/>
      <c r="AB974" s="39"/>
    </row>
    <row r="975">
      <c r="A975" s="1"/>
      <c r="B975" s="36"/>
      <c r="C975" s="36"/>
      <c r="D975" s="36"/>
      <c r="E975" s="36"/>
      <c r="F975" s="36"/>
      <c r="G975" s="36"/>
      <c r="H975" s="37"/>
      <c r="I975" s="36"/>
      <c r="J975" s="38"/>
      <c r="K975" s="38"/>
      <c r="L975" s="39"/>
      <c r="M975" s="39"/>
      <c r="N975" s="39"/>
      <c r="O975" s="39"/>
      <c r="P975" s="39"/>
      <c r="Q975" s="39"/>
      <c r="R975" s="39"/>
      <c r="S975" s="39"/>
      <c r="T975" s="39"/>
      <c r="U975" s="39"/>
      <c r="V975" s="39"/>
      <c r="W975" s="39"/>
      <c r="X975" s="39"/>
      <c r="Y975" s="39"/>
      <c r="Z975" s="39"/>
      <c r="AA975" s="39"/>
      <c r="AB975" s="39"/>
    </row>
    <row r="976">
      <c r="A976" s="1"/>
      <c r="B976" s="36"/>
      <c r="C976" s="36"/>
      <c r="D976" s="36"/>
      <c r="E976" s="36"/>
      <c r="F976" s="36"/>
      <c r="G976" s="36"/>
      <c r="H976" s="37"/>
      <c r="I976" s="36"/>
      <c r="J976" s="38"/>
      <c r="K976" s="38"/>
      <c r="L976" s="39"/>
      <c r="M976" s="39"/>
      <c r="N976" s="39"/>
      <c r="O976" s="39"/>
      <c r="P976" s="39"/>
      <c r="Q976" s="39"/>
      <c r="R976" s="39"/>
      <c r="S976" s="39"/>
      <c r="T976" s="39"/>
      <c r="U976" s="39"/>
      <c r="V976" s="39"/>
      <c r="W976" s="39"/>
      <c r="X976" s="39"/>
      <c r="Y976" s="39"/>
      <c r="Z976" s="39"/>
      <c r="AA976" s="39"/>
      <c r="AB976" s="39"/>
    </row>
    <row r="977">
      <c r="A977" s="1"/>
      <c r="B977" s="36"/>
      <c r="C977" s="36"/>
      <c r="D977" s="36"/>
      <c r="E977" s="36"/>
      <c r="F977" s="36"/>
      <c r="G977" s="36"/>
      <c r="H977" s="37"/>
      <c r="I977" s="36"/>
      <c r="J977" s="38"/>
      <c r="K977" s="38"/>
      <c r="L977" s="39"/>
      <c r="M977" s="39"/>
      <c r="N977" s="39"/>
      <c r="O977" s="39"/>
      <c r="P977" s="39"/>
      <c r="Q977" s="39"/>
      <c r="R977" s="39"/>
      <c r="S977" s="39"/>
      <c r="T977" s="39"/>
      <c r="U977" s="39"/>
      <c r="V977" s="39"/>
      <c r="W977" s="39"/>
      <c r="X977" s="39"/>
      <c r="Y977" s="39"/>
      <c r="Z977" s="39"/>
      <c r="AA977" s="39"/>
      <c r="AB977" s="39"/>
    </row>
    <row r="978">
      <c r="A978" s="1"/>
      <c r="B978" s="36"/>
      <c r="C978" s="36"/>
      <c r="D978" s="36"/>
      <c r="E978" s="36"/>
      <c r="F978" s="36"/>
      <c r="G978" s="36"/>
      <c r="H978" s="37"/>
      <c r="I978" s="36"/>
      <c r="J978" s="38"/>
      <c r="K978" s="38"/>
      <c r="L978" s="39"/>
      <c r="M978" s="39"/>
      <c r="N978" s="39"/>
      <c r="O978" s="39"/>
      <c r="P978" s="39"/>
      <c r="Q978" s="39"/>
      <c r="R978" s="39"/>
      <c r="S978" s="39"/>
      <c r="T978" s="39"/>
      <c r="U978" s="39"/>
      <c r="V978" s="39"/>
      <c r="W978" s="39"/>
      <c r="X978" s="39"/>
      <c r="Y978" s="39"/>
      <c r="Z978" s="39"/>
      <c r="AA978" s="39"/>
      <c r="AB978" s="39"/>
    </row>
    <row r="979">
      <c r="A979" s="1"/>
      <c r="B979" s="36"/>
      <c r="C979" s="36"/>
      <c r="D979" s="36"/>
      <c r="E979" s="36"/>
      <c r="F979" s="36"/>
      <c r="G979" s="36"/>
      <c r="H979" s="37"/>
      <c r="I979" s="36"/>
      <c r="J979" s="38"/>
      <c r="K979" s="38"/>
      <c r="L979" s="39"/>
      <c r="M979" s="39"/>
      <c r="N979" s="39"/>
      <c r="O979" s="39"/>
      <c r="P979" s="39"/>
      <c r="Q979" s="39"/>
      <c r="R979" s="39"/>
      <c r="S979" s="39"/>
      <c r="T979" s="39"/>
      <c r="U979" s="39"/>
      <c r="V979" s="39"/>
      <c r="W979" s="39"/>
      <c r="X979" s="39"/>
      <c r="Y979" s="39"/>
      <c r="Z979" s="39"/>
      <c r="AA979" s="39"/>
      <c r="AB979" s="39"/>
    </row>
    <row r="980">
      <c r="A980" s="1"/>
      <c r="B980" s="36"/>
      <c r="C980" s="36"/>
      <c r="D980" s="36"/>
      <c r="E980" s="36"/>
      <c r="F980" s="36"/>
      <c r="G980" s="36"/>
      <c r="H980" s="37"/>
      <c r="I980" s="36"/>
      <c r="J980" s="38"/>
      <c r="K980" s="38"/>
      <c r="L980" s="39"/>
      <c r="M980" s="39"/>
      <c r="N980" s="39"/>
      <c r="O980" s="39"/>
      <c r="P980" s="39"/>
      <c r="Q980" s="39"/>
      <c r="R980" s="39"/>
      <c r="S980" s="39"/>
      <c r="T980" s="39"/>
      <c r="U980" s="39"/>
      <c r="V980" s="39"/>
      <c r="W980" s="39"/>
      <c r="X980" s="39"/>
      <c r="Y980" s="39"/>
      <c r="Z980" s="39"/>
      <c r="AA980" s="39"/>
      <c r="AB980" s="39"/>
    </row>
    <row r="981">
      <c r="A981" s="1"/>
      <c r="B981" s="36"/>
      <c r="C981" s="36"/>
      <c r="D981" s="36"/>
      <c r="E981" s="36"/>
      <c r="F981" s="36"/>
      <c r="G981" s="36"/>
      <c r="H981" s="37"/>
      <c r="I981" s="36"/>
      <c r="J981" s="38"/>
      <c r="K981" s="38"/>
      <c r="L981" s="39"/>
      <c r="M981" s="39"/>
      <c r="N981" s="39"/>
      <c r="O981" s="39"/>
      <c r="P981" s="39"/>
      <c r="Q981" s="39"/>
      <c r="R981" s="39"/>
      <c r="S981" s="39"/>
      <c r="T981" s="39"/>
      <c r="U981" s="39"/>
      <c r="V981" s="39"/>
      <c r="W981" s="39"/>
      <c r="X981" s="39"/>
      <c r="Y981" s="39"/>
      <c r="Z981" s="39"/>
      <c r="AA981" s="39"/>
      <c r="AB981" s="39"/>
    </row>
    <row r="982">
      <c r="A982" s="1"/>
      <c r="B982" s="36"/>
      <c r="C982" s="36"/>
      <c r="D982" s="36"/>
      <c r="E982" s="36"/>
      <c r="F982" s="36"/>
      <c r="G982" s="36"/>
      <c r="H982" s="37"/>
      <c r="I982" s="36"/>
      <c r="J982" s="38"/>
      <c r="K982" s="38"/>
      <c r="L982" s="39"/>
      <c r="M982" s="39"/>
      <c r="N982" s="39"/>
      <c r="O982" s="39"/>
      <c r="P982" s="39"/>
      <c r="Q982" s="39"/>
      <c r="R982" s="39"/>
      <c r="S982" s="39"/>
      <c r="T982" s="39"/>
      <c r="U982" s="39"/>
      <c r="V982" s="39"/>
      <c r="W982" s="39"/>
      <c r="X982" s="39"/>
      <c r="Y982" s="39"/>
      <c r="Z982" s="39"/>
      <c r="AA982" s="39"/>
      <c r="AB982" s="39"/>
    </row>
    <row r="983">
      <c r="A983" s="1"/>
      <c r="B983" s="36"/>
      <c r="C983" s="36"/>
      <c r="D983" s="36"/>
      <c r="E983" s="36"/>
      <c r="F983" s="36"/>
      <c r="G983" s="36"/>
      <c r="H983" s="37"/>
      <c r="I983" s="36"/>
      <c r="J983" s="38"/>
      <c r="K983" s="38"/>
      <c r="L983" s="39"/>
      <c r="M983" s="39"/>
      <c r="N983" s="39"/>
      <c r="O983" s="39"/>
      <c r="P983" s="39"/>
      <c r="Q983" s="39"/>
      <c r="R983" s="39"/>
      <c r="S983" s="39"/>
      <c r="T983" s="39"/>
      <c r="U983" s="39"/>
      <c r="V983" s="39"/>
      <c r="W983" s="39"/>
      <c r="X983" s="39"/>
      <c r="Y983" s="39"/>
      <c r="Z983" s="39"/>
      <c r="AA983" s="39"/>
      <c r="AB983" s="39"/>
    </row>
    <row r="984">
      <c r="A984" s="1"/>
      <c r="B984" s="36"/>
      <c r="C984" s="36"/>
      <c r="D984" s="36"/>
      <c r="E984" s="36"/>
      <c r="F984" s="36"/>
      <c r="G984" s="36"/>
      <c r="H984" s="37"/>
      <c r="I984" s="36"/>
      <c r="J984" s="38"/>
      <c r="K984" s="38"/>
      <c r="L984" s="39"/>
      <c r="M984" s="39"/>
      <c r="N984" s="39"/>
      <c r="O984" s="39"/>
      <c r="P984" s="39"/>
      <c r="Q984" s="39"/>
      <c r="R984" s="39"/>
      <c r="S984" s="39"/>
      <c r="T984" s="39"/>
      <c r="U984" s="39"/>
      <c r="V984" s="39"/>
      <c r="W984" s="39"/>
      <c r="X984" s="39"/>
      <c r="Y984" s="39"/>
      <c r="Z984" s="39"/>
      <c r="AA984" s="39"/>
      <c r="AB984" s="39"/>
    </row>
    <row r="985">
      <c r="A985" s="1"/>
      <c r="B985" s="36"/>
      <c r="C985" s="36"/>
      <c r="D985" s="36"/>
      <c r="E985" s="36"/>
      <c r="F985" s="36"/>
      <c r="G985" s="36"/>
      <c r="H985" s="37"/>
      <c r="I985" s="36"/>
      <c r="J985" s="38"/>
      <c r="K985" s="38"/>
      <c r="L985" s="39"/>
      <c r="M985" s="39"/>
      <c r="N985" s="39"/>
      <c r="O985" s="39"/>
      <c r="P985" s="39"/>
      <c r="Q985" s="39"/>
      <c r="R985" s="39"/>
      <c r="S985" s="39"/>
      <c r="T985" s="39"/>
      <c r="U985" s="39"/>
      <c r="V985" s="39"/>
      <c r="W985" s="39"/>
      <c r="X985" s="39"/>
      <c r="Y985" s="39"/>
      <c r="Z985" s="39"/>
      <c r="AA985" s="39"/>
      <c r="AB985" s="39"/>
    </row>
    <row r="986">
      <c r="A986" s="1"/>
      <c r="B986" s="36"/>
      <c r="C986" s="36"/>
      <c r="D986" s="36"/>
      <c r="E986" s="36"/>
      <c r="F986" s="36"/>
      <c r="G986" s="36"/>
      <c r="H986" s="37"/>
      <c r="I986" s="36"/>
      <c r="J986" s="38"/>
      <c r="K986" s="38"/>
      <c r="L986" s="39"/>
      <c r="M986" s="39"/>
      <c r="N986" s="39"/>
      <c r="O986" s="39"/>
      <c r="P986" s="39"/>
      <c r="Q986" s="39"/>
      <c r="R986" s="39"/>
      <c r="S986" s="39"/>
      <c r="T986" s="39"/>
      <c r="U986" s="39"/>
      <c r="V986" s="39"/>
      <c r="W986" s="39"/>
      <c r="X986" s="39"/>
      <c r="Y986" s="39"/>
      <c r="Z986" s="39"/>
      <c r="AA986" s="39"/>
      <c r="AB986" s="39"/>
    </row>
    <row r="987">
      <c r="A987" s="1"/>
      <c r="B987" s="36"/>
      <c r="C987" s="36"/>
      <c r="D987" s="36"/>
      <c r="E987" s="36"/>
      <c r="F987" s="36"/>
      <c r="G987" s="36"/>
      <c r="H987" s="37"/>
      <c r="I987" s="36"/>
      <c r="J987" s="38"/>
      <c r="K987" s="38"/>
      <c r="L987" s="39"/>
      <c r="M987" s="39"/>
      <c r="N987" s="39"/>
      <c r="O987" s="39"/>
      <c r="P987" s="39"/>
      <c r="Q987" s="39"/>
      <c r="R987" s="39"/>
      <c r="S987" s="39"/>
      <c r="T987" s="39"/>
      <c r="U987" s="39"/>
      <c r="V987" s="39"/>
      <c r="W987" s="39"/>
      <c r="X987" s="39"/>
      <c r="Y987" s="39"/>
      <c r="Z987" s="39"/>
      <c r="AA987" s="39"/>
      <c r="AB987" s="39"/>
    </row>
    <row r="988">
      <c r="A988" s="1"/>
      <c r="B988" s="36"/>
      <c r="C988" s="36"/>
      <c r="D988" s="36"/>
      <c r="E988" s="36"/>
      <c r="F988" s="36"/>
      <c r="G988" s="36"/>
      <c r="H988" s="37"/>
      <c r="I988" s="36"/>
      <c r="J988" s="38"/>
      <c r="K988" s="38"/>
      <c r="L988" s="39"/>
      <c r="M988" s="39"/>
      <c r="N988" s="39"/>
      <c r="O988" s="39"/>
      <c r="P988" s="39"/>
      <c r="Q988" s="39"/>
      <c r="R988" s="39"/>
      <c r="S988" s="39"/>
      <c r="T988" s="39"/>
      <c r="U988" s="39"/>
      <c r="V988" s="39"/>
      <c r="W988" s="39"/>
      <c r="X988" s="39"/>
      <c r="Y988" s="39"/>
      <c r="Z988" s="39"/>
      <c r="AA988" s="39"/>
      <c r="AB988" s="39"/>
    </row>
    <row r="989">
      <c r="A989" s="1"/>
      <c r="B989" s="36"/>
      <c r="C989" s="36"/>
      <c r="D989" s="36"/>
      <c r="E989" s="36"/>
      <c r="F989" s="36"/>
      <c r="G989" s="36"/>
      <c r="H989" s="37"/>
      <c r="I989" s="36"/>
      <c r="J989" s="38"/>
      <c r="K989" s="38"/>
      <c r="L989" s="39"/>
      <c r="M989" s="39"/>
      <c r="N989" s="39"/>
      <c r="O989" s="39"/>
      <c r="P989" s="39"/>
      <c r="Q989" s="39"/>
      <c r="R989" s="39"/>
      <c r="S989" s="39"/>
      <c r="T989" s="39"/>
      <c r="U989" s="39"/>
      <c r="V989" s="39"/>
      <c r="W989" s="39"/>
      <c r="X989" s="39"/>
      <c r="Y989" s="39"/>
      <c r="Z989" s="39"/>
      <c r="AA989" s="39"/>
      <c r="AB989" s="39"/>
    </row>
    <row r="990">
      <c r="A990" s="1"/>
      <c r="B990" s="36"/>
      <c r="C990" s="36"/>
      <c r="D990" s="36"/>
      <c r="E990" s="36"/>
      <c r="F990" s="36"/>
      <c r="G990" s="36"/>
      <c r="H990" s="37"/>
      <c r="I990" s="36"/>
      <c r="J990" s="38"/>
      <c r="K990" s="38"/>
      <c r="L990" s="39"/>
      <c r="M990" s="39"/>
      <c r="N990" s="39"/>
      <c r="O990" s="39"/>
      <c r="P990" s="39"/>
      <c r="Q990" s="39"/>
      <c r="R990" s="39"/>
      <c r="S990" s="39"/>
      <c r="T990" s="39"/>
      <c r="U990" s="39"/>
      <c r="V990" s="39"/>
      <c r="W990" s="39"/>
      <c r="X990" s="39"/>
      <c r="Y990" s="39"/>
      <c r="Z990" s="39"/>
      <c r="AA990" s="39"/>
      <c r="AB990" s="39"/>
    </row>
    <row r="991">
      <c r="A991" s="1"/>
      <c r="B991" s="36"/>
      <c r="C991" s="36"/>
      <c r="D991" s="36"/>
      <c r="E991" s="36"/>
      <c r="F991" s="36"/>
      <c r="G991" s="36"/>
      <c r="H991" s="37"/>
      <c r="I991" s="36"/>
      <c r="J991" s="38"/>
      <c r="K991" s="38"/>
      <c r="L991" s="39"/>
      <c r="M991" s="39"/>
      <c r="N991" s="39"/>
      <c r="O991" s="39"/>
      <c r="P991" s="39"/>
      <c r="Q991" s="39"/>
      <c r="R991" s="39"/>
      <c r="S991" s="39"/>
      <c r="T991" s="39"/>
      <c r="U991" s="39"/>
      <c r="V991" s="39"/>
      <c r="W991" s="39"/>
      <c r="X991" s="39"/>
      <c r="Y991" s="39"/>
      <c r="Z991" s="39"/>
      <c r="AA991" s="39"/>
      <c r="AB991" s="39"/>
    </row>
    <row r="992">
      <c r="A992" s="1"/>
      <c r="B992" s="36"/>
      <c r="C992" s="36"/>
      <c r="D992" s="36"/>
      <c r="E992" s="36"/>
      <c r="F992" s="36"/>
      <c r="G992" s="36"/>
      <c r="H992" s="37"/>
      <c r="I992" s="36"/>
      <c r="J992" s="38"/>
      <c r="K992" s="38"/>
      <c r="L992" s="39"/>
      <c r="M992" s="39"/>
      <c r="N992" s="39"/>
      <c r="O992" s="39"/>
      <c r="P992" s="39"/>
      <c r="Q992" s="39"/>
      <c r="R992" s="39"/>
      <c r="S992" s="39"/>
      <c r="T992" s="39"/>
      <c r="U992" s="39"/>
      <c r="V992" s="39"/>
      <c r="W992" s="39"/>
      <c r="X992" s="39"/>
      <c r="Y992" s="39"/>
      <c r="Z992" s="39"/>
      <c r="AA992" s="39"/>
      <c r="AB992" s="39"/>
    </row>
    <row r="993">
      <c r="A993" s="1"/>
      <c r="B993" s="36"/>
      <c r="C993" s="36"/>
      <c r="D993" s="36"/>
      <c r="E993" s="36"/>
      <c r="F993" s="36"/>
      <c r="G993" s="36"/>
      <c r="H993" s="37"/>
      <c r="I993" s="36"/>
      <c r="J993" s="38"/>
      <c r="K993" s="38"/>
      <c r="L993" s="39"/>
      <c r="M993" s="39"/>
      <c r="N993" s="39"/>
      <c r="O993" s="39"/>
      <c r="P993" s="39"/>
      <c r="Q993" s="39"/>
      <c r="R993" s="39"/>
      <c r="S993" s="39"/>
      <c r="T993" s="39"/>
      <c r="U993" s="39"/>
      <c r="V993" s="39"/>
      <c r="W993" s="39"/>
      <c r="X993" s="39"/>
      <c r="Y993" s="39"/>
      <c r="Z993" s="39"/>
      <c r="AA993" s="39"/>
      <c r="AB993" s="39"/>
    </row>
    <row r="994">
      <c r="A994" s="1"/>
      <c r="B994" s="36"/>
      <c r="C994" s="36"/>
      <c r="D994" s="36"/>
      <c r="E994" s="36"/>
      <c r="F994" s="36"/>
      <c r="G994" s="36"/>
      <c r="H994" s="37"/>
      <c r="I994" s="36"/>
      <c r="J994" s="38"/>
      <c r="K994" s="38"/>
      <c r="L994" s="39"/>
      <c r="M994" s="39"/>
      <c r="N994" s="39"/>
      <c r="O994" s="39"/>
      <c r="P994" s="39"/>
      <c r="Q994" s="39"/>
      <c r="R994" s="39"/>
      <c r="S994" s="39"/>
      <c r="T994" s="39"/>
      <c r="U994" s="39"/>
      <c r="V994" s="39"/>
      <c r="W994" s="39"/>
      <c r="X994" s="39"/>
      <c r="Y994" s="39"/>
      <c r="Z994" s="39"/>
      <c r="AA994" s="39"/>
      <c r="AB994" s="39"/>
    </row>
    <row r="995">
      <c r="A995" s="1"/>
      <c r="B995" s="36"/>
      <c r="C995" s="36"/>
      <c r="D995" s="36"/>
      <c r="E995" s="36"/>
      <c r="F995" s="36"/>
      <c r="G995" s="36"/>
      <c r="H995" s="37"/>
      <c r="I995" s="36"/>
      <c r="J995" s="38"/>
      <c r="K995" s="38"/>
      <c r="L995" s="39"/>
      <c r="M995" s="39"/>
      <c r="N995" s="39"/>
      <c r="O995" s="39"/>
      <c r="P995" s="39"/>
      <c r="Q995" s="39"/>
      <c r="R995" s="39"/>
      <c r="S995" s="39"/>
      <c r="T995" s="39"/>
      <c r="U995" s="39"/>
      <c r="V995" s="39"/>
      <c r="W995" s="39"/>
      <c r="X995" s="39"/>
      <c r="Y995" s="39"/>
      <c r="Z995" s="39"/>
      <c r="AA995" s="39"/>
      <c r="AB995" s="39"/>
    </row>
    <row r="996">
      <c r="A996" s="1"/>
      <c r="B996" s="36"/>
      <c r="C996" s="36"/>
      <c r="D996" s="36"/>
      <c r="E996" s="36"/>
      <c r="F996" s="36"/>
      <c r="G996" s="36"/>
      <c r="H996" s="37"/>
      <c r="I996" s="36"/>
      <c r="J996" s="38"/>
      <c r="K996" s="38"/>
      <c r="L996" s="39"/>
      <c r="M996" s="39"/>
      <c r="N996" s="39"/>
      <c r="O996" s="39"/>
      <c r="P996" s="39"/>
      <c r="Q996" s="39"/>
      <c r="R996" s="39"/>
      <c r="S996" s="39"/>
      <c r="T996" s="39"/>
      <c r="U996" s="39"/>
      <c r="V996" s="39"/>
      <c r="W996" s="39"/>
      <c r="X996" s="39"/>
      <c r="Y996" s="39"/>
      <c r="Z996" s="39"/>
      <c r="AA996" s="39"/>
      <c r="AB996" s="39"/>
    </row>
    <row r="997">
      <c r="A997" s="1"/>
      <c r="B997" s="36"/>
      <c r="C997" s="36"/>
      <c r="D997" s="36"/>
      <c r="E997" s="36"/>
      <c r="F997" s="36"/>
      <c r="G997" s="36"/>
      <c r="H997" s="37"/>
      <c r="I997" s="36"/>
      <c r="J997" s="38"/>
      <c r="K997" s="38"/>
      <c r="L997" s="39"/>
      <c r="M997" s="39"/>
      <c r="N997" s="39"/>
      <c r="O997" s="39"/>
      <c r="P997" s="39"/>
      <c r="Q997" s="39"/>
      <c r="R997" s="39"/>
      <c r="S997" s="39"/>
      <c r="T997" s="39"/>
      <c r="U997" s="39"/>
      <c r="V997" s="39"/>
      <c r="W997" s="39"/>
      <c r="X997" s="39"/>
      <c r="Y997" s="39"/>
      <c r="Z997" s="39"/>
      <c r="AA997" s="39"/>
      <c r="AB997" s="39"/>
    </row>
    <row r="998">
      <c r="A998" s="1"/>
      <c r="B998" s="36"/>
      <c r="C998" s="36"/>
      <c r="D998" s="36"/>
      <c r="E998" s="36"/>
      <c r="F998" s="36"/>
      <c r="G998" s="36"/>
      <c r="H998" s="37"/>
      <c r="I998" s="36"/>
      <c r="J998" s="38"/>
      <c r="K998" s="38"/>
      <c r="L998" s="39"/>
      <c r="M998" s="39"/>
      <c r="N998" s="39"/>
      <c r="O998" s="39"/>
      <c r="P998" s="39"/>
      <c r="Q998" s="39"/>
      <c r="R998" s="39"/>
      <c r="S998" s="39"/>
      <c r="T998" s="39"/>
      <c r="U998" s="39"/>
      <c r="V998" s="39"/>
      <c r="W998" s="39"/>
      <c r="X998" s="39"/>
      <c r="Y998" s="39"/>
      <c r="Z998" s="39"/>
      <c r="AA998" s="39"/>
      <c r="AB998" s="39"/>
    </row>
    <row r="999">
      <c r="A999" s="1"/>
      <c r="B999" s="36"/>
      <c r="C999" s="36"/>
      <c r="D999" s="36"/>
      <c r="E999" s="36"/>
      <c r="F999" s="36"/>
      <c r="G999" s="36"/>
      <c r="H999" s="37"/>
      <c r="I999" s="36"/>
      <c r="J999" s="38"/>
      <c r="K999" s="38"/>
      <c r="L999" s="39"/>
      <c r="M999" s="39"/>
      <c r="N999" s="39"/>
      <c r="O999" s="39"/>
      <c r="P999" s="39"/>
      <c r="Q999" s="39"/>
      <c r="R999" s="39"/>
      <c r="S999" s="39"/>
      <c r="T999" s="39"/>
      <c r="U999" s="39"/>
      <c r="V999" s="39"/>
      <c r="W999" s="39"/>
      <c r="X999" s="39"/>
      <c r="Y999" s="39"/>
      <c r="Z999" s="39"/>
      <c r="AA999" s="39"/>
      <c r="AB999" s="39"/>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5.43"/>
    <col customWidth="1" min="2" max="12" width="19.43"/>
  </cols>
  <sheetData>
    <row r="1">
      <c r="A1" s="1"/>
      <c r="B1" s="2"/>
      <c r="C1" s="1"/>
      <c r="D1" s="3" t="s">
        <v>0</v>
      </c>
      <c r="E1" s="1"/>
      <c r="F1" s="1"/>
      <c r="G1" s="1"/>
      <c r="H1" s="4"/>
      <c r="I1" s="1"/>
      <c r="J1" s="5"/>
      <c r="K1" s="5"/>
      <c r="L1" s="6"/>
      <c r="M1" s="6"/>
      <c r="N1" s="6"/>
      <c r="O1" s="6"/>
      <c r="P1" s="6"/>
      <c r="Q1" s="6"/>
      <c r="R1" s="6"/>
      <c r="S1" s="6"/>
      <c r="T1" s="6"/>
      <c r="U1" s="6"/>
      <c r="V1" s="6"/>
      <c r="W1" s="6"/>
      <c r="X1" s="6"/>
      <c r="Y1" s="6"/>
      <c r="Z1" s="6"/>
      <c r="AA1" s="6"/>
      <c r="AB1" s="6"/>
    </row>
    <row r="2">
      <c r="A2" s="1"/>
      <c r="B2" s="7"/>
      <c r="C2" s="1"/>
      <c r="D2" s="8" t="s">
        <v>1</v>
      </c>
      <c r="E2" s="1"/>
      <c r="F2" s="1"/>
      <c r="G2" s="1"/>
      <c r="H2" s="4"/>
      <c r="I2" s="1"/>
      <c r="J2" s="9" t="s">
        <v>2</v>
      </c>
      <c r="K2" s="5"/>
      <c r="L2" s="6"/>
      <c r="M2" s="6"/>
      <c r="N2" s="6"/>
      <c r="O2" s="6"/>
      <c r="P2" s="6"/>
      <c r="Q2" s="6"/>
      <c r="R2" s="6"/>
      <c r="S2" s="6"/>
      <c r="T2" s="6"/>
      <c r="U2" s="6"/>
      <c r="V2" s="6"/>
      <c r="W2" s="6"/>
      <c r="X2" s="6"/>
      <c r="Y2" s="6"/>
      <c r="Z2" s="6"/>
      <c r="AA2" s="6"/>
      <c r="AB2" s="6"/>
    </row>
    <row r="3">
      <c r="A3" s="1"/>
      <c r="B3" s="1"/>
      <c r="C3" s="1"/>
      <c r="D3" s="8" t="s">
        <v>3</v>
      </c>
      <c r="E3" s="1"/>
      <c r="F3" s="1"/>
      <c r="G3" s="1"/>
      <c r="H3" s="4"/>
      <c r="I3" s="1"/>
      <c r="J3" s="9" t="s">
        <v>4</v>
      </c>
      <c r="K3" s="5"/>
      <c r="L3" s="6"/>
      <c r="M3" s="6"/>
      <c r="N3" s="6"/>
      <c r="O3" s="6"/>
      <c r="P3" s="6"/>
      <c r="Q3" s="6"/>
      <c r="R3" s="6"/>
      <c r="S3" s="6"/>
      <c r="T3" s="6"/>
      <c r="U3" s="6"/>
      <c r="V3" s="6"/>
      <c r="W3" s="6"/>
      <c r="X3" s="6"/>
      <c r="Y3" s="6"/>
      <c r="Z3" s="6"/>
      <c r="AA3" s="6"/>
      <c r="AB3" s="6"/>
    </row>
    <row r="4">
      <c r="A4" s="1"/>
      <c r="B4" s="10"/>
      <c r="C4" s="10"/>
      <c r="D4" s="8" t="s">
        <v>5</v>
      </c>
      <c r="E4" s="11"/>
      <c r="F4" s="10"/>
      <c r="G4" s="11"/>
      <c r="H4" s="12"/>
      <c r="I4" s="1"/>
      <c r="J4" s="9"/>
      <c r="K4" s="5"/>
      <c r="L4" s="6"/>
      <c r="M4" s="6"/>
      <c r="N4" s="6"/>
      <c r="O4" s="6"/>
      <c r="P4" s="6"/>
      <c r="Q4" s="6"/>
      <c r="R4" s="6"/>
      <c r="S4" s="6"/>
      <c r="T4" s="6"/>
      <c r="U4" s="6"/>
      <c r="V4" s="6"/>
      <c r="W4" s="6"/>
      <c r="X4" s="6"/>
      <c r="Y4" s="6"/>
      <c r="Z4" s="6"/>
      <c r="AA4" s="6"/>
      <c r="AB4" s="6"/>
    </row>
    <row r="5">
      <c r="A5" s="1"/>
      <c r="B5" s="10"/>
      <c r="C5" s="13"/>
      <c r="D5" s="14" t="s">
        <v>6</v>
      </c>
      <c r="E5" s="15"/>
      <c r="F5" s="10"/>
      <c r="G5" s="11"/>
      <c r="H5" s="12"/>
      <c r="I5" s="1"/>
      <c r="J5" s="9" t="s">
        <v>7</v>
      </c>
      <c r="K5" s="5"/>
      <c r="L5" s="6"/>
      <c r="M5" s="6"/>
      <c r="N5" s="6"/>
      <c r="O5" s="6"/>
      <c r="P5" s="6"/>
      <c r="Q5" s="6"/>
      <c r="R5" s="6"/>
      <c r="S5" s="6"/>
      <c r="T5" s="6"/>
      <c r="U5" s="6"/>
      <c r="V5" s="6"/>
      <c r="W5" s="6"/>
      <c r="X5" s="6"/>
      <c r="Y5" s="6"/>
      <c r="Z5" s="6"/>
      <c r="AA5" s="6"/>
      <c r="AB5" s="6"/>
    </row>
    <row r="6">
      <c r="A6" s="1"/>
      <c r="B6" s="10"/>
      <c r="C6" s="10"/>
      <c r="D6" s="10"/>
      <c r="E6" s="11"/>
      <c r="F6" s="10"/>
      <c r="G6" s="11"/>
      <c r="H6" s="12"/>
      <c r="I6" s="1"/>
      <c r="J6" s="9"/>
      <c r="K6" s="5"/>
      <c r="L6" s="6"/>
      <c r="M6" s="6"/>
      <c r="N6" s="6"/>
      <c r="O6" s="6"/>
      <c r="P6" s="6"/>
      <c r="Q6" s="6"/>
      <c r="R6" s="6"/>
      <c r="S6" s="6"/>
      <c r="T6" s="6"/>
      <c r="U6" s="6"/>
      <c r="V6" s="6"/>
      <c r="W6" s="6"/>
      <c r="X6" s="6"/>
      <c r="Y6" s="6"/>
      <c r="Z6" s="6"/>
      <c r="AA6" s="6"/>
      <c r="AB6" s="6"/>
    </row>
    <row r="7">
      <c r="A7" s="16"/>
      <c r="B7" s="17"/>
      <c r="C7" s="17"/>
      <c r="D7" s="17"/>
      <c r="E7" s="17"/>
      <c r="F7" s="17"/>
      <c r="G7" s="17"/>
      <c r="H7" s="17"/>
      <c r="I7" s="1"/>
      <c r="J7" s="5"/>
      <c r="K7" s="5"/>
      <c r="L7" s="6"/>
      <c r="M7" s="6"/>
      <c r="N7" s="6"/>
      <c r="O7" s="6"/>
      <c r="P7" s="6"/>
      <c r="Q7" s="6"/>
      <c r="R7" s="6"/>
      <c r="S7" s="6"/>
      <c r="T7" s="6"/>
      <c r="U7" s="6"/>
      <c r="V7" s="6"/>
      <c r="W7" s="6"/>
      <c r="X7" s="6"/>
      <c r="Y7" s="6"/>
      <c r="Z7" s="6"/>
      <c r="AA7" s="6"/>
      <c r="AB7" s="6"/>
    </row>
    <row r="8">
      <c r="A8" s="7" t="s">
        <v>8</v>
      </c>
      <c r="B8" s="7" t="s">
        <v>9</v>
      </c>
      <c r="C8" s="7" t="s">
        <v>10</v>
      </c>
      <c r="D8" s="7" t="s">
        <v>11</v>
      </c>
      <c r="E8" s="7" t="s">
        <v>12</v>
      </c>
      <c r="F8" s="7" t="s">
        <v>13</v>
      </c>
      <c r="G8" s="7" t="s">
        <v>14</v>
      </c>
      <c r="H8" s="7" t="s">
        <v>15</v>
      </c>
      <c r="I8" s="7" t="s">
        <v>16</v>
      </c>
      <c r="J8" s="18" t="s">
        <v>17</v>
      </c>
      <c r="K8" s="18" t="s">
        <v>18</v>
      </c>
      <c r="L8" s="19" t="s">
        <v>19</v>
      </c>
      <c r="M8" s="20"/>
      <c r="N8" s="20"/>
      <c r="O8" s="20"/>
      <c r="P8" s="20"/>
      <c r="Q8" s="20"/>
      <c r="R8" s="20"/>
      <c r="S8" s="20"/>
      <c r="T8" s="20"/>
      <c r="U8" s="20"/>
      <c r="V8" s="20"/>
      <c r="W8" s="20"/>
      <c r="X8" s="20"/>
      <c r="Y8" s="20"/>
      <c r="Z8" s="20"/>
      <c r="AA8" s="20"/>
      <c r="AB8" s="20"/>
    </row>
    <row r="9">
      <c r="A9" s="21" t="s">
        <v>987</v>
      </c>
      <c r="B9" s="22" t="s">
        <v>988</v>
      </c>
      <c r="C9" s="23" t="str">
        <f>IFERROR(__xludf.DUMMYFUNCTION("GOOGLETRANSLATE(B9, ""en"", ""fr"")"),"Tuer des rats")</f>
        <v>Tuer des rats</v>
      </c>
      <c r="D9" s="23" t="str">
        <f>IFERROR(__xludf.DUMMYFUNCTION("GOOGLETRANSLATE(B9, ""en"", ""es"")"),"Matar ratas")</f>
        <v>Matar ratas</v>
      </c>
      <c r="E9" s="23" t="str">
        <f>IFERROR(__xludf.DUMMYFUNCTION("GOOGLETRANSLATE(B9, ""en"", ""ru"")"),"Убить крыс")</f>
        <v>Убить крыс</v>
      </c>
      <c r="F9" s="23" t="str">
        <f>IFERROR(__xludf.DUMMYFUNCTION("GOOGLETRANSLATE(B9, ""en"", ""tr"")"),"Sıçanları öldür")</f>
        <v>Sıçanları öldür</v>
      </c>
      <c r="G9" s="23" t="str">
        <f>IFERROR(__xludf.DUMMYFUNCTION("GOOGLETRANSLATE(B9, ""en"", ""pt"")"),"Matar ratos")</f>
        <v>Matar ratos</v>
      </c>
      <c r="H9" s="24" t="str">
        <f>IFERROR(__xludf.DUMMYFUNCTION("GOOGLETRANSLATE(B9, ""en"", ""de"")"),"Töte Ratten")</f>
        <v>Töte Ratten</v>
      </c>
      <c r="I9" s="23" t="str">
        <f>IFERROR(__xludf.DUMMYFUNCTION("GOOGLETRANSLATE(B9, ""en"", ""pl"")"),"Zabij szczury")</f>
        <v>Zabij szczury</v>
      </c>
      <c r="J9" s="25" t="str">
        <f>IFERROR(__xludf.DUMMYFUNCTION("GOOGLETRANSLATE(B9, ""en"", ""zh"")"),"杀死大鼠")</f>
        <v>杀死大鼠</v>
      </c>
      <c r="K9" s="25" t="str">
        <f>IFERROR(__xludf.DUMMYFUNCTION("GOOGLETRANSLATE(B9, ""en"", ""vi"")"),"Giết chuột")</f>
        <v>Giết chuột</v>
      </c>
      <c r="L9" s="26" t="str">
        <f>IFERROR(__xludf.DUMMYFUNCTION("GOOGLETRANSLATE(B9, ""en"", ""hr"")"),"Ubiti štakore")</f>
        <v>Ubiti štakore</v>
      </c>
      <c r="M9" s="28"/>
      <c r="N9" s="28"/>
      <c r="O9" s="28"/>
      <c r="P9" s="28"/>
      <c r="Q9" s="28"/>
      <c r="R9" s="28"/>
      <c r="S9" s="28"/>
      <c r="T9" s="28"/>
      <c r="U9" s="28"/>
      <c r="V9" s="28"/>
      <c r="W9" s="28"/>
      <c r="X9" s="28"/>
      <c r="Y9" s="28"/>
      <c r="Z9" s="28"/>
      <c r="AA9" s="28"/>
      <c r="AB9" s="28"/>
    </row>
    <row r="10">
      <c r="A10" s="21" t="s">
        <v>989</v>
      </c>
      <c r="B10" s="22" t="s">
        <v>990</v>
      </c>
      <c r="C10" s="23" t="str">
        <f>IFERROR(__xludf.DUMMYFUNCTION("GOOGLETRANSLATE(B10, ""en"", ""fr"")"),"Tuer des chauves-souris")</f>
        <v>Tuer des chauves-souris</v>
      </c>
      <c r="D10" s="23" t="str">
        <f>IFERROR(__xludf.DUMMYFUNCTION("GOOGLETRANSLATE(B10, ""en"", ""es"")"),"Matar a los murciélagos")</f>
        <v>Matar a los murciélagos</v>
      </c>
      <c r="E10" s="23" t="str">
        <f>IFERROR(__xludf.DUMMYFUNCTION("GOOGLETRANSLATE(B10, ""en"", ""ru"")"),"Убивать летучие мыши")</f>
        <v>Убивать летучие мыши</v>
      </c>
      <c r="F10" s="23" t="str">
        <f>IFERROR(__xludf.DUMMYFUNCTION("GOOGLETRANSLATE(B10, ""en"", ""tr"")"),"Yarasaları öldür")</f>
        <v>Yarasaları öldür</v>
      </c>
      <c r="G10" s="23" t="str">
        <f>IFERROR(__xludf.DUMMYFUNCTION("GOOGLETRANSLATE(B10, ""en"", ""pt"")"),"Matar morcegos.")</f>
        <v>Matar morcegos.</v>
      </c>
      <c r="H10" s="24" t="str">
        <f>IFERROR(__xludf.DUMMYFUNCTION("GOOGLETRANSLATE(B10, ""en"", ""de"")"),"Töte Fledermäuse")</f>
        <v>Töte Fledermäuse</v>
      </c>
      <c r="I10" s="23" t="str">
        <f>IFERROR(__xludf.DUMMYFUNCTION("GOOGLETRANSLATE(B10, ""en"", ""pl"")"),"Zabij nietoperze")</f>
        <v>Zabij nietoperze</v>
      </c>
      <c r="J10" s="25" t="str">
        <f>IFERROR(__xludf.DUMMYFUNCTION("GOOGLETRANSLATE(B10, ""en"", ""zh"")"),"杀死蝙蝠")</f>
        <v>杀死蝙蝠</v>
      </c>
      <c r="K10" s="25" t="str">
        <f>IFERROR(__xludf.DUMMYFUNCTION("GOOGLETRANSLATE(B10, ""en"", ""vi"")"),"Giết dơi")</f>
        <v>Giết dơi</v>
      </c>
      <c r="L10" s="26" t="str">
        <f>IFERROR(__xludf.DUMMYFUNCTION("GOOGLETRANSLATE(B10, ""en"", ""hr"")"),"Ubiti šišmiši")</f>
        <v>Ubiti šišmiši</v>
      </c>
      <c r="M10" s="28"/>
      <c r="N10" s="28"/>
      <c r="O10" s="28"/>
      <c r="P10" s="28"/>
      <c r="Q10" s="28"/>
      <c r="R10" s="28"/>
      <c r="S10" s="28"/>
      <c r="T10" s="28"/>
      <c r="U10" s="28"/>
      <c r="V10" s="28"/>
      <c r="W10" s="28"/>
      <c r="X10" s="28"/>
      <c r="Y10" s="28"/>
      <c r="Z10" s="28"/>
      <c r="AA10" s="28"/>
      <c r="AB10" s="28"/>
    </row>
    <row r="11">
      <c r="A11" s="21" t="s">
        <v>991</v>
      </c>
      <c r="B11" s="22" t="s">
        <v>992</v>
      </c>
      <c r="C11" s="23" t="str">
        <f>IFERROR(__xludf.DUMMYFUNCTION("GOOGLETRANSLATE(B11, ""en"", ""fr"")"),"Tuer des faucons")</f>
        <v>Tuer des faucons</v>
      </c>
      <c r="D11" s="23" t="str">
        <f>IFERROR(__xludf.DUMMYFUNCTION("GOOGLETRANSLATE(B11, ""en"", ""es"")"),"Matar a los halcones")</f>
        <v>Matar a los halcones</v>
      </c>
      <c r="E11" s="23" t="str">
        <f>IFERROR(__xludf.DUMMYFUNCTION("GOOGLETRANSLATE(B11, ""en"", ""ru"")"),"Убивать ястреб")</f>
        <v>Убивать ястреб</v>
      </c>
      <c r="F11" s="23" t="str">
        <f>IFERROR(__xludf.DUMMYFUNCTION("GOOGLETRANSLATE(B11, ""en"", ""tr"")"),"Hawks öldürmek")</f>
        <v>Hawks öldürmek</v>
      </c>
      <c r="G11" s="23" t="str">
        <f>IFERROR(__xludf.DUMMYFUNCTION("GOOGLETRANSLATE(B11, ""en"", ""pt"")"),"Matar falcões.")</f>
        <v>Matar falcões.</v>
      </c>
      <c r="H11" s="24" t="str">
        <f>IFERROR(__xludf.DUMMYFUNCTION("GOOGLETRANSLATE(B11, ""en"", ""de"")"),"Kill Hawks")</f>
        <v>Kill Hawks</v>
      </c>
      <c r="I11" s="23" t="str">
        <f>IFERROR(__xludf.DUMMYFUNCTION("GOOGLETRANSLATE(B11, ""en"", ""pl"")"),"Zabij Hawks.")</f>
        <v>Zabij Hawks.</v>
      </c>
      <c r="J11" s="25" t="str">
        <f>IFERROR(__xludf.DUMMYFUNCTION("GOOGLETRANSLATE(B11, ""en"", ""zh"")"),"杀老鹰")</f>
        <v>杀老鹰</v>
      </c>
      <c r="K11" s="25" t="str">
        <f>IFERROR(__xludf.DUMMYFUNCTION("GOOGLETRANSLATE(B11, ""en"", ""vi"")"),"Giết Hawks.")</f>
        <v>Giết Hawks.</v>
      </c>
      <c r="L11" s="26" t="str">
        <f>IFERROR(__xludf.DUMMYFUNCTION("GOOGLETRANSLATE(B11, ""en"", ""hr"")"),"Ubiti Hawks")</f>
        <v>Ubiti Hawks</v>
      </c>
      <c r="M11" s="28"/>
      <c r="N11" s="28"/>
      <c r="O11" s="28"/>
      <c r="P11" s="28"/>
      <c r="Q11" s="28"/>
      <c r="R11" s="28"/>
      <c r="S11" s="28"/>
      <c r="T11" s="28"/>
      <c r="U11" s="28"/>
      <c r="V11" s="28"/>
      <c r="W11" s="28"/>
      <c r="X11" s="28"/>
      <c r="Y11" s="28"/>
      <c r="Z11" s="28"/>
      <c r="AA11" s="28"/>
      <c r="AB11" s="28"/>
    </row>
    <row r="12">
      <c r="A12" s="21" t="s">
        <v>993</v>
      </c>
      <c r="B12" s="22" t="s">
        <v>994</v>
      </c>
      <c r="C12" s="23" t="str">
        <f>IFERROR(__xludf.DUMMYFUNCTION("GOOGLETRANSLATE(B12, ""en"", ""fr"")"),"Tuer des snoovirs")</f>
        <v>Tuer des snoovirs</v>
      </c>
      <c r="D12" s="23" t="str">
        <f>IFERROR(__xludf.DUMMYFUNCTION("GOOGLETRANSLATE(B12, ""en"", ""es"")"),"Matar Snovirs")</f>
        <v>Matar Snovirs</v>
      </c>
      <c r="E12" s="23" t="str">
        <f>IFERROR(__xludf.DUMMYFUNCTION("GOOGLETRANSLATE(B12, ""en"", ""ru"")"),"Убить Сновиры")</f>
        <v>Убить Сновиры</v>
      </c>
      <c r="F12" s="23" t="str">
        <f>IFERROR(__xludf.DUMMYFUNCTION("GOOGLETRANSLATE(B12, ""en"", ""tr"")"),"Snoovirleri öldür")</f>
        <v>Snoovirleri öldür</v>
      </c>
      <c r="G12" s="23" t="str">
        <f>IFERROR(__xludf.DUMMYFUNCTION("GOOGLETRANSLATE(B12, ""en"", ""pt"")"),"Matar snoovirs.")</f>
        <v>Matar snoovirs.</v>
      </c>
      <c r="H12" s="24" t="str">
        <f>IFERROR(__xludf.DUMMYFUNCTION("GOOGLETRANSLATE(B12, ""en"", ""de"")"),"Töte Snoovirs.")</f>
        <v>Töte Snoovirs.</v>
      </c>
      <c r="I12" s="23" t="str">
        <f>IFERROR(__xludf.DUMMYFUNCTION("GOOGLETRANSLATE(B12, ""en"", ""pl"")"),"Zabij Snoowir")</f>
        <v>Zabij Snoowir</v>
      </c>
      <c r="J12" s="25" t="str">
        <f>IFERROR(__xludf.DUMMYFUNCTION("GOOGLETRANSLATE(B12, ""en"", ""zh"")"),"杀死Snoovirs.")</f>
        <v>杀死Snoovirs.</v>
      </c>
      <c r="K12" s="25" t="str">
        <f>IFERROR(__xludf.DUMMYFUNCTION("GOOGLETRANSLATE(B12, ""en"", ""vi"")"),"Giết Snoovirs.")</f>
        <v>Giết Snoovirs.</v>
      </c>
      <c r="L12" s="26" t="str">
        <f>IFERROR(__xludf.DUMMYFUNCTION("GOOGLETRANSLATE(B12, ""en"", ""hr"")"),"Ubiti snoovirs")</f>
        <v>Ubiti snoovirs</v>
      </c>
      <c r="M12" s="28"/>
      <c r="N12" s="28"/>
      <c r="O12" s="28"/>
      <c r="P12" s="28"/>
      <c r="Q12" s="28"/>
      <c r="R12" s="28"/>
      <c r="S12" s="28"/>
      <c r="T12" s="28"/>
      <c r="U12" s="28"/>
      <c r="V12" s="28"/>
      <c r="W12" s="28"/>
      <c r="X12" s="28"/>
      <c r="Y12" s="28"/>
      <c r="Z12" s="28"/>
      <c r="AA12" s="28"/>
      <c r="AB12" s="28"/>
    </row>
    <row r="13">
      <c r="A13" s="21" t="s">
        <v>995</v>
      </c>
      <c r="B13" s="22" t="s">
        <v>996</v>
      </c>
      <c r="C13" s="23" t="str">
        <f>IFERROR(__xludf.DUMMYFUNCTION("GOOGLETRANSLATE(B13, ""en"", ""fr"")"),"Marquer des crampons")</f>
        <v>Marquer des crampons</v>
      </c>
      <c r="D13" s="23" t="str">
        <f>IFERROR(__xludf.DUMMYFUNCTION("GOOGLETRANSLATE(B13, ""en"", ""es"")"),"Matanza de scamps")</f>
        <v>Matanza de scamps</v>
      </c>
      <c r="E13" s="23" t="str">
        <f>IFERROR(__xludf.DUMMYFUNCTION("GOOGLETRANSLATE(B13, ""en"", ""ru"")"),"Убивать Бит")</f>
        <v>Убивать Бит</v>
      </c>
      <c r="F13" s="23" t="str">
        <f>IFERROR(__xludf.DUMMYFUNCTION("GOOGLETRANSLATE(B13, ""en"", ""tr"")"),"Scamp'ları öldür")</f>
        <v>Scamp'ları öldür</v>
      </c>
      <c r="G13" s="23" t="str">
        <f>IFERROR(__xludf.DUMMYFUNCTION("GOOGLETRANSLATE(B13, ""en"", ""pt"")"),"Matar scamps.")</f>
        <v>Matar scamps.</v>
      </c>
      <c r="H13" s="24" t="str">
        <f>IFERROR(__xludf.DUMMYFUNCTION("GOOGLETRANSLATE(B13, ""en"", ""de"")"),"Töte Scamps.")</f>
        <v>Töte Scamps.</v>
      </c>
      <c r="I13" s="23" t="str">
        <f>IFERROR(__xludf.DUMMYFUNCTION("GOOGLETRANSLATE(B13, ""en"", ""pl"")"),"Zabij scamps.")</f>
        <v>Zabij scamps.</v>
      </c>
      <c r="J13" s="25" t="str">
        <f>IFERROR(__xludf.DUMMYFUNCTION("GOOGLETRANSLATE(B13, ""en"", ""zh"")"),"杀了偷偷")</f>
        <v>杀了偷偷</v>
      </c>
      <c r="K13" s="25" t="str">
        <f>IFERROR(__xludf.DUMMYFUNCTION("GOOGLETRANSLATE(B13, ""en"", ""vi"")"),"Giết Scamp.")</f>
        <v>Giết Scamp.</v>
      </c>
      <c r="L13" s="26" t="str">
        <f>IFERROR(__xludf.DUMMYFUNCTION("GOOGLETRANSLATE(B13, ""en"", ""hr"")"),"Ubiti škampe")</f>
        <v>Ubiti škampe</v>
      </c>
      <c r="M13" s="28"/>
      <c r="N13" s="28"/>
      <c r="O13" s="28"/>
      <c r="P13" s="28"/>
      <c r="Q13" s="28"/>
      <c r="R13" s="28"/>
      <c r="S13" s="28"/>
      <c r="T13" s="28"/>
      <c r="U13" s="28"/>
      <c r="V13" s="28"/>
      <c r="W13" s="28"/>
      <c r="X13" s="28"/>
      <c r="Y13" s="28"/>
      <c r="Z13" s="28"/>
      <c r="AA13" s="28"/>
      <c r="AB13" s="28"/>
    </row>
    <row r="14">
      <c r="A14" s="21" t="s">
        <v>997</v>
      </c>
      <c r="B14" s="22" t="s">
        <v>998</v>
      </c>
      <c r="C14" s="23" t="str">
        <f>IFERROR(__xludf.DUMMYFUNCTION("GOOGLETRANSLATE(B14, ""en"", ""fr"")"),"Tuer des zombies")</f>
        <v>Tuer des zombies</v>
      </c>
      <c r="D14" s="23" t="str">
        <f>IFERROR(__xludf.DUMMYFUNCTION("GOOGLETRANSLATE(B14, ""en"", ""es"")"),"Matar zombis")</f>
        <v>Matar zombis</v>
      </c>
      <c r="E14" s="23" t="str">
        <f>IFERROR(__xludf.DUMMYFUNCTION("GOOGLETRANSLATE(B14, ""en"", ""ru"")"),"Убить зомби")</f>
        <v>Убить зомби</v>
      </c>
      <c r="F14" s="23" t="str">
        <f>IFERROR(__xludf.DUMMYFUNCTION("GOOGLETRANSLATE(B14, ""en"", ""tr"")"),"Zombileri öldür")</f>
        <v>Zombileri öldür</v>
      </c>
      <c r="G14" s="23" t="str">
        <f>IFERROR(__xludf.DUMMYFUNCTION("GOOGLETRANSLATE(B14, ""en"", ""pt"")"),"Matar zumbis")</f>
        <v>Matar zumbis</v>
      </c>
      <c r="H14" s="24" t="str">
        <f>IFERROR(__xludf.DUMMYFUNCTION("GOOGLETRANSLATE(B14, ""en"", ""de"")"),"Töte Zombies")</f>
        <v>Töte Zombies</v>
      </c>
      <c r="I14" s="23" t="str">
        <f>IFERROR(__xludf.DUMMYFUNCTION("GOOGLETRANSLATE(B14, ""en"", ""pl"")"),"Zabić zombie")</f>
        <v>Zabić zombie</v>
      </c>
      <c r="J14" s="25" t="str">
        <f>IFERROR(__xludf.DUMMYFUNCTION("GOOGLETRANSLATE(B14, ""en"", ""zh"")"),"杀死僵尸")</f>
        <v>杀死僵尸</v>
      </c>
      <c r="K14" s="25" t="str">
        <f>IFERROR(__xludf.DUMMYFUNCTION("GOOGLETRANSLATE(B14, ""en"", ""vi"")"),"Tiêu diệt zombie")</f>
        <v>Tiêu diệt zombie</v>
      </c>
      <c r="L14" s="26" t="str">
        <f>IFERROR(__xludf.DUMMYFUNCTION("GOOGLETRANSLATE(B14, ""en"", ""hr"")"),"Ubiti zombiji")</f>
        <v>Ubiti zombiji</v>
      </c>
      <c r="M14" s="28"/>
      <c r="N14" s="28"/>
      <c r="O14" s="28"/>
      <c r="P14" s="28"/>
      <c r="Q14" s="28"/>
      <c r="R14" s="28"/>
      <c r="S14" s="28"/>
      <c r="T14" s="28"/>
      <c r="U14" s="28"/>
      <c r="V14" s="28"/>
      <c r="W14" s="28"/>
      <c r="X14" s="28"/>
      <c r="Y14" s="28"/>
      <c r="Z14" s="28"/>
      <c r="AA14" s="28"/>
      <c r="AB14" s="28"/>
    </row>
    <row r="15">
      <c r="A15" s="21" t="s">
        <v>999</v>
      </c>
      <c r="B15" s="22" t="s">
        <v>1000</v>
      </c>
      <c r="C15" s="23" t="str">
        <f>IFERROR(__xludf.DUMMYFUNCTION("GOOGLETRANSLATE(B15, ""en"", ""fr"")"),"Tuer des vampires")</f>
        <v>Tuer des vampires</v>
      </c>
      <c r="D15" s="23" t="str">
        <f>IFERROR(__xludf.DUMMYFUNCTION("GOOGLETRANSLATE(B15, ""en"", ""es"")"),"Mata a los vampiros")</f>
        <v>Mata a los vampiros</v>
      </c>
      <c r="E15" s="23" t="str">
        <f>IFERROR(__xludf.DUMMYFUNCTION("GOOGLETRANSLATE(B15, ""en"", ""ru"")"),"Убить вампиров")</f>
        <v>Убить вампиров</v>
      </c>
      <c r="F15" s="23" t="str">
        <f>IFERROR(__xludf.DUMMYFUNCTION("GOOGLETRANSLATE(B15, ""en"", ""tr"")"),"Vampir öldürmek")</f>
        <v>Vampir öldürmek</v>
      </c>
      <c r="G15" s="23" t="str">
        <f>IFERROR(__xludf.DUMMYFUNCTION("GOOGLETRANSLATE(B15, ""en"", ""pt"")"),"Matar vampiros.")</f>
        <v>Matar vampiros.</v>
      </c>
      <c r="H15" s="24" t="str">
        <f>IFERROR(__xludf.DUMMYFUNCTION("GOOGLETRANSLATE(B15, ""en"", ""de"")"),"Töte Vampire.")</f>
        <v>Töte Vampire.</v>
      </c>
      <c r="I15" s="23" t="str">
        <f>IFERROR(__xludf.DUMMYFUNCTION("GOOGLETRANSLATE(B15, ""en"", ""pl"")"),"Zabij wampiry")</f>
        <v>Zabij wampiry</v>
      </c>
      <c r="J15" s="25" t="str">
        <f>IFERROR(__xludf.DUMMYFUNCTION("GOOGLETRANSLATE(B15, ""en"", ""zh"")"),"杀死吸血鬼")</f>
        <v>杀死吸血鬼</v>
      </c>
      <c r="K15" s="25" t="str">
        <f>IFERROR(__xludf.DUMMYFUNCTION("GOOGLETRANSLATE(B15, ""en"", ""vi"")"),"Giết ma cà rồng")</f>
        <v>Giết ma cà rồng</v>
      </c>
      <c r="L15" s="26" t="str">
        <f>IFERROR(__xludf.DUMMYFUNCTION("GOOGLETRANSLATE(B15, ""en"", ""hr"")"),"Ubiti vampiri")</f>
        <v>Ubiti vampiri</v>
      </c>
      <c r="M15" s="28"/>
      <c r="N15" s="28"/>
      <c r="O15" s="28"/>
      <c r="P15" s="28"/>
      <c r="Q15" s="28"/>
      <c r="R15" s="28"/>
      <c r="S15" s="28"/>
      <c r="T15" s="28"/>
      <c r="U15" s="28"/>
      <c r="V15" s="28"/>
      <c r="W15" s="28"/>
      <c r="X15" s="28"/>
      <c r="Y15" s="28"/>
      <c r="Z15" s="28"/>
      <c r="AA15" s="28"/>
      <c r="AB15" s="28"/>
    </row>
    <row r="16">
      <c r="A16" s="21" t="s">
        <v>1001</v>
      </c>
      <c r="B16" s="22" t="s">
        <v>1002</v>
      </c>
      <c r="C16" s="23" t="str">
        <f>IFERROR(__xludf.DUMMYFUNCTION("GOOGLETRANSLATE(B16, ""en"", ""fr"")"),"Tuer des hors-la-loi")</f>
        <v>Tuer des hors-la-loi</v>
      </c>
      <c r="D16" s="23" t="str">
        <f>IFERROR(__xludf.DUMMYFUNCTION("GOOGLETRANSLATE(B16, ""en"", ""es"")"),"Matar proscritos")</f>
        <v>Matar proscritos</v>
      </c>
      <c r="E16" s="23" t="str">
        <f>IFERROR(__xludf.DUMMYFUNCTION("GOOGLETRANSLATE(B16, ""en"", ""ru"")"),"Убить преступников")</f>
        <v>Убить преступников</v>
      </c>
      <c r="F16" s="23" t="str">
        <f>IFERROR(__xludf.DUMMYFUNCTION("GOOGLETRANSLATE(B16, ""en"", ""tr"")"),"Haydutları öldür")</f>
        <v>Haydutları öldür</v>
      </c>
      <c r="G16" s="23" t="str">
        <f>IFERROR(__xludf.DUMMYFUNCTION("GOOGLETRANSLATE(B16, ""en"", ""pt"")"),"Mate Blands.")</f>
        <v>Mate Blands.</v>
      </c>
      <c r="H16" s="24" t="str">
        <f>IFERROR(__xludf.DUMMYFUNCTION("GOOGLETRANSLATE(B16, ""en"", ""de"")"),"Kill Outlaws.")</f>
        <v>Kill Outlaws.</v>
      </c>
      <c r="I16" s="23" t="str">
        <f>IFERROR(__xludf.DUMMYFUNCTION("GOOGLETRANSLATE(B16, ""en"", ""pl"")"),"Zabij Ballela")</f>
        <v>Zabij Ballela</v>
      </c>
      <c r="J16" s="25" t="str">
        <f>IFERROR(__xludf.DUMMYFUNCTION("GOOGLETRANSLATE(B16, ""en"", ""zh"")"),"杀死歹徒")</f>
        <v>杀死歹徒</v>
      </c>
      <c r="K16" s="25" t="str">
        <f>IFERROR(__xludf.DUMMYFUNCTION("GOOGLETRANSLATE(B16, ""en"", ""vi"")"),"KILL OFTAWS.")</f>
        <v>KILL OFTAWS.</v>
      </c>
      <c r="L16" s="26" t="str">
        <f>IFERROR(__xludf.DUMMYFUNCTION("GOOGLETRANSLATE(B16, ""en"", ""hr"")"),"Ubiti odmetnice")</f>
        <v>Ubiti odmetnice</v>
      </c>
      <c r="M16" s="28"/>
      <c r="N16" s="28"/>
      <c r="O16" s="28"/>
      <c r="P16" s="28"/>
      <c r="Q16" s="28"/>
      <c r="R16" s="28"/>
      <c r="S16" s="28"/>
      <c r="T16" s="28"/>
      <c r="U16" s="28"/>
      <c r="V16" s="28"/>
      <c r="W16" s="28"/>
      <c r="X16" s="28"/>
      <c r="Y16" s="28"/>
      <c r="Z16" s="28"/>
      <c r="AA16" s="28"/>
      <c r="AB16" s="28"/>
    </row>
    <row r="17">
      <c r="A17" s="21" t="s">
        <v>1003</v>
      </c>
      <c r="B17" s="22" t="s">
        <v>1004</v>
      </c>
      <c r="C17" s="23" t="str">
        <f>IFERROR(__xludf.DUMMYFUNCTION("GOOGLETRANSLATE(B17, ""en"", ""fr"")"),"Tuer les guerriers")</f>
        <v>Tuer les guerriers</v>
      </c>
      <c r="D17" s="23" t="str">
        <f>IFERROR(__xludf.DUMMYFUNCTION("GOOGLETRANSLATE(B17, ""en"", ""es"")"),"Matar a los guerreros")</f>
        <v>Matar a los guerreros</v>
      </c>
      <c r="E17" s="23" t="str">
        <f>IFERROR(__xludf.DUMMYFUNCTION("GOOGLETRANSLATE(B17, ""en"", ""ru"")"),"Убить воинов")</f>
        <v>Убить воинов</v>
      </c>
      <c r="F17" s="23" t="str">
        <f>IFERROR(__xludf.DUMMYFUNCTION("GOOGLETRANSLATE(B17, ""en"", ""tr"")"),"Savaşçıları öldür")</f>
        <v>Savaşçıları öldür</v>
      </c>
      <c r="G17" s="23" t="str">
        <f>IFERROR(__xludf.DUMMYFUNCTION("GOOGLETRANSLATE(B17, ""en"", ""pt"")"),"Kill Warriors.")</f>
        <v>Kill Warriors.</v>
      </c>
      <c r="H17" s="24" t="str">
        <f>IFERROR(__xludf.DUMMYFUNCTION("GOOGLETRANSLATE(B17, ""en"", ""de"")"),"Kill Krieger töten")</f>
        <v>Kill Krieger töten</v>
      </c>
      <c r="I17" s="23" t="str">
        <f>IFERROR(__xludf.DUMMYFUNCTION("GOOGLETRANSLATE(B17, ""en"", ""pl"")"),"Zabij wojowników")</f>
        <v>Zabij wojowników</v>
      </c>
      <c r="J17" s="25" t="str">
        <f>IFERROR(__xludf.DUMMYFUNCTION("GOOGLETRANSLATE(B17, ""en"", ""zh"")"),"杀战士")</f>
        <v>杀战士</v>
      </c>
      <c r="K17" s="25" t="str">
        <f>IFERROR(__xludf.DUMMYFUNCTION("GOOGLETRANSLATE(B17, ""en"", ""vi"")"),"Kill Warriors.")</f>
        <v>Kill Warriors.</v>
      </c>
      <c r="L17" s="26" t="str">
        <f>IFERROR(__xludf.DUMMYFUNCTION("GOOGLETRANSLATE(B17, ""en"", ""hr"")"),"Ubiti ratnike")</f>
        <v>Ubiti ratnike</v>
      </c>
      <c r="M17" s="28"/>
      <c r="N17" s="28"/>
      <c r="O17" s="28"/>
      <c r="P17" s="28"/>
      <c r="Q17" s="28"/>
      <c r="R17" s="28"/>
      <c r="S17" s="28"/>
      <c r="T17" s="28"/>
      <c r="U17" s="28"/>
      <c r="V17" s="28"/>
      <c r="W17" s="28"/>
      <c r="X17" s="28"/>
      <c r="Y17" s="28"/>
      <c r="Z17" s="28"/>
      <c r="AA17" s="28"/>
      <c r="AB17" s="28"/>
    </row>
    <row r="18">
      <c r="A18" s="21" t="s">
        <v>1005</v>
      </c>
      <c r="B18" s="22" t="s">
        <v>1006</v>
      </c>
      <c r="C18" s="23" t="str">
        <f>IFERROR(__xludf.DUMMYFUNCTION("GOOGLETRANSLATE(B18, ""en"", ""fr"")"),"Tuer les gobelins")</f>
        <v>Tuer les gobelins</v>
      </c>
      <c r="D18" s="23" t="str">
        <f>IFERROR(__xludf.DUMMYFUNCTION("GOOGLETRANSLATE(B18, ""en"", ""es"")"),"Matar duendes")</f>
        <v>Matar duendes</v>
      </c>
      <c r="E18" s="23" t="str">
        <f>IFERROR(__xludf.DUMMYFUNCTION("GOOGLETRANSLATE(B18, ""en"", ""ru"")"),"Убить гоблинов")</f>
        <v>Убить гоблинов</v>
      </c>
      <c r="F18" s="23" t="str">
        <f>IFERROR(__xludf.DUMMYFUNCTION("GOOGLETRANSLATE(B18, ""en"", ""tr"")"),"Goblinleri öldür")</f>
        <v>Goblinleri öldür</v>
      </c>
      <c r="G18" s="23" t="str">
        <f>IFERROR(__xludf.DUMMYFUNCTION("GOOGLETRANSLATE(B18, ""en"", ""pt"")"),"Matar goblins")</f>
        <v>Matar goblins</v>
      </c>
      <c r="H18" s="24" t="str">
        <f>IFERROR(__xludf.DUMMYFUNCTION("GOOGLETRANSLATE(B18, ""en"", ""de"")"),"Kill Keulen")</f>
        <v>Kill Keulen</v>
      </c>
      <c r="I18" s="23" t="str">
        <f>IFERROR(__xludf.DUMMYFUNCTION("GOOGLETRANSLATE(B18, ""en"", ""pl"")"),"Zabij Goblins.")</f>
        <v>Zabij Goblins.</v>
      </c>
      <c r="J18" s="25" t="str">
        <f>IFERROR(__xludf.DUMMYFUNCTION("GOOGLETRANSLATE(B18, ""en"", ""zh"")"),"杀死精灵")</f>
        <v>杀死精灵</v>
      </c>
      <c r="K18" s="25" t="str">
        <f>IFERROR(__xludf.DUMMYFUNCTION("GOOGLETRANSLATE(B18, ""en"", ""vi"")"),"Giết yêu tinh")</f>
        <v>Giết yêu tinh</v>
      </c>
      <c r="L18" s="26" t="str">
        <f>IFERROR(__xludf.DUMMYFUNCTION("GOOGLETRANSLATE(B18, ""en"", ""hr"")"),"Ubiti gobline")</f>
        <v>Ubiti gobline</v>
      </c>
      <c r="M18" s="28"/>
      <c r="N18" s="28"/>
      <c r="O18" s="28"/>
      <c r="P18" s="28"/>
      <c r="Q18" s="28"/>
      <c r="R18" s="28"/>
      <c r="S18" s="28"/>
      <c r="T18" s="28"/>
      <c r="U18" s="28"/>
      <c r="V18" s="28"/>
      <c r="W18" s="28"/>
      <c r="X18" s="28"/>
      <c r="Y18" s="28"/>
      <c r="Z18" s="28"/>
      <c r="AA18" s="28"/>
      <c r="AB18" s="28"/>
    </row>
    <row r="19">
      <c r="A19" s="21" t="s">
        <v>1007</v>
      </c>
      <c r="B19" s="22" t="s">
        <v>1008</v>
      </c>
      <c r="C19" s="23" t="str">
        <f>IFERROR(__xludf.DUMMYFUNCTION("GOOGLETRANSLATE(B19, ""en"", ""fr"")"),"Tuer des gnarls")</f>
        <v>Tuer des gnarls</v>
      </c>
      <c r="D19" s="23" t="str">
        <f>IFERROR(__xludf.DUMMYFUNCTION("GOOGLETRANSLATE(B19, ""en"", ""es"")"),"Matar a Gnarls")</f>
        <v>Matar a Gnarls</v>
      </c>
      <c r="E19" s="23" t="str">
        <f>IFERROR(__xludf.DUMMYFUNCTION("GOOGLETRANSLATE(B19, ""en"", ""ru"")"),"Убить Гнарлс")</f>
        <v>Убить Гнарлс</v>
      </c>
      <c r="F19" s="23" t="str">
        <f>IFERROR(__xludf.DUMMYFUNCTION("GOOGLETRANSLATE(B19, ""en"", ""tr"")"),"Gnarls öldür")</f>
        <v>Gnarls öldür</v>
      </c>
      <c r="G19" s="23" t="str">
        <f>IFERROR(__xludf.DUMMYFUNCTION("GOOGLETRANSLATE(B19, ""en"", ""pt"")"),"Matar gnarls.")</f>
        <v>Matar gnarls.</v>
      </c>
      <c r="H19" s="24" t="str">
        <f>IFERROR(__xludf.DUMMYFUNCTION("GOOGLETRANSLATE(B19, ""en"", ""de"")"),"Töte Gnarls.")</f>
        <v>Töte Gnarls.</v>
      </c>
      <c r="I19" s="23" t="str">
        <f>IFERROR(__xludf.DUMMYFUNCTION("GOOGLETRANSLATE(B19, ""en"", ""pl"")"),"Zabij Gnarls.")</f>
        <v>Zabij Gnarls.</v>
      </c>
      <c r="J19" s="25" t="str">
        <f>IFERROR(__xludf.DUMMYFUNCTION("GOOGLETRANSLATE(B19, ""en"", ""zh"")"),"杀死gnarls.")</f>
        <v>杀死gnarls.</v>
      </c>
      <c r="K19" s="25" t="str">
        <f>IFERROR(__xludf.DUMMYFUNCTION("GOOGLETRANSLATE(B19, ""en"", ""vi"")"),"Giết Gnarls.")</f>
        <v>Giết Gnarls.</v>
      </c>
      <c r="L19" s="26" t="str">
        <f>IFERROR(__xludf.DUMMYFUNCTION("GOOGLETRANSLATE(B19, ""en"", ""hr"")"),"Ubiti grana")</f>
        <v>Ubiti grana</v>
      </c>
      <c r="M19" s="28"/>
      <c r="N19" s="28"/>
      <c r="O19" s="28"/>
      <c r="P19" s="28"/>
      <c r="Q19" s="28"/>
      <c r="R19" s="28"/>
      <c r="S19" s="28"/>
      <c r="T19" s="28"/>
      <c r="U19" s="28"/>
      <c r="V19" s="28"/>
      <c r="W19" s="28"/>
      <c r="X19" s="28"/>
      <c r="Y19" s="28"/>
      <c r="Z19" s="28"/>
      <c r="AA19" s="28"/>
      <c r="AB19" s="28"/>
    </row>
    <row r="20">
      <c r="A20" s="21" t="s">
        <v>1009</v>
      </c>
      <c r="B20" s="22" t="s">
        <v>1010</v>
      </c>
      <c r="C20" s="23" t="str">
        <f>IFERROR(__xludf.DUMMYFUNCTION("GOOGLETRANSLATE(B20, ""en"", ""fr"")"),"Tuer des ordures")</f>
        <v>Tuer des ordures</v>
      </c>
      <c r="D20" s="23" t="str">
        <f>IFERROR(__xludf.DUMMYFUNCTION("GOOGLETRANSLATE(B20, ""en"", ""es"")"),"Matar adumbrals")</f>
        <v>Matar adumbrals</v>
      </c>
      <c r="E20" s="23" t="str">
        <f>IFERROR(__xludf.DUMMYFUNCTION("GOOGLETRANSLATE(B20, ""en"", ""ru"")"),"Убить адумбралов")</f>
        <v>Убить адумбралов</v>
      </c>
      <c r="F20" s="23" t="str">
        <f>IFERROR(__xludf.DUMMYFUNCTION("GOOGLETRANSLATE(B20, ""en"", ""tr"")"),"Haydut öldürmek")</f>
        <v>Haydut öldürmek</v>
      </c>
      <c r="G20" s="23" t="str">
        <f>IFERROR(__xludf.DUMMYFUNCTION("GOOGLETRANSLATE(B20, ""en"", ""pt"")"),"Matar adumbrals.")</f>
        <v>Matar adumbrals.</v>
      </c>
      <c r="H20" s="24" t="str">
        <f>IFERROR(__xludf.DUMMYFUNCTION("GOOGLETRANSLATE(B20, ""en"", ""de"")"),"Kill Adumbals")</f>
        <v>Kill Adumbals</v>
      </c>
      <c r="I20" s="23" t="str">
        <f>IFERROR(__xludf.DUMMYFUNCTION("GOOGLETRANSLATE(B20, ""en"", ""pl"")"),"Zabij Adumbrals.")</f>
        <v>Zabij Adumbrals.</v>
      </c>
      <c r="J20" s="25" t="str">
        <f>IFERROR(__xludf.DUMMYFUNCTION("GOOGLETRANSLATE(B20, ""en"", ""zh"")"),"杀死Adumbrals.")</f>
        <v>杀死Adumbrals.</v>
      </c>
      <c r="K20" s="25" t="str">
        <f>IFERROR(__xludf.DUMMYFUNCTION("GOOGLETRANSLATE(B20, ""en"", ""vi"")"),"Giết Adumbrals.")</f>
        <v>Giết Adumbrals.</v>
      </c>
      <c r="L20" s="26" t="str">
        <f>IFERROR(__xludf.DUMMYFUNCTION("GOOGLETRANSLATE(B20, ""en"", ""hr"")"),"Ubiti adumbrale")</f>
        <v>Ubiti adumbrale</v>
      </c>
      <c r="M20" s="28"/>
      <c r="N20" s="28"/>
      <c r="O20" s="28"/>
      <c r="P20" s="28"/>
      <c r="Q20" s="28"/>
      <c r="R20" s="28"/>
      <c r="S20" s="28"/>
      <c r="T20" s="28"/>
      <c r="U20" s="28"/>
      <c r="V20" s="28"/>
      <c r="W20" s="28"/>
      <c r="X20" s="28"/>
      <c r="Y20" s="28"/>
      <c r="Z20" s="28"/>
      <c r="AA20" s="28"/>
      <c r="AB20" s="28"/>
    </row>
    <row r="21">
      <c r="A21" s="21" t="s">
        <v>1011</v>
      </c>
      <c r="B21" s="22" t="s">
        <v>1012</v>
      </c>
      <c r="C21" s="23" t="str">
        <f>IFERROR(__xludf.DUMMYFUNCTION("GOOGLETRANSLATE(B21, ""en"", ""fr"")"),"Coton de récolte")</f>
        <v>Coton de récolte</v>
      </c>
      <c r="D21" s="23" t="str">
        <f>IFERROR(__xludf.DUMMYFUNCTION("GOOGLETRANSLATE(B21, ""en"", ""es"")"),"Cosecha de algodón")</f>
        <v>Cosecha de algodón</v>
      </c>
      <c r="E21" s="23" t="str">
        <f>IFERROR(__xludf.DUMMYFUNCTION("GOOGLETRANSLATE(B21, ""en"", ""ru"")"),"Уборка хлопка")</f>
        <v>Уборка хлопка</v>
      </c>
      <c r="F21" s="23" t="str">
        <f>IFERROR(__xludf.DUMMYFUNCTION("GOOGLETRANSLATE(B21, ""en"", ""tr"")"),"Hasat pamuk")</f>
        <v>Hasat pamuk</v>
      </c>
      <c r="G21" s="23" t="str">
        <f>IFERROR(__xludf.DUMMYFUNCTION("GOOGLETRANSLATE(B21, ""en"", ""pt"")"),"Algodão de colheita")</f>
        <v>Algodão de colheita</v>
      </c>
      <c r="H21" s="24" t="str">
        <f>IFERROR(__xludf.DUMMYFUNCTION("GOOGLETRANSLATE(B21, ""en"", ""de"")"),"Ernte Baumwolle")</f>
        <v>Ernte Baumwolle</v>
      </c>
      <c r="I21" s="23" t="str">
        <f>IFERROR(__xludf.DUMMYFUNCTION("GOOGLETRANSLATE(B21, ""en"", ""pl"")"),"Bawełna zbiorowa")</f>
        <v>Bawełna zbiorowa</v>
      </c>
      <c r="J21" s="25" t="str">
        <f>IFERROR(__xludf.DUMMYFUNCTION("GOOGLETRANSLATE(B21, ""en"", ""zh"")"),"收获棉花")</f>
        <v>收获棉花</v>
      </c>
      <c r="K21" s="25" t="str">
        <f>IFERROR(__xludf.DUMMYFUNCTION("GOOGLETRANSLATE(B21, ""en"", ""vi"")"),"Bông thu hoạch")</f>
        <v>Bông thu hoạch</v>
      </c>
      <c r="L21" s="26" t="str">
        <f>IFERROR(__xludf.DUMMYFUNCTION("GOOGLETRANSLATE(B21, ""en"", ""hr"")"),"Pamuk")</f>
        <v>Pamuk</v>
      </c>
      <c r="M21" s="28"/>
      <c r="N21" s="28"/>
      <c r="O21" s="28"/>
      <c r="P21" s="28"/>
      <c r="Q21" s="28"/>
      <c r="R21" s="28"/>
      <c r="S21" s="28"/>
      <c r="T21" s="28"/>
      <c r="U21" s="28"/>
      <c r="V21" s="28"/>
      <c r="W21" s="28"/>
      <c r="X21" s="28"/>
      <c r="Y21" s="28"/>
      <c r="Z21" s="28"/>
      <c r="AA21" s="28"/>
      <c r="AB21" s="28"/>
    </row>
    <row r="22">
      <c r="A22" s="21" t="s">
        <v>1013</v>
      </c>
      <c r="B22" s="22" t="s">
        <v>1014</v>
      </c>
      <c r="C22" s="23" t="str">
        <f>IFERROR(__xludf.DUMMYFUNCTION("GOOGLETRANSLATE(B22, ""en"", ""fr"")"),"Récolter des champignons rouges")</f>
        <v>Récolter des champignons rouges</v>
      </c>
      <c r="D22" s="23" t="str">
        <f>IFERROR(__xludf.DUMMYFUNCTION("GOOGLETRANSLATE(B22, ""en"", ""es"")"),"Coseche setas rojas")</f>
        <v>Coseche setas rojas</v>
      </c>
      <c r="E22" s="23" t="str">
        <f>IFERROR(__xludf.DUMMYFUNCTION("GOOGLETRANSLATE(B22, ""en"", ""ru"")"),"Сбор красных грибов")</f>
        <v>Сбор красных грибов</v>
      </c>
      <c r="F22" s="23" t="str">
        <f>IFERROR(__xludf.DUMMYFUNCTION("GOOGLETRANSLATE(B22, ""en"", ""tr"")"),"Hasat Kırmızı Mantarlar")</f>
        <v>Hasat Kırmızı Mantarlar</v>
      </c>
      <c r="G22" s="23" t="str">
        <f>IFERROR(__xludf.DUMMYFUNCTION("GOOGLETRANSLATE(B22, ""en"", ""pt"")"),"Colheita de cogumelos vermelhos")</f>
        <v>Colheita de cogumelos vermelhos</v>
      </c>
      <c r="H22" s="24" t="str">
        <f>IFERROR(__xludf.DUMMYFUNCTION("GOOGLETRANSLATE(B22, ""en"", ""de"")"),"Rote Pilze ernten")</f>
        <v>Rote Pilze ernten</v>
      </c>
      <c r="I22" s="23" t="str">
        <f>IFERROR(__xludf.DUMMYFUNCTION("GOOGLETRANSLATE(B22, ""en"", ""pl"")"),"Red Grzyby zbiorowe")</f>
        <v>Red Grzyby zbiorowe</v>
      </c>
      <c r="J22" s="25" t="str">
        <f>IFERROR(__xludf.DUMMYFUNCTION("GOOGLETRANSLATE(B22, ""en"", ""zh"")"),"收获红蘑菇")</f>
        <v>收获红蘑菇</v>
      </c>
      <c r="K22" s="25" t="str">
        <f>IFERROR(__xludf.DUMMYFUNCTION("GOOGLETRANSLATE(B22, ""en"", ""vi"")"),"Thu hoạch nấm đỏ")</f>
        <v>Thu hoạch nấm đỏ</v>
      </c>
      <c r="L22" s="26" t="str">
        <f>IFERROR(__xludf.DUMMYFUNCTION("GOOGLETRANSLATE(B22, ""en"", ""hr"")"),"Žetva crvene gljive")</f>
        <v>Žetva crvene gljive</v>
      </c>
      <c r="M22" s="28"/>
      <c r="N22" s="28"/>
      <c r="O22" s="28"/>
      <c r="P22" s="28"/>
      <c r="Q22" s="28"/>
      <c r="R22" s="28"/>
      <c r="S22" s="28"/>
      <c r="T22" s="28"/>
      <c r="U22" s="28"/>
      <c r="V22" s="28"/>
      <c r="W22" s="28"/>
      <c r="X22" s="28"/>
      <c r="Y22" s="28"/>
      <c r="Z22" s="28"/>
      <c r="AA22" s="28"/>
      <c r="AB22" s="28"/>
    </row>
    <row r="23">
      <c r="A23" s="21" t="s">
        <v>1015</v>
      </c>
      <c r="B23" s="22" t="s">
        <v>1016</v>
      </c>
      <c r="C23" s="23" t="str">
        <f>IFERROR(__xludf.DUMMYFUNCTION("GOOGLETRANSLATE(B23, ""en"", ""fr"")"),"Récolter des champignons verts")</f>
        <v>Récolter des champignons verts</v>
      </c>
      <c r="D23" s="23" t="str">
        <f>IFERROR(__xludf.DUMMYFUNCTION("GOOGLETRANSLATE(B23, ""en"", ""es"")"),"Cosecha de champiñones verdes")</f>
        <v>Cosecha de champiñones verdes</v>
      </c>
      <c r="E23" s="23" t="str">
        <f>IFERROR(__xludf.DUMMYFUNCTION("GOOGLETRANSLATE(B23, ""en"", ""ru"")"),"Урожай зеленых грибов")</f>
        <v>Урожай зеленых грибов</v>
      </c>
      <c r="F23" s="23" t="str">
        <f>IFERROR(__xludf.DUMMYFUNCTION("GOOGLETRANSLATE(B23, ""en"", ""tr"")"),"Yeşil Mantar Hasat")</f>
        <v>Yeşil Mantar Hasat</v>
      </c>
      <c r="G23" s="23" t="str">
        <f>IFERROR(__xludf.DUMMYFUNCTION("GOOGLETRANSLATE(B23, ""en"", ""pt"")"),"Colheita de cogumelos verdes")</f>
        <v>Colheita de cogumelos verdes</v>
      </c>
      <c r="H23" s="24" t="str">
        <f>IFERROR(__xludf.DUMMYFUNCTION("GOOGLETRANSLATE(B23, ""en"", ""de"")"),"Ernte grüne Pilze")</f>
        <v>Ernte grüne Pilze</v>
      </c>
      <c r="I23" s="23" t="str">
        <f>IFERROR(__xludf.DUMMYFUNCTION("GOOGLETRANSLATE(B23, ""en"", ""pl"")"),"Zielone Grzyby")</f>
        <v>Zielone Grzyby</v>
      </c>
      <c r="J23" s="25" t="str">
        <f>IFERROR(__xludf.DUMMYFUNCTION("GOOGLETRANSLATE(B23, ""en"", ""zh"")"),"收获绿色蘑菇")</f>
        <v>收获绿色蘑菇</v>
      </c>
      <c r="K23" s="25" t="str">
        <f>IFERROR(__xludf.DUMMYFUNCTION("GOOGLETRANSLATE(B23, ""en"", ""vi"")"),"Thu hoạch nấm xanh")</f>
        <v>Thu hoạch nấm xanh</v>
      </c>
      <c r="L23" s="26" t="str">
        <f>IFERROR(__xludf.DUMMYFUNCTION("GOOGLETRANSLATE(B23, ""en"", ""hr"")"),"Žetva zelene gljive")</f>
        <v>Žetva zelene gljive</v>
      </c>
      <c r="M23" s="28"/>
      <c r="N23" s="28"/>
      <c r="O23" s="28"/>
      <c r="P23" s="28"/>
      <c r="Q23" s="28"/>
      <c r="R23" s="28"/>
      <c r="S23" s="28"/>
      <c r="T23" s="28"/>
      <c r="U23" s="28"/>
      <c r="V23" s="28"/>
      <c r="W23" s="28"/>
      <c r="X23" s="28"/>
      <c r="Y23" s="28"/>
      <c r="Z23" s="28"/>
      <c r="AA23" s="28"/>
      <c r="AB23" s="28"/>
    </row>
    <row r="24">
      <c r="A24" s="21" t="s">
        <v>1017</v>
      </c>
      <c r="B24" s="22" t="s">
        <v>1018</v>
      </c>
      <c r="C24" s="23" t="str">
        <f>IFERROR(__xludf.DUMMYFUNCTION("GOOGLETRANSLATE(B24, ""en"", ""fr"")"),"Récolter des champignons bleus")</f>
        <v>Récolter des champignons bleus</v>
      </c>
      <c r="D24" s="23" t="str">
        <f>IFERROR(__xludf.DUMMYFUNCTION("GOOGLETRANSLATE(B24, ""en"", ""es"")"),"Cosecha de setas azules")</f>
        <v>Cosecha de setas azules</v>
      </c>
      <c r="E24" s="23" t="str">
        <f>IFERROR(__xludf.DUMMYFUNCTION("GOOGLETRANSLATE(B24, ""en"", ""ru"")"),"Урожай синие грибы")</f>
        <v>Урожай синие грибы</v>
      </c>
      <c r="F24" s="23" t="str">
        <f>IFERROR(__xludf.DUMMYFUNCTION("GOOGLETRANSLATE(B24, ""en"", ""tr"")"),"Hasat Mavi Mantarlar")</f>
        <v>Hasat Mavi Mantarlar</v>
      </c>
      <c r="G24" s="23" t="str">
        <f>IFERROR(__xludf.DUMMYFUNCTION("GOOGLETRANSLATE(B24, ""en"", ""pt"")"),"Colheita de cogumelos azuis")</f>
        <v>Colheita de cogumelos azuis</v>
      </c>
      <c r="H24" s="24" t="str">
        <f>IFERROR(__xludf.DUMMYFUNCTION("GOOGLETRANSLATE(B24, ""en"", ""de"")"),"Ernteblaue Pilze ernten")</f>
        <v>Ernteblaue Pilze ernten</v>
      </c>
      <c r="I24" s="23" t="str">
        <f>IFERROR(__xludf.DUMMYFUNCTION("GOOGLETRANSLATE(B24, ""en"", ""pl"")"),"Żniwo niebieskie grzyby.")</f>
        <v>Żniwo niebieskie grzyby.</v>
      </c>
      <c r="J24" s="25" t="str">
        <f>IFERROR(__xludf.DUMMYFUNCTION("GOOGLETRANSLATE(B24, ""en"", ""zh"")"),"收获蓝色蘑菇")</f>
        <v>收获蓝色蘑菇</v>
      </c>
      <c r="K24" s="25" t="str">
        <f>IFERROR(__xludf.DUMMYFUNCTION("GOOGLETRANSLATE(B24, ""en"", ""vi"")"),"Thu hoạch nấm xanh")</f>
        <v>Thu hoạch nấm xanh</v>
      </c>
      <c r="L24" s="26" t="str">
        <f>IFERROR(__xludf.DUMMYFUNCTION("GOOGLETRANSLATE(B24, ""en"", ""hr"")"),"Žetve plave gljive")</f>
        <v>Žetve plave gljive</v>
      </c>
      <c r="M24" s="28"/>
      <c r="N24" s="28"/>
      <c r="O24" s="28"/>
      <c r="P24" s="28"/>
      <c r="Q24" s="28"/>
      <c r="R24" s="28"/>
      <c r="S24" s="28"/>
      <c r="T24" s="28"/>
      <c r="U24" s="28"/>
      <c r="V24" s="28"/>
      <c r="W24" s="28"/>
      <c r="X24" s="28"/>
      <c r="Y24" s="28"/>
      <c r="Z24" s="28"/>
      <c r="AA24" s="28"/>
      <c r="AB24" s="28"/>
    </row>
    <row r="25">
      <c r="A25" s="21" t="s">
        <v>1019</v>
      </c>
      <c r="B25" s="22" t="s">
        <v>1020</v>
      </c>
      <c r="C25" s="23" t="str">
        <f>IFERROR(__xludf.DUMMYFUNCTION("GOOGLETRANSLATE(B25, ""en"", ""fr"")"),"Hacher les chênes")</f>
        <v>Hacher les chênes</v>
      </c>
      <c r="D25" s="23" t="str">
        <f>IFERROR(__xludf.DUMMYFUNCTION("GOOGLETRANSLATE(B25, ""en"", ""es"")"),"Picar robles")</f>
        <v>Picar robles</v>
      </c>
      <c r="E25" s="23" t="str">
        <f>IFERROR(__xludf.DUMMYFUNCTION("GOOGLETRANSLATE(B25, ""en"", ""ru"")"),"Нарезать дубы")</f>
        <v>Нарезать дубы</v>
      </c>
      <c r="F25" s="23" t="str">
        <f>IFERROR(__xludf.DUMMYFUNCTION("GOOGLETRANSLATE(B25, ""en"", ""tr"")"),"Meşe ağaçlarını doğrayın")</f>
        <v>Meşe ağaçlarını doğrayın</v>
      </c>
      <c r="G25" s="23" t="str">
        <f>IFERROR(__xludf.DUMMYFUNCTION("GOOGLETRANSLATE(B25, ""en"", ""pt"")"),"Pique o carvalho")</f>
        <v>Pique o carvalho</v>
      </c>
      <c r="H25" s="24" t="str">
        <f>IFERROR(__xludf.DUMMYFUNCTION("GOOGLETRANSLATE(B25, ""en"", ""de"")"),"Eiche hacken")</f>
        <v>Eiche hacken</v>
      </c>
      <c r="I25" s="23" t="str">
        <f>IFERROR(__xludf.DUMMYFUNCTION("GOOGLETRANSLATE(B25, ""en"", ""pl"")"),"Dębowe drzewa")</f>
        <v>Dębowe drzewa</v>
      </c>
      <c r="J25" s="25" t="str">
        <f>IFERROR(__xludf.DUMMYFUNCTION("GOOGLETRANSLATE(B25, ""en"", ""zh"")"),"砍橡树")</f>
        <v>砍橡树</v>
      </c>
      <c r="K25" s="25" t="str">
        <f>IFERROR(__xludf.DUMMYFUNCTION("GOOGLETRANSLATE(B25, ""en"", ""vi"")"),"Cây sồi cây")</f>
        <v>Cây sồi cây</v>
      </c>
      <c r="L25" s="26" t="str">
        <f>IFERROR(__xludf.DUMMYFUNCTION("GOOGLETRANSLATE(B25, ""en"", ""hr"")"),"Nasjeckajte hrastove")</f>
        <v>Nasjeckajte hrastove</v>
      </c>
      <c r="M25" s="28"/>
      <c r="N25" s="28"/>
      <c r="O25" s="28"/>
      <c r="P25" s="28"/>
      <c r="Q25" s="28"/>
      <c r="R25" s="28"/>
      <c r="S25" s="28"/>
      <c r="T25" s="28"/>
      <c r="U25" s="28"/>
      <c r="V25" s="28"/>
      <c r="W25" s="28"/>
      <c r="X25" s="28"/>
      <c r="Y25" s="28"/>
      <c r="Z25" s="28"/>
      <c r="AA25" s="28"/>
      <c r="AB25" s="28"/>
    </row>
    <row r="26">
      <c r="A26" s="21" t="s">
        <v>1021</v>
      </c>
      <c r="B26" s="22" t="s">
        <v>1022</v>
      </c>
      <c r="C26" s="23" t="str">
        <f>IFERROR(__xludf.DUMMYFUNCTION("GOOGLETRANSLATE(B26, ""en"", ""fr"")"),"Minerai de fer")</f>
        <v>Minerai de fer</v>
      </c>
      <c r="D26" s="23" t="str">
        <f>IFERROR(__xludf.DUMMYFUNCTION("GOOGLETRANSLATE(B26, ""en"", ""es"")"),"Mineral de hierro minero")</f>
        <v>Mineral de hierro minero</v>
      </c>
      <c r="E26" s="23" t="str">
        <f>IFERROR(__xludf.DUMMYFUNCTION("GOOGLETRANSLATE(B26, ""en"", ""ru"")"),"Минимая железная руда")</f>
        <v>Минимая железная руда</v>
      </c>
      <c r="F26" s="23" t="str">
        <f>IFERROR(__xludf.DUMMYFUNCTION("GOOGLETRANSLATE(B26, ""en"", ""tr"")"),"Maden demir cevheri")</f>
        <v>Maden demir cevheri</v>
      </c>
      <c r="G26" s="23" t="str">
        <f>IFERROR(__xludf.DUMMYFUNCTION("GOOGLETRANSLATE(B26, ""en"", ""pt"")"),"Minério de ferro do meu ferro")</f>
        <v>Minério de ferro do meu ferro</v>
      </c>
      <c r="H26" s="24" t="str">
        <f>IFERROR(__xludf.DUMMYFUNCTION("GOOGLETRANSLATE(B26, ""en"", ""de"")"),"Mineneisenerz.")</f>
        <v>Mineneisenerz.</v>
      </c>
      <c r="I26" s="23" t="str">
        <f>IFERROR(__xludf.DUMMYFUNCTION("GOOGLETRANSLATE(B26, ""en"", ""pl"")"),"Mój żelaza rudy")</f>
        <v>Mój żelaza rudy</v>
      </c>
      <c r="J26" s="25" t="str">
        <f>IFERROR(__xludf.DUMMYFUNCTION("GOOGLETRANSLATE(B26, ""en"", ""zh"")"),"矿铁矿石")</f>
        <v>矿铁矿石</v>
      </c>
      <c r="K26" s="25" t="str">
        <f>IFERROR(__xludf.DUMMYFUNCTION("GOOGLETRANSLATE(B26, ""en"", ""vi"")"),"Mỏ sắt quặng")</f>
        <v>Mỏ sắt quặng</v>
      </c>
      <c r="L26" s="26" t="str">
        <f>IFERROR(__xludf.DUMMYFUNCTION("GOOGLETRANSLATE(B26, ""en"", ""hr"")"),"Ruda od mina")</f>
        <v>Ruda od mina</v>
      </c>
      <c r="M26" s="28"/>
      <c r="N26" s="28"/>
      <c r="O26" s="28"/>
      <c r="P26" s="28"/>
      <c r="Q26" s="28"/>
      <c r="R26" s="28"/>
      <c r="S26" s="28"/>
      <c r="T26" s="28"/>
      <c r="U26" s="28"/>
      <c r="V26" s="28"/>
      <c r="W26" s="28"/>
      <c r="X26" s="28"/>
      <c r="Y26" s="28"/>
      <c r="Z26" s="28"/>
      <c r="AA26" s="28"/>
      <c r="AB26" s="28"/>
    </row>
    <row r="27">
      <c r="A27" s="21" t="s">
        <v>1023</v>
      </c>
      <c r="B27" s="22" t="s">
        <v>1024</v>
      </c>
      <c r="C27" s="23" t="str">
        <f>IFERROR(__xludf.DUMMYFUNCTION("GOOGLETRANSLATE(B27, ""en"", ""fr"")"),"Minez le minerai de Dungium")</f>
        <v>Minez le minerai de Dungium</v>
      </c>
      <c r="D27" s="23" t="str">
        <f>IFERROR(__xludf.DUMMYFUNCTION("GOOGLETRANSLATE(B27, ""en"", ""es"")"),"Mineral de dungium de la mina")</f>
        <v>Mineral de dungium de la mina</v>
      </c>
      <c r="E27" s="23" t="str">
        <f>IFERROR(__xludf.DUMMYFUNCTION("GOOGLETRANSLATE(B27, ""en"", ""ru"")"),"Шахта дюнгуйской руды")</f>
        <v>Шахта дюнгуйской руды</v>
      </c>
      <c r="F27" s="23" t="str">
        <f>IFERROR(__xludf.DUMMYFUNCTION("GOOGLETRANSLATE(B27, ""en"", ""tr"")"),"Mine Dungium cevheri")</f>
        <v>Mine Dungium cevheri</v>
      </c>
      <c r="G27" s="23" t="str">
        <f>IFERROR(__xludf.DUMMYFUNCTION("GOOGLETRANSLATE(B27, ""en"", ""pt"")"),"Meu minério de dungium")</f>
        <v>Meu minério de dungium</v>
      </c>
      <c r="H27" s="24" t="str">
        <f>IFERROR(__xludf.DUMMYFUNCTION("GOOGLETRANSLATE(B27, ""en"", ""de"")"),"Mine Dungiumerz.")</f>
        <v>Mine Dungiumerz.</v>
      </c>
      <c r="I27" s="23" t="str">
        <f>IFERROR(__xludf.DUMMYFUNCTION("GOOGLETRANSLATE(B27, ""en"", ""pl"")"),"Kopalnia Ore Dungium.")</f>
        <v>Kopalnia Ore Dungium.</v>
      </c>
      <c r="J27" s="25" t="str">
        <f>IFERROR(__xludf.DUMMYFUNCTION("GOOGLETRANSLATE(B27, ""en"", ""zh"")"),"矿山矿石")</f>
        <v>矿山矿石</v>
      </c>
      <c r="K27" s="25" t="str">
        <f>IFERROR(__xludf.DUMMYFUNCTION("GOOGLETRANSLATE(B27, ""en"", ""vi"")"),"Khai thác dầu dunge")</f>
        <v>Khai thác dầu dunge</v>
      </c>
      <c r="L27" s="26" t="str">
        <f>IFERROR(__xludf.DUMMYFUNCTION("GOOGLETRANSLATE(B27, ""en"", ""hr"")"),"Rudnik rude")</f>
        <v>Rudnik rude</v>
      </c>
      <c r="M27" s="28"/>
      <c r="N27" s="28"/>
      <c r="O27" s="28"/>
      <c r="P27" s="28"/>
      <c r="Q27" s="28"/>
      <c r="R27" s="28"/>
      <c r="S27" s="28"/>
      <c r="T27" s="28"/>
      <c r="U27" s="28"/>
      <c r="V27" s="28"/>
      <c r="W27" s="28"/>
      <c r="X27" s="28"/>
      <c r="Y27" s="28"/>
      <c r="Z27" s="28"/>
      <c r="AA27" s="28"/>
      <c r="AB27" s="28"/>
    </row>
    <row r="28">
      <c r="A28" s="21" t="s">
        <v>1025</v>
      </c>
      <c r="B28" s="22" t="s">
        <v>1026</v>
      </c>
      <c r="C28" s="23" t="str">
        <f>IFERROR(__xludf.DUMMYFUNCTION("GOOGLETRANSLATE(B28, ""en"", ""fr"")"),"Minier noctis minerai")</f>
        <v>Minier noctis minerai</v>
      </c>
      <c r="D28" s="23" t="str">
        <f>IFERROR(__xludf.DUMMYFUNCTION("GOOGLETRANSLATE(B28, ""en"", ""es"")"),"Mina noctis mineral")</f>
        <v>Mina noctis mineral</v>
      </c>
      <c r="E28" s="23" t="str">
        <f>IFERROR(__xludf.DUMMYFUNCTION("GOOGLETRANSLATE(B28, ""en"", ""ru"")"),"Шахта ноктиса руды")</f>
        <v>Шахта ноктиса руды</v>
      </c>
      <c r="F28" s="23" t="str">
        <f>IFERROR(__xludf.DUMMYFUNCTION("GOOGLETRANSLATE(B28, ""en"", ""tr"")"),"Mayın noctis cevheri")</f>
        <v>Mayın noctis cevheri</v>
      </c>
      <c r="G28" s="23" t="str">
        <f>IFERROR(__xludf.DUMMYFUNCTION("GOOGLETRANSLATE(B28, ""en"", ""pt"")"),"Mine noctis minério.")</f>
        <v>Mine noctis minério.</v>
      </c>
      <c r="H28" s="24" t="str">
        <f>IFERROR(__xludf.DUMMYFUNCTION("GOOGLETRANSLATE(B28, ""en"", ""de"")"),"MINE NOCTIS ORE.")</f>
        <v>MINE NOCTIS ORE.</v>
      </c>
      <c r="I28" s="23" t="str">
        <f>IFERROR(__xludf.DUMMYFUNCTION("GOOGLETRANSLATE(B28, ""en"", ""pl"")"),"Mine Noctis Ore.")</f>
        <v>Mine Noctis Ore.</v>
      </c>
      <c r="J28" s="25" t="str">
        <f>IFERROR(__xludf.DUMMYFUNCTION("GOOGLETRANSLATE(B28, ""en"", ""zh"")"),"矿山夜岛矿石")</f>
        <v>矿山夜岛矿石</v>
      </c>
      <c r="K28" s="25" t="str">
        <f>IFERROR(__xludf.DUMMYFUNCTION("GOOGLETRANSLATE(B28, ""en"", ""vi"")"),"Mỏ Noctis Ore.")</f>
        <v>Mỏ Noctis Ore.</v>
      </c>
      <c r="L28" s="26" t="str">
        <f>IFERROR(__xludf.DUMMYFUNCTION("GOOGLETRANSLATE(B28, ""en"", ""hr"")"),"Ruda od mina")</f>
        <v>Ruda od mina</v>
      </c>
      <c r="M28" s="28"/>
      <c r="N28" s="28"/>
      <c r="O28" s="28"/>
      <c r="P28" s="28"/>
      <c r="Q28" s="28"/>
      <c r="R28" s="28"/>
      <c r="S28" s="28"/>
      <c r="T28" s="28"/>
      <c r="U28" s="28"/>
      <c r="V28" s="28"/>
      <c r="W28" s="28"/>
      <c r="X28" s="28"/>
      <c r="Y28" s="28"/>
      <c r="Z28" s="28"/>
      <c r="AA28" s="28"/>
      <c r="AB28" s="28"/>
    </row>
    <row r="29">
      <c r="A29" s="21" t="s">
        <v>1027</v>
      </c>
      <c r="B29" s="22" t="s">
        <v>1028</v>
      </c>
      <c r="C29" s="23" t="str">
        <f>IFERROR(__xludf.DUMMYFUNCTION("GOOGLETRANSLATE(B29, ""en"", ""fr"")"),"Flèches d'artisanat")</f>
        <v>Flèches d'artisanat</v>
      </c>
      <c r="D29" s="23" t="str">
        <f>IFERROR(__xludf.DUMMYFUNCTION("GOOGLETRANSLATE(B29, ""en"", ""es"")"),"Flechas artesanales")</f>
        <v>Flechas artesanales</v>
      </c>
      <c r="E29" s="23" t="str">
        <f>IFERROR(__xludf.DUMMYFUNCTION("GOOGLETRANSLATE(B29, ""en"", ""ru"")"),"Стрелки ремесло")</f>
        <v>Стрелки ремесло</v>
      </c>
      <c r="F29" s="23" t="str">
        <f>IFERROR(__xludf.DUMMYFUNCTION("GOOGLETRANSLATE(B29, ""en"", ""tr"")"),"Zanaat okları")</f>
        <v>Zanaat okları</v>
      </c>
      <c r="G29" s="23" t="str">
        <f>IFERROR(__xludf.DUMMYFUNCTION("GOOGLETRANSLATE(B29, ""en"", ""pt"")"),"Flechas de artesanato")</f>
        <v>Flechas de artesanato</v>
      </c>
      <c r="H29" s="24" t="str">
        <f>IFERROR(__xludf.DUMMYFUNCTION("GOOGLETRANSLATE(B29, ""en"", ""de"")"),"Bastelpfeile")</f>
        <v>Bastelpfeile</v>
      </c>
      <c r="I29" s="23" t="str">
        <f>IFERROR(__xludf.DUMMYFUNCTION("GOOGLETRANSLATE(B29, ""en"", ""pl"")"),"Strzałki rzemieślnicze.")</f>
        <v>Strzałki rzemieślnicze.</v>
      </c>
      <c r="J29" s="25" t="str">
        <f>IFERROR(__xludf.DUMMYFUNCTION("GOOGLETRANSLATE(B29, ""en"", ""zh"")"),"工艺箭头")</f>
        <v>工艺箭头</v>
      </c>
      <c r="K29" s="25" t="str">
        <f>IFERROR(__xludf.DUMMYFUNCTION("GOOGLETRANSLATE(B29, ""en"", ""vi"")"),"Mũi tên thủ công")</f>
        <v>Mũi tên thủ công</v>
      </c>
      <c r="L29" s="26" t="str">
        <f>IFERROR(__xludf.DUMMYFUNCTION("GOOGLETRANSLATE(B29, ""en"", ""hr"")"),"Strelice za obrtnike")</f>
        <v>Strelice za obrtnike</v>
      </c>
      <c r="M29" s="28"/>
      <c r="N29" s="28"/>
      <c r="O29" s="28"/>
      <c r="P29" s="28"/>
      <c r="Q29" s="28"/>
      <c r="R29" s="28"/>
      <c r="S29" s="28"/>
      <c r="T29" s="28"/>
      <c r="U29" s="28"/>
      <c r="V29" s="28"/>
      <c r="W29" s="28"/>
      <c r="X29" s="28"/>
      <c r="Y29" s="28"/>
      <c r="Z29" s="28"/>
      <c r="AA29" s="28"/>
      <c r="AB29" s="28"/>
    </row>
    <row r="30">
      <c r="A30" s="21" t="s">
        <v>1029</v>
      </c>
      <c r="B30" s="22" t="s">
        <v>1030</v>
      </c>
      <c r="C30" s="23" t="str">
        <f>IFERROR(__xludf.DUMMYFUNCTION("GOOGLETRANSLATE(B30, ""en"", ""fr"")"),"Craft Daggers")</f>
        <v>Craft Daggers</v>
      </c>
      <c r="D30" s="23" t="str">
        <f>IFERROR(__xludf.DUMMYFUNCTION("GOOGLETRANSLATE(B30, ""en"", ""es"")"),"Dagas artesanales")</f>
        <v>Dagas artesanales</v>
      </c>
      <c r="E30" s="23" t="str">
        <f>IFERROR(__xludf.DUMMYFUNCTION("GOOGLETRANSLATE(B30, ""en"", ""ru"")"),"Ремесленники")</f>
        <v>Ремесленники</v>
      </c>
      <c r="F30" s="23" t="str">
        <f>IFERROR(__xludf.DUMMYFUNCTION("GOOGLETRANSLATE(B30, ""en"", ""tr"")"),"Zanaat hançerleri")</f>
        <v>Zanaat hançerleri</v>
      </c>
      <c r="G30" s="23" t="str">
        <f>IFERROR(__xludf.DUMMYFUNCTION("GOOGLETRANSLATE(B30, ""en"", ""pt"")"),"Adagas de artesanato")</f>
        <v>Adagas de artesanato</v>
      </c>
      <c r="H30" s="24" t="str">
        <f>IFERROR(__xludf.DUMMYFUNCTION("GOOGLETRANSLATE(B30, ""en"", ""de"")"),"Handwerkliche Dolche")</f>
        <v>Handwerkliche Dolche</v>
      </c>
      <c r="I30" s="23" t="str">
        <f>IFERROR(__xludf.DUMMYFUNCTION("GOOGLETRANSLATE(B30, ""en"", ""pl"")"),"Rzemiosły sztylety")</f>
        <v>Rzemiosły sztylety</v>
      </c>
      <c r="J30" s="25" t="str">
        <f>IFERROR(__xludf.DUMMYFUNCTION("GOOGLETRANSLATE(B30, ""en"", ""zh"")"),"工艺匕首")</f>
        <v>工艺匕首</v>
      </c>
      <c r="K30" s="25" t="str">
        <f>IFERROR(__xludf.DUMMYFUNCTION("GOOGLETRANSLATE(B30, ""en"", ""vi"")"),"Craft Daggers.")</f>
        <v>Craft Daggers.</v>
      </c>
      <c r="L30" s="26" t="str">
        <f>IFERROR(__xludf.DUMMYFUNCTION("GOOGLETRANSLATE(B30, ""en"", ""hr"")"),"Djela")</f>
        <v>Djela</v>
      </c>
      <c r="M30" s="28"/>
      <c r="N30" s="28"/>
      <c r="O30" s="28"/>
      <c r="P30" s="28"/>
      <c r="Q30" s="28"/>
      <c r="R30" s="28"/>
      <c r="S30" s="28"/>
      <c r="T30" s="28"/>
      <c r="U30" s="28"/>
      <c r="V30" s="28"/>
      <c r="W30" s="28"/>
      <c r="X30" s="28"/>
      <c r="Y30" s="28"/>
      <c r="Z30" s="28"/>
      <c r="AA30" s="28"/>
      <c r="AB30" s="28"/>
    </row>
    <row r="31">
      <c r="A31" s="21" t="s">
        <v>1031</v>
      </c>
      <c r="B31" s="22" t="s">
        <v>1032</v>
      </c>
      <c r="C31" s="23" t="str">
        <f>IFERROR(__xludf.DUMMYFUNCTION("GOOGLETRANSLATE(B31, ""en"", ""fr"")"),"Épées d'artisanat")</f>
        <v>Épées d'artisanat</v>
      </c>
      <c r="D31" s="23" t="str">
        <f>IFERROR(__xludf.DUMMYFUNCTION("GOOGLETRANSLATE(B31, ""en"", ""es"")"),"Espadas de artesanía")</f>
        <v>Espadas de artesanía</v>
      </c>
      <c r="E31" s="23" t="str">
        <f>IFERROR(__xludf.DUMMYFUNCTION("GOOGLETRANSLATE(B31, ""en"", ""ru"")"),"Ремесленные мечи")</f>
        <v>Ремесленные мечи</v>
      </c>
      <c r="F31" s="23" t="str">
        <f>IFERROR(__xludf.DUMMYFUNCTION("GOOGLETRANSLATE(B31, ""en"", ""tr"")"),"Zanaat kılıç")</f>
        <v>Zanaat kılıç</v>
      </c>
      <c r="G31" s="23" t="str">
        <f>IFERROR(__xludf.DUMMYFUNCTION("GOOGLETRANSLATE(B31, ""en"", ""pt"")"),"Espadas de artesanato")</f>
        <v>Espadas de artesanato</v>
      </c>
      <c r="H31" s="24" t="str">
        <f>IFERROR(__xludf.DUMMYFUNCTION("GOOGLETRANSLATE(B31, ""en"", ""de"")"),"Handwerksschwerter")</f>
        <v>Handwerksschwerter</v>
      </c>
      <c r="I31" s="23" t="str">
        <f>IFERROR(__xludf.DUMMYFUNCTION("GOOGLETRANSLATE(B31, ""en"", ""pl"")"),"Craft Swords.")</f>
        <v>Craft Swords.</v>
      </c>
      <c r="J31" s="25" t="str">
        <f>IFERROR(__xludf.DUMMYFUNCTION("GOOGLETRANSLATE(B31, ""en"", ""zh"")"),"工艺剑")</f>
        <v>工艺剑</v>
      </c>
      <c r="K31" s="25" t="str">
        <f>IFERROR(__xludf.DUMMYFUNCTION("GOOGLETRANSLATE(B31, ""en"", ""vi"")"),"Swords thủ công.")</f>
        <v>Swords thủ công.</v>
      </c>
      <c r="L31" s="26" t="str">
        <f>IFERROR(__xludf.DUMMYFUNCTION("GOOGLETRANSLATE(B31, ""en"", ""hr"")"),"Obrtni mačevi")</f>
        <v>Obrtni mačevi</v>
      </c>
      <c r="M31" s="28"/>
      <c r="N31" s="28"/>
      <c r="O31" s="28"/>
      <c r="P31" s="28"/>
      <c r="Q31" s="28"/>
      <c r="R31" s="28"/>
      <c r="S31" s="28"/>
      <c r="T31" s="28"/>
      <c r="U31" s="28"/>
      <c r="V31" s="28"/>
      <c r="W31" s="28"/>
      <c r="X31" s="28"/>
      <c r="Y31" s="28"/>
      <c r="Z31" s="28"/>
      <c r="AA31" s="28"/>
      <c r="AB31" s="28"/>
    </row>
    <row r="32">
      <c r="A32" s="21" t="s">
        <v>1033</v>
      </c>
      <c r="B32" s="22" t="s">
        <v>1034</v>
      </c>
      <c r="C32" s="23" t="str">
        <f>IFERROR(__xludf.DUMMYFUNCTION("GOOGLETRANSLATE(B32, ""en"", ""fr"")"),"Marteaux artisanaux")</f>
        <v>Marteaux artisanaux</v>
      </c>
      <c r="D32" s="23" t="str">
        <f>IFERROR(__xludf.DUMMYFUNCTION("GOOGLETRANSLATE(B32, ""en"", ""es"")"),"Martillos artesanales")</f>
        <v>Martillos artesanales</v>
      </c>
      <c r="E32" s="23" t="str">
        <f>IFERROR(__xludf.DUMMYFUNCTION("GOOGLETRANSLATE(B32, ""en"", ""ru"")"),"Ремесленные молотки")</f>
        <v>Ремесленные молотки</v>
      </c>
      <c r="F32" s="23" t="str">
        <f>IFERROR(__xludf.DUMMYFUNCTION("GOOGLETRANSLATE(B32, ""en"", ""tr"")"),"Zanaat çekiçleri")</f>
        <v>Zanaat çekiçleri</v>
      </c>
      <c r="G32" s="23" t="str">
        <f>IFERROR(__xludf.DUMMYFUNCTION("GOOGLETRANSLATE(B32, ""en"", ""pt"")"),"Martelos de artesanato")</f>
        <v>Martelos de artesanato</v>
      </c>
      <c r="H32" s="24" t="str">
        <f>IFERROR(__xludf.DUMMYFUNCTION("GOOGLETRANSLATE(B32, ""en"", ""de"")"),"Craft Hammers.")</f>
        <v>Craft Hammers.</v>
      </c>
      <c r="I32" s="23" t="str">
        <f>IFERROR(__xludf.DUMMYFUNCTION("GOOGLETRANSLATE(B32, ""en"", ""pl"")"),"Rzemiosło młotki")</f>
        <v>Rzemiosło młotki</v>
      </c>
      <c r="J32" s="25" t="str">
        <f>IFERROR(__xludf.DUMMYFUNCTION("GOOGLETRANSLATE(B32, ""en"", ""zh"")"),"工艺锤子")</f>
        <v>工艺锤子</v>
      </c>
      <c r="K32" s="25" t="str">
        <f>IFERROR(__xludf.DUMMYFUNCTION("GOOGLETRANSLATE(B32, ""en"", ""vi"")"),"Hammer thủ công")</f>
        <v>Hammer thủ công</v>
      </c>
      <c r="L32" s="26" t="str">
        <f>IFERROR(__xludf.DUMMYFUNCTION("GOOGLETRANSLATE(B32, ""en"", ""hr"")"),"Obrtnici")</f>
        <v>Obrtnici</v>
      </c>
      <c r="M32" s="28"/>
      <c r="N32" s="28"/>
      <c r="O32" s="28"/>
      <c r="P32" s="28"/>
      <c r="Q32" s="28"/>
      <c r="R32" s="28"/>
      <c r="S32" s="28"/>
      <c r="T32" s="28"/>
      <c r="U32" s="28"/>
      <c r="V32" s="28"/>
      <c r="W32" s="28"/>
      <c r="X32" s="28"/>
      <c r="Y32" s="28"/>
      <c r="Z32" s="28"/>
      <c r="AA32" s="28"/>
      <c r="AB32" s="28"/>
    </row>
    <row r="33">
      <c r="A33" s="21" t="s">
        <v>1035</v>
      </c>
      <c r="B33" s="22" t="s">
        <v>1036</v>
      </c>
      <c r="C33" s="23" t="str">
        <f>IFERROR(__xludf.DUMMYFUNCTION("GOOGLETRANSLATE(B33, ""en"", ""fr"")"),"Artisanat Shurikens")</f>
        <v>Artisanat Shurikens</v>
      </c>
      <c r="D33" s="23" t="str">
        <f>IFERROR(__xludf.DUMMYFUNCTION("GOOGLETRANSLATE(B33, ""en"", ""es"")"),"Manualidades shurikens")</f>
        <v>Manualidades shurikens</v>
      </c>
      <c r="E33" s="23" t="str">
        <f>IFERROR(__xludf.DUMMYFUNCTION("GOOGLETRANSLATE(B33, ""en"", ""ru"")"),"Craft Shurikens")</f>
        <v>Craft Shurikens</v>
      </c>
      <c r="F33" s="23" t="str">
        <f>IFERROR(__xludf.DUMMYFUNCTION("GOOGLETRANSLATE(B33, ""en"", ""tr"")"),"Zanaat shurikens")</f>
        <v>Zanaat shurikens</v>
      </c>
      <c r="G33" s="23" t="str">
        <f>IFERROR(__xludf.DUMMYFUNCTION("GOOGLETRANSLATE(B33, ""en"", ""pt"")"),"Shurikens de artesanato")</f>
        <v>Shurikens de artesanato</v>
      </c>
      <c r="H33" s="24" t="str">
        <f>IFERROR(__xludf.DUMMYFUNCTION("GOOGLETRANSLATE(B33, ""en"", ""de"")"),"Craft Shurikens.")</f>
        <v>Craft Shurikens.</v>
      </c>
      <c r="I33" s="23" t="str">
        <f>IFERROR(__xludf.DUMMYFUNCTION("GOOGLETRANSLATE(B33, ""en"", ""pl"")"),"Rzemiosło shurikens.")</f>
        <v>Rzemiosło shurikens.</v>
      </c>
      <c r="J33" s="25" t="str">
        <f>IFERROR(__xludf.DUMMYFUNCTION("GOOGLETRANSLATE(B33, ""en"", ""zh"")"),"工艺shurikens")</f>
        <v>工艺shurikens</v>
      </c>
      <c r="K33" s="25" t="str">
        <f>IFERROR(__xludf.DUMMYFUNCTION("GOOGLETRANSLATE(B33, ""en"", ""vi"")"),"Craft Shurikens.")</f>
        <v>Craft Shurikens.</v>
      </c>
      <c r="L33" s="26" t="str">
        <f>IFERROR(__xludf.DUMMYFUNCTION("GOOGLETRANSLATE(B33, ""en"", ""hr"")"),"Širikens")</f>
        <v>Širikens</v>
      </c>
      <c r="M33" s="28"/>
      <c r="N33" s="28"/>
      <c r="O33" s="28"/>
      <c r="P33" s="28"/>
      <c r="Q33" s="28"/>
      <c r="R33" s="28"/>
      <c r="S33" s="28"/>
      <c r="T33" s="28"/>
      <c r="U33" s="28"/>
      <c r="V33" s="28"/>
      <c r="W33" s="28"/>
      <c r="X33" s="28"/>
      <c r="Y33" s="28"/>
      <c r="Z33" s="28"/>
      <c r="AA33" s="28"/>
      <c r="AB33" s="28"/>
    </row>
    <row r="34">
      <c r="A34" s="21" t="s">
        <v>1037</v>
      </c>
      <c r="B34" s="22" t="s">
        <v>1038</v>
      </c>
      <c r="C34" s="23" t="str">
        <f>IFERROR(__xludf.DUMMYFUNCTION("GOOGLETRANSLATE(B34, ""en"", ""fr"")"),"Artisanat arcs")</f>
        <v>Artisanat arcs</v>
      </c>
      <c r="D34" s="23" t="str">
        <f>IFERROR(__xludf.DUMMYFUNCTION("GOOGLETRANSLATE(B34, ""en"", ""es"")"),"Artesanía")</f>
        <v>Artesanía</v>
      </c>
      <c r="E34" s="23" t="str">
        <f>IFERROR(__xludf.DUMMYFUNCTION("GOOGLETRANSLATE(B34, ""en"", ""ru"")"),"Луки ремесла")</f>
        <v>Луки ремесла</v>
      </c>
      <c r="F34" s="23" t="str">
        <f>IFERROR(__xludf.DUMMYFUNCTION("GOOGLETRANSLATE(B34, ""en"", ""tr"")"),"Zanaat yayları")</f>
        <v>Zanaat yayları</v>
      </c>
      <c r="G34" s="23" t="str">
        <f>IFERROR(__xludf.DUMMYFUNCTION("GOOGLETRANSLATE(B34, ""en"", ""pt"")"),"Arcos de artesanato")</f>
        <v>Arcos de artesanato</v>
      </c>
      <c r="H34" s="24" t="str">
        <f>IFERROR(__xludf.DUMMYFUNCTION("GOOGLETRANSLATE(B34, ""en"", ""de"")"),"CRAFT BOWS.")</f>
        <v>CRAFT BOWS.</v>
      </c>
      <c r="I34" s="23" t="str">
        <f>IFERROR(__xludf.DUMMYFUNCTION("GOOGLETRANSLATE(B34, ""en"", ""pl"")"),"Łęki rzemiosła")</f>
        <v>Łęki rzemiosła</v>
      </c>
      <c r="J34" s="25" t="str">
        <f>IFERROR(__xludf.DUMMYFUNCTION("GOOGLETRANSLATE(B34, ""en"", ""zh"")"),"工艺弓")</f>
        <v>工艺弓</v>
      </c>
      <c r="K34" s="25" t="str">
        <f>IFERROR(__xludf.DUMMYFUNCTION("GOOGLETRANSLATE(B34, ""en"", ""vi"")"),"Cung thủ công")</f>
        <v>Cung thủ công</v>
      </c>
      <c r="L34" s="26" t="str">
        <f>IFERROR(__xludf.DUMMYFUNCTION("GOOGLETRANSLATE(B34, ""en"", ""hr"")"),"Obrtničke lukove")</f>
        <v>Obrtničke lukove</v>
      </c>
      <c r="M34" s="28"/>
      <c r="N34" s="28"/>
      <c r="O34" s="28"/>
      <c r="P34" s="28"/>
      <c r="Q34" s="28"/>
      <c r="R34" s="28"/>
      <c r="S34" s="28"/>
      <c r="T34" s="28"/>
      <c r="U34" s="28"/>
      <c r="V34" s="28"/>
      <c r="W34" s="28"/>
      <c r="X34" s="28"/>
      <c r="Y34" s="28"/>
      <c r="Z34" s="28"/>
      <c r="AA34" s="28"/>
      <c r="AB34" s="28"/>
    </row>
    <row r="35">
      <c r="A35" s="21" t="s">
        <v>1039</v>
      </c>
      <c r="B35" s="22" t="s">
        <v>1040</v>
      </c>
      <c r="C35" s="23" t="str">
        <f>IFERROR(__xludf.DUMMYFUNCTION("GOOGLETRANSLATE(B35, ""en"", ""fr"")"),"Staff artisanat")</f>
        <v>Staff artisanat</v>
      </c>
      <c r="D35" s="23" t="str">
        <f>IFERROR(__xludf.DUMMYFUNCTION("GOOGLETRANSLATE(B35, ""en"", ""es"")"),"Personal de artesanía")</f>
        <v>Personal de artesanía</v>
      </c>
      <c r="E35" s="23" t="str">
        <f>IFERROR(__xludf.DUMMYFUNCTION("GOOGLETRANSLATE(B35, ""en"", ""ru"")"),"Сотрудники ремесла")</f>
        <v>Сотрудники ремесла</v>
      </c>
      <c r="F35" s="23" t="str">
        <f>IFERROR(__xludf.DUMMYFUNCTION("GOOGLETRANSLATE(B35, ""en"", ""tr"")"),"Zanaat personel")</f>
        <v>Zanaat personel</v>
      </c>
      <c r="G35" s="23" t="str">
        <f>IFERROR(__xludf.DUMMYFUNCTION("GOOGLETRANSLATE(B35, ""en"", ""pt"")"),"Equipes de artesanato")</f>
        <v>Equipes de artesanato</v>
      </c>
      <c r="H35" s="24" t="str">
        <f>IFERROR(__xludf.DUMMYFUNCTION("GOOGLETRANSLATE(B35, ""en"", ""de"")"),"Handwerkliche Mitarbeiter")</f>
        <v>Handwerkliche Mitarbeiter</v>
      </c>
      <c r="I35" s="23" t="str">
        <f>IFERROR(__xludf.DUMMYFUNCTION("GOOGLETRANSLATE(B35, ""en"", ""pl"")"),"Sztabki rzemieślnicze")</f>
        <v>Sztabki rzemieślnicze</v>
      </c>
      <c r="J35" s="25" t="str">
        <f>IFERROR(__xludf.DUMMYFUNCTION("GOOGLETRANSLATE(B35, ""en"", ""zh"")"),"工艺人员")</f>
        <v>工艺人员</v>
      </c>
      <c r="K35" s="25" t="str">
        <f>IFERROR(__xludf.DUMMYFUNCTION("GOOGLETRANSLATE(B35, ""en"", ""vi"")"),"Nhân viên thủ công")</f>
        <v>Nhân viên thủ công</v>
      </c>
      <c r="L35" s="26" t="str">
        <f>IFERROR(__xludf.DUMMYFUNCTION("GOOGLETRANSLATE(B35, ""en"", ""hr"")"),"Plovilo")</f>
        <v>Plovilo</v>
      </c>
      <c r="M35" s="28"/>
      <c r="N35" s="28"/>
      <c r="O35" s="28"/>
      <c r="P35" s="28"/>
      <c r="Q35" s="28"/>
      <c r="R35" s="28"/>
      <c r="S35" s="28"/>
      <c r="T35" s="28"/>
      <c r="U35" s="28"/>
      <c r="V35" s="28"/>
      <c r="W35" s="28"/>
      <c r="X35" s="28"/>
      <c r="Y35" s="28"/>
      <c r="Z35" s="28"/>
      <c r="AA35" s="28"/>
      <c r="AB35" s="28"/>
    </row>
    <row r="36">
      <c r="A36" s="21" t="s">
        <v>1041</v>
      </c>
      <c r="B36" s="22" t="s">
        <v>1042</v>
      </c>
      <c r="C36" s="23" t="str">
        <f>IFERROR(__xludf.DUMMYFUNCTION("GOOGLETRANSLATE(B36, ""en"", ""fr"")"),"Hache d'artisanat")</f>
        <v>Hache d'artisanat</v>
      </c>
      <c r="D36" s="23" t="str">
        <f>IFERROR(__xludf.DUMMYFUNCTION("GOOGLETRANSLATE(B36, ""en"", ""es"")"),"Hachas de artesanía")</f>
        <v>Hachas de artesanía</v>
      </c>
      <c r="E36" s="23" t="str">
        <f>IFERROR(__xludf.DUMMYFUNCTION("GOOGLETRANSLATE(B36, ""en"", ""ru"")"),"Ремесленные топорки")</f>
        <v>Ремесленные топорки</v>
      </c>
      <c r="F36" s="23" t="str">
        <f>IFERROR(__xludf.DUMMYFUNCTION("GOOGLETRANSLATE(B36, ""en"", ""tr"")"),"Zanaat baltaları")</f>
        <v>Zanaat baltaları</v>
      </c>
      <c r="G36" s="23" t="str">
        <f>IFERROR(__xludf.DUMMYFUNCTION("GOOGLETRANSLATE(B36, ""en"", ""pt"")"),"Machados artesanais.")</f>
        <v>Machados artesanais.</v>
      </c>
      <c r="H36" s="24" t="str">
        <f>IFERROR(__xludf.DUMMYFUNCTION("GOOGLETRANSLATE(B36, ""en"", ""de"")"),"Bastel-Hüter")</f>
        <v>Bastel-Hüter</v>
      </c>
      <c r="I36" s="23" t="str">
        <f>IFERROR(__xludf.DUMMYFUNCTION("GOOGLETRANSLATE(B36, ""en"", ""pl"")"),"Hatchets rzemieślniczy")</f>
        <v>Hatchets rzemieślniczy</v>
      </c>
      <c r="J36" s="25" t="str">
        <f>IFERROR(__xludf.DUMMYFUNCTION("GOOGLETRANSLATE(B36, ""en"", ""zh"")"),"工艺斧头")</f>
        <v>工艺斧头</v>
      </c>
      <c r="K36" s="25" t="str">
        <f>IFERROR(__xludf.DUMMYFUNCTION("GOOGLETRANSLATE(B36, ""en"", ""vi"")"),"Craft hatchets.")</f>
        <v>Craft hatchets.</v>
      </c>
      <c r="L36" s="26" t="str">
        <f>IFERROR(__xludf.DUMMYFUNCTION("GOOGLETRANSLATE(B36, ""en"", ""hr"")"),"Plovila")</f>
        <v>Plovila</v>
      </c>
      <c r="M36" s="28"/>
      <c r="N36" s="28"/>
      <c r="O36" s="28"/>
      <c r="P36" s="28"/>
      <c r="Q36" s="28"/>
      <c r="R36" s="28"/>
      <c r="S36" s="28"/>
      <c r="T36" s="28"/>
      <c r="U36" s="28"/>
      <c r="V36" s="28"/>
      <c r="W36" s="28"/>
      <c r="X36" s="28"/>
      <c r="Y36" s="28"/>
      <c r="Z36" s="28"/>
      <c r="AA36" s="28"/>
      <c r="AB36" s="28"/>
    </row>
    <row r="37">
      <c r="A37" s="21" t="s">
        <v>1043</v>
      </c>
      <c r="B37" s="22" t="s">
        <v>1044</v>
      </c>
      <c r="C37" s="23" t="str">
        <f>IFERROR(__xludf.DUMMYFUNCTION("GOOGLETRANSLATE(B37, ""en"", ""fr"")"),"Pickaxes artisanales")</f>
        <v>Pickaxes artisanales</v>
      </c>
      <c r="D37" s="23" t="str">
        <f>IFERROR(__xludf.DUMMYFUNCTION("GOOGLETRANSLATE(B37, ""en"", ""es"")"),"Picos de artesanía")</f>
        <v>Picos de artesanía</v>
      </c>
      <c r="E37" s="23" t="str">
        <f>IFERROR(__xludf.DUMMYFUNCTION("GOOGLETRANSLATE(B37, ""en"", ""ru"")"),"Ремесленные кирка")</f>
        <v>Ремесленные кирка</v>
      </c>
      <c r="F37" s="23" t="str">
        <f>IFERROR(__xludf.DUMMYFUNCTION("GOOGLETRANSLATE(B37, ""en"", ""tr"")"),"Zanaat kazakları")</f>
        <v>Zanaat kazakları</v>
      </c>
      <c r="G37" s="23" t="str">
        <f>IFERROR(__xludf.DUMMYFUNCTION("GOOGLETRANSLATE(B37, ""en"", ""pt"")"),"CRAFT PICKAXS.")</f>
        <v>CRAFT PICKAXS.</v>
      </c>
      <c r="H37" s="24" t="str">
        <f>IFERROR(__xludf.DUMMYFUNCTION("GOOGLETRANSLATE(B37, ""en"", ""de"")"),"Handwerkspaket")</f>
        <v>Handwerkspaket</v>
      </c>
      <c r="I37" s="23" t="str">
        <f>IFERROR(__xludf.DUMMYFUNCTION("GOOGLETRANSLATE(B37, ""en"", ""pl"")"),"Craft Picksaxes.")</f>
        <v>Craft Picksaxes.</v>
      </c>
      <c r="J37" s="25" t="str">
        <f>IFERROR(__xludf.DUMMYFUNCTION("GOOGLETRANSLATE(B37, ""en"", ""zh"")"),"工艺镐")</f>
        <v>工艺镐</v>
      </c>
      <c r="K37" s="25" t="str">
        <f>IFERROR(__xludf.DUMMYFUNCTION("GOOGLETRANSLATE(B37, ""en"", ""vi"")"),"CRAFT PICKAXES.")</f>
        <v>CRAFT PICKAXES.</v>
      </c>
      <c r="L37" s="26" t="str">
        <f>IFERROR(__xludf.DUMMYFUNCTION("GOOGLETRANSLATE(B37, ""en"", ""hr"")"),"Craft Pickees")</f>
        <v>Craft Pickees</v>
      </c>
      <c r="M37" s="28"/>
      <c r="N37" s="28"/>
      <c r="O37" s="28"/>
      <c r="P37" s="28"/>
      <c r="Q37" s="28"/>
      <c r="R37" s="28"/>
      <c r="S37" s="28"/>
      <c r="T37" s="28"/>
      <c r="U37" s="28"/>
      <c r="V37" s="28"/>
      <c r="W37" s="28"/>
      <c r="X37" s="28"/>
      <c r="Y37" s="28"/>
      <c r="Z37" s="28"/>
      <c r="AA37" s="28"/>
      <c r="AB37" s="28"/>
    </row>
    <row r="38">
      <c r="A38" s="21" t="s">
        <v>1045</v>
      </c>
      <c r="B38" s="22" t="s">
        <v>1046</v>
      </c>
      <c r="C38" s="23" t="str">
        <f>IFERROR(__xludf.DUMMYFUNCTION("GOOGLETRANSLATE(B38, ""en"", ""fr"")"),"Armure métallique artisanale")</f>
        <v>Armure métallique artisanale</v>
      </c>
      <c r="D38" s="23" t="str">
        <f>IFERROR(__xludf.DUMMYFUNCTION("GOOGLETRANSLATE(B38, ""en"", ""es"")"),"Armadura de metal artesanal")</f>
        <v>Armadura de metal artesanal</v>
      </c>
      <c r="E38" s="23" t="str">
        <f>IFERROR(__xludf.DUMMYFUNCTION("GOOGLETRANSLATE(B38, ""en"", ""ru"")"),"Ремесло металлическая доспеха")</f>
        <v>Ремесло металлическая доспеха</v>
      </c>
      <c r="F38" s="23" t="str">
        <f>IFERROR(__xludf.DUMMYFUNCTION("GOOGLETRANSLATE(B38, ""en"", ""tr"")"),"Zanaat metal zırhı")</f>
        <v>Zanaat metal zırhı</v>
      </c>
      <c r="G38" s="23" t="str">
        <f>IFERROR(__xludf.DUMMYFUNCTION("GOOGLETRANSLATE(B38, ""en"", ""pt"")"),"Armadura de metal artesanal")</f>
        <v>Armadura de metal artesanal</v>
      </c>
      <c r="H38" s="24" t="str">
        <f>IFERROR(__xludf.DUMMYFUNCTION("GOOGLETRANSLATE(B38, ""en"", ""de"")"),"Handwerk Metall Rüstung")</f>
        <v>Handwerk Metall Rüstung</v>
      </c>
      <c r="I38" s="23" t="str">
        <f>IFERROR(__xludf.DUMMYFUNCTION("GOOGLETRANSLATE(B38, ""en"", ""pl"")"),"Rzemiosła metalowa zbroja")</f>
        <v>Rzemiosła metalowa zbroja</v>
      </c>
      <c r="J38" s="25" t="str">
        <f>IFERROR(__xludf.DUMMYFUNCTION("GOOGLETRANSLATE(B38, ""en"", ""zh"")"),"工艺金属盔甲")</f>
        <v>工艺金属盔甲</v>
      </c>
      <c r="K38" s="25" t="str">
        <f>IFERROR(__xludf.DUMMYFUNCTION("GOOGLETRANSLATE(B38, ""en"", ""vi"")"),"Giáp kim loại thủ công")</f>
        <v>Giáp kim loại thủ công</v>
      </c>
      <c r="L38" s="26" t="str">
        <f>IFERROR(__xludf.DUMMYFUNCTION("GOOGLETRANSLATE(B38, ""en"", ""hr"")"),"Oklopna oklop")</f>
        <v>Oklopna oklop</v>
      </c>
      <c r="M38" s="28"/>
      <c r="N38" s="28"/>
      <c r="O38" s="28"/>
      <c r="P38" s="28"/>
      <c r="Q38" s="28"/>
      <c r="R38" s="28"/>
      <c r="S38" s="28"/>
      <c r="T38" s="28"/>
      <c r="U38" s="28"/>
      <c r="V38" s="28"/>
      <c r="W38" s="28"/>
      <c r="X38" s="28"/>
      <c r="Y38" s="28"/>
      <c r="Z38" s="28"/>
      <c r="AA38" s="28"/>
      <c r="AB38" s="28"/>
    </row>
    <row r="39">
      <c r="A39" s="21" t="s">
        <v>1047</v>
      </c>
      <c r="B39" s="22" t="s">
        <v>1048</v>
      </c>
      <c r="C39" s="23" t="str">
        <f>IFERROR(__xludf.DUMMYFUNCTION("GOOGLETRANSLATE(B39, ""en"", ""fr"")"),"Cafres de cafres")</f>
        <v>Cafres de cafres</v>
      </c>
      <c r="D39" s="23" t="str">
        <f>IFERROR(__xludf.DUMMYFUNCTION("GOOGLETRANSLATE(B39, ""en"", ""es"")"),"Capas de artesanía")</f>
        <v>Capas de artesanía</v>
      </c>
      <c r="E39" s="23" t="str">
        <f>IFERROR(__xludf.DUMMYFUNCTION("GOOGLETRANSLATE(B39, ""en"", ""ru"")"),"Craft Cloaks")</f>
        <v>Craft Cloaks</v>
      </c>
      <c r="F39" s="23" t="str">
        <f>IFERROR(__xludf.DUMMYFUNCTION("GOOGLETRANSLATE(B39, ""en"", ""tr"")"),"Zanaat pelerinleri")</f>
        <v>Zanaat pelerinleri</v>
      </c>
      <c r="G39" s="23" t="str">
        <f>IFERROR(__xludf.DUMMYFUNCTION("GOOGLETRANSLATE(B39, ""en"", ""pt"")"),"Cloaks de artesanato")</f>
        <v>Cloaks de artesanato</v>
      </c>
      <c r="H39" s="24" t="str">
        <f>IFERROR(__xludf.DUMMYFUNCTION("GOOGLETRANSLATE(B39, ""en"", ""de"")"),"Craft Cloaks.")</f>
        <v>Craft Cloaks.</v>
      </c>
      <c r="I39" s="23" t="str">
        <f>IFERROR(__xludf.DUMMYFUNCTION("GOOGLETRANSLATE(B39, ""en"", ""pl"")"),"Craft Cloaks.")</f>
        <v>Craft Cloaks.</v>
      </c>
      <c r="J39" s="25" t="str">
        <f>IFERROR(__xludf.DUMMYFUNCTION("GOOGLETRANSLATE(B39, ""en"", ""zh"")"),"工艺斗篷")</f>
        <v>工艺斗篷</v>
      </c>
      <c r="K39" s="25" t="str">
        <f>IFERROR(__xludf.DUMMYFUNCTION("GOOGLETRANSLATE(B39, ""en"", ""vi"")"),"Craft Cloaks.")</f>
        <v>Craft Cloaks.</v>
      </c>
      <c r="L39" s="26" t="str">
        <f>IFERROR(__xludf.DUMMYFUNCTION("GOOGLETRANSLATE(B39, ""en"", ""hr"")"),"Obrtni ogrtači")</f>
        <v>Obrtni ogrtači</v>
      </c>
      <c r="M39" s="28"/>
      <c r="N39" s="28"/>
      <c r="O39" s="28"/>
      <c r="P39" s="28"/>
      <c r="Q39" s="28"/>
      <c r="R39" s="28"/>
      <c r="S39" s="28"/>
      <c r="T39" s="28"/>
      <c r="U39" s="28"/>
      <c r="V39" s="28"/>
      <c r="W39" s="28"/>
      <c r="X39" s="28"/>
      <c r="Y39" s="28"/>
      <c r="Z39" s="28"/>
      <c r="AA39" s="28"/>
      <c r="AB39" s="28"/>
    </row>
    <row r="40">
      <c r="A40" s="21" t="s">
        <v>1049</v>
      </c>
      <c r="B40" s="22" t="s">
        <v>1050</v>
      </c>
      <c r="C40" s="23" t="str">
        <f>IFERROR(__xludf.DUMMYFUNCTION("GOOGLETRANSLATE(B40, ""en"", ""fr"")"),"Robes d'artisanat")</f>
        <v>Robes d'artisanat</v>
      </c>
      <c r="D40" s="23" t="str">
        <f>IFERROR(__xludf.DUMMYFUNCTION("GOOGLETRANSLATE(B40, ""en"", ""es"")"),"Túnicas de artesanía")</f>
        <v>Túnicas de artesanía</v>
      </c>
      <c r="E40" s="23" t="str">
        <f>IFERROR(__xludf.DUMMYFUNCTION("GOOGLETRANSLATE(B40, ""en"", ""ru"")"),"Ремесленные халаты")</f>
        <v>Ремесленные халаты</v>
      </c>
      <c r="F40" s="23" t="str">
        <f>IFERROR(__xludf.DUMMYFUNCTION("GOOGLETRANSLATE(B40, ""en"", ""tr"")"),"Zanaat bornozları")</f>
        <v>Zanaat bornozları</v>
      </c>
      <c r="G40" s="23" t="str">
        <f>IFERROR(__xludf.DUMMYFUNCTION("GOOGLETRANSLATE(B40, ""en"", ""pt"")"),"Vestes artesanais")</f>
        <v>Vestes artesanais</v>
      </c>
      <c r="H40" s="24" t="str">
        <f>IFERROR(__xludf.DUMMYFUNCTION("GOOGLETRANSLATE(B40, ""en"", ""de"")"),"Handwerkliche Roben")</f>
        <v>Handwerkliche Roben</v>
      </c>
      <c r="I40" s="23" t="str">
        <f>IFERROR(__xludf.DUMMYFUNCTION("GOOGLETRANSLATE(B40, ""en"", ""pl"")"),"Szaty rzemiosła.")</f>
        <v>Szaty rzemiosła.</v>
      </c>
      <c r="J40" s="25" t="str">
        <f>IFERROR(__xludf.DUMMYFUNCTION("GOOGLETRANSLATE(B40, ""en"", ""zh"")"),"工艺长袍")</f>
        <v>工艺长袍</v>
      </c>
      <c r="K40" s="25" t="str">
        <f>IFERROR(__xludf.DUMMYFUNCTION("GOOGLETRANSLATE(B40, ""en"", ""vi"")"),"Craft Robes.")</f>
        <v>Craft Robes.</v>
      </c>
      <c r="L40" s="26" t="str">
        <f>IFERROR(__xludf.DUMMYFUNCTION("GOOGLETRANSLATE(B40, ""en"", ""hr"")"),"Obrtne haljine")</f>
        <v>Obrtne haljine</v>
      </c>
      <c r="M40" s="28"/>
      <c r="N40" s="28"/>
      <c r="O40" s="28"/>
      <c r="P40" s="28"/>
      <c r="Q40" s="28"/>
      <c r="R40" s="28"/>
      <c r="S40" s="28"/>
      <c r="T40" s="28"/>
      <c r="U40" s="28"/>
      <c r="V40" s="28"/>
      <c r="W40" s="28"/>
      <c r="X40" s="28"/>
      <c r="Y40" s="28"/>
      <c r="Z40" s="28"/>
      <c r="AA40" s="28"/>
      <c r="AB40" s="28"/>
    </row>
    <row r="41">
      <c r="A41" s="21" t="s">
        <v>1051</v>
      </c>
      <c r="B41" s="22" t="s">
        <v>1052</v>
      </c>
      <c r="C41" s="23" t="str">
        <f>IFERROR(__xludf.DUMMYFUNCTION("GOOGLETRANSLATE(B41, ""en"", ""fr"")"),"Équipement de fer d'artisanat")</f>
        <v>Équipement de fer d'artisanat</v>
      </c>
      <c r="D41" s="23" t="str">
        <f>IFERROR(__xludf.DUMMYFUNCTION("GOOGLETRANSLATE(B41, ""en"", ""es"")"),"Equipo de hierro artesanal")</f>
        <v>Equipo de hierro artesanal</v>
      </c>
      <c r="E41" s="23" t="str">
        <f>IFERROR(__xludf.DUMMYFUNCTION("GOOGLETRANSLATE(B41, ""en"", ""ru"")"),"Ремесло железное снаряжение")</f>
        <v>Ремесло железное снаряжение</v>
      </c>
      <c r="F41" s="23" t="str">
        <f>IFERROR(__xludf.DUMMYFUNCTION("GOOGLETRANSLATE(B41, ""en"", ""tr"")"),"Zanaat demir dişli")</f>
        <v>Zanaat demir dişli</v>
      </c>
      <c r="G41" s="23" t="str">
        <f>IFERROR(__xludf.DUMMYFUNCTION("GOOGLETRANSLATE(B41, ""en"", ""pt"")"),"Engrenagem de ferro artesanal")</f>
        <v>Engrenagem de ferro artesanal</v>
      </c>
      <c r="H41" s="24" t="str">
        <f>IFERROR(__xludf.DUMMYFUNCTION("GOOGLETRANSLATE(B41, ""en"", ""de"")"),"Handwerkeisengetriebe")</f>
        <v>Handwerkeisengetriebe</v>
      </c>
      <c r="I41" s="23" t="str">
        <f>IFERROR(__xludf.DUMMYFUNCTION("GOOGLETRANSLATE(B41, ""en"", ""pl"")"),"Rzemiosło żelazne")</f>
        <v>Rzemiosło żelazne</v>
      </c>
      <c r="J41" s="25" t="str">
        <f>IFERROR(__xludf.DUMMYFUNCTION("GOOGLETRANSLATE(B41, ""en"", ""zh"")"),"工艺铁齿轮")</f>
        <v>工艺铁齿轮</v>
      </c>
      <c r="K41" s="25" t="str">
        <f>IFERROR(__xludf.DUMMYFUNCTION("GOOGLETRANSLATE(B41, ""en"", ""vi"")"),"Thiết bị sắt thủ công")</f>
        <v>Thiết bị sắt thủ công</v>
      </c>
      <c r="L41" s="26" t="str">
        <f>IFERROR(__xludf.DUMMYFUNCTION("GOOGLETRANSLATE(B41, ""en"", ""hr"")"),"Oprema za obrt")</f>
        <v>Oprema za obrt</v>
      </c>
      <c r="M41" s="28"/>
      <c r="N41" s="28"/>
      <c r="O41" s="28"/>
      <c r="P41" s="28"/>
      <c r="Q41" s="28"/>
      <c r="R41" s="28"/>
      <c r="S41" s="28"/>
      <c r="T41" s="28"/>
      <c r="U41" s="28"/>
      <c r="V41" s="28"/>
      <c r="W41" s="28"/>
      <c r="X41" s="28"/>
      <c r="Y41" s="28"/>
      <c r="Z41" s="28"/>
      <c r="AA41" s="28"/>
      <c r="AB41" s="28"/>
    </row>
    <row r="42">
      <c r="A42" s="21" t="s">
        <v>1053</v>
      </c>
      <c r="B42" s="22" t="s">
        <v>1054</v>
      </c>
      <c r="C42" s="23" t="str">
        <f>IFERROR(__xludf.DUMMYFUNCTION("GOOGLETRANSLATE(B42, ""en"", ""fr"")"),"Craft Dungium Gear")</f>
        <v>Craft Dungium Gear</v>
      </c>
      <c r="D42" s="23" t="str">
        <f>IFERROR(__xludf.DUMMYFUNCTION("GOOGLETRANSLATE(B42, ""en"", ""es"")"),"Artesanía engranaje de dungium")</f>
        <v>Artesanía engranaje de dungium</v>
      </c>
      <c r="E42" s="23" t="str">
        <f>IFERROR(__xludf.DUMMYFUNCTION("GOOGLETRANSLATE(B42, ""en"", ""ru"")"),"Ремесленничество Dungium Gear.")</f>
        <v>Ремесленничество Dungium Gear.</v>
      </c>
      <c r="F42" s="23" t="str">
        <f>IFERROR(__xludf.DUMMYFUNCTION("GOOGLETRANSLATE(B42, ""en"", ""tr"")"),"Zanaat dungium dişli")</f>
        <v>Zanaat dungium dişli</v>
      </c>
      <c r="G42" s="23" t="str">
        <f>IFERROR(__xludf.DUMMYFUNCTION("GOOGLETRANSLATE(B42, ""en"", ""pt"")"),"Engrenagem de Dungium de artesanato")</f>
        <v>Engrenagem de Dungium de artesanato</v>
      </c>
      <c r="H42" s="24" t="str">
        <f>IFERROR(__xludf.DUMMYFUNCTION("GOOGLETRANSLATE(B42, ""en"", ""de"")"),"Handwerk Dungium-Gang")</f>
        <v>Handwerk Dungium-Gang</v>
      </c>
      <c r="I42" s="23" t="str">
        <f>IFERROR(__xludf.DUMMYFUNCTION("GOOGLETRANSLATE(B42, ""en"", ""pl"")"),"Craft Dungium Gear.")</f>
        <v>Craft Dungium Gear.</v>
      </c>
      <c r="J42" s="25" t="str">
        <f>IFERROR(__xludf.DUMMYFUNCTION("GOOGLETRANSLATE(B42, ""en"", ""zh"")"),"工艺量舱装备")</f>
        <v>工艺量舱装备</v>
      </c>
      <c r="K42" s="25" t="str">
        <f>IFERROR(__xludf.DUMMYFUNCTION("GOOGLETRANSLATE(B42, ""en"", ""vi"")"),"Gear Dungium Craft.")</f>
        <v>Gear Dungium Craft.</v>
      </c>
      <c r="L42" s="26" t="str">
        <f>IFERROR(__xludf.DUMMYFUNCTION("GOOGLETRANSLATE(B42, ""en"", ""hr"")"),"Obrtni dungijski stupanj")</f>
        <v>Obrtni dungijski stupanj</v>
      </c>
      <c r="M42" s="28"/>
      <c r="N42" s="28"/>
      <c r="O42" s="28"/>
      <c r="P42" s="28"/>
      <c r="Q42" s="28"/>
      <c r="R42" s="28"/>
      <c r="S42" s="28"/>
      <c r="T42" s="28"/>
      <c r="U42" s="28"/>
      <c r="V42" s="28"/>
      <c r="W42" s="28"/>
      <c r="X42" s="28"/>
      <c r="Y42" s="28"/>
      <c r="Z42" s="28"/>
      <c r="AA42" s="28"/>
      <c r="AB42" s="28"/>
    </row>
    <row r="43">
      <c r="A43" s="21" t="s">
        <v>1055</v>
      </c>
      <c r="B43" s="22" t="s">
        <v>1056</v>
      </c>
      <c r="C43" s="23" t="str">
        <f>IFERROR(__xludf.DUMMYFUNCTION("GOOGLETRANSLATE(B43, ""en"", ""fr"")"),"CRAFT NOCTIS GEAR")</f>
        <v>CRAFT NOCTIS GEAR</v>
      </c>
      <c r="D43" s="23" t="str">
        <f>IFERROR(__xludf.DUMMYFUNCTION("GOOGLETRANSLATE(B43, ""en"", ""es"")"),"Equipo de noctura artesanal")</f>
        <v>Equipo de noctura artesanal</v>
      </c>
      <c r="E43" s="23" t="str">
        <f>IFERROR(__xludf.DUMMYFUNCTION("GOOGLETRANSLATE(B43, ""en"", ""ru"")"),"Craft Noctis Gear.")</f>
        <v>Craft Noctis Gear.</v>
      </c>
      <c r="F43" s="23" t="str">
        <f>IFERROR(__xludf.DUMMYFUNCTION("GOOGLETRANSLATE(B43, ""en"", ""tr"")"),"Zanaat noctis dişli")</f>
        <v>Zanaat noctis dişli</v>
      </c>
      <c r="G43" s="23" t="str">
        <f>IFERROR(__xludf.DUMMYFUNCTION("GOOGLETRANSLATE(B43, ""en"", ""pt"")"),"Engrenagem de noctis de artesanato")</f>
        <v>Engrenagem de noctis de artesanato</v>
      </c>
      <c r="H43" s="24" t="str">
        <f>IFERROR(__xludf.DUMMYFUNCTION("GOOGLETRANSLATE(B43, ""en"", ""de"")"),"Craft Noctis-Gang")</f>
        <v>Craft Noctis-Gang</v>
      </c>
      <c r="I43" s="23" t="str">
        <f>IFERROR(__xludf.DUMMYFUNCTION("GOOGLETRANSLATE(B43, ""en"", ""pl"")"),"Craft Noctis Gear.")</f>
        <v>Craft Noctis Gear.</v>
      </c>
      <c r="J43" s="25" t="str">
        <f>IFERROR(__xludf.DUMMYFUNCTION("GOOGLETRANSLATE(B43, ""en"", ""zh"")"),"工艺夜胶装备")</f>
        <v>工艺夜胶装备</v>
      </c>
      <c r="K43" s="25" t="str">
        <f>IFERROR(__xludf.DUMMYFUNCTION("GOOGLETRANSLATE(B43, ""en"", ""vi"")"),"Craft Noctis Gear.")</f>
        <v>Craft Noctis Gear.</v>
      </c>
      <c r="L43" s="26" t="str">
        <f>IFERROR(__xludf.DUMMYFUNCTION("GOOGLETRANSLATE(B43, ""en"", ""hr"")"),"Obrtni Noctis Gear")</f>
        <v>Obrtni Noctis Gear</v>
      </c>
      <c r="M43" s="28"/>
      <c r="N43" s="28"/>
      <c r="O43" s="28"/>
      <c r="P43" s="28"/>
      <c r="Q43" s="28"/>
      <c r="R43" s="28"/>
      <c r="S43" s="28"/>
      <c r="T43" s="28"/>
      <c r="U43" s="28"/>
      <c r="V43" s="28"/>
      <c r="W43" s="28"/>
      <c r="X43" s="28"/>
      <c r="Y43" s="28"/>
      <c r="Z43" s="28"/>
      <c r="AA43" s="28"/>
      <c r="AB43" s="28"/>
    </row>
    <row r="44">
      <c r="A44" s="21" t="s">
        <v>1057</v>
      </c>
      <c r="B44" s="22" t="s">
        <v>1058</v>
      </c>
      <c r="C44" s="23" t="str">
        <f>IFERROR(__xludf.DUMMYFUNCTION("GOOGLETRANSLATE(B44, ""en"", ""fr"")"),"Équipement de tissu artisanal")</f>
        <v>Équipement de tissu artisanal</v>
      </c>
      <c r="D44" s="23" t="str">
        <f>IFERROR(__xludf.DUMMYFUNCTION("GOOGLETRANSLATE(B44, ""en"", ""es"")"),"Equipo de tela artesanal")</f>
        <v>Equipo de tela artesanal</v>
      </c>
      <c r="E44" s="23" t="str">
        <f>IFERROR(__xludf.DUMMYFUNCTION("GOOGLETRANSLATE(B44, ""en"", ""ru"")"),"Ремесло тканевая шестерня")</f>
        <v>Ремесло тканевая шестерня</v>
      </c>
      <c r="F44" s="23" t="str">
        <f>IFERROR(__xludf.DUMMYFUNCTION("GOOGLETRANSLATE(B44, ""en"", ""tr"")"),"Zanaat kumaş dişli")</f>
        <v>Zanaat kumaş dişli</v>
      </c>
      <c r="G44" s="23" t="str">
        <f>IFERROR(__xludf.DUMMYFUNCTION("GOOGLETRANSLATE(B44, ""en"", ""pt"")"),"Engrenagem de tecido de artesanato")</f>
        <v>Engrenagem de tecido de artesanato</v>
      </c>
      <c r="H44" s="24" t="str">
        <f>IFERROR(__xludf.DUMMYFUNCTION("GOOGLETRANSLATE(B44, ""en"", ""de"")"),"Kunsthandwerkzeuggetriebe")</f>
        <v>Kunsthandwerkzeuggetriebe</v>
      </c>
      <c r="I44" s="23" t="str">
        <f>IFERROR(__xludf.DUMMYFUNCTION("GOOGLETRANSLATE(B44, ""en"", ""pl"")"),"Przekładnia tkaniny rzemieślniczej")</f>
        <v>Przekładnia tkaniny rzemieślniczej</v>
      </c>
      <c r="J44" s="25" t="str">
        <f>IFERROR(__xludf.DUMMYFUNCTION("GOOGLETRANSLATE(B44, ""en"", ""zh"")"),"工艺织物装备")</f>
        <v>工艺织物装备</v>
      </c>
      <c r="K44" s="25" t="str">
        <f>IFERROR(__xludf.DUMMYFUNCTION("GOOGLETRANSLATE(B44, ""en"", ""vi"")"),"Bánh răng vải thủ công")</f>
        <v>Bánh răng vải thủ công</v>
      </c>
      <c r="L44" s="26" t="str">
        <f>IFERROR(__xludf.DUMMYFUNCTION("GOOGLETRANSLATE(B44, ""en"", ""hr"")"),"Oprema za obrt")</f>
        <v>Oprema za obrt</v>
      </c>
      <c r="M44" s="28"/>
      <c r="N44" s="28"/>
      <c r="O44" s="28"/>
      <c r="P44" s="28"/>
      <c r="Q44" s="28"/>
      <c r="R44" s="28"/>
      <c r="S44" s="28"/>
      <c r="T44" s="28"/>
      <c r="U44" s="28"/>
      <c r="V44" s="28"/>
      <c r="W44" s="28"/>
      <c r="X44" s="28"/>
      <c r="Y44" s="28"/>
      <c r="Z44" s="28"/>
      <c r="AA44" s="28"/>
      <c r="AB44" s="28"/>
    </row>
    <row r="45">
      <c r="A45" s="21" t="s">
        <v>1059</v>
      </c>
      <c r="B45" s="22" t="s">
        <v>1060</v>
      </c>
      <c r="C45" s="23" t="str">
        <f>IFERROR(__xludf.DUMMYFUNCTION("GOOGLETRANSLATE(B45, ""en"", ""fr"")"),"Potions d'artisanat")</f>
        <v>Potions d'artisanat</v>
      </c>
      <c r="D45" s="23" t="str">
        <f>IFERROR(__xludf.DUMMYFUNCTION("GOOGLETRANSLATE(B45, ""en"", ""es"")"),"Pociones artesanales")</f>
        <v>Pociones artesanales</v>
      </c>
      <c r="E45" s="23" t="str">
        <f>IFERROR(__xludf.DUMMYFUNCTION("GOOGLETRANSLATE(B45, ""en"", ""ru"")"),"Ремесленные зелья")</f>
        <v>Ремесленные зелья</v>
      </c>
      <c r="F45" s="23" t="str">
        <f>IFERROR(__xludf.DUMMYFUNCTION("GOOGLETRANSLATE(B45, ""en"", ""tr"")"),"Zanaat iksirleri")</f>
        <v>Zanaat iksirleri</v>
      </c>
      <c r="G45" s="23" t="str">
        <f>IFERROR(__xludf.DUMMYFUNCTION("GOOGLETRANSLATE(B45, ""en"", ""pt"")"),"Poções de artesanato")</f>
        <v>Poções de artesanato</v>
      </c>
      <c r="H45" s="24" t="str">
        <f>IFERROR(__xludf.DUMMYFUNCTION("GOOGLETRANSLATE(B45, ""en"", ""de"")"),"Handkrafttränke")</f>
        <v>Handkrafttränke</v>
      </c>
      <c r="I45" s="23" t="str">
        <f>IFERROR(__xludf.DUMMYFUNCTION("GOOGLETRANSLATE(B45, ""en"", ""pl"")"),"Eliksir rzemieślniczy")</f>
        <v>Eliksir rzemieślniczy</v>
      </c>
      <c r="J45" s="25" t="str">
        <f>IFERROR(__xludf.DUMMYFUNCTION("GOOGLETRANSLATE(B45, ""en"", ""zh"")"),"工艺药水")</f>
        <v>工艺药水</v>
      </c>
      <c r="K45" s="25" t="str">
        <f>IFERROR(__xludf.DUMMYFUNCTION("GOOGLETRANSLATE(B45, ""en"", ""vi"")"),"Độc dược thủ công")</f>
        <v>Độc dược thủ công</v>
      </c>
      <c r="L45" s="26" t="str">
        <f>IFERROR(__xludf.DUMMYFUNCTION("GOOGLETRANSLATE(B45, ""en"", ""hr"")"),"Obrtnici")</f>
        <v>Obrtnici</v>
      </c>
      <c r="M45" s="28"/>
      <c r="N45" s="28"/>
      <c r="O45" s="28"/>
      <c r="P45" s="28"/>
      <c r="Q45" s="28"/>
      <c r="R45" s="28"/>
      <c r="S45" s="28"/>
      <c r="T45" s="28"/>
      <c r="U45" s="28"/>
      <c r="V45" s="28"/>
      <c r="W45" s="28"/>
      <c r="X45" s="28"/>
      <c r="Y45" s="28"/>
      <c r="Z45" s="28"/>
      <c r="AA45" s="28"/>
      <c r="AB45" s="28"/>
    </row>
    <row r="46">
      <c r="A46" s="34"/>
      <c r="B46" s="35"/>
      <c r="C46" s="30"/>
      <c r="D46" s="30"/>
      <c r="E46" s="30"/>
      <c r="F46" s="30"/>
      <c r="G46" s="30"/>
      <c r="H46" s="31"/>
      <c r="I46" s="30"/>
      <c r="J46" s="32"/>
      <c r="K46" s="32"/>
      <c r="L46" s="33"/>
      <c r="M46" s="28"/>
      <c r="N46" s="28"/>
      <c r="O46" s="28"/>
      <c r="P46" s="28"/>
      <c r="Q46" s="28"/>
      <c r="R46" s="28"/>
      <c r="S46" s="28"/>
      <c r="T46" s="28"/>
      <c r="U46" s="28"/>
      <c r="V46" s="28"/>
      <c r="W46" s="28"/>
      <c r="X46" s="28"/>
      <c r="Y46" s="28"/>
      <c r="Z46" s="28"/>
      <c r="AA46" s="28"/>
      <c r="AB46" s="28"/>
    </row>
    <row r="47">
      <c r="A47" s="34"/>
      <c r="B47" s="35"/>
      <c r="C47" s="30"/>
      <c r="D47" s="30"/>
      <c r="E47" s="30"/>
      <c r="F47" s="30"/>
      <c r="G47" s="30"/>
      <c r="H47" s="31"/>
      <c r="I47" s="30"/>
      <c r="J47" s="32"/>
      <c r="K47" s="32"/>
      <c r="L47" s="33"/>
      <c r="M47" s="28"/>
      <c r="N47" s="28"/>
      <c r="O47" s="28"/>
      <c r="P47" s="28"/>
      <c r="Q47" s="28"/>
      <c r="R47" s="28"/>
      <c r="S47" s="28"/>
      <c r="T47" s="28"/>
      <c r="U47" s="28"/>
      <c r="V47" s="28"/>
      <c r="W47" s="28"/>
      <c r="X47" s="28"/>
      <c r="Y47" s="28"/>
      <c r="Z47" s="28"/>
      <c r="AA47" s="28"/>
      <c r="AB47" s="28"/>
    </row>
    <row r="48">
      <c r="A48" s="34"/>
      <c r="B48" s="35"/>
      <c r="C48" s="30"/>
      <c r="D48" s="30"/>
      <c r="E48" s="30"/>
      <c r="F48" s="30"/>
      <c r="G48" s="30"/>
      <c r="H48" s="31"/>
      <c r="I48" s="30"/>
      <c r="J48" s="32"/>
      <c r="K48" s="32"/>
      <c r="L48" s="33"/>
      <c r="M48" s="28"/>
      <c r="N48" s="28"/>
      <c r="O48" s="28"/>
      <c r="P48" s="28"/>
      <c r="Q48" s="28"/>
      <c r="R48" s="28"/>
      <c r="S48" s="28"/>
      <c r="T48" s="28"/>
      <c r="U48" s="28"/>
      <c r="V48" s="28"/>
      <c r="W48" s="28"/>
      <c r="X48" s="28"/>
      <c r="Y48" s="28"/>
      <c r="Z48" s="28"/>
      <c r="AA48" s="28"/>
      <c r="AB48" s="28"/>
    </row>
    <row r="49">
      <c r="A49" s="34"/>
      <c r="B49" s="35"/>
      <c r="C49" s="30"/>
      <c r="D49" s="30"/>
      <c r="E49" s="30"/>
      <c r="F49" s="30"/>
      <c r="G49" s="30"/>
      <c r="H49" s="31"/>
      <c r="I49" s="30"/>
      <c r="J49" s="32"/>
      <c r="K49" s="32"/>
      <c r="L49" s="33"/>
      <c r="M49" s="28"/>
      <c r="N49" s="28"/>
      <c r="O49" s="28"/>
      <c r="P49" s="28"/>
      <c r="Q49" s="28"/>
      <c r="R49" s="28"/>
      <c r="S49" s="28"/>
      <c r="T49" s="28"/>
      <c r="U49" s="28"/>
      <c r="V49" s="28"/>
      <c r="W49" s="28"/>
      <c r="X49" s="28"/>
      <c r="Y49" s="28"/>
      <c r="Z49" s="28"/>
      <c r="AA49" s="28"/>
      <c r="AB49" s="28"/>
    </row>
    <row r="50">
      <c r="A50" s="34"/>
      <c r="B50" s="35"/>
      <c r="C50" s="30"/>
      <c r="D50" s="30"/>
      <c r="E50" s="30"/>
      <c r="F50" s="30"/>
      <c r="G50" s="30"/>
      <c r="H50" s="31"/>
      <c r="I50" s="30"/>
      <c r="J50" s="32"/>
      <c r="K50" s="32"/>
      <c r="L50" s="33"/>
      <c r="M50" s="28"/>
      <c r="N50" s="28"/>
      <c r="O50" s="28"/>
      <c r="P50" s="28"/>
      <c r="Q50" s="28"/>
      <c r="R50" s="28"/>
      <c r="S50" s="28"/>
      <c r="T50" s="28"/>
      <c r="U50" s="28"/>
      <c r="V50" s="28"/>
      <c r="W50" s="28"/>
      <c r="X50" s="28"/>
      <c r="Y50" s="28"/>
      <c r="Z50" s="28"/>
      <c r="AA50" s="28"/>
      <c r="AB50" s="28"/>
    </row>
    <row r="51">
      <c r="A51" s="34"/>
      <c r="B51" s="35"/>
      <c r="C51" s="30"/>
      <c r="D51" s="30"/>
      <c r="E51" s="30"/>
      <c r="F51" s="30"/>
      <c r="G51" s="30"/>
      <c r="H51" s="31"/>
      <c r="I51" s="30"/>
      <c r="J51" s="32"/>
      <c r="K51" s="32"/>
      <c r="L51" s="33"/>
      <c r="M51" s="28"/>
      <c r="N51" s="28"/>
      <c r="O51" s="28"/>
      <c r="P51" s="28"/>
      <c r="Q51" s="28"/>
      <c r="R51" s="28"/>
      <c r="S51" s="28"/>
      <c r="T51" s="28"/>
      <c r="U51" s="28"/>
      <c r="V51" s="28"/>
      <c r="W51" s="28"/>
      <c r="X51" s="28"/>
      <c r="Y51" s="28"/>
      <c r="Z51" s="28"/>
      <c r="AA51" s="28"/>
      <c r="AB51" s="28"/>
    </row>
    <row r="52">
      <c r="A52" s="34"/>
      <c r="B52" s="35"/>
      <c r="C52" s="30"/>
      <c r="D52" s="30"/>
      <c r="E52" s="30"/>
      <c r="F52" s="30"/>
      <c r="G52" s="30"/>
      <c r="H52" s="31"/>
      <c r="I52" s="30"/>
      <c r="J52" s="32"/>
      <c r="K52" s="32"/>
      <c r="L52" s="33"/>
      <c r="M52" s="28"/>
      <c r="N52" s="28"/>
      <c r="O52" s="28"/>
      <c r="P52" s="28"/>
      <c r="Q52" s="28"/>
      <c r="R52" s="28"/>
      <c r="S52" s="28"/>
      <c r="T52" s="28"/>
      <c r="U52" s="28"/>
      <c r="V52" s="28"/>
      <c r="W52" s="28"/>
      <c r="X52" s="28"/>
      <c r="Y52" s="28"/>
      <c r="Z52" s="28"/>
      <c r="AA52" s="28"/>
      <c r="AB52" s="28"/>
    </row>
    <row r="53">
      <c r="A53" s="34"/>
      <c r="B53" s="35"/>
      <c r="C53" s="30"/>
      <c r="D53" s="30"/>
      <c r="E53" s="30"/>
      <c r="F53" s="30"/>
      <c r="G53" s="30"/>
      <c r="H53" s="31"/>
      <c r="I53" s="30"/>
      <c r="J53" s="32"/>
      <c r="K53" s="32"/>
      <c r="L53" s="33"/>
      <c r="M53" s="28"/>
      <c r="N53" s="28"/>
      <c r="O53" s="28"/>
      <c r="P53" s="28"/>
      <c r="Q53" s="28"/>
      <c r="R53" s="28"/>
      <c r="S53" s="28"/>
      <c r="T53" s="28"/>
      <c r="U53" s="28"/>
      <c r="V53" s="28"/>
      <c r="W53" s="28"/>
      <c r="X53" s="28"/>
      <c r="Y53" s="28"/>
      <c r="Z53" s="28"/>
      <c r="AA53" s="28"/>
      <c r="AB53" s="28"/>
    </row>
    <row r="54">
      <c r="A54" s="34"/>
      <c r="B54" s="35"/>
      <c r="C54" s="30"/>
      <c r="D54" s="30"/>
      <c r="E54" s="30"/>
      <c r="F54" s="30"/>
      <c r="G54" s="30"/>
      <c r="H54" s="31"/>
      <c r="I54" s="30"/>
      <c r="J54" s="32"/>
      <c r="K54" s="32"/>
      <c r="L54" s="33"/>
      <c r="M54" s="28"/>
      <c r="N54" s="28"/>
      <c r="O54" s="28"/>
      <c r="P54" s="28"/>
      <c r="Q54" s="28"/>
      <c r="R54" s="28"/>
      <c r="S54" s="28"/>
      <c r="T54" s="28"/>
      <c r="U54" s="28"/>
      <c r="V54" s="28"/>
      <c r="W54" s="28"/>
      <c r="X54" s="28"/>
      <c r="Y54" s="28"/>
      <c r="Z54" s="28"/>
      <c r="AA54" s="28"/>
      <c r="AB54" s="28"/>
    </row>
    <row r="55">
      <c r="A55" s="34"/>
      <c r="B55" s="35"/>
      <c r="C55" s="30"/>
      <c r="D55" s="30"/>
      <c r="E55" s="30"/>
      <c r="F55" s="30"/>
      <c r="G55" s="30"/>
      <c r="H55" s="31"/>
      <c r="I55" s="30"/>
      <c r="J55" s="32"/>
      <c r="K55" s="32"/>
      <c r="L55" s="33"/>
      <c r="M55" s="28"/>
      <c r="N55" s="28"/>
      <c r="O55" s="28"/>
      <c r="P55" s="28"/>
      <c r="Q55" s="28"/>
      <c r="R55" s="28"/>
      <c r="S55" s="28"/>
      <c r="T55" s="28"/>
      <c r="U55" s="28"/>
      <c r="V55" s="28"/>
      <c r="W55" s="28"/>
      <c r="X55" s="28"/>
      <c r="Y55" s="28"/>
      <c r="Z55" s="28"/>
      <c r="AA55" s="28"/>
      <c r="AB55" s="28"/>
    </row>
    <row r="56">
      <c r="A56" s="34"/>
      <c r="B56" s="35"/>
      <c r="C56" s="30"/>
      <c r="D56" s="30"/>
      <c r="E56" s="30"/>
      <c r="F56" s="30"/>
      <c r="G56" s="30"/>
      <c r="H56" s="31"/>
      <c r="I56" s="30"/>
      <c r="J56" s="32"/>
      <c r="K56" s="32"/>
      <c r="L56" s="33"/>
      <c r="M56" s="28"/>
      <c r="N56" s="28"/>
      <c r="O56" s="28"/>
      <c r="P56" s="28"/>
      <c r="Q56" s="28"/>
      <c r="R56" s="28"/>
      <c r="S56" s="28"/>
      <c r="T56" s="28"/>
      <c r="U56" s="28"/>
      <c r="V56" s="28"/>
      <c r="W56" s="28"/>
      <c r="X56" s="28"/>
      <c r="Y56" s="28"/>
      <c r="Z56" s="28"/>
      <c r="AA56" s="28"/>
      <c r="AB56" s="28"/>
    </row>
    <row r="57">
      <c r="A57" s="34"/>
      <c r="B57" s="35"/>
      <c r="C57" s="30"/>
      <c r="D57" s="30"/>
      <c r="E57" s="30"/>
      <c r="F57" s="30"/>
      <c r="G57" s="30"/>
      <c r="H57" s="31"/>
      <c r="I57" s="30"/>
      <c r="J57" s="32"/>
      <c r="K57" s="32"/>
      <c r="L57" s="33"/>
      <c r="M57" s="28"/>
      <c r="N57" s="28"/>
      <c r="O57" s="28"/>
      <c r="P57" s="28"/>
      <c r="Q57" s="28"/>
      <c r="R57" s="28"/>
      <c r="S57" s="28"/>
      <c r="T57" s="28"/>
      <c r="U57" s="28"/>
      <c r="V57" s="28"/>
      <c r="W57" s="28"/>
      <c r="X57" s="28"/>
      <c r="Y57" s="28"/>
      <c r="Z57" s="28"/>
      <c r="AA57" s="28"/>
      <c r="AB57" s="28"/>
    </row>
    <row r="58">
      <c r="A58" s="34"/>
      <c r="B58" s="35"/>
      <c r="C58" s="30"/>
      <c r="D58" s="30"/>
      <c r="E58" s="30"/>
      <c r="F58" s="30"/>
      <c r="G58" s="30"/>
      <c r="H58" s="31"/>
      <c r="I58" s="30"/>
      <c r="J58" s="32"/>
      <c r="K58" s="32"/>
      <c r="L58" s="33"/>
      <c r="M58" s="28"/>
      <c r="N58" s="28"/>
      <c r="O58" s="28"/>
      <c r="P58" s="28"/>
      <c r="Q58" s="28"/>
      <c r="R58" s="28"/>
      <c r="S58" s="28"/>
      <c r="T58" s="28"/>
      <c r="U58" s="28"/>
      <c r="V58" s="28"/>
      <c r="W58" s="28"/>
      <c r="X58" s="28"/>
      <c r="Y58" s="28"/>
      <c r="Z58" s="28"/>
      <c r="AA58" s="28"/>
      <c r="AB58" s="28"/>
    </row>
    <row r="59">
      <c r="A59" s="34"/>
      <c r="B59" s="35"/>
      <c r="C59" s="30"/>
      <c r="D59" s="30"/>
      <c r="E59" s="30"/>
      <c r="F59" s="30"/>
      <c r="G59" s="30"/>
      <c r="H59" s="31"/>
      <c r="I59" s="30"/>
      <c r="J59" s="32"/>
      <c r="K59" s="32"/>
      <c r="L59" s="33"/>
      <c r="M59" s="28"/>
      <c r="N59" s="28"/>
      <c r="O59" s="28"/>
      <c r="P59" s="28"/>
      <c r="Q59" s="28"/>
      <c r="R59" s="28"/>
      <c r="S59" s="28"/>
      <c r="T59" s="28"/>
      <c r="U59" s="28"/>
      <c r="V59" s="28"/>
      <c r="W59" s="28"/>
      <c r="X59" s="28"/>
      <c r="Y59" s="28"/>
      <c r="Z59" s="28"/>
      <c r="AA59" s="28"/>
      <c r="AB59" s="28"/>
    </row>
    <row r="60">
      <c r="A60" s="34"/>
      <c r="B60" s="35"/>
      <c r="C60" s="30"/>
      <c r="D60" s="30"/>
      <c r="E60" s="30"/>
      <c r="F60" s="30"/>
      <c r="G60" s="30"/>
      <c r="H60" s="31"/>
      <c r="I60" s="30"/>
      <c r="J60" s="32"/>
      <c r="K60" s="32"/>
      <c r="L60" s="33"/>
      <c r="M60" s="28"/>
      <c r="N60" s="28"/>
      <c r="O60" s="28"/>
      <c r="P60" s="28"/>
      <c r="Q60" s="28"/>
      <c r="R60" s="28"/>
      <c r="S60" s="28"/>
      <c r="T60" s="28"/>
      <c r="U60" s="28"/>
      <c r="V60" s="28"/>
      <c r="W60" s="28"/>
      <c r="X60" s="28"/>
      <c r="Y60" s="28"/>
      <c r="Z60" s="28"/>
      <c r="AA60" s="28"/>
      <c r="AB60" s="28"/>
    </row>
    <row r="61">
      <c r="A61" s="34"/>
      <c r="B61" s="35"/>
      <c r="C61" s="30"/>
      <c r="D61" s="30"/>
      <c r="E61" s="30"/>
      <c r="F61" s="30"/>
      <c r="G61" s="30"/>
      <c r="H61" s="31"/>
      <c r="I61" s="30"/>
      <c r="J61" s="32"/>
      <c r="K61" s="32"/>
      <c r="L61" s="33"/>
      <c r="M61" s="28"/>
      <c r="N61" s="28"/>
      <c r="O61" s="28"/>
      <c r="P61" s="28"/>
      <c r="Q61" s="28"/>
      <c r="R61" s="28"/>
      <c r="S61" s="28"/>
      <c r="T61" s="28"/>
      <c r="U61" s="28"/>
      <c r="V61" s="28"/>
      <c r="W61" s="28"/>
      <c r="X61" s="28"/>
      <c r="Y61" s="28"/>
      <c r="Z61" s="28"/>
      <c r="AA61" s="28"/>
      <c r="AB61" s="28"/>
    </row>
    <row r="62">
      <c r="A62" s="34"/>
      <c r="B62" s="35"/>
      <c r="C62" s="30"/>
      <c r="D62" s="30"/>
      <c r="E62" s="30"/>
      <c r="F62" s="30"/>
      <c r="G62" s="30"/>
      <c r="H62" s="31"/>
      <c r="I62" s="30"/>
      <c r="J62" s="32"/>
      <c r="K62" s="32"/>
      <c r="L62" s="33"/>
      <c r="M62" s="28"/>
      <c r="N62" s="28"/>
      <c r="O62" s="28"/>
      <c r="P62" s="28"/>
      <c r="Q62" s="28"/>
      <c r="R62" s="28"/>
      <c r="S62" s="28"/>
      <c r="T62" s="28"/>
      <c r="U62" s="28"/>
      <c r="V62" s="28"/>
      <c r="W62" s="28"/>
      <c r="X62" s="28"/>
      <c r="Y62" s="28"/>
      <c r="Z62" s="28"/>
      <c r="AA62" s="28"/>
      <c r="AB62" s="28"/>
    </row>
    <row r="63">
      <c r="A63" s="34"/>
      <c r="B63" s="35"/>
      <c r="C63" s="30"/>
      <c r="D63" s="30"/>
      <c r="E63" s="30"/>
      <c r="F63" s="30"/>
      <c r="G63" s="30"/>
      <c r="H63" s="31"/>
      <c r="I63" s="30"/>
      <c r="J63" s="32"/>
      <c r="K63" s="32"/>
      <c r="L63" s="33"/>
      <c r="M63" s="28"/>
      <c r="N63" s="28"/>
      <c r="O63" s="28"/>
      <c r="P63" s="28"/>
      <c r="Q63" s="28"/>
      <c r="R63" s="28"/>
      <c r="S63" s="28"/>
      <c r="T63" s="28"/>
      <c r="U63" s="28"/>
      <c r="V63" s="28"/>
      <c r="W63" s="28"/>
      <c r="X63" s="28"/>
      <c r="Y63" s="28"/>
      <c r="Z63" s="28"/>
      <c r="AA63" s="28"/>
      <c r="AB63" s="28"/>
    </row>
    <row r="64">
      <c r="A64" s="34"/>
      <c r="B64" s="35"/>
      <c r="C64" s="30"/>
      <c r="D64" s="30"/>
      <c r="E64" s="30"/>
      <c r="F64" s="30"/>
      <c r="G64" s="30"/>
      <c r="H64" s="31"/>
      <c r="I64" s="30"/>
      <c r="J64" s="32"/>
      <c r="K64" s="32"/>
      <c r="L64" s="33"/>
      <c r="M64" s="28"/>
      <c r="N64" s="28"/>
      <c r="O64" s="28"/>
      <c r="P64" s="28"/>
      <c r="Q64" s="28"/>
      <c r="R64" s="28"/>
      <c r="S64" s="28"/>
      <c r="T64" s="28"/>
      <c r="U64" s="28"/>
      <c r="V64" s="28"/>
      <c r="W64" s="28"/>
      <c r="X64" s="28"/>
      <c r="Y64" s="28"/>
      <c r="Z64" s="28"/>
      <c r="AA64" s="28"/>
      <c r="AB64" s="28"/>
    </row>
    <row r="65">
      <c r="A65" s="34"/>
      <c r="B65" s="35"/>
      <c r="C65" s="30"/>
      <c r="D65" s="30"/>
      <c r="E65" s="30"/>
      <c r="F65" s="30"/>
      <c r="G65" s="30"/>
      <c r="H65" s="31"/>
      <c r="I65" s="30"/>
      <c r="J65" s="32"/>
      <c r="K65" s="32"/>
      <c r="L65" s="33"/>
      <c r="M65" s="28"/>
      <c r="N65" s="28"/>
      <c r="O65" s="28"/>
      <c r="P65" s="28"/>
      <c r="Q65" s="28"/>
      <c r="R65" s="28"/>
      <c r="S65" s="28"/>
      <c r="T65" s="28"/>
      <c r="U65" s="28"/>
      <c r="V65" s="28"/>
      <c r="W65" s="28"/>
      <c r="X65" s="28"/>
      <c r="Y65" s="28"/>
      <c r="Z65" s="28"/>
      <c r="AA65" s="28"/>
      <c r="AB65" s="28"/>
    </row>
    <row r="66">
      <c r="A66" s="34"/>
      <c r="B66" s="35"/>
      <c r="C66" s="30"/>
      <c r="D66" s="30"/>
      <c r="E66" s="30"/>
      <c r="F66" s="30"/>
      <c r="G66" s="30"/>
      <c r="H66" s="31"/>
      <c r="I66" s="30"/>
      <c r="J66" s="32"/>
      <c r="K66" s="32"/>
      <c r="L66" s="33"/>
      <c r="M66" s="28"/>
      <c r="N66" s="28"/>
      <c r="O66" s="28"/>
      <c r="P66" s="28"/>
      <c r="Q66" s="28"/>
      <c r="R66" s="28"/>
      <c r="S66" s="28"/>
      <c r="T66" s="28"/>
      <c r="U66" s="28"/>
      <c r="V66" s="28"/>
      <c r="W66" s="28"/>
      <c r="X66" s="28"/>
      <c r="Y66" s="28"/>
      <c r="Z66" s="28"/>
      <c r="AA66" s="28"/>
      <c r="AB66" s="28"/>
    </row>
    <row r="67">
      <c r="A67" s="34"/>
      <c r="B67" s="35"/>
      <c r="C67" s="30"/>
      <c r="D67" s="30"/>
      <c r="E67" s="30"/>
      <c r="F67" s="30"/>
      <c r="G67" s="30"/>
      <c r="H67" s="31"/>
      <c r="I67" s="30"/>
      <c r="J67" s="32"/>
      <c r="K67" s="32"/>
      <c r="L67" s="33"/>
      <c r="M67" s="28"/>
      <c r="N67" s="28"/>
      <c r="O67" s="28"/>
      <c r="P67" s="28"/>
      <c r="Q67" s="28"/>
      <c r="R67" s="28"/>
      <c r="S67" s="28"/>
      <c r="T67" s="28"/>
      <c r="U67" s="28"/>
      <c r="V67" s="28"/>
      <c r="W67" s="28"/>
      <c r="X67" s="28"/>
      <c r="Y67" s="28"/>
      <c r="Z67" s="28"/>
      <c r="AA67" s="28"/>
      <c r="AB67" s="28"/>
    </row>
    <row r="68">
      <c r="A68" s="34"/>
      <c r="B68" s="35"/>
      <c r="C68" s="30"/>
      <c r="D68" s="30"/>
      <c r="E68" s="30"/>
      <c r="F68" s="30"/>
      <c r="G68" s="30"/>
      <c r="H68" s="31"/>
      <c r="I68" s="30"/>
      <c r="J68" s="32"/>
      <c r="K68" s="32"/>
      <c r="L68" s="33"/>
      <c r="M68" s="28"/>
      <c r="N68" s="28"/>
      <c r="O68" s="28"/>
      <c r="P68" s="28"/>
      <c r="Q68" s="28"/>
      <c r="R68" s="28"/>
      <c r="S68" s="28"/>
      <c r="T68" s="28"/>
      <c r="U68" s="28"/>
      <c r="V68" s="28"/>
      <c r="W68" s="28"/>
      <c r="X68" s="28"/>
      <c r="Y68" s="28"/>
      <c r="Z68" s="28"/>
      <c r="AA68" s="28"/>
      <c r="AB68" s="28"/>
    </row>
    <row r="69">
      <c r="A69" s="34"/>
      <c r="B69" s="35"/>
      <c r="C69" s="30"/>
      <c r="D69" s="30"/>
      <c r="E69" s="30"/>
      <c r="F69" s="30"/>
      <c r="G69" s="30"/>
      <c r="H69" s="31"/>
      <c r="I69" s="30"/>
      <c r="J69" s="32"/>
      <c r="K69" s="32"/>
      <c r="L69" s="33"/>
      <c r="M69" s="28"/>
      <c r="N69" s="28"/>
      <c r="O69" s="28"/>
      <c r="P69" s="28"/>
      <c r="Q69" s="28"/>
      <c r="R69" s="28"/>
      <c r="S69" s="28"/>
      <c r="T69" s="28"/>
      <c r="U69" s="28"/>
      <c r="V69" s="28"/>
      <c r="W69" s="28"/>
      <c r="X69" s="28"/>
      <c r="Y69" s="28"/>
      <c r="Z69" s="28"/>
      <c r="AA69" s="28"/>
      <c r="AB69" s="28"/>
    </row>
    <row r="70">
      <c r="A70" s="34"/>
      <c r="B70" s="35"/>
      <c r="C70" s="30"/>
      <c r="D70" s="30"/>
      <c r="E70" s="30"/>
      <c r="F70" s="30"/>
      <c r="G70" s="30"/>
      <c r="H70" s="31"/>
      <c r="I70" s="30"/>
      <c r="J70" s="32"/>
      <c r="K70" s="32"/>
      <c r="L70" s="33"/>
      <c r="M70" s="28"/>
      <c r="N70" s="28"/>
      <c r="O70" s="28"/>
      <c r="P70" s="28"/>
      <c r="Q70" s="28"/>
      <c r="R70" s="28"/>
      <c r="S70" s="28"/>
      <c r="T70" s="28"/>
      <c r="U70" s="28"/>
      <c r="V70" s="28"/>
      <c r="W70" s="28"/>
      <c r="X70" s="28"/>
      <c r="Y70" s="28"/>
      <c r="Z70" s="28"/>
      <c r="AA70" s="28"/>
      <c r="AB70" s="28"/>
    </row>
    <row r="71">
      <c r="A71" s="34"/>
      <c r="B71" s="35"/>
      <c r="C71" s="30"/>
      <c r="D71" s="30"/>
      <c r="E71" s="30"/>
      <c r="F71" s="30"/>
      <c r="G71" s="30"/>
      <c r="H71" s="31"/>
      <c r="I71" s="30"/>
      <c r="J71" s="32"/>
      <c r="K71" s="32"/>
      <c r="L71" s="33"/>
      <c r="M71" s="28"/>
      <c r="N71" s="28"/>
      <c r="O71" s="28"/>
      <c r="P71" s="28"/>
      <c r="Q71" s="28"/>
      <c r="R71" s="28"/>
      <c r="S71" s="28"/>
      <c r="T71" s="28"/>
      <c r="U71" s="28"/>
      <c r="V71" s="28"/>
      <c r="W71" s="28"/>
      <c r="X71" s="28"/>
      <c r="Y71" s="28"/>
      <c r="Z71" s="28"/>
      <c r="AA71" s="28"/>
      <c r="AB71" s="28"/>
    </row>
    <row r="72">
      <c r="A72" s="34"/>
      <c r="B72" s="35"/>
      <c r="C72" s="30"/>
      <c r="D72" s="30"/>
      <c r="E72" s="30"/>
      <c r="F72" s="30"/>
      <c r="G72" s="30"/>
      <c r="H72" s="31"/>
      <c r="I72" s="30"/>
      <c r="J72" s="32"/>
      <c r="K72" s="32"/>
      <c r="L72" s="33"/>
      <c r="M72" s="28"/>
      <c r="N72" s="28"/>
      <c r="O72" s="28"/>
      <c r="P72" s="28"/>
      <c r="Q72" s="28"/>
      <c r="R72" s="28"/>
      <c r="S72" s="28"/>
      <c r="T72" s="28"/>
      <c r="U72" s="28"/>
      <c r="V72" s="28"/>
      <c r="W72" s="28"/>
      <c r="X72" s="28"/>
      <c r="Y72" s="28"/>
      <c r="Z72" s="28"/>
      <c r="AA72" s="28"/>
      <c r="AB72" s="28"/>
    </row>
    <row r="73">
      <c r="A73" s="34"/>
      <c r="B73" s="35"/>
      <c r="C73" s="30"/>
      <c r="D73" s="30"/>
      <c r="E73" s="30"/>
      <c r="F73" s="30"/>
      <c r="G73" s="30"/>
      <c r="H73" s="31"/>
      <c r="I73" s="30"/>
      <c r="J73" s="32"/>
      <c r="K73" s="32"/>
      <c r="L73" s="33"/>
      <c r="M73" s="28"/>
      <c r="N73" s="28"/>
      <c r="O73" s="28"/>
      <c r="P73" s="28"/>
      <c r="Q73" s="28"/>
      <c r="R73" s="28"/>
      <c r="S73" s="28"/>
      <c r="T73" s="28"/>
      <c r="U73" s="28"/>
      <c r="V73" s="28"/>
      <c r="W73" s="28"/>
      <c r="X73" s="28"/>
      <c r="Y73" s="28"/>
      <c r="Z73" s="28"/>
      <c r="AA73" s="28"/>
      <c r="AB73" s="28"/>
    </row>
    <row r="74">
      <c r="A74" s="34"/>
      <c r="B74" s="35"/>
      <c r="C74" s="30"/>
      <c r="D74" s="30"/>
      <c r="E74" s="30"/>
      <c r="F74" s="30"/>
      <c r="G74" s="30"/>
      <c r="H74" s="31"/>
      <c r="I74" s="30"/>
      <c r="J74" s="32"/>
      <c r="K74" s="32"/>
      <c r="L74" s="33"/>
      <c r="M74" s="28"/>
      <c r="N74" s="28"/>
      <c r="O74" s="28"/>
      <c r="P74" s="28"/>
      <c r="Q74" s="28"/>
      <c r="R74" s="28"/>
      <c r="S74" s="28"/>
      <c r="T74" s="28"/>
      <c r="U74" s="28"/>
      <c r="V74" s="28"/>
      <c r="W74" s="28"/>
      <c r="X74" s="28"/>
      <c r="Y74" s="28"/>
      <c r="Z74" s="28"/>
      <c r="AA74" s="28"/>
      <c r="AB74" s="28"/>
    </row>
    <row r="75">
      <c r="A75" s="34"/>
      <c r="B75" s="35"/>
      <c r="C75" s="30"/>
      <c r="D75" s="30"/>
      <c r="E75" s="30"/>
      <c r="F75" s="30"/>
      <c r="G75" s="30"/>
      <c r="H75" s="31"/>
      <c r="I75" s="30"/>
      <c r="J75" s="32"/>
      <c r="K75" s="32"/>
      <c r="L75" s="33"/>
      <c r="M75" s="28"/>
      <c r="N75" s="28"/>
      <c r="O75" s="28"/>
      <c r="P75" s="28"/>
      <c r="Q75" s="28"/>
      <c r="R75" s="28"/>
      <c r="S75" s="28"/>
      <c r="T75" s="28"/>
      <c r="U75" s="28"/>
      <c r="V75" s="28"/>
      <c r="W75" s="28"/>
      <c r="X75" s="28"/>
      <c r="Y75" s="28"/>
      <c r="Z75" s="28"/>
      <c r="AA75" s="28"/>
      <c r="AB75" s="28"/>
    </row>
    <row r="76">
      <c r="A76" s="34"/>
      <c r="B76" s="35"/>
      <c r="C76" s="30"/>
      <c r="D76" s="30"/>
      <c r="E76" s="30"/>
      <c r="F76" s="30"/>
      <c r="G76" s="30"/>
      <c r="H76" s="31"/>
      <c r="I76" s="30"/>
      <c r="J76" s="32"/>
      <c r="K76" s="32"/>
      <c r="L76" s="33"/>
      <c r="M76" s="28"/>
      <c r="N76" s="28"/>
      <c r="O76" s="28"/>
      <c r="P76" s="28"/>
      <c r="Q76" s="28"/>
      <c r="R76" s="28"/>
      <c r="S76" s="28"/>
      <c r="T76" s="28"/>
      <c r="U76" s="28"/>
      <c r="V76" s="28"/>
      <c r="W76" s="28"/>
      <c r="X76" s="28"/>
      <c r="Y76" s="28"/>
      <c r="Z76" s="28"/>
      <c r="AA76" s="28"/>
      <c r="AB76" s="28"/>
    </row>
    <row r="77">
      <c r="A77" s="34"/>
      <c r="B77" s="35"/>
      <c r="C77" s="30"/>
      <c r="D77" s="30"/>
      <c r="E77" s="30"/>
      <c r="F77" s="30"/>
      <c r="G77" s="30"/>
      <c r="H77" s="31"/>
      <c r="I77" s="30"/>
      <c r="J77" s="32"/>
      <c r="K77" s="32"/>
      <c r="L77" s="33"/>
      <c r="M77" s="28"/>
      <c r="N77" s="28"/>
      <c r="O77" s="28"/>
      <c r="P77" s="28"/>
      <c r="Q77" s="28"/>
      <c r="R77" s="28"/>
      <c r="S77" s="28"/>
      <c r="T77" s="28"/>
      <c r="U77" s="28"/>
      <c r="V77" s="28"/>
      <c r="W77" s="28"/>
      <c r="X77" s="28"/>
      <c r="Y77" s="28"/>
      <c r="Z77" s="28"/>
      <c r="AA77" s="28"/>
      <c r="AB77" s="28"/>
    </row>
    <row r="78">
      <c r="A78" s="34"/>
      <c r="B78" s="35"/>
      <c r="C78" s="30"/>
      <c r="D78" s="30"/>
      <c r="E78" s="30"/>
      <c r="F78" s="30"/>
      <c r="G78" s="30"/>
      <c r="H78" s="31"/>
      <c r="I78" s="30"/>
      <c r="J78" s="32"/>
      <c r="K78" s="32"/>
      <c r="L78" s="33"/>
      <c r="M78" s="28"/>
      <c r="N78" s="28"/>
      <c r="O78" s="28"/>
      <c r="P78" s="28"/>
      <c r="Q78" s="28"/>
      <c r="R78" s="28"/>
      <c r="S78" s="28"/>
      <c r="T78" s="28"/>
      <c r="U78" s="28"/>
      <c r="V78" s="28"/>
      <c r="W78" s="28"/>
      <c r="X78" s="28"/>
      <c r="Y78" s="28"/>
      <c r="Z78" s="28"/>
      <c r="AA78" s="28"/>
      <c r="AB78" s="28"/>
    </row>
    <row r="79">
      <c r="A79" s="34"/>
      <c r="B79" s="35"/>
      <c r="C79" s="30"/>
      <c r="D79" s="30"/>
      <c r="E79" s="30"/>
      <c r="F79" s="30"/>
      <c r="G79" s="30"/>
      <c r="H79" s="31"/>
      <c r="I79" s="30"/>
      <c r="J79" s="32"/>
      <c r="K79" s="32"/>
      <c r="L79" s="33"/>
      <c r="M79" s="28"/>
      <c r="N79" s="28"/>
      <c r="O79" s="28"/>
      <c r="P79" s="28"/>
      <c r="Q79" s="28"/>
      <c r="R79" s="28"/>
      <c r="S79" s="28"/>
      <c r="T79" s="28"/>
      <c r="U79" s="28"/>
      <c r="V79" s="28"/>
      <c r="W79" s="28"/>
      <c r="X79" s="28"/>
      <c r="Y79" s="28"/>
      <c r="Z79" s="28"/>
      <c r="AA79" s="28"/>
      <c r="AB79" s="28"/>
    </row>
    <row r="80">
      <c r="A80" s="34"/>
      <c r="B80" s="35"/>
      <c r="C80" s="30"/>
      <c r="D80" s="30"/>
      <c r="E80" s="30"/>
      <c r="F80" s="30"/>
      <c r="G80" s="30"/>
      <c r="H80" s="31"/>
      <c r="I80" s="30"/>
      <c r="J80" s="32"/>
      <c r="K80" s="32"/>
      <c r="L80" s="33"/>
      <c r="M80" s="28"/>
      <c r="N80" s="28"/>
      <c r="O80" s="28"/>
      <c r="P80" s="28"/>
      <c r="Q80" s="28"/>
      <c r="R80" s="28"/>
      <c r="S80" s="28"/>
      <c r="T80" s="28"/>
      <c r="U80" s="28"/>
      <c r="V80" s="28"/>
      <c r="W80" s="28"/>
      <c r="X80" s="28"/>
      <c r="Y80" s="28"/>
      <c r="Z80" s="28"/>
      <c r="AA80" s="28"/>
      <c r="AB80" s="28"/>
    </row>
    <row r="81">
      <c r="A81" s="34"/>
      <c r="B81" s="35"/>
      <c r="C81" s="30"/>
      <c r="D81" s="30"/>
      <c r="E81" s="30"/>
      <c r="F81" s="30"/>
      <c r="G81" s="30"/>
      <c r="H81" s="31"/>
      <c r="I81" s="30"/>
      <c r="J81" s="32"/>
      <c r="K81" s="32"/>
      <c r="L81" s="33"/>
      <c r="M81" s="28"/>
      <c r="N81" s="28"/>
      <c r="O81" s="28"/>
      <c r="P81" s="28"/>
      <c r="Q81" s="28"/>
      <c r="R81" s="28"/>
      <c r="S81" s="28"/>
      <c r="T81" s="28"/>
      <c r="U81" s="28"/>
      <c r="V81" s="28"/>
      <c r="W81" s="28"/>
      <c r="X81" s="28"/>
      <c r="Y81" s="28"/>
      <c r="Z81" s="28"/>
      <c r="AA81" s="28"/>
      <c r="AB81" s="28"/>
    </row>
    <row r="82">
      <c r="A82" s="34"/>
      <c r="B82" s="35"/>
      <c r="C82" s="30"/>
      <c r="D82" s="30"/>
      <c r="E82" s="30"/>
      <c r="F82" s="30"/>
      <c r="G82" s="30"/>
      <c r="H82" s="31"/>
      <c r="I82" s="30"/>
      <c r="J82" s="32"/>
      <c r="K82" s="32"/>
      <c r="L82" s="33"/>
      <c r="M82" s="28"/>
      <c r="N82" s="28"/>
      <c r="O82" s="28"/>
      <c r="P82" s="28"/>
      <c r="Q82" s="28"/>
      <c r="R82" s="28"/>
      <c r="S82" s="28"/>
      <c r="T82" s="28"/>
      <c r="U82" s="28"/>
      <c r="V82" s="28"/>
      <c r="W82" s="28"/>
      <c r="X82" s="28"/>
      <c r="Y82" s="28"/>
      <c r="Z82" s="28"/>
      <c r="AA82" s="28"/>
      <c r="AB82" s="28"/>
    </row>
    <row r="83">
      <c r="A83" s="34"/>
      <c r="B83" s="35"/>
      <c r="C83" s="30"/>
      <c r="D83" s="30"/>
      <c r="E83" s="30"/>
      <c r="F83" s="30"/>
      <c r="G83" s="30"/>
      <c r="H83" s="31"/>
      <c r="I83" s="30"/>
      <c r="J83" s="32"/>
      <c r="K83" s="32"/>
      <c r="L83" s="33"/>
      <c r="M83" s="28"/>
      <c r="N83" s="28"/>
      <c r="O83" s="28"/>
      <c r="P83" s="28"/>
      <c r="Q83" s="28"/>
      <c r="R83" s="28"/>
      <c r="S83" s="28"/>
      <c r="T83" s="28"/>
      <c r="U83" s="28"/>
      <c r="V83" s="28"/>
      <c r="W83" s="28"/>
      <c r="X83" s="28"/>
      <c r="Y83" s="28"/>
      <c r="Z83" s="28"/>
      <c r="AA83" s="28"/>
      <c r="AB83" s="28"/>
    </row>
    <row r="84">
      <c r="A84" s="34"/>
      <c r="B84" s="35"/>
      <c r="C84" s="30"/>
      <c r="D84" s="30"/>
      <c r="E84" s="30"/>
      <c r="F84" s="30"/>
      <c r="G84" s="30"/>
      <c r="H84" s="31"/>
      <c r="I84" s="30"/>
      <c r="J84" s="32"/>
      <c r="K84" s="32"/>
      <c r="L84" s="33"/>
      <c r="M84" s="28"/>
      <c r="N84" s="28"/>
      <c r="O84" s="28"/>
      <c r="P84" s="28"/>
      <c r="Q84" s="28"/>
      <c r="R84" s="28"/>
      <c r="S84" s="28"/>
      <c r="T84" s="28"/>
      <c r="U84" s="28"/>
      <c r="V84" s="28"/>
      <c r="W84" s="28"/>
      <c r="X84" s="28"/>
      <c r="Y84" s="28"/>
      <c r="Z84" s="28"/>
      <c r="AA84" s="28"/>
      <c r="AB84" s="28"/>
    </row>
    <row r="85">
      <c r="A85" s="34"/>
      <c r="B85" s="35"/>
      <c r="C85" s="30"/>
      <c r="D85" s="30"/>
      <c r="E85" s="30"/>
      <c r="F85" s="30"/>
      <c r="G85" s="30"/>
      <c r="H85" s="31"/>
      <c r="I85" s="30"/>
      <c r="J85" s="32"/>
      <c r="K85" s="32"/>
      <c r="L85" s="33"/>
      <c r="M85" s="28"/>
      <c r="N85" s="28"/>
      <c r="O85" s="28"/>
      <c r="P85" s="28"/>
      <c r="Q85" s="28"/>
      <c r="R85" s="28"/>
      <c r="S85" s="28"/>
      <c r="T85" s="28"/>
      <c r="U85" s="28"/>
      <c r="V85" s="28"/>
      <c r="W85" s="28"/>
      <c r="X85" s="28"/>
      <c r="Y85" s="28"/>
      <c r="Z85" s="28"/>
      <c r="AA85" s="28"/>
      <c r="AB85" s="28"/>
    </row>
    <row r="86">
      <c r="A86" s="34"/>
      <c r="B86" s="35"/>
      <c r="C86" s="30"/>
      <c r="D86" s="30"/>
      <c r="E86" s="30"/>
      <c r="F86" s="30"/>
      <c r="G86" s="30"/>
      <c r="H86" s="31"/>
      <c r="I86" s="30"/>
      <c r="J86" s="32"/>
      <c r="K86" s="32"/>
      <c r="L86" s="33"/>
      <c r="M86" s="28"/>
      <c r="N86" s="28"/>
      <c r="O86" s="28"/>
      <c r="P86" s="28"/>
      <c r="Q86" s="28"/>
      <c r="R86" s="28"/>
      <c r="S86" s="28"/>
      <c r="T86" s="28"/>
      <c r="U86" s="28"/>
      <c r="V86" s="28"/>
      <c r="W86" s="28"/>
      <c r="X86" s="28"/>
      <c r="Y86" s="28"/>
      <c r="Z86" s="28"/>
      <c r="AA86" s="28"/>
      <c r="AB86" s="28"/>
    </row>
    <row r="87">
      <c r="A87" s="34"/>
      <c r="B87" s="35"/>
      <c r="C87" s="30"/>
      <c r="D87" s="30"/>
      <c r="E87" s="30"/>
      <c r="F87" s="30"/>
      <c r="G87" s="30"/>
      <c r="H87" s="31"/>
      <c r="I87" s="30"/>
      <c r="J87" s="32"/>
      <c r="K87" s="32"/>
      <c r="L87" s="33"/>
      <c r="M87" s="28"/>
      <c r="N87" s="28"/>
      <c r="O87" s="28"/>
      <c r="P87" s="28"/>
      <c r="Q87" s="28"/>
      <c r="R87" s="28"/>
      <c r="S87" s="28"/>
      <c r="T87" s="28"/>
      <c r="U87" s="28"/>
      <c r="V87" s="28"/>
      <c r="W87" s="28"/>
      <c r="X87" s="28"/>
      <c r="Y87" s="28"/>
      <c r="Z87" s="28"/>
      <c r="AA87" s="28"/>
      <c r="AB87" s="28"/>
    </row>
    <row r="88">
      <c r="A88" s="34"/>
      <c r="B88" s="35"/>
      <c r="C88" s="30"/>
      <c r="D88" s="30"/>
      <c r="E88" s="30"/>
      <c r="F88" s="30"/>
      <c r="G88" s="30"/>
      <c r="H88" s="31"/>
      <c r="I88" s="30"/>
      <c r="J88" s="32"/>
      <c r="K88" s="32"/>
      <c r="L88" s="33"/>
      <c r="M88" s="28"/>
      <c r="N88" s="28"/>
      <c r="O88" s="28"/>
      <c r="P88" s="28"/>
      <c r="Q88" s="28"/>
      <c r="R88" s="28"/>
      <c r="S88" s="28"/>
      <c r="T88" s="28"/>
      <c r="U88" s="28"/>
      <c r="V88" s="28"/>
      <c r="W88" s="28"/>
      <c r="X88" s="28"/>
      <c r="Y88" s="28"/>
      <c r="Z88" s="28"/>
      <c r="AA88" s="28"/>
      <c r="AB88" s="28"/>
    </row>
    <row r="89">
      <c r="A89" s="34"/>
      <c r="B89" s="35"/>
      <c r="C89" s="30"/>
      <c r="D89" s="30"/>
      <c r="E89" s="30"/>
      <c r="F89" s="30"/>
      <c r="G89" s="30"/>
      <c r="H89" s="31"/>
      <c r="I89" s="30"/>
      <c r="J89" s="32"/>
      <c r="K89" s="32"/>
      <c r="L89" s="33"/>
      <c r="M89" s="28"/>
      <c r="N89" s="28"/>
      <c r="O89" s="28"/>
      <c r="P89" s="28"/>
      <c r="Q89" s="28"/>
      <c r="R89" s="28"/>
      <c r="S89" s="28"/>
      <c r="T89" s="28"/>
      <c r="U89" s="28"/>
      <c r="V89" s="28"/>
      <c r="W89" s="28"/>
      <c r="X89" s="28"/>
      <c r="Y89" s="28"/>
      <c r="Z89" s="28"/>
      <c r="AA89" s="28"/>
      <c r="AB89" s="28"/>
    </row>
    <row r="90">
      <c r="A90" s="34"/>
      <c r="B90" s="35"/>
      <c r="C90" s="30"/>
      <c r="D90" s="30"/>
      <c r="E90" s="30"/>
      <c r="F90" s="30"/>
      <c r="G90" s="30"/>
      <c r="H90" s="31"/>
      <c r="I90" s="30"/>
      <c r="J90" s="32"/>
      <c r="K90" s="32"/>
      <c r="L90" s="33"/>
      <c r="M90" s="28"/>
      <c r="N90" s="28"/>
      <c r="O90" s="28"/>
      <c r="P90" s="28"/>
      <c r="Q90" s="28"/>
      <c r="R90" s="28"/>
      <c r="S90" s="28"/>
      <c r="T90" s="28"/>
      <c r="U90" s="28"/>
      <c r="V90" s="28"/>
      <c r="W90" s="28"/>
      <c r="X90" s="28"/>
      <c r="Y90" s="28"/>
      <c r="Z90" s="28"/>
      <c r="AA90" s="28"/>
      <c r="AB90" s="28"/>
    </row>
    <row r="91">
      <c r="A91" s="34"/>
      <c r="B91" s="35"/>
      <c r="C91" s="30"/>
      <c r="D91" s="30"/>
      <c r="E91" s="30"/>
      <c r="F91" s="30"/>
      <c r="G91" s="30"/>
      <c r="H91" s="31"/>
      <c r="I91" s="30"/>
      <c r="J91" s="32"/>
      <c r="K91" s="32"/>
      <c r="L91" s="33"/>
      <c r="M91" s="28"/>
      <c r="N91" s="28"/>
      <c r="O91" s="28"/>
      <c r="P91" s="28"/>
      <c r="Q91" s="28"/>
      <c r="R91" s="28"/>
      <c r="S91" s="28"/>
      <c r="T91" s="28"/>
      <c r="U91" s="28"/>
      <c r="V91" s="28"/>
      <c r="W91" s="28"/>
      <c r="X91" s="28"/>
      <c r="Y91" s="28"/>
      <c r="Z91" s="28"/>
      <c r="AA91" s="28"/>
      <c r="AB91" s="28"/>
    </row>
    <row r="92">
      <c r="A92" s="34"/>
      <c r="B92" s="35"/>
      <c r="C92" s="30"/>
      <c r="D92" s="30"/>
      <c r="E92" s="30"/>
      <c r="F92" s="30"/>
      <c r="G92" s="30"/>
      <c r="H92" s="31"/>
      <c r="I92" s="30"/>
      <c r="J92" s="32"/>
      <c r="K92" s="32"/>
      <c r="L92" s="33"/>
      <c r="M92" s="28"/>
      <c r="N92" s="28"/>
      <c r="O92" s="28"/>
      <c r="P92" s="28"/>
      <c r="Q92" s="28"/>
      <c r="R92" s="28"/>
      <c r="S92" s="28"/>
      <c r="T92" s="28"/>
      <c r="U92" s="28"/>
      <c r="V92" s="28"/>
      <c r="W92" s="28"/>
      <c r="X92" s="28"/>
      <c r="Y92" s="28"/>
      <c r="Z92" s="28"/>
      <c r="AA92" s="28"/>
      <c r="AB92" s="28"/>
    </row>
    <row r="93">
      <c r="A93" s="34"/>
      <c r="B93" s="35"/>
      <c r="C93" s="30"/>
      <c r="D93" s="30"/>
      <c r="E93" s="30"/>
      <c r="F93" s="30"/>
      <c r="G93" s="30"/>
      <c r="H93" s="31"/>
      <c r="I93" s="30"/>
      <c r="J93" s="32"/>
      <c r="K93" s="32"/>
      <c r="L93" s="33"/>
      <c r="M93" s="28"/>
      <c r="N93" s="28"/>
      <c r="O93" s="28"/>
      <c r="P93" s="28"/>
      <c r="Q93" s="28"/>
      <c r="R93" s="28"/>
      <c r="S93" s="28"/>
      <c r="T93" s="28"/>
      <c r="U93" s="28"/>
      <c r="V93" s="28"/>
      <c r="W93" s="28"/>
      <c r="X93" s="28"/>
      <c r="Y93" s="28"/>
      <c r="Z93" s="28"/>
      <c r="AA93" s="28"/>
      <c r="AB93" s="28"/>
    </row>
    <row r="94">
      <c r="A94" s="34"/>
      <c r="B94" s="35"/>
      <c r="C94" s="30"/>
      <c r="D94" s="30"/>
      <c r="E94" s="30"/>
      <c r="F94" s="30"/>
      <c r="G94" s="30"/>
      <c r="H94" s="31"/>
      <c r="I94" s="30"/>
      <c r="J94" s="32"/>
      <c r="K94" s="32"/>
      <c r="L94" s="33"/>
      <c r="M94" s="28"/>
      <c r="N94" s="28"/>
      <c r="O94" s="28"/>
      <c r="P94" s="28"/>
      <c r="Q94" s="28"/>
      <c r="R94" s="28"/>
      <c r="S94" s="28"/>
      <c r="T94" s="28"/>
      <c r="U94" s="28"/>
      <c r="V94" s="28"/>
      <c r="W94" s="28"/>
      <c r="X94" s="28"/>
      <c r="Y94" s="28"/>
      <c r="Z94" s="28"/>
      <c r="AA94" s="28"/>
      <c r="AB94" s="28"/>
    </row>
    <row r="95">
      <c r="A95" s="34"/>
      <c r="B95" s="35"/>
      <c r="C95" s="30"/>
      <c r="D95" s="30"/>
      <c r="E95" s="30"/>
      <c r="F95" s="30"/>
      <c r="G95" s="30"/>
      <c r="H95" s="31"/>
      <c r="I95" s="30"/>
      <c r="J95" s="32"/>
      <c r="K95" s="32"/>
      <c r="L95" s="33"/>
      <c r="M95" s="28"/>
      <c r="N95" s="28"/>
      <c r="O95" s="28"/>
      <c r="P95" s="28"/>
      <c r="Q95" s="28"/>
      <c r="R95" s="28"/>
      <c r="S95" s="28"/>
      <c r="T95" s="28"/>
      <c r="U95" s="28"/>
      <c r="V95" s="28"/>
      <c r="W95" s="28"/>
      <c r="X95" s="28"/>
      <c r="Y95" s="28"/>
      <c r="Z95" s="28"/>
      <c r="AA95" s="28"/>
      <c r="AB95" s="28"/>
    </row>
    <row r="96">
      <c r="A96" s="34"/>
      <c r="B96" s="35"/>
      <c r="C96" s="30"/>
      <c r="D96" s="30"/>
      <c r="E96" s="30"/>
      <c r="F96" s="30"/>
      <c r="G96" s="30"/>
      <c r="H96" s="31"/>
      <c r="I96" s="30"/>
      <c r="J96" s="32"/>
      <c r="K96" s="32"/>
      <c r="L96" s="33"/>
      <c r="M96" s="28"/>
      <c r="N96" s="28"/>
      <c r="O96" s="28"/>
      <c r="P96" s="28"/>
      <c r="Q96" s="28"/>
      <c r="R96" s="28"/>
      <c r="S96" s="28"/>
      <c r="T96" s="28"/>
      <c r="U96" s="28"/>
      <c r="V96" s="28"/>
      <c r="W96" s="28"/>
      <c r="X96" s="28"/>
      <c r="Y96" s="28"/>
      <c r="Z96" s="28"/>
      <c r="AA96" s="28"/>
      <c r="AB96" s="28"/>
    </row>
    <row r="97">
      <c r="A97" s="34"/>
      <c r="B97" s="35"/>
      <c r="C97" s="30"/>
      <c r="D97" s="30"/>
      <c r="E97" s="30"/>
      <c r="F97" s="30"/>
      <c r="G97" s="30"/>
      <c r="H97" s="31"/>
      <c r="I97" s="30"/>
      <c r="J97" s="32"/>
      <c r="K97" s="32"/>
      <c r="L97" s="33"/>
      <c r="M97" s="28"/>
      <c r="N97" s="28"/>
      <c r="O97" s="28"/>
      <c r="P97" s="28"/>
      <c r="Q97" s="28"/>
      <c r="R97" s="28"/>
      <c r="S97" s="28"/>
      <c r="T97" s="28"/>
      <c r="U97" s="28"/>
      <c r="V97" s="28"/>
      <c r="W97" s="28"/>
      <c r="X97" s="28"/>
      <c r="Y97" s="28"/>
      <c r="Z97" s="28"/>
      <c r="AA97" s="28"/>
      <c r="AB97" s="28"/>
    </row>
    <row r="98">
      <c r="A98" s="34"/>
      <c r="B98" s="35"/>
      <c r="C98" s="30"/>
      <c r="D98" s="30"/>
      <c r="E98" s="30"/>
      <c r="F98" s="30"/>
      <c r="G98" s="30"/>
      <c r="H98" s="31"/>
      <c r="I98" s="30"/>
      <c r="J98" s="32"/>
      <c r="K98" s="32"/>
      <c r="L98" s="33"/>
      <c r="M98" s="28"/>
      <c r="N98" s="28"/>
      <c r="O98" s="28"/>
      <c r="P98" s="28"/>
      <c r="Q98" s="28"/>
      <c r="R98" s="28"/>
      <c r="S98" s="28"/>
      <c r="T98" s="28"/>
      <c r="U98" s="28"/>
      <c r="V98" s="28"/>
      <c r="W98" s="28"/>
      <c r="X98" s="28"/>
      <c r="Y98" s="28"/>
      <c r="Z98" s="28"/>
      <c r="AA98" s="28"/>
      <c r="AB98" s="28"/>
    </row>
    <row r="99">
      <c r="A99" s="34"/>
      <c r="B99" s="35"/>
      <c r="C99" s="30"/>
      <c r="D99" s="30"/>
      <c r="E99" s="30"/>
      <c r="F99" s="30"/>
      <c r="G99" s="30"/>
      <c r="H99" s="31"/>
      <c r="I99" s="30"/>
      <c r="J99" s="32"/>
      <c r="K99" s="32"/>
      <c r="L99" s="33"/>
      <c r="M99" s="28"/>
      <c r="N99" s="28"/>
      <c r="O99" s="28"/>
      <c r="P99" s="28"/>
      <c r="Q99" s="28"/>
      <c r="R99" s="28"/>
      <c r="S99" s="28"/>
      <c r="T99" s="28"/>
      <c r="U99" s="28"/>
      <c r="V99" s="28"/>
      <c r="W99" s="28"/>
      <c r="X99" s="28"/>
      <c r="Y99" s="28"/>
      <c r="Z99" s="28"/>
      <c r="AA99" s="28"/>
      <c r="AB99" s="28"/>
    </row>
    <row r="100">
      <c r="A100" s="34"/>
      <c r="B100" s="35"/>
      <c r="C100" s="30"/>
      <c r="D100" s="30"/>
      <c r="E100" s="30"/>
      <c r="F100" s="30"/>
      <c r="G100" s="30"/>
      <c r="H100" s="31"/>
      <c r="I100" s="30"/>
      <c r="J100" s="32"/>
      <c r="K100" s="32"/>
      <c r="L100" s="33"/>
      <c r="M100" s="28"/>
      <c r="N100" s="28"/>
      <c r="O100" s="28"/>
      <c r="P100" s="28"/>
      <c r="Q100" s="28"/>
      <c r="R100" s="28"/>
      <c r="S100" s="28"/>
      <c r="T100" s="28"/>
      <c r="U100" s="28"/>
      <c r="V100" s="28"/>
      <c r="W100" s="28"/>
      <c r="X100" s="28"/>
      <c r="Y100" s="28"/>
      <c r="Z100" s="28"/>
      <c r="AA100" s="28"/>
      <c r="AB100" s="28"/>
    </row>
    <row r="101">
      <c r="A101" s="34"/>
      <c r="B101" s="35"/>
      <c r="C101" s="30"/>
      <c r="D101" s="30"/>
      <c r="E101" s="30"/>
      <c r="F101" s="30"/>
      <c r="G101" s="30"/>
      <c r="H101" s="31"/>
      <c r="I101" s="30"/>
      <c r="J101" s="32"/>
      <c r="K101" s="32"/>
      <c r="L101" s="33"/>
      <c r="M101" s="28"/>
      <c r="N101" s="28"/>
      <c r="O101" s="28"/>
      <c r="P101" s="28"/>
      <c r="Q101" s="28"/>
      <c r="R101" s="28"/>
      <c r="S101" s="28"/>
      <c r="T101" s="28"/>
      <c r="U101" s="28"/>
      <c r="V101" s="28"/>
      <c r="W101" s="28"/>
      <c r="X101" s="28"/>
      <c r="Y101" s="28"/>
      <c r="Z101" s="28"/>
      <c r="AA101" s="28"/>
      <c r="AB101" s="28"/>
    </row>
    <row r="102">
      <c r="A102" s="34"/>
      <c r="B102" s="35"/>
      <c r="C102" s="30"/>
      <c r="D102" s="30"/>
      <c r="E102" s="30"/>
      <c r="F102" s="30"/>
      <c r="G102" s="30"/>
      <c r="H102" s="31"/>
      <c r="I102" s="30"/>
      <c r="J102" s="32"/>
      <c r="K102" s="32"/>
      <c r="L102" s="33"/>
      <c r="M102" s="28"/>
      <c r="N102" s="28"/>
      <c r="O102" s="28"/>
      <c r="P102" s="28"/>
      <c r="Q102" s="28"/>
      <c r="R102" s="28"/>
      <c r="S102" s="28"/>
      <c r="T102" s="28"/>
      <c r="U102" s="28"/>
      <c r="V102" s="28"/>
      <c r="W102" s="28"/>
      <c r="X102" s="28"/>
      <c r="Y102" s="28"/>
      <c r="Z102" s="28"/>
      <c r="AA102" s="28"/>
      <c r="AB102" s="28"/>
    </row>
    <row r="103">
      <c r="A103" s="34"/>
      <c r="B103" s="35"/>
      <c r="C103" s="30"/>
      <c r="D103" s="30"/>
      <c r="E103" s="30"/>
      <c r="F103" s="30"/>
      <c r="G103" s="30"/>
      <c r="H103" s="31"/>
      <c r="I103" s="30"/>
      <c r="J103" s="32"/>
      <c r="K103" s="32"/>
      <c r="L103" s="33"/>
      <c r="M103" s="28"/>
      <c r="N103" s="28"/>
      <c r="O103" s="28"/>
      <c r="P103" s="28"/>
      <c r="Q103" s="28"/>
      <c r="R103" s="28"/>
      <c r="S103" s="28"/>
      <c r="T103" s="28"/>
      <c r="U103" s="28"/>
      <c r="V103" s="28"/>
      <c r="W103" s="28"/>
      <c r="X103" s="28"/>
      <c r="Y103" s="28"/>
      <c r="Z103" s="28"/>
      <c r="AA103" s="28"/>
      <c r="AB103" s="28"/>
    </row>
    <row r="104">
      <c r="A104" s="34"/>
      <c r="B104" s="35"/>
      <c r="C104" s="30"/>
      <c r="D104" s="30"/>
      <c r="E104" s="30"/>
      <c r="F104" s="30"/>
      <c r="G104" s="30"/>
      <c r="H104" s="31"/>
      <c r="I104" s="30"/>
      <c r="J104" s="32"/>
      <c r="K104" s="32"/>
      <c r="L104" s="33"/>
      <c r="M104" s="28"/>
      <c r="N104" s="28"/>
      <c r="O104" s="28"/>
      <c r="P104" s="28"/>
      <c r="Q104" s="28"/>
      <c r="R104" s="28"/>
      <c r="S104" s="28"/>
      <c r="T104" s="28"/>
      <c r="U104" s="28"/>
      <c r="V104" s="28"/>
      <c r="W104" s="28"/>
      <c r="X104" s="28"/>
      <c r="Y104" s="28"/>
      <c r="Z104" s="28"/>
      <c r="AA104" s="28"/>
      <c r="AB104" s="28"/>
    </row>
    <row r="105">
      <c r="A105" s="1"/>
      <c r="B105" s="36"/>
      <c r="C105" s="36"/>
      <c r="D105" s="36"/>
      <c r="E105" s="36"/>
      <c r="F105" s="36"/>
      <c r="G105" s="36"/>
      <c r="H105" s="37"/>
      <c r="I105" s="36"/>
      <c r="J105" s="38"/>
      <c r="K105" s="38"/>
      <c r="L105" s="39"/>
      <c r="M105" s="39"/>
      <c r="N105" s="39"/>
      <c r="O105" s="39"/>
      <c r="P105" s="39"/>
      <c r="Q105" s="39"/>
      <c r="R105" s="39"/>
      <c r="S105" s="39"/>
      <c r="T105" s="39"/>
      <c r="U105" s="39"/>
      <c r="V105" s="39"/>
      <c r="W105" s="39"/>
      <c r="X105" s="39"/>
      <c r="Y105" s="39"/>
      <c r="Z105" s="39"/>
      <c r="AA105" s="39"/>
      <c r="AB105" s="39"/>
    </row>
    <row r="106">
      <c r="A106" s="1"/>
      <c r="B106" s="36"/>
      <c r="C106" s="36"/>
      <c r="D106" s="36"/>
      <c r="E106" s="36"/>
      <c r="F106" s="36"/>
      <c r="G106" s="36"/>
      <c r="H106" s="37"/>
      <c r="I106" s="36"/>
      <c r="J106" s="38"/>
      <c r="K106" s="38"/>
      <c r="L106" s="39"/>
      <c r="M106" s="39"/>
      <c r="N106" s="39"/>
      <c r="O106" s="39"/>
      <c r="P106" s="39"/>
      <c r="Q106" s="39"/>
      <c r="R106" s="39"/>
      <c r="S106" s="39"/>
      <c r="T106" s="39"/>
      <c r="U106" s="39"/>
      <c r="V106" s="39"/>
      <c r="W106" s="39"/>
      <c r="X106" s="39"/>
      <c r="Y106" s="39"/>
      <c r="Z106" s="39"/>
      <c r="AA106" s="39"/>
      <c r="AB106" s="39"/>
    </row>
    <row r="107">
      <c r="A107" s="1"/>
      <c r="B107" s="36"/>
      <c r="C107" s="36"/>
      <c r="D107" s="36"/>
      <c r="E107" s="36"/>
      <c r="F107" s="36"/>
      <c r="G107" s="36"/>
      <c r="H107" s="37"/>
      <c r="I107" s="36"/>
      <c r="J107" s="38"/>
      <c r="K107" s="38"/>
      <c r="L107" s="39"/>
      <c r="M107" s="39"/>
      <c r="N107" s="39"/>
      <c r="O107" s="39"/>
      <c r="P107" s="39"/>
      <c r="Q107" s="39"/>
      <c r="R107" s="39"/>
      <c r="S107" s="39"/>
      <c r="T107" s="39"/>
      <c r="U107" s="39"/>
      <c r="V107" s="39"/>
      <c r="W107" s="39"/>
      <c r="X107" s="39"/>
      <c r="Y107" s="39"/>
      <c r="Z107" s="39"/>
      <c r="AA107" s="39"/>
      <c r="AB107" s="39"/>
    </row>
    <row r="108">
      <c r="A108" s="1"/>
      <c r="B108" s="36"/>
      <c r="C108" s="36"/>
      <c r="D108" s="36"/>
      <c r="E108" s="36"/>
      <c r="F108" s="36"/>
      <c r="G108" s="36"/>
      <c r="H108" s="37"/>
      <c r="I108" s="36"/>
      <c r="J108" s="38"/>
      <c r="K108" s="38"/>
      <c r="L108" s="39"/>
      <c r="M108" s="39"/>
      <c r="N108" s="39"/>
      <c r="O108" s="39"/>
      <c r="P108" s="39"/>
      <c r="Q108" s="39"/>
      <c r="R108" s="39"/>
      <c r="S108" s="39"/>
      <c r="T108" s="39"/>
      <c r="U108" s="39"/>
      <c r="V108" s="39"/>
      <c r="W108" s="39"/>
      <c r="X108" s="39"/>
      <c r="Y108" s="39"/>
      <c r="Z108" s="39"/>
      <c r="AA108" s="39"/>
      <c r="AB108" s="39"/>
    </row>
    <row r="109">
      <c r="A109" s="1"/>
      <c r="B109" s="36"/>
      <c r="C109" s="36"/>
      <c r="D109" s="36"/>
      <c r="E109" s="36"/>
      <c r="F109" s="36"/>
      <c r="G109" s="36"/>
      <c r="H109" s="37"/>
      <c r="I109" s="36"/>
      <c r="J109" s="38"/>
      <c r="K109" s="38"/>
      <c r="L109" s="39"/>
      <c r="M109" s="39"/>
      <c r="N109" s="39"/>
      <c r="O109" s="39"/>
      <c r="P109" s="39"/>
      <c r="Q109" s="39"/>
      <c r="R109" s="39"/>
      <c r="S109" s="39"/>
      <c r="T109" s="39"/>
      <c r="U109" s="39"/>
      <c r="V109" s="39"/>
      <c r="W109" s="39"/>
      <c r="X109" s="39"/>
      <c r="Y109" s="39"/>
      <c r="Z109" s="39"/>
      <c r="AA109" s="39"/>
      <c r="AB109" s="39"/>
    </row>
    <row r="110">
      <c r="A110" s="1"/>
      <c r="B110" s="36"/>
      <c r="C110" s="36"/>
      <c r="D110" s="36"/>
      <c r="E110" s="36"/>
      <c r="F110" s="36"/>
      <c r="G110" s="36"/>
      <c r="H110" s="37"/>
      <c r="I110" s="36"/>
      <c r="J110" s="38"/>
      <c r="K110" s="38"/>
      <c r="L110" s="39"/>
      <c r="M110" s="39"/>
      <c r="N110" s="39"/>
      <c r="O110" s="39"/>
      <c r="P110" s="39"/>
      <c r="Q110" s="39"/>
      <c r="R110" s="39"/>
      <c r="S110" s="39"/>
      <c r="T110" s="39"/>
      <c r="U110" s="39"/>
      <c r="V110" s="39"/>
      <c r="W110" s="39"/>
      <c r="X110" s="39"/>
      <c r="Y110" s="39"/>
      <c r="Z110" s="39"/>
      <c r="AA110" s="39"/>
      <c r="AB110" s="39"/>
    </row>
    <row r="111">
      <c r="A111" s="1"/>
      <c r="B111" s="36"/>
      <c r="C111" s="36"/>
      <c r="D111" s="36"/>
      <c r="E111" s="36"/>
      <c r="F111" s="36"/>
      <c r="G111" s="36"/>
      <c r="H111" s="37"/>
      <c r="I111" s="36"/>
      <c r="J111" s="38"/>
      <c r="K111" s="38"/>
      <c r="L111" s="39"/>
      <c r="M111" s="39"/>
      <c r="N111" s="39"/>
      <c r="O111" s="39"/>
      <c r="P111" s="39"/>
      <c r="Q111" s="39"/>
      <c r="R111" s="39"/>
      <c r="S111" s="39"/>
      <c r="T111" s="39"/>
      <c r="U111" s="39"/>
      <c r="V111" s="39"/>
      <c r="W111" s="39"/>
      <c r="X111" s="39"/>
      <c r="Y111" s="39"/>
      <c r="Z111" s="39"/>
      <c r="AA111" s="39"/>
      <c r="AB111" s="39"/>
    </row>
    <row r="112">
      <c r="A112" s="1"/>
      <c r="B112" s="36"/>
      <c r="C112" s="36"/>
      <c r="D112" s="36"/>
      <c r="E112" s="36"/>
      <c r="F112" s="36"/>
      <c r="G112" s="36"/>
      <c r="H112" s="37"/>
      <c r="I112" s="36"/>
      <c r="J112" s="38"/>
      <c r="K112" s="38"/>
      <c r="L112" s="39"/>
      <c r="M112" s="39"/>
      <c r="N112" s="39"/>
      <c r="O112" s="39"/>
      <c r="P112" s="39"/>
      <c r="Q112" s="39"/>
      <c r="R112" s="39"/>
      <c r="S112" s="39"/>
      <c r="T112" s="39"/>
      <c r="U112" s="39"/>
      <c r="V112" s="39"/>
      <c r="W112" s="39"/>
      <c r="X112" s="39"/>
      <c r="Y112" s="39"/>
      <c r="Z112" s="39"/>
      <c r="AA112" s="39"/>
      <c r="AB112" s="39"/>
    </row>
    <row r="113">
      <c r="A113" s="1"/>
      <c r="B113" s="36"/>
      <c r="C113" s="36"/>
      <c r="D113" s="36"/>
      <c r="E113" s="36"/>
      <c r="F113" s="36"/>
      <c r="G113" s="36"/>
      <c r="H113" s="37"/>
      <c r="I113" s="36"/>
      <c r="J113" s="38"/>
      <c r="K113" s="38"/>
      <c r="L113" s="39"/>
      <c r="M113" s="39"/>
      <c r="N113" s="39"/>
      <c r="O113" s="39"/>
      <c r="P113" s="39"/>
      <c r="Q113" s="39"/>
      <c r="R113" s="39"/>
      <c r="S113" s="39"/>
      <c r="T113" s="39"/>
      <c r="U113" s="39"/>
      <c r="V113" s="39"/>
      <c r="W113" s="39"/>
      <c r="X113" s="39"/>
      <c r="Y113" s="39"/>
      <c r="Z113" s="39"/>
      <c r="AA113" s="39"/>
      <c r="AB113" s="39"/>
    </row>
    <row r="114">
      <c r="A114" s="1"/>
      <c r="B114" s="36"/>
      <c r="C114" s="36"/>
      <c r="D114" s="36"/>
      <c r="E114" s="36"/>
      <c r="F114" s="36"/>
      <c r="G114" s="36"/>
      <c r="H114" s="37"/>
      <c r="I114" s="36"/>
      <c r="J114" s="38"/>
      <c r="K114" s="38"/>
      <c r="L114" s="39"/>
      <c r="M114" s="39"/>
      <c r="N114" s="39"/>
      <c r="O114" s="39"/>
      <c r="P114" s="39"/>
      <c r="Q114" s="39"/>
      <c r="R114" s="39"/>
      <c r="S114" s="39"/>
      <c r="T114" s="39"/>
      <c r="U114" s="39"/>
      <c r="V114" s="39"/>
      <c r="W114" s="39"/>
      <c r="X114" s="39"/>
      <c r="Y114" s="39"/>
      <c r="Z114" s="39"/>
      <c r="AA114" s="39"/>
      <c r="AB114" s="39"/>
    </row>
    <row r="115">
      <c r="A115" s="1"/>
      <c r="B115" s="36"/>
      <c r="C115" s="36"/>
      <c r="D115" s="36"/>
      <c r="E115" s="36"/>
      <c r="F115" s="36"/>
      <c r="G115" s="36"/>
      <c r="H115" s="37"/>
      <c r="I115" s="36"/>
      <c r="J115" s="38"/>
      <c r="K115" s="38"/>
      <c r="L115" s="39"/>
      <c r="M115" s="39"/>
      <c r="N115" s="39"/>
      <c r="O115" s="39"/>
      <c r="P115" s="39"/>
      <c r="Q115" s="39"/>
      <c r="R115" s="39"/>
      <c r="S115" s="39"/>
      <c r="T115" s="39"/>
      <c r="U115" s="39"/>
      <c r="V115" s="39"/>
      <c r="W115" s="39"/>
      <c r="X115" s="39"/>
      <c r="Y115" s="39"/>
      <c r="Z115" s="39"/>
      <c r="AA115" s="39"/>
      <c r="AB115" s="39"/>
    </row>
    <row r="116">
      <c r="A116" s="1"/>
      <c r="B116" s="36"/>
      <c r="C116" s="36"/>
      <c r="D116" s="36"/>
      <c r="E116" s="36"/>
      <c r="F116" s="36"/>
      <c r="G116" s="36"/>
      <c r="H116" s="37"/>
      <c r="I116" s="36"/>
      <c r="J116" s="38"/>
      <c r="K116" s="38"/>
      <c r="L116" s="39"/>
      <c r="M116" s="39"/>
      <c r="N116" s="39"/>
      <c r="O116" s="39"/>
      <c r="P116" s="39"/>
      <c r="Q116" s="39"/>
      <c r="R116" s="39"/>
      <c r="S116" s="39"/>
      <c r="T116" s="39"/>
      <c r="U116" s="39"/>
      <c r="V116" s="39"/>
      <c r="W116" s="39"/>
      <c r="X116" s="39"/>
      <c r="Y116" s="39"/>
      <c r="Z116" s="39"/>
      <c r="AA116" s="39"/>
      <c r="AB116" s="39"/>
    </row>
    <row r="117">
      <c r="A117" s="1"/>
      <c r="B117" s="36"/>
      <c r="C117" s="36"/>
      <c r="D117" s="36"/>
      <c r="E117" s="36"/>
      <c r="F117" s="36"/>
      <c r="G117" s="36"/>
      <c r="H117" s="37"/>
      <c r="I117" s="36"/>
      <c r="J117" s="38"/>
      <c r="K117" s="38"/>
      <c r="L117" s="39"/>
      <c r="M117" s="39"/>
      <c r="N117" s="39"/>
      <c r="O117" s="39"/>
      <c r="P117" s="39"/>
      <c r="Q117" s="39"/>
      <c r="R117" s="39"/>
      <c r="S117" s="39"/>
      <c r="T117" s="39"/>
      <c r="U117" s="39"/>
      <c r="V117" s="39"/>
      <c r="W117" s="39"/>
      <c r="X117" s="39"/>
      <c r="Y117" s="39"/>
      <c r="Z117" s="39"/>
      <c r="AA117" s="39"/>
      <c r="AB117" s="39"/>
    </row>
    <row r="118">
      <c r="A118" s="1"/>
      <c r="B118" s="36"/>
      <c r="C118" s="36"/>
      <c r="D118" s="36"/>
      <c r="E118" s="36"/>
      <c r="F118" s="36"/>
      <c r="G118" s="36"/>
      <c r="H118" s="37"/>
      <c r="I118" s="36"/>
      <c r="J118" s="38"/>
      <c r="K118" s="38"/>
      <c r="L118" s="39"/>
      <c r="M118" s="39"/>
      <c r="N118" s="39"/>
      <c r="O118" s="39"/>
      <c r="P118" s="39"/>
      <c r="Q118" s="39"/>
      <c r="R118" s="39"/>
      <c r="S118" s="39"/>
      <c r="T118" s="39"/>
      <c r="U118" s="39"/>
      <c r="V118" s="39"/>
      <c r="W118" s="39"/>
      <c r="X118" s="39"/>
      <c r="Y118" s="39"/>
      <c r="Z118" s="39"/>
      <c r="AA118" s="39"/>
      <c r="AB118" s="39"/>
    </row>
    <row r="119">
      <c r="A119" s="1"/>
      <c r="B119" s="36"/>
      <c r="C119" s="36"/>
      <c r="D119" s="36"/>
      <c r="E119" s="36"/>
      <c r="F119" s="36"/>
      <c r="G119" s="36"/>
      <c r="H119" s="37"/>
      <c r="I119" s="36"/>
      <c r="J119" s="38"/>
      <c r="K119" s="38"/>
      <c r="L119" s="39"/>
      <c r="M119" s="39"/>
      <c r="N119" s="39"/>
      <c r="O119" s="39"/>
      <c r="P119" s="39"/>
      <c r="Q119" s="39"/>
      <c r="R119" s="39"/>
      <c r="S119" s="39"/>
      <c r="T119" s="39"/>
      <c r="U119" s="39"/>
      <c r="V119" s="39"/>
      <c r="W119" s="39"/>
      <c r="X119" s="39"/>
      <c r="Y119" s="39"/>
      <c r="Z119" s="39"/>
      <c r="AA119" s="39"/>
      <c r="AB119" s="39"/>
    </row>
    <row r="120">
      <c r="A120" s="1"/>
      <c r="B120" s="36"/>
      <c r="C120" s="36"/>
      <c r="D120" s="36"/>
      <c r="E120" s="36"/>
      <c r="F120" s="36"/>
      <c r="G120" s="36"/>
      <c r="H120" s="37"/>
      <c r="I120" s="36"/>
      <c r="J120" s="38"/>
      <c r="K120" s="38"/>
      <c r="L120" s="39"/>
      <c r="M120" s="39"/>
      <c r="N120" s="39"/>
      <c r="O120" s="39"/>
      <c r="P120" s="39"/>
      <c r="Q120" s="39"/>
      <c r="R120" s="39"/>
      <c r="S120" s="39"/>
      <c r="T120" s="39"/>
      <c r="U120" s="39"/>
      <c r="V120" s="39"/>
      <c r="W120" s="39"/>
      <c r="X120" s="39"/>
      <c r="Y120" s="39"/>
      <c r="Z120" s="39"/>
      <c r="AA120" s="39"/>
      <c r="AB120" s="39"/>
    </row>
    <row r="121">
      <c r="A121" s="1"/>
      <c r="B121" s="36"/>
      <c r="C121" s="36"/>
      <c r="D121" s="36"/>
      <c r="E121" s="36"/>
      <c r="F121" s="36"/>
      <c r="G121" s="36"/>
      <c r="H121" s="37"/>
      <c r="I121" s="36"/>
      <c r="J121" s="38"/>
      <c r="K121" s="38"/>
      <c r="L121" s="39"/>
      <c r="M121" s="39"/>
      <c r="N121" s="39"/>
      <c r="O121" s="39"/>
      <c r="P121" s="39"/>
      <c r="Q121" s="39"/>
      <c r="R121" s="39"/>
      <c r="S121" s="39"/>
      <c r="T121" s="39"/>
      <c r="U121" s="39"/>
      <c r="V121" s="39"/>
      <c r="W121" s="39"/>
      <c r="X121" s="39"/>
      <c r="Y121" s="39"/>
      <c r="Z121" s="39"/>
      <c r="AA121" s="39"/>
      <c r="AB121" s="39"/>
    </row>
    <row r="122">
      <c r="A122" s="1"/>
      <c r="B122" s="36"/>
      <c r="C122" s="36"/>
      <c r="D122" s="36"/>
      <c r="E122" s="36"/>
      <c r="F122" s="36"/>
      <c r="G122" s="36"/>
      <c r="H122" s="37"/>
      <c r="I122" s="36"/>
      <c r="J122" s="38"/>
      <c r="K122" s="38"/>
      <c r="L122" s="39"/>
      <c r="M122" s="39"/>
      <c r="N122" s="39"/>
      <c r="O122" s="39"/>
      <c r="P122" s="39"/>
      <c r="Q122" s="39"/>
      <c r="R122" s="39"/>
      <c r="S122" s="39"/>
      <c r="T122" s="39"/>
      <c r="U122" s="39"/>
      <c r="V122" s="39"/>
      <c r="W122" s="39"/>
      <c r="X122" s="39"/>
      <c r="Y122" s="39"/>
      <c r="Z122" s="39"/>
      <c r="AA122" s="39"/>
      <c r="AB122" s="39"/>
    </row>
    <row r="123">
      <c r="A123" s="1"/>
      <c r="B123" s="36"/>
      <c r="C123" s="36"/>
      <c r="D123" s="36"/>
      <c r="E123" s="36"/>
      <c r="F123" s="36"/>
      <c r="G123" s="36"/>
      <c r="H123" s="37"/>
      <c r="I123" s="36"/>
      <c r="J123" s="38"/>
      <c r="K123" s="38"/>
      <c r="L123" s="39"/>
      <c r="M123" s="39"/>
      <c r="N123" s="39"/>
      <c r="O123" s="39"/>
      <c r="P123" s="39"/>
      <c r="Q123" s="39"/>
      <c r="R123" s="39"/>
      <c r="S123" s="39"/>
      <c r="T123" s="39"/>
      <c r="U123" s="39"/>
      <c r="V123" s="39"/>
      <c r="W123" s="39"/>
      <c r="X123" s="39"/>
      <c r="Y123" s="39"/>
      <c r="Z123" s="39"/>
      <c r="AA123" s="39"/>
      <c r="AB123" s="39"/>
    </row>
    <row r="124">
      <c r="A124" s="1"/>
      <c r="B124" s="36"/>
      <c r="C124" s="36"/>
      <c r="D124" s="36"/>
      <c r="E124" s="36"/>
      <c r="F124" s="36"/>
      <c r="G124" s="36"/>
      <c r="H124" s="37"/>
      <c r="I124" s="36"/>
      <c r="J124" s="38"/>
      <c r="K124" s="38"/>
      <c r="L124" s="39"/>
      <c r="M124" s="39"/>
      <c r="N124" s="39"/>
      <c r="O124" s="39"/>
      <c r="P124" s="39"/>
      <c r="Q124" s="39"/>
      <c r="R124" s="39"/>
      <c r="S124" s="39"/>
      <c r="T124" s="39"/>
      <c r="U124" s="39"/>
      <c r="V124" s="39"/>
      <c r="W124" s="39"/>
      <c r="X124" s="39"/>
      <c r="Y124" s="39"/>
      <c r="Z124" s="39"/>
      <c r="AA124" s="39"/>
      <c r="AB124" s="39"/>
    </row>
    <row r="125">
      <c r="A125" s="1"/>
      <c r="B125" s="36"/>
      <c r="C125" s="36"/>
      <c r="D125" s="36"/>
      <c r="E125" s="36"/>
      <c r="F125" s="36"/>
      <c r="G125" s="36"/>
      <c r="H125" s="37"/>
      <c r="I125" s="36"/>
      <c r="J125" s="38"/>
      <c r="K125" s="38"/>
      <c r="L125" s="39"/>
      <c r="M125" s="39"/>
      <c r="N125" s="39"/>
      <c r="O125" s="39"/>
      <c r="P125" s="39"/>
      <c r="Q125" s="39"/>
      <c r="R125" s="39"/>
      <c r="S125" s="39"/>
      <c r="T125" s="39"/>
      <c r="U125" s="39"/>
      <c r="V125" s="39"/>
      <c r="W125" s="39"/>
      <c r="X125" s="39"/>
      <c r="Y125" s="39"/>
      <c r="Z125" s="39"/>
      <c r="AA125" s="39"/>
      <c r="AB125" s="39"/>
    </row>
    <row r="126">
      <c r="A126" s="1"/>
      <c r="B126" s="36"/>
      <c r="C126" s="36"/>
      <c r="D126" s="36"/>
      <c r="E126" s="36"/>
      <c r="F126" s="36"/>
      <c r="G126" s="36"/>
      <c r="H126" s="37"/>
      <c r="I126" s="36"/>
      <c r="J126" s="38"/>
      <c r="K126" s="38"/>
      <c r="L126" s="39"/>
      <c r="M126" s="39"/>
      <c r="N126" s="39"/>
      <c r="O126" s="39"/>
      <c r="P126" s="39"/>
      <c r="Q126" s="39"/>
      <c r="R126" s="39"/>
      <c r="S126" s="39"/>
      <c r="T126" s="39"/>
      <c r="U126" s="39"/>
      <c r="V126" s="39"/>
      <c r="W126" s="39"/>
      <c r="X126" s="39"/>
      <c r="Y126" s="39"/>
      <c r="Z126" s="39"/>
      <c r="AA126" s="39"/>
      <c r="AB126" s="39"/>
    </row>
    <row r="127">
      <c r="A127" s="1"/>
      <c r="B127" s="36"/>
      <c r="C127" s="36"/>
      <c r="D127" s="36"/>
      <c r="E127" s="36"/>
      <c r="F127" s="36"/>
      <c r="G127" s="36"/>
      <c r="H127" s="37"/>
      <c r="I127" s="36"/>
      <c r="J127" s="38"/>
      <c r="K127" s="38"/>
      <c r="L127" s="39"/>
      <c r="M127" s="39"/>
      <c r="N127" s="39"/>
      <c r="O127" s="39"/>
      <c r="P127" s="39"/>
      <c r="Q127" s="39"/>
      <c r="R127" s="39"/>
      <c r="S127" s="39"/>
      <c r="T127" s="39"/>
      <c r="U127" s="39"/>
      <c r="V127" s="39"/>
      <c r="W127" s="39"/>
      <c r="X127" s="39"/>
      <c r="Y127" s="39"/>
      <c r="Z127" s="39"/>
      <c r="AA127" s="39"/>
      <c r="AB127" s="39"/>
    </row>
    <row r="128">
      <c r="A128" s="1"/>
      <c r="B128" s="36"/>
      <c r="C128" s="36"/>
      <c r="D128" s="36"/>
      <c r="E128" s="36"/>
      <c r="F128" s="36"/>
      <c r="G128" s="36"/>
      <c r="H128" s="37"/>
      <c r="I128" s="36"/>
      <c r="J128" s="38"/>
      <c r="K128" s="38"/>
      <c r="L128" s="39"/>
      <c r="M128" s="39"/>
      <c r="N128" s="39"/>
      <c r="O128" s="39"/>
      <c r="P128" s="39"/>
      <c r="Q128" s="39"/>
      <c r="R128" s="39"/>
      <c r="S128" s="39"/>
      <c r="T128" s="39"/>
      <c r="U128" s="39"/>
      <c r="V128" s="39"/>
      <c r="W128" s="39"/>
      <c r="X128" s="39"/>
      <c r="Y128" s="39"/>
      <c r="Z128" s="39"/>
      <c r="AA128" s="39"/>
      <c r="AB128" s="39"/>
    </row>
    <row r="129">
      <c r="A129" s="1"/>
      <c r="B129" s="36"/>
      <c r="C129" s="36"/>
      <c r="D129" s="36"/>
      <c r="E129" s="36"/>
      <c r="F129" s="36"/>
      <c r="G129" s="36"/>
      <c r="H129" s="37"/>
      <c r="I129" s="36"/>
      <c r="J129" s="38"/>
      <c r="K129" s="38"/>
      <c r="L129" s="39"/>
      <c r="M129" s="39"/>
      <c r="N129" s="39"/>
      <c r="O129" s="39"/>
      <c r="P129" s="39"/>
      <c r="Q129" s="39"/>
      <c r="R129" s="39"/>
      <c r="S129" s="39"/>
      <c r="T129" s="39"/>
      <c r="U129" s="39"/>
      <c r="V129" s="39"/>
      <c r="W129" s="39"/>
      <c r="X129" s="39"/>
      <c r="Y129" s="39"/>
      <c r="Z129" s="39"/>
      <c r="AA129" s="39"/>
      <c r="AB129" s="39"/>
    </row>
    <row r="130">
      <c r="A130" s="1"/>
      <c r="B130" s="36"/>
      <c r="C130" s="36"/>
      <c r="D130" s="36"/>
      <c r="E130" s="36"/>
      <c r="F130" s="36"/>
      <c r="G130" s="36"/>
      <c r="H130" s="37"/>
      <c r="I130" s="36"/>
      <c r="J130" s="38"/>
      <c r="K130" s="38"/>
      <c r="L130" s="39"/>
      <c r="M130" s="39"/>
      <c r="N130" s="39"/>
      <c r="O130" s="39"/>
      <c r="P130" s="39"/>
      <c r="Q130" s="39"/>
      <c r="R130" s="39"/>
      <c r="S130" s="39"/>
      <c r="T130" s="39"/>
      <c r="U130" s="39"/>
      <c r="V130" s="39"/>
      <c r="W130" s="39"/>
      <c r="X130" s="39"/>
      <c r="Y130" s="39"/>
      <c r="Z130" s="39"/>
      <c r="AA130" s="39"/>
      <c r="AB130" s="39"/>
    </row>
    <row r="131">
      <c r="A131" s="1"/>
      <c r="B131" s="36"/>
      <c r="C131" s="36"/>
      <c r="D131" s="36"/>
      <c r="E131" s="36"/>
      <c r="F131" s="36"/>
      <c r="G131" s="36"/>
      <c r="H131" s="37"/>
      <c r="I131" s="36"/>
      <c r="J131" s="38"/>
      <c r="K131" s="38"/>
      <c r="L131" s="39"/>
      <c r="M131" s="39"/>
      <c r="N131" s="39"/>
      <c r="O131" s="39"/>
      <c r="P131" s="39"/>
      <c r="Q131" s="39"/>
      <c r="R131" s="39"/>
      <c r="S131" s="39"/>
      <c r="T131" s="39"/>
      <c r="U131" s="39"/>
      <c r="V131" s="39"/>
      <c r="W131" s="39"/>
      <c r="X131" s="39"/>
      <c r="Y131" s="39"/>
      <c r="Z131" s="39"/>
      <c r="AA131" s="39"/>
      <c r="AB131" s="39"/>
    </row>
    <row r="132">
      <c r="A132" s="1"/>
      <c r="B132" s="36"/>
      <c r="C132" s="36"/>
      <c r="D132" s="36"/>
      <c r="E132" s="36"/>
      <c r="F132" s="36"/>
      <c r="G132" s="36"/>
      <c r="H132" s="37"/>
      <c r="I132" s="36"/>
      <c r="J132" s="38"/>
      <c r="K132" s="38"/>
      <c r="L132" s="39"/>
      <c r="M132" s="39"/>
      <c r="N132" s="39"/>
      <c r="O132" s="39"/>
      <c r="P132" s="39"/>
      <c r="Q132" s="39"/>
      <c r="R132" s="39"/>
      <c r="S132" s="39"/>
      <c r="T132" s="39"/>
      <c r="U132" s="39"/>
      <c r="V132" s="39"/>
      <c r="W132" s="39"/>
      <c r="X132" s="39"/>
      <c r="Y132" s="39"/>
      <c r="Z132" s="39"/>
      <c r="AA132" s="39"/>
      <c r="AB132" s="39"/>
    </row>
    <row r="133">
      <c r="A133" s="1"/>
      <c r="B133" s="36"/>
      <c r="C133" s="36"/>
      <c r="D133" s="36"/>
      <c r="E133" s="36"/>
      <c r="F133" s="36"/>
      <c r="G133" s="36"/>
      <c r="H133" s="37"/>
      <c r="I133" s="36"/>
      <c r="J133" s="38"/>
      <c r="K133" s="38"/>
      <c r="L133" s="39"/>
      <c r="M133" s="39"/>
      <c r="N133" s="39"/>
      <c r="O133" s="39"/>
      <c r="P133" s="39"/>
      <c r="Q133" s="39"/>
      <c r="R133" s="39"/>
      <c r="S133" s="39"/>
      <c r="T133" s="39"/>
      <c r="U133" s="39"/>
      <c r="V133" s="39"/>
      <c r="W133" s="39"/>
      <c r="X133" s="39"/>
      <c r="Y133" s="39"/>
      <c r="Z133" s="39"/>
      <c r="AA133" s="39"/>
      <c r="AB133" s="39"/>
    </row>
    <row r="134">
      <c r="A134" s="1"/>
      <c r="B134" s="36"/>
      <c r="C134" s="36"/>
      <c r="D134" s="36"/>
      <c r="E134" s="36"/>
      <c r="F134" s="36"/>
      <c r="G134" s="36"/>
      <c r="H134" s="37"/>
      <c r="I134" s="36"/>
      <c r="J134" s="38"/>
      <c r="K134" s="38"/>
      <c r="L134" s="39"/>
      <c r="M134" s="39"/>
      <c r="N134" s="39"/>
      <c r="O134" s="39"/>
      <c r="P134" s="39"/>
      <c r="Q134" s="39"/>
      <c r="R134" s="39"/>
      <c r="S134" s="39"/>
      <c r="T134" s="39"/>
      <c r="U134" s="39"/>
      <c r="V134" s="39"/>
      <c r="W134" s="39"/>
      <c r="X134" s="39"/>
      <c r="Y134" s="39"/>
      <c r="Z134" s="39"/>
      <c r="AA134" s="39"/>
      <c r="AB134" s="39"/>
    </row>
    <row r="135">
      <c r="A135" s="1"/>
      <c r="B135" s="36"/>
      <c r="C135" s="36"/>
      <c r="D135" s="36"/>
      <c r="E135" s="36"/>
      <c r="F135" s="36"/>
      <c r="G135" s="36"/>
      <c r="H135" s="37"/>
      <c r="I135" s="36"/>
      <c r="J135" s="38"/>
      <c r="K135" s="38"/>
      <c r="L135" s="39"/>
      <c r="M135" s="39"/>
      <c r="N135" s="39"/>
      <c r="O135" s="39"/>
      <c r="P135" s="39"/>
      <c r="Q135" s="39"/>
      <c r="R135" s="39"/>
      <c r="S135" s="39"/>
      <c r="T135" s="39"/>
      <c r="U135" s="39"/>
      <c r="V135" s="39"/>
      <c r="W135" s="39"/>
      <c r="X135" s="39"/>
      <c r="Y135" s="39"/>
      <c r="Z135" s="39"/>
      <c r="AA135" s="39"/>
      <c r="AB135" s="39"/>
    </row>
    <row r="136">
      <c r="A136" s="1"/>
      <c r="B136" s="36"/>
      <c r="C136" s="36"/>
      <c r="D136" s="36"/>
      <c r="E136" s="36"/>
      <c r="F136" s="36"/>
      <c r="G136" s="36"/>
      <c r="H136" s="37"/>
      <c r="I136" s="36"/>
      <c r="J136" s="38"/>
      <c r="K136" s="38"/>
      <c r="L136" s="39"/>
      <c r="M136" s="39"/>
      <c r="N136" s="39"/>
      <c r="O136" s="39"/>
      <c r="P136" s="39"/>
      <c r="Q136" s="39"/>
      <c r="R136" s="39"/>
      <c r="S136" s="39"/>
      <c r="T136" s="39"/>
      <c r="U136" s="39"/>
      <c r="V136" s="39"/>
      <c r="W136" s="39"/>
      <c r="X136" s="39"/>
      <c r="Y136" s="39"/>
      <c r="Z136" s="39"/>
      <c r="AA136" s="39"/>
      <c r="AB136" s="39"/>
    </row>
    <row r="137">
      <c r="A137" s="1"/>
      <c r="B137" s="36"/>
      <c r="C137" s="36"/>
      <c r="D137" s="36"/>
      <c r="E137" s="36"/>
      <c r="F137" s="36"/>
      <c r="G137" s="36"/>
      <c r="H137" s="37"/>
      <c r="I137" s="36"/>
      <c r="J137" s="38"/>
      <c r="K137" s="38"/>
      <c r="L137" s="39"/>
      <c r="M137" s="39"/>
      <c r="N137" s="39"/>
      <c r="O137" s="39"/>
      <c r="P137" s="39"/>
      <c r="Q137" s="39"/>
      <c r="R137" s="39"/>
      <c r="S137" s="39"/>
      <c r="T137" s="39"/>
      <c r="U137" s="39"/>
      <c r="V137" s="39"/>
      <c r="W137" s="39"/>
      <c r="X137" s="39"/>
      <c r="Y137" s="39"/>
      <c r="Z137" s="39"/>
      <c r="AA137" s="39"/>
      <c r="AB137" s="39"/>
    </row>
    <row r="138">
      <c r="A138" s="1"/>
      <c r="B138" s="36"/>
      <c r="C138" s="36"/>
      <c r="D138" s="36"/>
      <c r="E138" s="36"/>
      <c r="F138" s="36"/>
      <c r="G138" s="36"/>
      <c r="H138" s="37"/>
      <c r="I138" s="36"/>
      <c r="J138" s="38"/>
      <c r="K138" s="38"/>
      <c r="L138" s="39"/>
      <c r="M138" s="39"/>
      <c r="N138" s="39"/>
      <c r="O138" s="39"/>
      <c r="P138" s="39"/>
      <c r="Q138" s="39"/>
      <c r="R138" s="39"/>
      <c r="S138" s="39"/>
      <c r="T138" s="39"/>
      <c r="U138" s="39"/>
      <c r="V138" s="39"/>
      <c r="W138" s="39"/>
      <c r="X138" s="39"/>
      <c r="Y138" s="39"/>
      <c r="Z138" s="39"/>
      <c r="AA138" s="39"/>
      <c r="AB138" s="39"/>
    </row>
    <row r="139">
      <c r="A139" s="1"/>
      <c r="B139" s="36"/>
      <c r="C139" s="36"/>
      <c r="D139" s="36"/>
      <c r="E139" s="36"/>
      <c r="F139" s="36"/>
      <c r="G139" s="36"/>
      <c r="H139" s="37"/>
      <c r="I139" s="36"/>
      <c r="J139" s="38"/>
      <c r="K139" s="38"/>
      <c r="L139" s="39"/>
      <c r="M139" s="39"/>
      <c r="N139" s="39"/>
      <c r="O139" s="39"/>
      <c r="P139" s="39"/>
      <c r="Q139" s="39"/>
      <c r="R139" s="39"/>
      <c r="S139" s="39"/>
      <c r="T139" s="39"/>
      <c r="U139" s="39"/>
      <c r="V139" s="39"/>
      <c r="W139" s="39"/>
      <c r="X139" s="39"/>
      <c r="Y139" s="39"/>
      <c r="Z139" s="39"/>
      <c r="AA139" s="39"/>
      <c r="AB139" s="39"/>
    </row>
    <row r="140">
      <c r="A140" s="1"/>
      <c r="B140" s="36"/>
      <c r="C140" s="36"/>
      <c r="D140" s="36"/>
      <c r="E140" s="36"/>
      <c r="F140" s="36"/>
      <c r="G140" s="36"/>
      <c r="H140" s="37"/>
      <c r="I140" s="36"/>
      <c r="J140" s="38"/>
      <c r="K140" s="38"/>
      <c r="L140" s="39"/>
      <c r="M140" s="39"/>
      <c r="N140" s="39"/>
      <c r="O140" s="39"/>
      <c r="P140" s="39"/>
      <c r="Q140" s="39"/>
      <c r="R140" s="39"/>
      <c r="S140" s="39"/>
      <c r="T140" s="39"/>
      <c r="U140" s="39"/>
      <c r="V140" s="39"/>
      <c r="W140" s="39"/>
      <c r="X140" s="39"/>
      <c r="Y140" s="39"/>
      <c r="Z140" s="39"/>
      <c r="AA140" s="39"/>
      <c r="AB140" s="39"/>
    </row>
    <row r="141">
      <c r="A141" s="1"/>
      <c r="B141" s="36"/>
      <c r="C141" s="36"/>
      <c r="D141" s="36"/>
      <c r="E141" s="36"/>
      <c r="F141" s="36"/>
      <c r="G141" s="36"/>
      <c r="H141" s="37"/>
      <c r="I141" s="36"/>
      <c r="J141" s="38"/>
      <c r="K141" s="38"/>
      <c r="L141" s="39"/>
      <c r="M141" s="39"/>
      <c r="N141" s="39"/>
      <c r="O141" s="39"/>
      <c r="P141" s="39"/>
      <c r="Q141" s="39"/>
      <c r="R141" s="39"/>
      <c r="S141" s="39"/>
      <c r="T141" s="39"/>
      <c r="U141" s="39"/>
      <c r="V141" s="39"/>
      <c r="W141" s="39"/>
      <c r="X141" s="39"/>
      <c r="Y141" s="39"/>
      <c r="Z141" s="39"/>
      <c r="AA141" s="39"/>
      <c r="AB141" s="39"/>
    </row>
    <row r="142">
      <c r="A142" s="1"/>
      <c r="B142" s="36"/>
      <c r="C142" s="36"/>
      <c r="D142" s="36"/>
      <c r="E142" s="36"/>
      <c r="F142" s="36"/>
      <c r="G142" s="36"/>
      <c r="H142" s="37"/>
      <c r="I142" s="36"/>
      <c r="J142" s="38"/>
      <c r="K142" s="38"/>
      <c r="L142" s="39"/>
      <c r="M142" s="39"/>
      <c r="N142" s="39"/>
      <c r="O142" s="39"/>
      <c r="P142" s="39"/>
      <c r="Q142" s="39"/>
      <c r="R142" s="39"/>
      <c r="S142" s="39"/>
      <c r="T142" s="39"/>
      <c r="U142" s="39"/>
      <c r="V142" s="39"/>
      <c r="W142" s="39"/>
      <c r="X142" s="39"/>
      <c r="Y142" s="39"/>
      <c r="Z142" s="39"/>
      <c r="AA142" s="39"/>
      <c r="AB142" s="39"/>
    </row>
    <row r="143">
      <c r="A143" s="1"/>
      <c r="B143" s="36"/>
      <c r="C143" s="36"/>
      <c r="D143" s="36"/>
      <c r="E143" s="36"/>
      <c r="F143" s="36"/>
      <c r="G143" s="36"/>
      <c r="H143" s="37"/>
      <c r="I143" s="36"/>
      <c r="J143" s="38"/>
      <c r="K143" s="38"/>
      <c r="L143" s="39"/>
      <c r="M143" s="39"/>
      <c r="N143" s="39"/>
      <c r="O143" s="39"/>
      <c r="P143" s="39"/>
      <c r="Q143" s="39"/>
      <c r="R143" s="39"/>
      <c r="S143" s="39"/>
      <c r="T143" s="39"/>
      <c r="U143" s="39"/>
      <c r="V143" s="39"/>
      <c r="W143" s="39"/>
      <c r="X143" s="39"/>
      <c r="Y143" s="39"/>
      <c r="Z143" s="39"/>
      <c r="AA143" s="39"/>
      <c r="AB143" s="39"/>
    </row>
    <row r="144">
      <c r="A144" s="1"/>
      <c r="B144" s="36"/>
      <c r="C144" s="36"/>
      <c r="D144" s="36"/>
      <c r="E144" s="36"/>
      <c r="F144" s="36"/>
      <c r="G144" s="36"/>
      <c r="H144" s="37"/>
      <c r="I144" s="36"/>
      <c r="J144" s="38"/>
      <c r="K144" s="38"/>
      <c r="L144" s="39"/>
      <c r="M144" s="39"/>
      <c r="N144" s="39"/>
      <c r="O144" s="39"/>
      <c r="P144" s="39"/>
      <c r="Q144" s="39"/>
      <c r="R144" s="39"/>
      <c r="S144" s="39"/>
      <c r="T144" s="39"/>
      <c r="U144" s="39"/>
      <c r="V144" s="39"/>
      <c r="W144" s="39"/>
      <c r="X144" s="39"/>
      <c r="Y144" s="39"/>
      <c r="Z144" s="39"/>
      <c r="AA144" s="39"/>
      <c r="AB144" s="39"/>
    </row>
    <row r="145">
      <c r="A145" s="1"/>
      <c r="B145" s="36"/>
      <c r="C145" s="36"/>
      <c r="D145" s="36"/>
      <c r="E145" s="36"/>
      <c r="F145" s="36"/>
      <c r="G145" s="36"/>
      <c r="H145" s="37"/>
      <c r="I145" s="36"/>
      <c r="J145" s="38"/>
      <c r="K145" s="38"/>
      <c r="L145" s="39"/>
      <c r="M145" s="39"/>
      <c r="N145" s="39"/>
      <c r="O145" s="39"/>
      <c r="P145" s="39"/>
      <c r="Q145" s="39"/>
      <c r="R145" s="39"/>
      <c r="S145" s="39"/>
      <c r="T145" s="39"/>
      <c r="U145" s="39"/>
      <c r="V145" s="39"/>
      <c r="W145" s="39"/>
      <c r="X145" s="39"/>
      <c r="Y145" s="39"/>
      <c r="Z145" s="39"/>
      <c r="AA145" s="39"/>
      <c r="AB145" s="39"/>
    </row>
    <row r="146">
      <c r="A146" s="1"/>
      <c r="B146" s="36"/>
      <c r="C146" s="36"/>
      <c r="D146" s="36"/>
      <c r="E146" s="36"/>
      <c r="F146" s="36"/>
      <c r="G146" s="36"/>
      <c r="H146" s="37"/>
      <c r="I146" s="36"/>
      <c r="J146" s="38"/>
      <c r="K146" s="38"/>
      <c r="L146" s="39"/>
      <c r="M146" s="39"/>
      <c r="N146" s="39"/>
      <c r="O146" s="39"/>
      <c r="P146" s="39"/>
      <c r="Q146" s="39"/>
      <c r="R146" s="39"/>
      <c r="S146" s="39"/>
      <c r="T146" s="39"/>
      <c r="U146" s="39"/>
      <c r="V146" s="39"/>
      <c r="W146" s="39"/>
      <c r="X146" s="39"/>
      <c r="Y146" s="39"/>
      <c r="Z146" s="39"/>
      <c r="AA146" s="39"/>
      <c r="AB146" s="39"/>
    </row>
    <row r="147">
      <c r="A147" s="1"/>
      <c r="B147" s="36"/>
      <c r="C147" s="36"/>
      <c r="D147" s="36"/>
      <c r="E147" s="36"/>
      <c r="F147" s="36"/>
      <c r="G147" s="36"/>
      <c r="H147" s="37"/>
      <c r="I147" s="36"/>
      <c r="J147" s="38"/>
      <c r="K147" s="38"/>
      <c r="L147" s="39"/>
      <c r="M147" s="39"/>
      <c r="N147" s="39"/>
      <c r="O147" s="39"/>
      <c r="P147" s="39"/>
      <c r="Q147" s="39"/>
      <c r="R147" s="39"/>
      <c r="S147" s="39"/>
      <c r="T147" s="39"/>
      <c r="U147" s="39"/>
      <c r="V147" s="39"/>
      <c r="W147" s="39"/>
      <c r="X147" s="39"/>
      <c r="Y147" s="39"/>
      <c r="Z147" s="39"/>
      <c r="AA147" s="39"/>
      <c r="AB147" s="39"/>
    </row>
    <row r="148">
      <c r="A148" s="1"/>
      <c r="B148" s="36"/>
      <c r="C148" s="36"/>
      <c r="D148" s="36"/>
      <c r="E148" s="36"/>
      <c r="F148" s="36"/>
      <c r="G148" s="36"/>
      <c r="H148" s="37"/>
      <c r="I148" s="36"/>
      <c r="J148" s="38"/>
      <c r="K148" s="38"/>
      <c r="L148" s="39"/>
      <c r="M148" s="39"/>
      <c r="N148" s="39"/>
      <c r="O148" s="39"/>
      <c r="P148" s="39"/>
      <c r="Q148" s="39"/>
      <c r="R148" s="39"/>
      <c r="S148" s="39"/>
      <c r="T148" s="39"/>
      <c r="U148" s="39"/>
      <c r="V148" s="39"/>
      <c r="W148" s="39"/>
      <c r="X148" s="39"/>
      <c r="Y148" s="39"/>
      <c r="Z148" s="39"/>
      <c r="AA148" s="39"/>
      <c r="AB148" s="39"/>
    </row>
    <row r="149">
      <c r="A149" s="1"/>
      <c r="B149" s="36"/>
      <c r="C149" s="36"/>
      <c r="D149" s="36"/>
      <c r="E149" s="36"/>
      <c r="F149" s="36"/>
      <c r="G149" s="36"/>
      <c r="H149" s="37"/>
      <c r="I149" s="36"/>
      <c r="J149" s="38"/>
      <c r="K149" s="38"/>
      <c r="L149" s="39"/>
      <c r="M149" s="39"/>
      <c r="N149" s="39"/>
      <c r="O149" s="39"/>
      <c r="P149" s="39"/>
      <c r="Q149" s="39"/>
      <c r="R149" s="39"/>
      <c r="S149" s="39"/>
      <c r="T149" s="39"/>
      <c r="U149" s="39"/>
      <c r="V149" s="39"/>
      <c r="W149" s="39"/>
      <c r="X149" s="39"/>
      <c r="Y149" s="39"/>
      <c r="Z149" s="39"/>
      <c r="AA149" s="39"/>
      <c r="AB149" s="39"/>
    </row>
    <row r="150">
      <c r="A150" s="1"/>
      <c r="B150" s="36"/>
      <c r="C150" s="36"/>
      <c r="D150" s="36"/>
      <c r="E150" s="36"/>
      <c r="F150" s="36"/>
      <c r="G150" s="36"/>
      <c r="H150" s="37"/>
      <c r="I150" s="36"/>
      <c r="J150" s="38"/>
      <c r="K150" s="38"/>
      <c r="L150" s="39"/>
      <c r="M150" s="39"/>
      <c r="N150" s="39"/>
      <c r="O150" s="39"/>
      <c r="P150" s="39"/>
      <c r="Q150" s="39"/>
      <c r="R150" s="39"/>
      <c r="S150" s="39"/>
      <c r="T150" s="39"/>
      <c r="U150" s="39"/>
      <c r="V150" s="39"/>
      <c r="W150" s="39"/>
      <c r="X150" s="39"/>
      <c r="Y150" s="39"/>
      <c r="Z150" s="39"/>
      <c r="AA150" s="39"/>
      <c r="AB150" s="39"/>
    </row>
    <row r="151">
      <c r="A151" s="1"/>
      <c r="B151" s="36"/>
      <c r="C151" s="36"/>
      <c r="D151" s="36"/>
      <c r="E151" s="36"/>
      <c r="F151" s="36"/>
      <c r="G151" s="36"/>
      <c r="H151" s="37"/>
      <c r="I151" s="36"/>
      <c r="J151" s="38"/>
      <c r="K151" s="38"/>
      <c r="L151" s="39"/>
      <c r="M151" s="39"/>
      <c r="N151" s="39"/>
      <c r="O151" s="39"/>
      <c r="P151" s="39"/>
      <c r="Q151" s="39"/>
      <c r="R151" s="39"/>
      <c r="S151" s="39"/>
      <c r="T151" s="39"/>
      <c r="U151" s="39"/>
      <c r="V151" s="39"/>
      <c r="W151" s="39"/>
      <c r="X151" s="39"/>
      <c r="Y151" s="39"/>
      <c r="Z151" s="39"/>
      <c r="AA151" s="39"/>
      <c r="AB151" s="39"/>
    </row>
    <row r="152">
      <c r="A152" s="1"/>
      <c r="B152" s="36"/>
      <c r="C152" s="36"/>
      <c r="D152" s="36"/>
      <c r="E152" s="36"/>
      <c r="F152" s="36"/>
      <c r="G152" s="36"/>
      <c r="H152" s="37"/>
      <c r="I152" s="36"/>
      <c r="J152" s="38"/>
      <c r="K152" s="38"/>
      <c r="L152" s="39"/>
      <c r="M152" s="39"/>
      <c r="N152" s="39"/>
      <c r="O152" s="39"/>
      <c r="P152" s="39"/>
      <c r="Q152" s="39"/>
      <c r="R152" s="39"/>
      <c r="S152" s="39"/>
      <c r="T152" s="39"/>
      <c r="U152" s="39"/>
      <c r="V152" s="39"/>
      <c r="W152" s="39"/>
      <c r="X152" s="39"/>
      <c r="Y152" s="39"/>
      <c r="Z152" s="39"/>
      <c r="AA152" s="39"/>
      <c r="AB152" s="39"/>
    </row>
    <row r="153">
      <c r="A153" s="1"/>
      <c r="B153" s="36"/>
      <c r="C153" s="36"/>
      <c r="D153" s="36"/>
      <c r="E153" s="36"/>
      <c r="F153" s="36"/>
      <c r="G153" s="36"/>
      <c r="H153" s="37"/>
      <c r="I153" s="36"/>
      <c r="J153" s="38"/>
      <c r="K153" s="38"/>
      <c r="L153" s="39"/>
      <c r="M153" s="39"/>
      <c r="N153" s="39"/>
      <c r="O153" s="39"/>
      <c r="P153" s="39"/>
      <c r="Q153" s="39"/>
      <c r="R153" s="39"/>
      <c r="S153" s="39"/>
      <c r="T153" s="39"/>
      <c r="U153" s="39"/>
      <c r="V153" s="39"/>
      <c r="W153" s="39"/>
      <c r="X153" s="39"/>
      <c r="Y153" s="39"/>
      <c r="Z153" s="39"/>
      <c r="AA153" s="39"/>
      <c r="AB153" s="39"/>
    </row>
    <row r="154">
      <c r="A154" s="1"/>
      <c r="B154" s="36"/>
      <c r="C154" s="36"/>
      <c r="D154" s="36"/>
      <c r="E154" s="36"/>
      <c r="F154" s="36"/>
      <c r="G154" s="36"/>
      <c r="H154" s="37"/>
      <c r="I154" s="36"/>
      <c r="J154" s="38"/>
      <c r="K154" s="38"/>
      <c r="L154" s="39"/>
      <c r="M154" s="39"/>
      <c r="N154" s="39"/>
      <c r="O154" s="39"/>
      <c r="P154" s="39"/>
      <c r="Q154" s="39"/>
      <c r="R154" s="39"/>
      <c r="S154" s="39"/>
      <c r="T154" s="39"/>
      <c r="U154" s="39"/>
      <c r="V154" s="39"/>
      <c r="W154" s="39"/>
      <c r="X154" s="39"/>
      <c r="Y154" s="39"/>
      <c r="Z154" s="39"/>
      <c r="AA154" s="39"/>
      <c r="AB154" s="39"/>
    </row>
    <row r="155">
      <c r="A155" s="1"/>
      <c r="B155" s="36"/>
      <c r="C155" s="36"/>
      <c r="D155" s="36"/>
      <c r="E155" s="36"/>
      <c r="F155" s="36"/>
      <c r="G155" s="36"/>
      <c r="H155" s="37"/>
      <c r="I155" s="36"/>
      <c r="J155" s="38"/>
      <c r="K155" s="38"/>
      <c r="L155" s="39"/>
      <c r="M155" s="39"/>
      <c r="N155" s="39"/>
      <c r="O155" s="39"/>
      <c r="P155" s="39"/>
      <c r="Q155" s="39"/>
      <c r="R155" s="39"/>
      <c r="S155" s="39"/>
      <c r="T155" s="39"/>
      <c r="U155" s="39"/>
      <c r="V155" s="39"/>
      <c r="W155" s="39"/>
      <c r="X155" s="39"/>
      <c r="Y155" s="39"/>
      <c r="Z155" s="39"/>
      <c r="AA155" s="39"/>
      <c r="AB155" s="39"/>
    </row>
    <row r="156">
      <c r="A156" s="1"/>
      <c r="B156" s="36"/>
      <c r="C156" s="36"/>
      <c r="D156" s="36"/>
      <c r="E156" s="36"/>
      <c r="F156" s="36"/>
      <c r="G156" s="36"/>
      <c r="H156" s="37"/>
      <c r="I156" s="36"/>
      <c r="J156" s="38"/>
      <c r="K156" s="38"/>
      <c r="L156" s="39"/>
      <c r="M156" s="39"/>
      <c r="N156" s="39"/>
      <c r="O156" s="39"/>
      <c r="P156" s="39"/>
      <c r="Q156" s="39"/>
      <c r="R156" s="39"/>
      <c r="S156" s="39"/>
      <c r="T156" s="39"/>
      <c r="U156" s="39"/>
      <c r="V156" s="39"/>
      <c r="W156" s="39"/>
      <c r="X156" s="39"/>
      <c r="Y156" s="39"/>
      <c r="Z156" s="39"/>
      <c r="AA156" s="39"/>
      <c r="AB156" s="39"/>
    </row>
    <row r="157">
      <c r="A157" s="1"/>
      <c r="B157" s="36"/>
      <c r="C157" s="36"/>
      <c r="D157" s="36"/>
      <c r="E157" s="36"/>
      <c r="F157" s="36"/>
      <c r="G157" s="36"/>
      <c r="H157" s="37"/>
      <c r="I157" s="36"/>
      <c r="J157" s="38"/>
      <c r="K157" s="38"/>
      <c r="L157" s="39"/>
      <c r="M157" s="39"/>
      <c r="N157" s="39"/>
      <c r="O157" s="39"/>
      <c r="P157" s="39"/>
      <c r="Q157" s="39"/>
      <c r="R157" s="39"/>
      <c r="S157" s="39"/>
      <c r="T157" s="39"/>
      <c r="U157" s="39"/>
      <c r="V157" s="39"/>
      <c r="W157" s="39"/>
      <c r="X157" s="39"/>
      <c r="Y157" s="39"/>
      <c r="Z157" s="39"/>
      <c r="AA157" s="39"/>
      <c r="AB157" s="39"/>
    </row>
    <row r="158">
      <c r="A158" s="1"/>
      <c r="B158" s="36"/>
      <c r="C158" s="36"/>
      <c r="D158" s="36"/>
      <c r="E158" s="36"/>
      <c r="F158" s="36"/>
      <c r="G158" s="36"/>
      <c r="H158" s="37"/>
      <c r="I158" s="36"/>
      <c r="J158" s="38"/>
      <c r="K158" s="38"/>
      <c r="L158" s="39"/>
      <c r="M158" s="39"/>
      <c r="N158" s="39"/>
      <c r="O158" s="39"/>
      <c r="P158" s="39"/>
      <c r="Q158" s="39"/>
      <c r="R158" s="39"/>
      <c r="S158" s="39"/>
      <c r="T158" s="39"/>
      <c r="U158" s="39"/>
      <c r="V158" s="39"/>
      <c r="W158" s="39"/>
      <c r="X158" s="39"/>
      <c r="Y158" s="39"/>
      <c r="Z158" s="39"/>
      <c r="AA158" s="39"/>
      <c r="AB158" s="39"/>
    </row>
    <row r="159">
      <c r="A159" s="1"/>
      <c r="B159" s="36"/>
      <c r="C159" s="36"/>
      <c r="D159" s="36"/>
      <c r="E159" s="36"/>
      <c r="F159" s="36"/>
      <c r="G159" s="36"/>
      <c r="H159" s="37"/>
      <c r="I159" s="36"/>
      <c r="J159" s="38"/>
      <c r="K159" s="38"/>
      <c r="L159" s="39"/>
      <c r="M159" s="39"/>
      <c r="N159" s="39"/>
      <c r="O159" s="39"/>
      <c r="P159" s="39"/>
      <c r="Q159" s="39"/>
      <c r="R159" s="39"/>
      <c r="S159" s="39"/>
      <c r="T159" s="39"/>
      <c r="U159" s="39"/>
      <c r="V159" s="39"/>
      <c r="W159" s="39"/>
      <c r="X159" s="39"/>
      <c r="Y159" s="39"/>
      <c r="Z159" s="39"/>
      <c r="AA159" s="39"/>
      <c r="AB159" s="39"/>
    </row>
    <row r="160">
      <c r="A160" s="1"/>
      <c r="B160" s="36"/>
      <c r="C160" s="36"/>
      <c r="D160" s="36"/>
      <c r="E160" s="36"/>
      <c r="F160" s="36"/>
      <c r="G160" s="36"/>
      <c r="H160" s="37"/>
      <c r="I160" s="36"/>
      <c r="J160" s="38"/>
      <c r="K160" s="38"/>
      <c r="L160" s="39"/>
      <c r="M160" s="39"/>
      <c r="N160" s="39"/>
      <c r="O160" s="39"/>
      <c r="P160" s="39"/>
      <c r="Q160" s="39"/>
      <c r="R160" s="39"/>
      <c r="S160" s="39"/>
      <c r="T160" s="39"/>
      <c r="U160" s="39"/>
      <c r="V160" s="39"/>
      <c r="W160" s="39"/>
      <c r="X160" s="39"/>
      <c r="Y160" s="39"/>
      <c r="Z160" s="39"/>
      <c r="AA160" s="39"/>
      <c r="AB160" s="39"/>
    </row>
    <row r="161">
      <c r="A161" s="1"/>
      <c r="B161" s="36"/>
      <c r="C161" s="36"/>
      <c r="D161" s="36"/>
      <c r="E161" s="36"/>
      <c r="F161" s="36"/>
      <c r="G161" s="36"/>
      <c r="H161" s="37"/>
      <c r="I161" s="36"/>
      <c r="J161" s="38"/>
      <c r="K161" s="38"/>
      <c r="L161" s="39"/>
      <c r="M161" s="39"/>
      <c r="N161" s="39"/>
      <c r="O161" s="39"/>
      <c r="P161" s="39"/>
      <c r="Q161" s="39"/>
      <c r="R161" s="39"/>
      <c r="S161" s="39"/>
      <c r="T161" s="39"/>
      <c r="U161" s="39"/>
      <c r="V161" s="39"/>
      <c r="W161" s="39"/>
      <c r="X161" s="39"/>
      <c r="Y161" s="39"/>
      <c r="Z161" s="39"/>
      <c r="AA161" s="39"/>
      <c r="AB161" s="39"/>
    </row>
    <row r="162">
      <c r="A162" s="1"/>
      <c r="B162" s="36"/>
      <c r="C162" s="36"/>
      <c r="D162" s="36"/>
      <c r="E162" s="36"/>
      <c r="F162" s="36"/>
      <c r="G162" s="36"/>
      <c r="H162" s="37"/>
      <c r="I162" s="36"/>
      <c r="J162" s="38"/>
      <c r="K162" s="38"/>
      <c r="L162" s="39"/>
      <c r="M162" s="39"/>
      <c r="N162" s="39"/>
      <c r="O162" s="39"/>
      <c r="P162" s="39"/>
      <c r="Q162" s="39"/>
      <c r="R162" s="39"/>
      <c r="S162" s="39"/>
      <c r="T162" s="39"/>
      <c r="U162" s="39"/>
      <c r="V162" s="39"/>
      <c r="W162" s="39"/>
      <c r="X162" s="39"/>
      <c r="Y162" s="39"/>
      <c r="Z162" s="39"/>
      <c r="AA162" s="39"/>
      <c r="AB162" s="39"/>
    </row>
    <row r="163">
      <c r="A163" s="1"/>
      <c r="B163" s="36"/>
      <c r="C163" s="36"/>
      <c r="D163" s="36"/>
      <c r="E163" s="36"/>
      <c r="F163" s="36"/>
      <c r="G163" s="36"/>
      <c r="H163" s="37"/>
      <c r="I163" s="36"/>
      <c r="J163" s="38"/>
      <c r="K163" s="38"/>
      <c r="L163" s="39"/>
      <c r="M163" s="39"/>
      <c r="N163" s="39"/>
      <c r="O163" s="39"/>
      <c r="P163" s="39"/>
      <c r="Q163" s="39"/>
      <c r="R163" s="39"/>
      <c r="S163" s="39"/>
      <c r="T163" s="39"/>
      <c r="U163" s="39"/>
      <c r="V163" s="39"/>
      <c r="W163" s="39"/>
      <c r="X163" s="39"/>
      <c r="Y163" s="39"/>
      <c r="Z163" s="39"/>
      <c r="AA163" s="39"/>
      <c r="AB163" s="39"/>
    </row>
    <row r="164">
      <c r="A164" s="1"/>
      <c r="B164" s="36"/>
      <c r="C164" s="36"/>
      <c r="D164" s="36"/>
      <c r="E164" s="36"/>
      <c r="F164" s="36"/>
      <c r="G164" s="36"/>
      <c r="H164" s="37"/>
      <c r="I164" s="36"/>
      <c r="J164" s="38"/>
      <c r="K164" s="38"/>
      <c r="L164" s="39"/>
      <c r="M164" s="39"/>
      <c r="N164" s="39"/>
      <c r="O164" s="39"/>
      <c r="P164" s="39"/>
      <c r="Q164" s="39"/>
      <c r="R164" s="39"/>
      <c r="S164" s="39"/>
      <c r="T164" s="39"/>
      <c r="U164" s="39"/>
      <c r="V164" s="39"/>
      <c r="W164" s="39"/>
      <c r="X164" s="39"/>
      <c r="Y164" s="39"/>
      <c r="Z164" s="39"/>
      <c r="AA164" s="39"/>
      <c r="AB164" s="39"/>
    </row>
    <row r="165">
      <c r="A165" s="1"/>
      <c r="B165" s="36"/>
      <c r="C165" s="36"/>
      <c r="D165" s="36"/>
      <c r="E165" s="36"/>
      <c r="F165" s="36"/>
      <c r="G165" s="36"/>
      <c r="H165" s="37"/>
      <c r="I165" s="36"/>
      <c r="J165" s="38"/>
      <c r="K165" s="38"/>
      <c r="L165" s="39"/>
      <c r="M165" s="39"/>
      <c r="N165" s="39"/>
      <c r="O165" s="39"/>
      <c r="P165" s="39"/>
      <c r="Q165" s="39"/>
      <c r="R165" s="39"/>
      <c r="S165" s="39"/>
      <c r="T165" s="39"/>
      <c r="U165" s="39"/>
      <c r="V165" s="39"/>
      <c r="W165" s="39"/>
      <c r="X165" s="39"/>
      <c r="Y165" s="39"/>
      <c r="Z165" s="39"/>
      <c r="AA165" s="39"/>
      <c r="AB165" s="39"/>
    </row>
    <row r="166">
      <c r="A166" s="1"/>
      <c r="B166" s="36"/>
      <c r="C166" s="36"/>
      <c r="D166" s="36"/>
      <c r="E166" s="36"/>
      <c r="F166" s="36"/>
      <c r="G166" s="36"/>
      <c r="H166" s="37"/>
      <c r="I166" s="36"/>
      <c r="J166" s="38"/>
      <c r="K166" s="38"/>
      <c r="L166" s="39"/>
      <c r="M166" s="39"/>
      <c r="N166" s="39"/>
      <c r="O166" s="39"/>
      <c r="P166" s="39"/>
      <c r="Q166" s="39"/>
      <c r="R166" s="39"/>
      <c r="S166" s="39"/>
      <c r="T166" s="39"/>
      <c r="U166" s="39"/>
      <c r="V166" s="39"/>
      <c r="W166" s="39"/>
      <c r="X166" s="39"/>
      <c r="Y166" s="39"/>
      <c r="Z166" s="39"/>
      <c r="AA166" s="39"/>
      <c r="AB166" s="39"/>
    </row>
    <row r="167">
      <c r="A167" s="1"/>
      <c r="B167" s="36"/>
      <c r="C167" s="36"/>
      <c r="D167" s="36"/>
      <c r="E167" s="36"/>
      <c r="F167" s="36"/>
      <c r="G167" s="36"/>
      <c r="H167" s="37"/>
      <c r="I167" s="36"/>
      <c r="J167" s="38"/>
      <c r="K167" s="38"/>
      <c r="L167" s="39"/>
      <c r="M167" s="39"/>
      <c r="N167" s="39"/>
      <c r="O167" s="39"/>
      <c r="P167" s="39"/>
      <c r="Q167" s="39"/>
      <c r="R167" s="39"/>
      <c r="S167" s="39"/>
      <c r="T167" s="39"/>
      <c r="U167" s="39"/>
      <c r="V167" s="39"/>
      <c r="W167" s="39"/>
      <c r="X167" s="39"/>
      <c r="Y167" s="39"/>
      <c r="Z167" s="39"/>
      <c r="AA167" s="39"/>
      <c r="AB167" s="39"/>
    </row>
    <row r="168">
      <c r="A168" s="1"/>
      <c r="B168" s="36"/>
      <c r="C168" s="36"/>
      <c r="D168" s="36"/>
      <c r="E168" s="36"/>
      <c r="F168" s="36"/>
      <c r="G168" s="36"/>
      <c r="H168" s="37"/>
      <c r="I168" s="36"/>
      <c r="J168" s="38"/>
      <c r="K168" s="38"/>
      <c r="L168" s="39"/>
      <c r="M168" s="39"/>
      <c r="N168" s="39"/>
      <c r="O168" s="39"/>
      <c r="P168" s="39"/>
      <c r="Q168" s="39"/>
      <c r="R168" s="39"/>
      <c r="S168" s="39"/>
      <c r="T168" s="39"/>
      <c r="U168" s="39"/>
      <c r="V168" s="39"/>
      <c r="W168" s="39"/>
      <c r="X168" s="39"/>
      <c r="Y168" s="39"/>
      <c r="Z168" s="39"/>
      <c r="AA168" s="39"/>
      <c r="AB168" s="39"/>
    </row>
    <row r="169">
      <c r="A169" s="1"/>
      <c r="B169" s="36"/>
      <c r="C169" s="36"/>
      <c r="D169" s="36"/>
      <c r="E169" s="36"/>
      <c r="F169" s="36"/>
      <c r="G169" s="36"/>
      <c r="H169" s="37"/>
      <c r="I169" s="36"/>
      <c r="J169" s="38"/>
      <c r="K169" s="38"/>
      <c r="L169" s="39"/>
      <c r="M169" s="39"/>
      <c r="N169" s="39"/>
      <c r="O169" s="39"/>
      <c r="P169" s="39"/>
      <c r="Q169" s="39"/>
      <c r="R169" s="39"/>
      <c r="S169" s="39"/>
      <c r="T169" s="39"/>
      <c r="U169" s="39"/>
      <c r="V169" s="39"/>
      <c r="W169" s="39"/>
      <c r="X169" s="39"/>
      <c r="Y169" s="39"/>
      <c r="Z169" s="39"/>
      <c r="AA169" s="39"/>
      <c r="AB169" s="39"/>
    </row>
    <row r="170">
      <c r="A170" s="1"/>
      <c r="B170" s="36"/>
      <c r="C170" s="36"/>
      <c r="D170" s="36"/>
      <c r="E170" s="36"/>
      <c r="F170" s="36"/>
      <c r="G170" s="36"/>
      <c r="H170" s="37"/>
      <c r="I170" s="36"/>
      <c r="J170" s="38"/>
      <c r="K170" s="38"/>
      <c r="L170" s="39"/>
      <c r="M170" s="39"/>
      <c r="N170" s="39"/>
      <c r="O170" s="39"/>
      <c r="P170" s="39"/>
      <c r="Q170" s="39"/>
      <c r="R170" s="39"/>
      <c r="S170" s="39"/>
      <c r="T170" s="39"/>
      <c r="U170" s="39"/>
      <c r="V170" s="39"/>
      <c r="W170" s="39"/>
      <c r="X170" s="39"/>
      <c r="Y170" s="39"/>
      <c r="Z170" s="39"/>
      <c r="AA170" s="39"/>
      <c r="AB170" s="39"/>
    </row>
    <row r="171">
      <c r="A171" s="1"/>
      <c r="B171" s="36"/>
      <c r="C171" s="36"/>
      <c r="D171" s="36"/>
      <c r="E171" s="36"/>
      <c r="F171" s="36"/>
      <c r="G171" s="36"/>
      <c r="H171" s="37"/>
      <c r="I171" s="36"/>
      <c r="J171" s="38"/>
      <c r="K171" s="38"/>
      <c r="L171" s="39"/>
      <c r="M171" s="39"/>
      <c r="N171" s="39"/>
      <c r="O171" s="39"/>
      <c r="P171" s="39"/>
      <c r="Q171" s="39"/>
      <c r="R171" s="39"/>
      <c r="S171" s="39"/>
      <c r="T171" s="39"/>
      <c r="U171" s="39"/>
      <c r="V171" s="39"/>
      <c r="W171" s="39"/>
      <c r="X171" s="39"/>
      <c r="Y171" s="39"/>
      <c r="Z171" s="39"/>
      <c r="AA171" s="39"/>
      <c r="AB171" s="39"/>
    </row>
    <row r="172">
      <c r="A172" s="1"/>
      <c r="B172" s="36"/>
      <c r="C172" s="36"/>
      <c r="D172" s="36"/>
      <c r="E172" s="36"/>
      <c r="F172" s="36"/>
      <c r="G172" s="36"/>
      <c r="H172" s="37"/>
      <c r="I172" s="36"/>
      <c r="J172" s="38"/>
      <c r="K172" s="38"/>
      <c r="L172" s="39"/>
      <c r="M172" s="39"/>
      <c r="N172" s="39"/>
      <c r="O172" s="39"/>
      <c r="P172" s="39"/>
      <c r="Q172" s="39"/>
      <c r="R172" s="39"/>
      <c r="S172" s="39"/>
      <c r="T172" s="39"/>
      <c r="U172" s="39"/>
      <c r="V172" s="39"/>
      <c r="W172" s="39"/>
      <c r="X172" s="39"/>
      <c r="Y172" s="39"/>
      <c r="Z172" s="39"/>
      <c r="AA172" s="39"/>
      <c r="AB172" s="39"/>
    </row>
    <row r="173">
      <c r="A173" s="1"/>
      <c r="B173" s="36"/>
      <c r="C173" s="36"/>
      <c r="D173" s="36"/>
      <c r="E173" s="36"/>
      <c r="F173" s="36"/>
      <c r="G173" s="36"/>
      <c r="H173" s="37"/>
      <c r="I173" s="36"/>
      <c r="J173" s="38"/>
      <c r="K173" s="38"/>
      <c r="L173" s="39"/>
      <c r="M173" s="39"/>
      <c r="N173" s="39"/>
      <c r="O173" s="39"/>
      <c r="P173" s="39"/>
      <c r="Q173" s="39"/>
      <c r="R173" s="39"/>
      <c r="S173" s="39"/>
      <c r="T173" s="39"/>
      <c r="U173" s="39"/>
      <c r="V173" s="39"/>
      <c r="W173" s="39"/>
      <c r="X173" s="39"/>
      <c r="Y173" s="39"/>
      <c r="Z173" s="39"/>
      <c r="AA173" s="39"/>
      <c r="AB173" s="39"/>
    </row>
    <row r="174">
      <c r="A174" s="1"/>
      <c r="B174" s="36"/>
      <c r="C174" s="36"/>
      <c r="D174" s="36"/>
      <c r="E174" s="36"/>
      <c r="F174" s="36"/>
      <c r="G174" s="36"/>
      <c r="H174" s="37"/>
      <c r="I174" s="36"/>
      <c r="J174" s="38"/>
      <c r="K174" s="38"/>
      <c r="L174" s="39"/>
      <c r="M174" s="39"/>
      <c r="N174" s="39"/>
      <c r="O174" s="39"/>
      <c r="P174" s="39"/>
      <c r="Q174" s="39"/>
      <c r="R174" s="39"/>
      <c r="S174" s="39"/>
      <c r="T174" s="39"/>
      <c r="U174" s="39"/>
      <c r="V174" s="39"/>
      <c r="W174" s="39"/>
      <c r="X174" s="39"/>
      <c r="Y174" s="39"/>
      <c r="Z174" s="39"/>
      <c r="AA174" s="39"/>
      <c r="AB174" s="39"/>
    </row>
    <row r="175">
      <c r="A175" s="1"/>
      <c r="B175" s="36"/>
      <c r="C175" s="36"/>
      <c r="D175" s="36"/>
      <c r="E175" s="36"/>
      <c r="F175" s="36"/>
      <c r="G175" s="36"/>
      <c r="H175" s="37"/>
      <c r="I175" s="36"/>
      <c r="J175" s="38"/>
      <c r="K175" s="38"/>
      <c r="L175" s="39"/>
      <c r="M175" s="39"/>
      <c r="N175" s="39"/>
      <c r="O175" s="39"/>
      <c r="P175" s="39"/>
      <c r="Q175" s="39"/>
      <c r="R175" s="39"/>
      <c r="S175" s="39"/>
      <c r="T175" s="39"/>
      <c r="U175" s="39"/>
      <c r="V175" s="39"/>
      <c r="W175" s="39"/>
      <c r="X175" s="39"/>
      <c r="Y175" s="39"/>
      <c r="Z175" s="39"/>
      <c r="AA175" s="39"/>
      <c r="AB175" s="39"/>
    </row>
    <row r="176">
      <c r="A176" s="1"/>
      <c r="B176" s="36"/>
      <c r="C176" s="36"/>
      <c r="D176" s="36"/>
      <c r="E176" s="36"/>
      <c r="F176" s="36"/>
      <c r="G176" s="36"/>
      <c r="H176" s="37"/>
      <c r="I176" s="36"/>
      <c r="J176" s="38"/>
      <c r="K176" s="38"/>
      <c r="L176" s="39"/>
      <c r="M176" s="39"/>
      <c r="N176" s="39"/>
      <c r="O176" s="39"/>
      <c r="P176" s="39"/>
      <c r="Q176" s="39"/>
      <c r="R176" s="39"/>
      <c r="S176" s="39"/>
      <c r="T176" s="39"/>
      <c r="U176" s="39"/>
      <c r="V176" s="39"/>
      <c r="W176" s="39"/>
      <c r="X176" s="39"/>
      <c r="Y176" s="39"/>
      <c r="Z176" s="39"/>
      <c r="AA176" s="39"/>
      <c r="AB176" s="39"/>
    </row>
    <row r="177">
      <c r="A177" s="1"/>
      <c r="B177" s="36"/>
      <c r="C177" s="36"/>
      <c r="D177" s="36"/>
      <c r="E177" s="36"/>
      <c r="F177" s="36"/>
      <c r="G177" s="36"/>
      <c r="H177" s="37"/>
      <c r="I177" s="36"/>
      <c r="J177" s="38"/>
      <c r="K177" s="38"/>
      <c r="L177" s="39"/>
      <c r="M177" s="39"/>
      <c r="N177" s="39"/>
      <c r="O177" s="39"/>
      <c r="P177" s="39"/>
      <c r="Q177" s="39"/>
      <c r="R177" s="39"/>
      <c r="S177" s="39"/>
      <c r="T177" s="39"/>
      <c r="U177" s="39"/>
      <c r="V177" s="39"/>
      <c r="W177" s="39"/>
      <c r="X177" s="39"/>
      <c r="Y177" s="39"/>
      <c r="Z177" s="39"/>
      <c r="AA177" s="39"/>
      <c r="AB177" s="39"/>
    </row>
    <row r="178">
      <c r="A178" s="1"/>
      <c r="B178" s="36"/>
      <c r="C178" s="36"/>
      <c r="D178" s="36"/>
      <c r="E178" s="36"/>
      <c r="F178" s="36"/>
      <c r="G178" s="36"/>
      <c r="H178" s="37"/>
      <c r="I178" s="36"/>
      <c r="J178" s="38"/>
      <c r="K178" s="38"/>
      <c r="L178" s="39"/>
      <c r="M178" s="39"/>
      <c r="N178" s="39"/>
      <c r="O178" s="39"/>
      <c r="P178" s="39"/>
      <c r="Q178" s="39"/>
      <c r="R178" s="39"/>
      <c r="S178" s="39"/>
      <c r="T178" s="39"/>
      <c r="U178" s="39"/>
      <c r="V178" s="39"/>
      <c r="W178" s="39"/>
      <c r="X178" s="39"/>
      <c r="Y178" s="39"/>
      <c r="Z178" s="39"/>
      <c r="AA178" s="39"/>
      <c r="AB178" s="39"/>
    </row>
    <row r="179">
      <c r="A179" s="1"/>
      <c r="B179" s="36"/>
      <c r="C179" s="36"/>
      <c r="D179" s="36"/>
      <c r="E179" s="36"/>
      <c r="F179" s="36"/>
      <c r="G179" s="36"/>
      <c r="H179" s="37"/>
      <c r="I179" s="36"/>
      <c r="J179" s="38"/>
      <c r="K179" s="38"/>
      <c r="L179" s="39"/>
      <c r="M179" s="39"/>
      <c r="N179" s="39"/>
      <c r="O179" s="39"/>
      <c r="P179" s="39"/>
      <c r="Q179" s="39"/>
      <c r="R179" s="39"/>
      <c r="S179" s="39"/>
      <c r="T179" s="39"/>
      <c r="U179" s="39"/>
      <c r="V179" s="39"/>
      <c r="W179" s="39"/>
      <c r="X179" s="39"/>
      <c r="Y179" s="39"/>
      <c r="Z179" s="39"/>
      <c r="AA179" s="39"/>
      <c r="AB179" s="39"/>
    </row>
    <row r="180">
      <c r="A180" s="1"/>
      <c r="B180" s="36"/>
      <c r="C180" s="36"/>
      <c r="D180" s="36"/>
      <c r="E180" s="36"/>
      <c r="F180" s="36"/>
      <c r="G180" s="36"/>
      <c r="H180" s="37"/>
      <c r="I180" s="36"/>
      <c r="J180" s="38"/>
      <c r="K180" s="38"/>
      <c r="L180" s="39"/>
      <c r="M180" s="39"/>
      <c r="N180" s="39"/>
      <c r="O180" s="39"/>
      <c r="P180" s="39"/>
      <c r="Q180" s="39"/>
      <c r="R180" s="39"/>
      <c r="S180" s="39"/>
      <c r="T180" s="39"/>
      <c r="U180" s="39"/>
      <c r="V180" s="39"/>
      <c r="W180" s="39"/>
      <c r="X180" s="39"/>
      <c r="Y180" s="39"/>
      <c r="Z180" s="39"/>
      <c r="AA180" s="39"/>
      <c r="AB180" s="39"/>
    </row>
    <row r="181">
      <c r="A181" s="1"/>
      <c r="B181" s="36"/>
      <c r="C181" s="36"/>
      <c r="D181" s="36"/>
      <c r="E181" s="36"/>
      <c r="F181" s="36"/>
      <c r="G181" s="36"/>
      <c r="H181" s="37"/>
      <c r="I181" s="36"/>
      <c r="J181" s="38"/>
      <c r="K181" s="38"/>
      <c r="L181" s="39"/>
      <c r="M181" s="39"/>
      <c r="N181" s="39"/>
      <c r="O181" s="39"/>
      <c r="P181" s="39"/>
      <c r="Q181" s="39"/>
      <c r="R181" s="39"/>
      <c r="S181" s="39"/>
      <c r="T181" s="39"/>
      <c r="U181" s="39"/>
      <c r="V181" s="39"/>
      <c r="W181" s="39"/>
      <c r="X181" s="39"/>
      <c r="Y181" s="39"/>
      <c r="Z181" s="39"/>
      <c r="AA181" s="39"/>
      <c r="AB181" s="39"/>
    </row>
    <row r="182">
      <c r="A182" s="1"/>
      <c r="B182" s="36"/>
      <c r="C182" s="36"/>
      <c r="D182" s="36"/>
      <c r="E182" s="36"/>
      <c r="F182" s="36"/>
      <c r="G182" s="36"/>
      <c r="H182" s="37"/>
      <c r="I182" s="36"/>
      <c r="J182" s="38"/>
      <c r="K182" s="38"/>
      <c r="L182" s="39"/>
      <c r="M182" s="39"/>
      <c r="N182" s="39"/>
      <c r="O182" s="39"/>
      <c r="P182" s="39"/>
      <c r="Q182" s="39"/>
      <c r="R182" s="39"/>
      <c r="S182" s="39"/>
      <c r="T182" s="39"/>
      <c r="U182" s="39"/>
      <c r="V182" s="39"/>
      <c r="W182" s="39"/>
      <c r="X182" s="39"/>
      <c r="Y182" s="39"/>
      <c r="Z182" s="39"/>
      <c r="AA182" s="39"/>
      <c r="AB182" s="39"/>
    </row>
    <row r="183">
      <c r="A183" s="1"/>
      <c r="B183" s="36"/>
      <c r="C183" s="36"/>
      <c r="D183" s="36"/>
      <c r="E183" s="36"/>
      <c r="F183" s="36"/>
      <c r="G183" s="36"/>
      <c r="H183" s="37"/>
      <c r="I183" s="36"/>
      <c r="J183" s="38"/>
      <c r="K183" s="38"/>
      <c r="L183" s="39"/>
      <c r="M183" s="39"/>
      <c r="N183" s="39"/>
      <c r="O183" s="39"/>
      <c r="P183" s="39"/>
      <c r="Q183" s="39"/>
      <c r="R183" s="39"/>
      <c r="S183" s="39"/>
      <c r="T183" s="39"/>
      <c r="U183" s="39"/>
      <c r="V183" s="39"/>
      <c r="W183" s="39"/>
      <c r="X183" s="39"/>
      <c r="Y183" s="39"/>
      <c r="Z183" s="39"/>
      <c r="AA183" s="39"/>
      <c r="AB183" s="39"/>
    </row>
    <row r="184">
      <c r="A184" s="1"/>
      <c r="B184" s="36"/>
      <c r="C184" s="36"/>
      <c r="D184" s="36"/>
      <c r="E184" s="36"/>
      <c r="F184" s="36"/>
      <c r="G184" s="36"/>
      <c r="H184" s="37"/>
      <c r="I184" s="36"/>
      <c r="J184" s="38"/>
      <c r="K184" s="38"/>
      <c r="L184" s="39"/>
      <c r="M184" s="39"/>
      <c r="N184" s="39"/>
      <c r="O184" s="39"/>
      <c r="P184" s="39"/>
      <c r="Q184" s="39"/>
      <c r="R184" s="39"/>
      <c r="S184" s="39"/>
      <c r="T184" s="39"/>
      <c r="U184" s="39"/>
      <c r="V184" s="39"/>
      <c r="W184" s="39"/>
      <c r="X184" s="39"/>
      <c r="Y184" s="39"/>
      <c r="Z184" s="39"/>
      <c r="AA184" s="39"/>
      <c r="AB184" s="39"/>
    </row>
    <row r="185">
      <c r="A185" s="1"/>
      <c r="B185" s="36"/>
      <c r="C185" s="36"/>
      <c r="D185" s="36"/>
      <c r="E185" s="36"/>
      <c r="F185" s="36"/>
      <c r="G185" s="36"/>
      <c r="H185" s="37"/>
      <c r="I185" s="36"/>
      <c r="J185" s="38"/>
      <c r="K185" s="38"/>
      <c r="L185" s="39"/>
      <c r="M185" s="39"/>
      <c r="N185" s="39"/>
      <c r="O185" s="39"/>
      <c r="P185" s="39"/>
      <c r="Q185" s="39"/>
      <c r="R185" s="39"/>
      <c r="S185" s="39"/>
      <c r="T185" s="39"/>
      <c r="U185" s="39"/>
      <c r="V185" s="39"/>
      <c r="W185" s="39"/>
      <c r="X185" s="39"/>
      <c r="Y185" s="39"/>
      <c r="Z185" s="39"/>
      <c r="AA185" s="39"/>
      <c r="AB185" s="39"/>
    </row>
    <row r="186">
      <c r="A186" s="1"/>
      <c r="B186" s="36"/>
      <c r="C186" s="36"/>
      <c r="D186" s="36"/>
      <c r="E186" s="36"/>
      <c r="F186" s="36"/>
      <c r="G186" s="36"/>
      <c r="H186" s="37"/>
      <c r="I186" s="36"/>
      <c r="J186" s="38"/>
      <c r="K186" s="38"/>
      <c r="L186" s="39"/>
      <c r="M186" s="39"/>
      <c r="N186" s="39"/>
      <c r="O186" s="39"/>
      <c r="P186" s="39"/>
      <c r="Q186" s="39"/>
      <c r="R186" s="39"/>
      <c r="S186" s="39"/>
      <c r="T186" s="39"/>
      <c r="U186" s="39"/>
      <c r="V186" s="39"/>
      <c r="W186" s="39"/>
      <c r="X186" s="39"/>
      <c r="Y186" s="39"/>
      <c r="Z186" s="39"/>
      <c r="AA186" s="39"/>
      <c r="AB186" s="39"/>
    </row>
    <row r="187">
      <c r="A187" s="1"/>
      <c r="B187" s="36"/>
      <c r="C187" s="36"/>
      <c r="D187" s="36"/>
      <c r="E187" s="36"/>
      <c r="F187" s="36"/>
      <c r="G187" s="36"/>
      <c r="H187" s="37"/>
      <c r="I187" s="36"/>
      <c r="J187" s="38"/>
      <c r="K187" s="38"/>
      <c r="L187" s="39"/>
      <c r="M187" s="39"/>
      <c r="N187" s="39"/>
      <c r="O187" s="39"/>
      <c r="P187" s="39"/>
      <c r="Q187" s="39"/>
      <c r="R187" s="39"/>
      <c r="S187" s="39"/>
      <c r="T187" s="39"/>
      <c r="U187" s="39"/>
      <c r="V187" s="39"/>
      <c r="W187" s="39"/>
      <c r="X187" s="39"/>
      <c r="Y187" s="39"/>
      <c r="Z187" s="39"/>
      <c r="AA187" s="39"/>
      <c r="AB187" s="39"/>
    </row>
    <row r="188">
      <c r="A188" s="1"/>
      <c r="B188" s="36"/>
      <c r="C188" s="36"/>
      <c r="D188" s="36"/>
      <c r="E188" s="36"/>
      <c r="F188" s="36"/>
      <c r="G188" s="36"/>
      <c r="H188" s="37"/>
      <c r="I188" s="36"/>
      <c r="J188" s="38"/>
      <c r="K188" s="38"/>
      <c r="L188" s="39"/>
      <c r="M188" s="39"/>
      <c r="N188" s="39"/>
      <c r="O188" s="39"/>
      <c r="P188" s="39"/>
      <c r="Q188" s="39"/>
      <c r="R188" s="39"/>
      <c r="S188" s="39"/>
      <c r="T188" s="39"/>
      <c r="U188" s="39"/>
      <c r="V188" s="39"/>
      <c r="W188" s="39"/>
      <c r="X188" s="39"/>
      <c r="Y188" s="39"/>
      <c r="Z188" s="39"/>
      <c r="AA188" s="39"/>
      <c r="AB188" s="39"/>
    </row>
    <row r="189">
      <c r="A189" s="1"/>
      <c r="B189" s="36"/>
      <c r="C189" s="36"/>
      <c r="D189" s="36"/>
      <c r="E189" s="36"/>
      <c r="F189" s="36"/>
      <c r="G189" s="36"/>
      <c r="H189" s="37"/>
      <c r="I189" s="36"/>
      <c r="J189" s="38"/>
      <c r="K189" s="38"/>
      <c r="L189" s="39"/>
      <c r="M189" s="39"/>
      <c r="N189" s="39"/>
      <c r="O189" s="39"/>
      <c r="P189" s="39"/>
      <c r="Q189" s="39"/>
      <c r="R189" s="39"/>
      <c r="S189" s="39"/>
      <c r="T189" s="39"/>
      <c r="U189" s="39"/>
      <c r="V189" s="39"/>
      <c r="W189" s="39"/>
      <c r="X189" s="39"/>
      <c r="Y189" s="39"/>
      <c r="Z189" s="39"/>
      <c r="AA189" s="39"/>
      <c r="AB189" s="39"/>
    </row>
    <row r="190">
      <c r="A190" s="1"/>
      <c r="B190" s="36"/>
      <c r="C190" s="36"/>
      <c r="D190" s="36"/>
      <c r="E190" s="36"/>
      <c r="F190" s="36"/>
      <c r="G190" s="36"/>
      <c r="H190" s="37"/>
      <c r="I190" s="36"/>
      <c r="J190" s="38"/>
      <c r="K190" s="38"/>
      <c r="L190" s="39"/>
      <c r="M190" s="39"/>
      <c r="N190" s="39"/>
      <c r="O190" s="39"/>
      <c r="P190" s="39"/>
      <c r="Q190" s="39"/>
      <c r="R190" s="39"/>
      <c r="S190" s="39"/>
      <c r="T190" s="39"/>
      <c r="U190" s="39"/>
      <c r="V190" s="39"/>
      <c r="W190" s="39"/>
      <c r="X190" s="39"/>
      <c r="Y190" s="39"/>
      <c r="Z190" s="39"/>
      <c r="AA190" s="39"/>
      <c r="AB190" s="39"/>
    </row>
    <row r="191">
      <c r="A191" s="1"/>
      <c r="B191" s="36"/>
      <c r="C191" s="36"/>
      <c r="D191" s="36"/>
      <c r="E191" s="36"/>
      <c r="F191" s="36"/>
      <c r="G191" s="36"/>
      <c r="H191" s="37"/>
      <c r="I191" s="36"/>
      <c r="J191" s="38"/>
      <c r="K191" s="38"/>
      <c r="L191" s="39"/>
      <c r="M191" s="39"/>
      <c r="N191" s="39"/>
      <c r="O191" s="39"/>
      <c r="P191" s="39"/>
      <c r="Q191" s="39"/>
      <c r="R191" s="39"/>
      <c r="S191" s="39"/>
      <c r="T191" s="39"/>
      <c r="U191" s="39"/>
      <c r="V191" s="39"/>
      <c r="W191" s="39"/>
      <c r="X191" s="39"/>
      <c r="Y191" s="39"/>
      <c r="Z191" s="39"/>
      <c r="AA191" s="39"/>
      <c r="AB191" s="39"/>
    </row>
    <row r="192">
      <c r="A192" s="1"/>
      <c r="B192" s="36"/>
      <c r="C192" s="36"/>
      <c r="D192" s="36"/>
      <c r="E192" s="36"/>
      <c r="F192" s="36"/>
      <c r="G192" s="36"/>
      <c r="H192" s="37"/>
      <c r="I192" s="36"/>
      <c r="J192" s="38"/>
      <c r="K192" s="38"/>
      <c r="L192" s="39"/>
      <c r="M192" s="39"/>
      <c r="N192" s="39"/>
      <c r="O192" s="39"/>
      <c r="P192" s="39"/>
      <c r="Q192" s="39"/>
      <c r="R192" s="39"/>
      <c r="S192" s="39"/>
      <c r="T192" s="39"/>
      <c r="U192" s="39"/>
      <c r="V192" s="39"/>
      <c r="W192" s="39"/>
      <c r="X192" s="39"/>
      <c r="Y192" s="39"/>
      <c r="Z192" s="39"/>
      <c r="AA192" s="39"/>
      <c r="AB192" s="39"/>
    </row>
    <row r="193">
      <c r="A193" s="1"/>
      <c r="B193" s="36"/>
      <c r="C193" s="36"/>
      <c r="D193" s="36"/>
      <c r="E193" s="36"/>
      <c r="F193" s="36"/>
      <c r="G193" s="36"/>
      <c r="H193" s="37"/>
      <c r="I193" s="36"/>
      <c r="J193" s="38"/>
      <c r="K193" s="38"/>
      <c r="L193" s="39"/>
      <c r="M193" s="39"/>
      <c r="N193" s="39"/>
      <c r="O193" s="39"/>
      <c r="P193" s="39"/>
      <c r="Q193" s="39"/>
      <c r="R193" s="39"/>
      <c r="S193" s="39"/>
      <c r="T193" s="39"/>
      <c r="U193" s="39"/>
      <c r="V193" s="39"/>
      <c r="W193" s="39"/>
      <c r="X193" s="39"/>
      <c r="Y193" s="39"/>
      <c r="Z193" s="39"/>
      <c r="AA193" s="39"/>
      <c r="AB193" s="39"/>
    </row>
    <row r="194">
      <c r="A194" s="1"/>
      <c r="B194" s="36"/>
      <c r="C194" s="36"/>
      <c r="D194" s="36"/>
      <c r="E194" s="36"/>
      <c r="F194" s="36"/>
      <c r="G194" s="36"/>
      <c r="H194" s="37"/>
      <c r="I194" s="36"/>
      <c r="J194" s="38"/>
      <c r="K194" s="38"/>
      <c r="L194" s="39"/>
      <c r="M194" s="39"/>
      <c r="N194" s="39"/>
      <c r="O194" s="39"/>
      <c r="P194" s="39"/>
      <c r="Q194" s="39"/>
      <c r="R194" s="39"/>
      <c r="S194" s="39"/>
      <c r="T194" s="39"/>
      <c r="U194" s="39"/>
      <c r="V194" s="39"/>
      <c r="W194" s="39"/>
      <c r="X194" s="39"/>
      <c r="Y194" s="39"/>
      <c r="Z194" s="39"/>
      <c r="AA194" s="39"/>
      <c r="AB194" s="39"/>
    </row>
    <row r="195">
      <c r="A195" s="1"/>
      <c r="B195" s="36"/>
      <c r="C195" s="36"/>
      <c r="D195" s="36"/>
      <c r="E195" s="36"/>
      <c r="F195" s="36"/>
      <c r="G195" s="36"/>
      <c r="H195" s="37"/>
      <c r="I195" s="36"/>
      <c r="J195" s="38"/>
      <c r="K195" s="38"/>
      <c r="L195" s="39"/>
      <c r="M195" s="39"/>
      <c r="N195" s="39"/>
      <c r="O195" s="39"/>
      <c r="P195" s="39"/>
      <c r="Q195" s="39"/>
      <c r="R195" s="39"/>
      <c r="S195" s="39"/>
      <c r="T195" s="39"/>
      <c r="U195" s="39"/>
      <c r="V195" s="39"/>
      <c r="W195" s="39"/>
      <c r="X195" s="39"/>
      <c r="Y195" s="39"/>
      <c r="Z195" s="39"/>
      <c r="AA195" s="39"/>
      <c r="AB195" s="39"/>
    </row>
    <row r="196">
      <c r="A196" s="1"/>
      <c r="B196" s="36"/>
      <c r="C196" s="36"/>
      <c r="D196" s="36"/>
      <c r="E196" s="36"/>
      <c r="F196" s="36"/>
      <c r="G196" s="36"/>
      <c r="H196" s="37"/>
      <c r="I196" s="36"/>
      <c r="J196" s="38"/>
      <c r="K196" s="38"/>
      <c r="L196" s="39"/>
      <c r="M196" s="39"/>
      <c r="N196" s="39"/>
      <c r="O196" s="39"/>
      <c r="P196" s="39"/>
      <c r="Q196" s="39"/>
      <c r="R196" s="39"/>
      <c r="S196" s="39"/>
      <c r="T196" s="39"/>
      <c r="U196" s="39"/>
      <c r="V196" s="39"/>
      <c r="W196" s="39"/>
      <c r="X196" s="39"/>
      <c r="Y196" s="39"/>
      <c r="Z196" s="39"/>
      <c r="AA196" s="39"/>
      <c r="AB196" s="39"/>
    </row>
    <row r="197">
      <c r="A197" s="1"/>
      <c r="B197" s="36"/>
      <c r="C197" s="36"/>
      <c r="D197" s="36"/>
      <c r="E197" s="36"/>
      <c r="F197" s="36"/>
      <c r="G197" s="36"/>
      <c r="H197" s="37"/>
      <c r="I197" s="36"/>
      <c r="J197" s="38"/>
      <c r="K197" s="38"/>
      <c r="L197" s="39"/>
      <c r="M197" s="39"/>
      <c r="N197" s="39"/>
      <c r="O197" s="39"/>
      <c r="P197" s="39"/>
      <c r="Q197" s="39"/>
      <c r="R197" s="39"/>
      <c r="S197" s="39"/>
      <c r="T197" s="39"/>
      <c r="U197" s="39"/>
      <c r="V197" s="39"/>
      <c r="W197" s="39"/>
      <c r="X197" s="39"/>
      <c r="Y197" s="39"/>
      <c r="Z197" s="39"/>
      <c r="AA197" s="39"/>
      <c r="AB197" s="39"/>
    </row>
    <row r="198">
      <c r="A198" s="1"/>
      <c r="B198" s="36"/>
      <c r="C198" s="36"/>
      <c r="D198" s="36"/>
      <c r="E198" s="36"/>
      <c r="F198" s="36"/>
      <c r="G198" s="36"/>
      <c r="H198" s="37"/>
      <c r="I198" s="36"/>
      <c r="J198" s="38"/>
      <c r="K198" s="38"/>
      <c r="L198" s="39"/>
      <c r="M198" s="39"/>
      <c r="N198" s="39"/>
      <c r="O198" s="39"/>
      <c r="P198" s="39"/>
      <c r="Q198" s="39"/>
      <c r="R198" s="39"/>
      <c r="S198" s="39"/>
      <c r="T198" s="39"/>
      <c r="U198" s="39"/>
      <c r="V198" s="39"/>
      <c r="W198" s="39"/>
      <c r="X198" s="39"/>
      <c r="Y198" s="39"/>
      <c r="Z198" s="39"/>
      <c r="AA198" s="39"/>
      <c r="AB198" s="39"/>
    </row>
    <row r="199">
      <c r="A199" s="1"/>
      <c r="B199" s="36"/>
      <c r="C199" s="36"/>
      <c r="D199" s="36"/>
      <c r="E199" s="36"/>
      <c r="F199" s="36"/>
      <c r="G199" s="36"/>
      <c r="H199" s="37"/>
      <c r="I199" s="36"/>
      <c r="J199" s="38"/>
      <c r="K199" s="38"/>
      <c r="L199" s="39"/>
      <c r="M199" s="39"/>
      <c r="N199" s="39"/>
      <c r="O199" s="39"/>
      <c r="P199" s="39"/>
      <c r="Q199" s="39"/>
      <c r="R199" s="39"/>
      <c r="S199" s="39"/>
      <c r="T199" s="39"/>
      <c r="U199" s="39"/>
      <c r="V199" s="39"/>
      <c r="W199" s="39"/>
      <c r="X199" s="39"/>
      <c r="Y199" s="39"/>
      <c r="Z199" s="39"/>
      <c r="AA199" s="39"/>
      <c r="AB199" s="39"/>
    </row>
    <row r="200">
      <c r="A200" s="1"/>
      <c r="B200" s="36"/>
      <c r="C200" s="36"/>
      <c r="D200" s="36"/>
      <c r="E200" s="36"/>
      <c r="F200" s="36"/>
      <c r="G200" s="36"/>
      <c r="H200" s="37"/>
      <c r="I200" s="36"/>
      <c r="J200" s="38"/>
      <c r="K200" s="38"/>
      <c r="L200" s="39"/>
      <c r="M200" s="39"/>
      <c r="N200" s="39"/>
      <c r="O200" s="39"/>
      <c r="P200" s="39"/>
      <c r="Q200" s="39"/>
      <c r="R200" s="39"/>
      <c r="S200" s="39"/>
      <c r="T200" s="39"/>
      <c r="U200" s="39"/>
      <c r="V200" s="39"/>
      <c r="W200" s="39"/>
      <c r="X200" s="39"/>
      <c r="Y200" s="39"/>
      <c r="Z200" s="39"/>
      <c r="AA200" s="39"/>
      <c r="AB200" s="39"/>
    </row>
    <row r="201">
      <c r="A201" s="1"/>
      <c r="B201" s="36"/>
      <c r="C201" s="36"/>
      <c r="D201" s="36"/>
      <c r="E201" s="36"/>
      <c r="F201" s="36"/>
      <c r="G201" s="36"/>
      <c r="H201" s="37"/>
      <c r="I201" s="36"/>
      <c r="J201" s="38"/>
      <c r="K201" s="38"/>
      <c r="L201" s="39"/>
      <c r="M201" s="39"/>
      <c r="N201" s="39"/>
      <c r="O201" s="39"/>
      <c r="P201" s="39"/>
      <c r="Q201" s="39"/>
      <c r="R201" s="39"/>
      <c r="S201" s="39"/>
      <c r="T201" s="39"/>
      <c r="U201" s="39"/>
      <c r="V201" s="39"/>
      <c r="W201" s="39"/>
      <c r="X201" s="39"/>
      <c r="Y201" s="39"/>
      <c r="Z201" s="39"/>
      <c r="AA201" s="39"/>
      <c r="AB201" s="39"/>
    </row>
    <row r="202">
      <c r="A202" s="1"/>
      <c r="B202" s="36"/>
      <c r="C202" s="36"/>
      <c r="D202" s="36"/>
      <c r="E202" s="36"/>
      <c r="F202" s="36"/>
      <c r="G202" s="36"/>
      <c r="H202" s="37"/>
      <c r="I202" s="36"/>
      <c r="J202" s="38"/>
      <c r="K202" s="38"/>
      <c r="L202" s="39"/>
      <c r="M202" s="39"/>
      <c r="N202" s="39"/>
      <c r="O202" s="39"/>
      <c r="P202" s="39"/>
      <c r="Q202" s="39"/>
      <c r="R202" s="39"/>
      <c r="S202" s="39"/>
      <c r="T202" s="39"/>
      <c r="U202" s="39"/>
      <c r="V202" s="39"/>
      <c r="W202" s="39"/>
      <c r="X202" s="39"/>
      <c r="Y202" s="39"/>
      <c r="Z202" s="39"/>
      <c r="AA202" s="39"/>
      <c r="AB202" s="39"/>
    </row>
    <row r="203">
      <c r="A203" s="1"/>
      <c r="B203" s="36"/>
      <c r="C203" s="36"/>
      <c r="D203" s="36"/>
      <c r="E203" s="36"/>
      <c r="F203" s="36"/>
      <c r="G203" s="36"/>
      <c r="H203" s="37"/>
      <c r="I203" s="36"/>
      <c r="J203" s="38"/>
      <c r="K203" s="38"/>
      <c r="L203" s="39"/>
      <c r="M203" s="39"/>
      <c r="N203" s="39"/>
      <c r="O203" s="39"/>
      <c r="P203" s="39"/>
      <c r="Q203" s="39"/>
      <c r="R203" s="39"/>
      <c r="S203" s="39"/>
      <c r="T203" s="39"/>
      <c r="U203" s="39"/>
      <c r="V203" s="39"/>
      <c r="W203" s="39"/>
      <c r="X203" s="39"/>
      <c r="Y203" s="39"/>
      <c r="Z203" s="39"/>
      <c r="AA203" s="39"/>
      <c r="AB203" s="39"/>
    </row>
    <row r="204">
      <c r="A204" s="1"/>
      <c r="B204" s="36"/>
      <c r="C204" s="36"/>
      <c r="D204" s="36"/>
      <c r="E204" s="36"/>
      <c r="F204" s="36"/>
      <c r="G204" s="36"/>
      <c r="H204" s="37"/>
      <c r="I204" s="36"/>
      <c r="J204" s="38"/>
      <c r="K204" s="38"/>
      <c r="L204" s="39"/>
      <c r="M204" s="39"/>
      <c r="N204" s="39"/>
      <c r="O204" s="39"/>
      <c r="P204" s="39"/>
      <c r="Q204" s="39"/>
      <c r="R204" s="39"/>
      <c r="S204" s="39"/>
      <c r="T204" s="39"/>
      <c r="U204" s="39"/>
      <c r="V204" s="39"/>
      <c r="W204" s="39"/>
      <c r="X204" s="39"/>
      <c r="Y204" s="39"/>
      <c r="Z204" s="39"/>
      <c r="AA204" s="39"/>
      <c r="AB204" s="39"/>
    </row>
    <row r="205">
      <c r="A205" s="1"/>
      <c r="B205" s="36"/>
      <c r="C205" s="36"/>
      <c r="D205" s="36"/>
      <c r="E205" s="36"/>
      <c r="F205" s="36"/>
      <c r="G205" s="36"/>
      <c r="H205" s="37"/>
      <c r="I205" s="36"/>
      <c r="J205" s="38"/>
      <c r="K205" s="38"/>
      <c r="L205" s="39"/>
      <c r="M205" s="39"/>
      <c r="N205" s="39"/>
      <c r="O205" s="39"/>
      <c r="P205" s="39"/>
      <c r="Q205" s="39"/>
      <c r="R205" s="39"/>
      <c r="S205" s="39"/>
      <c r="T205" s="39"/>
      <c r="U205" s="39"/>
      <c r="V205" s="39"/>
      <c r="W205" s="39"/>
      <c r="X205" s="39"/>
      <c r="Y205" s="39"/>
      <c r="Z205" s="39"/>
      <c r="AA205" s="39"/>
      <c r="AB205" s="39"/>
    </row>
    <row r="206">
      <c r="A206" s="1"/>
      <c r="B206" s="36"/>
      <c r="C206" s="36"/>
      <c r="D206" s="36"/>
      <c r="E206" s="36"/>
      <c r="F206" s="36"/>
      <c r="G206" s="36"/>
      <c r="H206" s="37"/>
      <c r="I206" s="36"/>
      <c r="J206" s="38"/>
      <c r="K206" s="38"/>
      <c r="L206" s="39"/>
      <c r="M206" s="39"/>
      <c r="N206" s="39"/>
      <c r="O206" s="39"/>
      <c r="P206" s="39"/>
      <c r="Q206" s="39"/>
      <c r="R206" s="39"/>
      <c r="S206" s="39"/>
      <c r="T206" s="39"/>
      <c r="U206" s="39"/>
      <c r="V206" s="39"/>
      <c r="W206" s="39"/>
      <c r="X206" s="39"/>
      <c r="Y206" s="39"/>
      <c r="Z206" s="39"/>
      <c r="AA206" s="39"/>
      <c r="AB206" s="39"/>
    </row>
    <row r="207">
      <c r="A207" s="1"/>
      <c r="B207" s="36"/>
      <c r="C207" s="36"/>
      <c r="D207" s="36"/>
      <c r="E207" s="36"/>
      <c r="F207" s="36"/>
      <c r="G207" s="36"/>
      <c r="H207" s="37"/>
      <c r="I207" s="36"/>
      <c r="J207" s="38"/>
      <c r="K207" s="38"/>
      <c r="L207" s="39"/>
      <c r="M207" s="39"/>
      <c r="N207" s="39"/>
      <c r="O207" s="39"/>
      <c r="P207" s="39"/>
      <c r="Q207" s="39"/>
      <c r="R207" s="39"/>
      <c r="S207" s="39"/>
      <c r="T207" s="39"/>
      <c r="U207" s="39"/>
      <c r="V207" s="39"/>
      <c r="W207" s="39"/>
      <c r="X207" s="39"/>
      <c r="Y207" s="39"/>
      <c r="Z207" s="39"/>
      <c r="AA207" s="39"/>
      <c r="AB207" s="39"/>
    </row>
    <row r="208">
      <c r="A208" s="1"/>
      <c r="B208" s="36"/>
      <c r="C208" s="36"/>
      <c r="D208" s="36"/>
      <c r="E208" s="36"/>
      <c r="F208" s="36"/>
      <c r="G208" s="36"/>
      <c r="H208" s="37"/>
      <c r="I208" s="36"/>
      <c r="J208" s="38"/>
      <c r="K208" s="38"/>
      <c r="L208" s="39"/>
      <c r="M208" s="39"/>
      <c r="N208" s="39"/>
      <c r="O208" s="39"/>
      <c r="P208" s="39"/>
      <c r="Q208" s="39"/>
      <c r="R208" s="39"/>
      <c r="S208" s="39"/>
      <c r="T208" s="39"/>
      <c r="U208" s="39"/>
      <c r="V208" s="39"/>
      <c r="W208" s="39"/>
      <c r="X208" s="39"/>
      <c r="Y208" s="39"/>
      <c r="Z208" s="39"/>
      <c r="AA208" s="39"/>
      <c r="AB208" s="39"/>
    </row>
    <row r="209">
      <c r="A209" s="1"/>
      <c r="B209" s="36"/>
      <c r="C209" s="36"/>
      <c r="D209" s="36"/>
      <c r="E209" s="36"/>
      <c r="F209" s="36"/>
      <c r="G209" s="36"/>
      <c r="H209" s="37"/>
      <c r="I209" s="36"/>
      <c r="J209" s="38"/>
      <c r="K209" s="38"/>
      <c r="L209" s="39"/>
      <c r="M209" s="39"/>
      <c r="N209" s="39"/>
      <c r="O209" s="39"/>
      <c r="P209" s="39"/>
      <c r="Q209" s="39"/>
      <c r="R209" s="39"/>
      <c r="S209" s="39"/>
      <c r="T209" s="39"/>
      <c r="U209" s="39"/>
      <c r="V209" s="39"/>
      <c r="W209" s="39"/>
      <c r="X209" s="39"/>
      <c r="Y209" s="39"/>
      <c r="Z209" s="39"/>
      <c r="AA209" s="39"/>
      <c r="AB209" s="39"/>
    </row>
    <row r="210">
      <c r="A210" s="1"/>
      <c r="B210" s="36"/>
      <c r="C210" s="36"/>
      <c r="D210" s="36"/>
      <c r="E210" s="36"/>
      <c r="F210" s="36"/>
      <c r="G210" s="36"/>
      <c r="H210" s="37"/>
      <c r="I210" s="36"/>
      <c r="J210" s="38"/>
      <c r="K210" s="38"/>
      <c r="L210" s="39"/>
      <c r="M210" s="39"/>
      <c r="N210" s="39"/>
      <c r="O210" s="39"/>
      <c r="P210" s="39"/>
      <c r="Q210" s="39"/>
      <c r="R210" s="39"/>
      <c r="S210" s="39"/>
      <c r="T210" s="39"/>
      <c r="U210" s="39"/>
      <c r="V210" s="39"/>
      <c r="W210" s="39"/>
      <c r="X210" s="39"/>
      <c r="Y210" s="39"/>
      <c r="Z210" s="39"/>
      <c r="AA210" s="39"/>
      <c r="AB210" s="39"/>
    </row>
    <row r="211">
      <c r="A211" s="1"/>
      <c r="B211" s="36"/>
      <c r="C211" s="36"/>
      <c r="D211" s="36"/>
      <c r="E211" s="36"/>
      <c r="F211" s="36"/>
      <c r="G211" s="36"/>
      <c r="H211" s="37"/>
      <c r="I211" s="36"/>
      <c r="J211" s="38"/>
      <c r="K211" s="38"/>
      <c r="L211" s="39"/>
      <c r="M211" s="39"/>
      <c r="N211" s="39"/>
      <c r="O211" s="39"/>
      <c r="P211" s="39"/>
      <c r="Q211" s="39"/>
      <c r="R211" s="39"/>
      <c r="S211" s="39"/>
      <c r="T211" s="39"/>
      <c r="U211" s="39"/>
      <c r="V211" s="39"/>
      <c r="W211" s="39"/>
      <c r="X211" s="39"/>
      <c r="Y211" s="39"/>
      <c r="Z211" s="39"/>
      <c r="AA211" s="39"/>
      <c r="AB211" s="39"/>
    </row>
    <row r="212">
      <c r="A212" s="1"/>
      <c r="B212" s="36"/>
      <c r="C212" s="36"/>
      <c r="D212" s="36"/>
      <c r="E212" s="36"/>
      <c r="F212" s="36"/>
      <c r="G212" s="36"/>
      <c r="H212" s="37"/>
      <c r="I212" s="36"/>
      <c r="J212" s="38"/>
      <c r="K212" s="38"/>
      <c r="L212" s="39"/>
      <c r="M212" s="39"/>
      <c r="N212" s="39"/>
      <c r="O212" s="39"/>
      <c r="P212" s="39"/>
      <c r="Q212" s="39"/>
      <c r="R212" s="39"/>
      <c r="S212" s="39"/>
      <c r="T212" s="39"/>
      <c r="U212" s="39"/>
      <c r="V212" s="39"/>
      <c r="W212" s="39"/>
      <c r="X212" s="39"/>
      <c r="Y212" s="39"/>
      <c r="Z212" s="39"/>
      <c r="AA212" s="39"/>
      <c r="AB212" s="39"/>
    </row>
    <row r="213">
      <c r="A213" s="1"/>
      <c r="B213" s="36"/>
      <c r="C213" s="36"/>
      <c r="D213" s="36"/>
      <c r="E213" s="36"/>
      <c r="F213" s="36"/>
      <c r="G213" s="36"/>
      <c r="H213" s="37"/>
      <c r="I213" s="36"/>
      <c r="J213" s="38"/>
      <c r="K213" s="38"/>
      <c r="L213" s="39"/>
      <c r="M213" s="39"/>
      <c r="N213" s="39"/>
      <c r="O213" s="39"/>
      <c r="P213" s="39"/>
      <c r="Q213" s="39"/>
      <c r="R213" s="39"/>
      <c r="S213" s="39"/>
      <c r="T213" s="39"/>
      <c r="U213" s="39"/>
      <c r="V213" s="39"/>
      <c r="W213" s="39"/>
      <c r="X213" s="39"/>
      <c r="Y213" s="39"/>
      <c r="Z213" s="39"/>
      <c r="AA213" s="39"/>
      <c r="AB213" s="39"/>
    </row>
    <row r="214">
      <c r="A214" s="1"/>
      <c r="B214" s="36"/>
      <c r="C214" s="36"/>
      <c r="D214" s="36"/>
      <c r="E214" s="36"/>
      <c r="F214" s="36"/>
      <c r="G214" s="36"/>
      <c r="H214" s="37"/>
      <c r="I214" s="36"/>
      <c r="J214" s="38"/>
      <c r="K214" s="38"/>
      <c r="L214" s="39"/>
      <c r="M214" s="39"/>
      <c r="N214" s="39"/>
      <c r="O214" s="39"/>
      <c r="P214" s="39"/>
      <c r="Q214" s="39"/>
      <c r="R214" s="39"/>
      <c r="S214" s="39"/>
      <c r="T214" s="39"/>
      <c r="U214" s="39"/>
      <c r="V214" s="39"/>
      <c r="W214" s="39"/>
      <c r="X214" s="39"/>
      <c r="Y214" s="39"/>
      <c r="Z214" s="39"/>
      <c r="AA214" s="39"/>
      <c r="AB214" s="39"/>
    </row>
    <row r="215">
      <c r="A215" s="1"/>
      <c r="B215" s="36"/>
      <c r="C215" s="36"/>
      <c r="D215" s="36"/>
      <c r="E215" s="36"/>
      <c r="F215" s="36"/>
      <c r="G215" s="36"/>
      <c r="H215" s="37"/>
      <c r="I215" s="36"/>
      <c r="J215" s="38"/>
      <c r="K215" s="38"/>
      <c r="L215" s="39"/>
      <c r="M215" s="39"/>
      <c r="N215" s="39"/>
      <c r="O215" s="39"/>
      <c r="P215" s="39"/>
      <c r="Q215" s="39"/>
      <c r="R215" s="39"/>
      <c r="S215" s="39"/>
      <c r="T215" s="39"/>
      <c r="U215" s="39"/>
      <c r="V215" s="39"/>
      <c r="W215" s="39"/>
      <c r="X215" s="39"/>
      <c r="Y215" s="39"/>
      <c r="Z215" s="39"/>
      <c r="AA215" s="39"/>
      <c r="AB215" s="39"/>
    </row>
    <row r="216">
      <c r="A216" s="1"/>
      <c r="B216" s="36"/>
      <c r="C216" s="36"/>
      <c r="D216" s="36"/>
      <c r="E216" s="36"/>
      <c r="F216" s="36"/>
      <c r="G216" s="36"/>
      <c r="H216" s="37"/>
      <c r="I216" s="36"/>
      <c r="J216" s="38"/>
      <c r="K216" s="38"/>
      <c r="L216" s="39"/>
      <c r="M216" s="39"/>
      <c r="N216" s="39"/>
      <c r="O216" s="39"/>
      <c r="P216" s="39"/>
      <c r="Q216" s="39"/>
      <c r="R216" s="39"/>
      <c r="S216" s="39"/>
      <c r="T216" s="39"/>
      <c r="U216" s="39"/>
      <c r="V216" s="39"/>
      <c r="W216" s="39"/>
      <c r="X216" s="39"/>
      <c r="Y216" s="39"/>
      <c r="Z216" s="39"/>
      <c r="AA216" s="39"/>
      <c r="AB216" s="39"/>
    </row>
    <row r="217">
      <c r="A217" s="1"/>
      <c r="B217" s="36"/>
      <c r="C217" s="36"/>
      <c r="D217" s="36"/>
      <c r="E217" s="36"/>
      <c r="F217" s="36"/>
      <c r="G217" s="36"/>
      <c r="H217" s="37"/>
      <c r="I217" s="36"/>
      <c r="J217" s="38"/>
      <c r="K217" s="38"/>
      <c r="L217" s="39"/>
      <c r="M217" s="39"/>
      <c r="N217" s="39"/>
      <c r="O217" s="39"/>
      <c r="P217" s="39"/>
      <c r="Q217" s="39"/>
      <c r="R217" s="39"/>
      <c r="S217" s="39"/>
      <c r="T217" s="39"/>
      <c r="U217" s="39"/>
      <c r="V217" s="39"/>
      <c r="W217" s="39"/>
      <c r="X217" s="39"/>
      <c r="Y217" s="39"/>
      <c r="Z217" s="39"/>
      <c r="AA217" s="39"/>
      <c r="AB217" s="39"/>
    </row>
    <row r="218">
      <c r="A218" s="1"/>
      <c r="B218" s="36"/>
      <c r="C218" s="36"/>
      <c r="D218" s="36"/>
      <c r="E218" s="36"/>
      <c r="F218" s="36"/>
      <c r="G218" s="36"/>
      <c r="H218" s="37"/>
      <c r="I218" s="36"/>
      <c r="J218" s="38"/>
      <c r="K218" s="38"/>
      <c r="L218" s="39"/>
      <c r="M218" s="39"/>
      <c r="N218" s="39"/>
      <c r="O218" s="39"/>
      <c r="P218" s="39"/>
      <c r="Q218" s="39"/>
      <c r="R218" s="39"/>
      <c r="S218" s="39"/>
      <c r="T218" s="39"/>
      <c r="U218" s="39"/>
      <c r="V218" s="39"/>
      <c r="W218" s="39"/>
      <c r="X218" s="39"/>
      <c r="Y218" s="39"/>
      <c r="Z218" s="39"/>
      <c r="AA218" s="39"/>
      <c r="AB218" s="39"/>
    </row>
    <row r="219">
      <c r="A219" s="1"/>
      <c r="B219" s="36"/>
      <c r="C219" s="36"/>
      <c r="D219" s="36"/>
      <c r="E219" s="36"/>
      <c r="F219" s="36"/>
      <c r="G219" s="36"/>
      <c r="H219" s="37"/>
      <c r="I219" s="36"/>
      <c r="J219" s="38"/>
      <c r="K219" s="38"/>
      <c r="L219" s="39"/>
      <c r="M219" s="39"/>
      <c r="N219" s="39"/>
      <c r="O219" s="39"/>
      <c r="P219" s="39"/>
      <c r="Q219" s="39"/>
      <c r="R219" s="39"/>
      <c r="S219" s="39"/>
      <c r="T219" s="39"/>
      <c r="U219" s="39"/>
      <c r="V219" s="39"/>
      <c r="W219" s="39"/>
      <c r="X219" s="39"/>
      <c r="Y219" s="39"/>
      <c r="Z219" s="39"/>
      <c r="AA219" s="39"/>
      <c r="AB219" s="39"/>
    </row>
    <row r="220">
      <c r="A220" s="1"/>
      <c r="B220" s="36"/>
      <c r="C220" s="36"/>
      <c r="D220" s="36"/>
      <c r="E220" s="36"/>
      <c r="F220" s="36"/>
      <c r="G220" s="36"/>
      <c r="H220" s="37"/>
      <c r="I220" s="36"/>
      <c r="J220" s="38"/>
      <c r="K220" s="38"/>
      <c r="L220" s="39"/>
      <c r="M220" s="39"/>
      <c r="N220" s="39"/>
      <c r="O220" s="39"/>
      <c r="P220" s="39"/>
      <c r="Q220" s="39"/>
      <c r="R220" s="39"/>
      <c r="S220" s="39"/>
      <c r="T220" s="39"/>
      <c r="U220" s="39"/>
      <c r="V220" s="39"/>
      <c r="W220" s="39"/>
      <c r="X220" s="39"/>
      <c r="Y220" s="39"/>
      <c r="Z220" s="39"/>
      <c r="AA220" s="39"/>
      <c r="AB220" s="39"/>
    </row>
    <row r="221">
      <c r="A221" s="1"/>
      <c r="B221" s="36"/>
      <c r="C221" s="36"/>
      <c r="D221" s="36"/>
      <c r="E221" s="36"/>
      <c r="F221" s="36"/>
      <c r="G221" s="36"/>
      <c r="H221" s="37"/>
      <c r="I221" s="36"/>
      <c r="J221" s="38"/>
      <c r="K221" s="38"/>
      <c r="L221" s="39"/>
      <c r="M221" s="39"/>
      <c r="N221" s="39"/>
      <c r="O221" s="39"/>
      <c r="P221" s="39"/>
      <c r="Q221" s="39"/>
      <c r="R221" s="39"/>
      <c r="S221" s="39"/>
      <c r="T221" s="39"/>
      <c r="U221" s="39"/>
      <c r="V221" s="39"/>
      <c r="W221" s="39"/>
      <c r="X221" s="39"/>
      <c r="Y221" s="39"/>
      <c r="Z221" s="39"/>
      <c r="AA221" s="39"/>
      <c r="AB221" s="39"/>
    </row>
    <row r="222">
      <c r="A222" s="1"/>
      <c r="B222" s="36"/>
      <c r="C222" s="36"/>
      <c r="D222" s="36"/>
      <c r="E222" s="36"/>
      <c r="F222" s="36"/>
      <c r="G222" s="36"/>
      <c r="H222" s="37"/>
      <c r="I222" s="36"/>
      <c r="J222" s="38"/>
      <c r="K222" s="38"/>
      <c r="L222" s="39"/>
      <c r="M222" s="39"/>
      <c r="N222" s="39"/>
      <c r="O222" s="39"/>
      <c r="P222" s="39"/>
      <c r="Q222" s="39"/>
      <c r="R222" s="39"/>
      <c r="S222" s="39"/>
      <c r="T222" s="39"/>
      <c r="U222" s="39"/>
      <c r="V222" s="39"/>
      <c r="W222" s="39"/>
      <c r="X222" s="39"/>
      <c r="Y222" s="39"/>
      <c r="Z222" s="39"/>
      <c r="AA222" s="39"/>
      <c r="AB222" s="39"/>
    </row>
    <row r="223">
      <c r="A223" s="1"/>
      <c r="B223" s="36"/>
      <c r="C223" s="36"/>
      <c r="D223" s="36"/>
      <c r="E223" s="36"/>
      <c r="F223" s="36"/>
      <c r="G223" s="36"/>
      <c r="H223" s="37"/>
      <c r="I223" s="36"/>
      <c r="J223" s="38"/>
      <c r="K223" s="38"/>
      <c r="L223" s="39"/>
      <c r="M223" s="39"/>
      <c r="N223" s="39"/>
      <c r="O223" s="39"/>
      <c r="P223" s="39"/>
      <c r="Q223" s="39"/>
      <c r="R223" s="39"/>
      <c r="S223" s="39"/>
      <c r="T223" s="39"/>
      <c r="U223" s="39"/>
      <c r="V223" s="39"/>
      <c r="W223" s="39"/>
      <c r="X223" s="39"/>
      <c r="Y223" s="39"/>
      <c r="Z223" s="39"/>
      <c r="AA223" s="39"/>
      <c r="AB223" s="39"/>
    </row>
    <row r="224">
      <c r="A224" s="1"/>
      <c r="B224" s="36"/>
      <c r="C224" s="36"/>
      <c r="D224" s="36"/>
      <c r="E224" s="36"/>
      <c r="F224" s="36"/>
      <c r="G224" s="36"/>
      <c r="H224" s="37"/>
      <c r="I224" s="36"/>
      <c r="J224" s="38"/>
      <c r="K224" s="38"/>
      <c r="L224" s="39"/>
      <c r="M224" s="39"/>
      <c r="N224" s="39"/>
      <c r="O224" s="39"/>
      <c r="P224" s="39"/>
      <c r="Q224" s="39"/>
      <c r="R224" s="39"/>
      <c r="S224" s="39"/>
      <c r="T224" s="39"/>
      <c r="U224" s="39"/>
      <c r="V224" s="39"/>
      <c r="W224" s="39"/>
      <c r="X224" s="39"/>
      <c r="Y224" s="39"/>
      <c r="Z224" s="39"/>
      <c r="AA224" s="39"/>
      <c r="AB224" s="39"/>
    </row>
    <row r="225">
      <c r="A225" s="1"/>
      <c r="B225" s="36"/>
      <c r="C225" s="36"/>
      <c r="D225" s="36"/>
      <c r="E225" s="36"/>
      <c r="F225" s="36"/>
      <c r="G225" s="36"/>
      <c r="H225" s="37"/>
      <c r="I225" s="36"/>
      <c r="J225" s="38"/>
      <c r="K225" s="38"/>
      <c r="L225" s="39"/>
      <c r="M225" s="39"/>
      <c r="N225" s="39"/>
      <c r="O225" s="39"/>
      <c r="P225" s="39"/>
      <c r="Q225" s="39"/>
      <c r="R225" s="39"/>
      <c r="S225" s="39"/>
      <c r="T225" s="39"/>
      <c r="U225" s="39"/>
      <c r="V225" s="39"/>
      <c r="W225" s="39"/>
      <c r="X225" s="39"/>
      <c r="Y225" s="39"/>
      <c r="Z225" s="39"/>
      <c r="AA225" s="39"/>
      <c r="AB225" s="39"/>
    </row>
    <row r="226">
      <c r="A226" s="1"/>
      <c r="B226" s="36"/>
      <c r="C226" s="36"/>
      <c r="D226" s="36"/>
      <c r="E226" s="36"/>
      <c r="F226" s="36"/>
      <c r="G226" s="36"/>
      <c r="H226" s="37"/>
      <c r="I226" s="36"/>
      <c r="J226" s="38"/>
      <c r="K226" s="38"/>
      <c r="L226" s="39"/>
      <c r="M226" s="39"/>
      <c r="N226" s="39"/>
      <c r="O226" s="39"/>
      <c r="P226" s="39"/>
      <c r="Q226" s="39"/>
      <c r="R226" s="39"/>
      <c r="S226" s="39"/>
      <c r="T226" s="39"/>
      <c r="U226" s="39"/>
      <c r="V226" s="39"/>
      <c r="W226" s="39"/>
      <c r="X226" s="39"/>
      <c r="Y226" s="39"/>
      <c r="Z226" s="39"/>
      <c r="AA226" s="39"/>
      <c r="AB226" s="39"/>
    </row>
    <row r="227">
      <c r="A227" s="1"/>
      <c r="B227" s="36"/>
      <c r="C227" s="36"/>
      <c r="D227" s="36"/>
      <c r="E227" s="36"/>
      <c r="F227" s="36"/>
      <c r="G227" s="36"/>
      <c r="H227" s="37"/>
      <c r="I227" s="36"/>
      <c r="J227" s="38"/>
      <c r="K227" s="38"/>
      <c r="L227" s="39"/>
      <c r="M227" s="39"/>
      <c r="N227" s="39"/>
      <c r="O227" s="39"/>
      <c r="P227" s="39"/>
      <c r="Q227" s="39"/>
      <c r="R227" s="39"/>
      <c r="S227" s="39"/>
      <c r="T227" s="39"/>
      <c r="U227" s="39"/>
      <c r="V227" s="39"/>
      <c r="W227" s="39"/>
      <c r="X227" s="39"/>
      <c r="Y227" s="39"/>
      <c r="Z227" s="39"/>
      <c r="AA227" s="39"/>
      <c r="AB227" s="39"/>
    </row>
    <row r="228">
      <c r="A228" s="1"/>
      <c r="B228" s="36"/>
      <c r="C228" s="36"/>
      <c r="D228" s="36"/>
      <c r="E228" s="36"/>
      <c r="F228" s="36"/>
      <c r="G228" s="36"/>
      <c r="H228" s="37"/>
      <c r="I228" s="36"/>
      <c r="J228" s="38"/>
      <c r="K228" s="38"/>
      <c r="L228" s="39"/>
      <c r="M228" s="39"/>
      <c r="N228" s="39"/>
      <c r="O228" s="39"/>
      <c r="P228" s="39"/>
      <c r="Q228" s="39"/>
      <c r="R228" s="39"/>
      <c r="S228" s="39"/>
      <c r="T228" s="39"/>
      <c r="U228" s="39"/>
      <c r="V228" s="39"/>
      <c r="W228" s="39"/>
      <c r="X228" s="39"/>
      <c r="Y228" s="39"/>
      <c r="Z228" s="39"/>
      <c r="AA228" s="39"/>
      <c r="AB228" s="39"/>
    </row>
    <row r="229">
      <c r="A229" s="1"/>
      <c r="B229" s="36"/>
      <c r="C229" s="36"/>
      <c r="D229" s="36"/>
      <c r="E229" s="36"/>
      <c r="F229" s="36"/>
      <c r="G229" s="36"/>
      <c r="H229" s="37"/>
      <c r="I229" s="36"/>
      <c r="J229" s="38"/>
      <c r="K229" s="38"/>
      <c r="L229" s="39"/>
      <c r="M229" s="39"/>
      <c r="N229" s="39"/>
      <c r="O229" s="39"/>
      <c r="P229" s="39"/>
      <c r="Q229" s="39"/>
      <c r="R229" s="39"/>
      <c r="S229" s="39"/>
      <c r="T229" s="39"/>
      <c r="U229" s="39"/>
      <c r="V229" s="39"/>
      <c r="W229" s="39"/>
      <c r="X229" s="39"/>
      <c r="Y229" s="39"/>
      <c r="Z229" s="39"/>
      <c r="AA229" s="39"/>
      <c r="AB229" s="39"/>
    </row>
    <row r="230">
      <c r="A230" s="1"/>
      <c r="B230" s="36"/>
      <c r="C230" s="36"/>
      <c r="D230" s="36"/>
      <c r="E230" s="36"/>
      <c r="F230" s="36"/>
      <c r="G230" s="36"/>
      <c r="H230" s="37"/>
      <c r="I230" s="36"/>
      <c r="J230" s="38"/>
      <c r="K230" s="38"/>
      <c r="L230" s="39"/>
      <c r="M230" s="39"/>
      <c r="N230" s="39"/>
      <c r="O230" s="39"/>
      <c r="P230" s="39"/>
      <c r="Q230" s="39"/>
      <c r="R230" s="39"/>
      <c r="S230" s="39"/>
      <c r="T230" s="39"/>
      <c r="U230" s="39"/>
      <c r="V230" s="39"/>
      <c r="W230" s="39"/>
      <c r="X230" s="39"/>
      <c r="Y230" s="39"/>
      <c r="Z230" s="39"/>
      <c r="AA230" s="39"/>
      <c r="AB230" s="39"/>
    </row>
    <row r="231">
      <c r="A231" s="1"/>
      <c r="B231" s="36"/>
      <c r="C231" s="36"/>
      <c r="D231" s="36"/>
      <c r="E231" s="36"/>
      <c r="F231" s="36"/>
      <c r="G231" s="36"/>
      <c r="H231" s="37"/>
      <c r="I231" s="36"/>
      <c r="J231" s="38"/>
      <c r="K231" s="38"/>
      <c r="L231" s="39"/>
      <c r="M231" s="39"/>
      <c r="N231" s="39"/>
      <c r="O231" s="39"/>
      <c r="P231" s="39"/>
      <c r="Q231" s="39"/>
      <c r="R231" s="39"/>
      <c r="S231" s="39"/>
      <c r="T231" s="39"/>
      <c r="U231" s="39"/>
      <c r="V231" s="39"/>
      <c r="W231" s="39"/>
      <c r="X231" s="39"/>
      <c r="Y231" s="39"/>
      <c r="Z231" s="39"/>
      <c r="AA231" s="39"/>
      <c r="AB231" s="39"/>
    </row>
    <row r="232">
      <c r="A232" s="1"/>
      <c r="B232" s="36"/>
      <c r="C232" s="36"/>
      <c r="D232" s="36"/>
      <c r="E232" s="36"/>
      <c r="F232" s="36"/>
      <c r="G232" s="36"/>
      <c r="H232" s="37"/>
      <c r="I232" s="36"/>
      <c r="J232" s="38"/>
      <c r="K232" s="38"/>
      <c r="L232" s="39"/>
      <c r="M232" s="39"/>
      <c r="N232" s="39"/>
      <c r="O232" s="39"/>
      <c r="P232" s="39"/>
      <c r="Q232" s="39"/>
      <c r="R232" s="39"/>
      <c r="S232" s="39"/>
      <c r="T232" s="39"/>
      <c r="U232" s="39"/>
      <c r="V232" s="39"/>
      <c r="W232" s="39"/>
      <c r="X232" s="39"/>
      <c r="Y232" s="39"/>
      <c r="Z232" s="39"/>
      <c r="AA232" s="39"/>
      <c r="AB232" s="39"/>
    </row>
    <row r="233">
      <c r="A233" s="1"/>
      <c r="B233" s="36"/>
      <c r="C233" s="36"/>
      <c r="D233" s="36"/>
      <c r="E233" s="36"/>
      <c r="F233" s="36"/>
      <c r="G233" s="36"/>
      <c r="H233" s="37"/>
      <c r="I233" s="36"/>
      <c r="J233" s="38"/>
      <c r="K233" s="38"/>
      <c r="L233" s="39"/>
      <c r="M233" s="39"/>
      <c r="N233" s="39"/>
      <c r="O233" s="39"/>
      <c r="P233" s="39"/>
      <c r="Q233" s="39"/>
      <c r="R233" s="39"/>
      <c r="S233" s="39"/>
      <c r="T233" s="39"/>
      <c r="U233" s="39"/>
      <c r="V233" s="39"/>
      <c r="W233" s="39"/>
      <c r="X233" s="39"/>
      <c r="Y233" s="39"/>
      <c r="Z233" s="39"/>
      <c r="AA233" s="39"/>
      <c r="AB233" s="39"/>
    </row>
    <row r="234">
      <c r="A234" s="1"/>
      <c r="B234" s="36"/>
      <c r="C234" s="36"/>
      <c r="D234" s="36"/>
      <c r="E234" s="36"/>
      <c r="F234" s="36"/>
      <c r="G234" s="36"/>
      <c r="H234" s="37"/>
      <c r="I234" s="36"/>
      <c r="J234" s="38"/>
      <c r="K234" s="38"/>
      <c r="L234" s="39"/>
      <c r="M234" s="39"/>
      <c r="N234" s="39"/>
      <c r="O234" s="39"/>
      <c r="P234" s="39"/>
      <c r="Q234" s="39"/>
      <c r="R234" s="39"/>
      <c r="S234" s="39"/>
      <c r="T234" s="39"/>
      <c r="U234" s="39"/>
      <c r="V234" s="39"/>
      <c r="W234" s="39"/>
      <c r="X234" s="39"/>
      <c r="Y234" s="39"/>
      <c r="Z234" s="39"/>
      <c r="AA234" s="39"/>
      <c r="AB234" s="39"/>
    </row>
    <row r="235">
      <c r="A235" s="1"/>
      <c r="B235" s="36"/>
      <c r="C235" s="36"/>
      <c r="D235" s="36"/>
      <c r="E235" s="36"/>
      <c r="F235" s="36"/>
      <c r="G235" s="36"/>
      <c r="H235" s="37"/>
      <c r="I235" s="36"/>
      <c r="J235" s="38"/>
      <c r="K235" s="38"/>
      <c r="L235" s="39"/>
      <c r="M235" s="39"/>
      <c r="N235" s="39"/>
      <c r="O235" s="39"/>
      <c r="P235" s="39"/>
      <c r="Q235" s="39"/>
      <c r="R235" s="39"/>
      <c r="S235" s="39"/>
      <c r="T235" s="39"/>
      <c r="U235" s="39"/>
      <c r="V235" s="39"/>
      <c r="W235" s="39"/>
      <c r="X235" s="39"/>
      <c r="Y235" s="39"/>
      <c r="Z235" s="39"/>
      <c r="AA235" s="39"/>
      <c r="AB235" s="39"/>
    </row>
    <row r="236">
      <c r="A236" s="1"/>
      <c r="B236" s="36"/>
      <c r="C236" s="36"/>
      <c r="D236" s="36"/>
      <c r="E236" s="36"/>
      <c r="F236" s="36"/>
      <c r="G236" s="36"/>
      <c r="H236" s="37"/>
      <c r="I236" s="36"/>
      <c r="J236" s="38"/>
      <c r="K236" s="38"/>
      <c r="L236" s="39"/>
      <c r="M236" s="39"/>
      <c r="N236" s="39"/>
      <c r="O236" s="39"/>
      <c r="P236" s="39"/>
      <c r="Q236" s="39"/>
      <c r="R236" s="39"/>
      <c r="S236" s="39"/>
      <c r="T236" s="39"/>
      <c r="U236" s="39"/>
      <c r="V236" s="39"/>
      <c r="W236" s="39"/>
      <c r="X236" s="39"/>
      <c r="Y236" s="39"/>
      <c r="Z236" s="39"/>
      <c r="AA236" s="39"/>
      <c r="AB236" s="39"/>
    </row>
    <row r="237">
      <c r="A237" s="1"/>
      <c r="B237" s="36"/>
      <c r="C237" s="36"/>
      <c r="D237" s="36"/>
      <c r="E237" s="36"/>
      <c r="F237" s="36"/>
      <c r="G237" s="36"/>
      <c r="H237" s="37"/>
      <c r="I237" s="36"/>
      <c r="J237" s="38"/>
      <c r="K237" s="38"/>
      <c r="L237" s="39"/>
      <c r="M237" s="39"/>
      <c r="N237" s="39"/>
      <c r="O237" s="39"/>
      <c r="P237" s="39"/>
      <c r="Q237" s="39"/>
      <c r="R237" s="39"/>
      <c r="S237" s="39"/>
      <c r="T237" s="39"/>
      <c r="U237" s="39"/>
      <c r="V237" s="39"/>
      <c r="W237" s="39"/>
      <c r="X237" s="39"/>
      <c r="Y237" s="39"/>
      <c r="Z237" s="39"/>
      <c r="AA237" s="39"/>
      <c r="AB237" s="39"/>
    </row>
    <row r="238">
      <c r="A238" s="1"/>
      <c r="B238" s="36"/>
      <c r="C238" s="36"/>
      <c r="D238" s="36"/>
      <c r="E238" s="36"/>
      <c r="F238" s="36"/>
      <c r="G238" s="36"/>
      <c r="H238" s="37"/>
      <c r="I238" s="36"/>
      <c r="J238" s="38"/>
      <c r="K238" s="38"/>
      <c r="L238" s="39"/>
      <c r="M238" s="39"/>
      <c r="N238" s="39"/>
      <c r="O238" s="39"/>
      <c r="P238" s="39"/>
      <c r="Q238" s="39"/>
      <c r="R238" s="39"/>
      <c r="S238" s="39"/>
      <c r="T238" s="39"/>
      <c r="U238" s="39"/>
      <c r="V238" s="39"/>
      <c r="W238" s="39"/>
      <c r="X238" s="39"/>
      <c r="Y238" s="39"/>
      <c r="Z238" s="39"/>
      <c r="AA238" s="39"/>
      <c r="AB238" s="39"/>
    </row>
    <row r="239">
      <c r="A239" s="1"/>
      <c r="B239" s="36"/>
      <c r="C239" s="36"/>
      <c r="D239" s="36"/>
      <c r="E239" s="36"/>
      <c r="F239" s="36"/>
      <c r="G239" s="36"/>
      <c r="H239" s="37"/>
      <c r="I239" s="36"/>
      <c r="J239" s="38"/>
      <c r="K239" s="38"/>
      <c r="L239" s="39"/>
      <c r="M239" s="39"/>
      <c r="N239" s="39"/>
      <c r="O239" s="39"/>
      <c r="P239" s="39"/>
      <c r="Q239" s="39"/>
      <c r="R239" s="39"/>
      <c r="S239" s="39"/>
      <c r="T239" s="39"/>
      <c r="U239" s="39"/>
      <c r="V239" s="39"/>
      <c r="W239" s="39"/>
      <c r="X239" s="39"/>
      <c r="Y239" s="39"/>
      <c r="Z239" s="39"/>
      <c r="AA239" s="39"/>
      <c r="AB239" s="39"/>
    </row>
    <row r="240">
      <c r="A240" s="1"/>
      <c r="B240" s="36"/>
      <c r="C240" s="36"/>
      <c r="D240" s="36"/>
      <c r="E240" s="36"/>
      <c r="F240" s="36"/>
      <c r="G240" s="36"/>
      <c r="H240" s="37"/>
      <c r="I240" s="36"/>
      <c r="J240" s="38"/>
      <c r="K240" s="38"/>
      <c r="L240" s="39"/>
      <c r="M240" s="39"/>
      <c r="N240" s="39"/>
      <c r="O240" s="39"/>
      <c r="P240" s="39"/>
      <c r="Q240" s="39"/>
      <c r="R240" s="39"/>
      <c r="S240" s="39"/>
      <c r="T240" s="39"/>
      <c r="U240" s="39"/>
      <c r="V240" s="39"/>
      <c r="W240" s="39"/>
      <c r="X240" s="39"/>
      <c r="Y240" s="39"/>
      <c r="Z240" s="39"/>
      <c r="AA240" s="39"/>
      <c r="AB240" s="39"/>
    </row>
    <row r="241">
      <c r="A241" s="1"/>
      <c r="B241" s="36"/>
      <c r="C241" s="36"/>
      <c r="D241" s="36"/>
      <c r="E241" s="36"/>
      <c r="F241" s="36"/>
      <c r="G241" s="36"/>
      <c r="H241" s="37"/>
      <c r="I241" s="36"/>
      <c r="J241" s="38"/>
      <c r="K241" s="38"/>
      <c r="L241" s="39"/>
      <c r="M241" s="39"/>
      <c r="N241" s="39"/>
      <c r="O241" s="39"/>
      <c r="P241" s="39"/>
      <c r="Q241" s="39"/>
      <c r="R241" s="39"/>
      <c r="S241" s="39"/>
      <c r="T241" s="39"/>
      <c r="U241" s="39"/>
      <c r="V241" s="39"/>
      <c r="W241" s="39"/>
      <c r="X241" s="39"/>
      <c r="Y241" s="39"/>
      <c r="Z241" s="39"/>
      <c r="AA241" s="39"/>
      <c r="AB241" s="39"/>
    </row>
    <row r="242">
      <c r="A242" s="1"/>
      <c r="B242" s="36"/>
      <c r="C242" s="36"/>
      <c r="D242" s="36"/>
      <c r="E242" s="36"/>
      <c r="F242" s="36"/>
      <c r="G242" s="36"/>
      <c r="H242" s="37"/>
      <c r="I242" s="36"/>
      <c r="J242" s="38"/>
      <c r="K242" s="38"/>
      <c r="L242" s="39"/>
      <c r="M242" s="39"/>
      <c r="N242" s="39"/>
      <c r="O242" s="39"/>
      <c r="P242" s="39"/>
      <c r="Q242" s="39"/>
      <c r="R242" s="39"/>
      <c r="S242" s="39"/>
      <c r="T242" s="39"/>
      <c r="U242" s="39"/>
      <c r="V242" s="39"/>
      <c r="W242" s="39"/>
      <c r="X242" s="39"/>
      <c r="Y242" s="39"/>
      <c r="Z242" s="39"/>
      <c r="AA242" s="39"/>
      <c r="AB242" s="39"/>
    </row>
    <row r="243">
      <c r="A243" s="1"/>
      <c r="B243" s="36"/>
      <c r="C243" s="36"/>
      <c r="D243" s="36"/>
      <c r="E243" s="36"/>
      <c r="F243" s="36"/>
      <c r="G243" s="36"/>
      <c r="H243" s="37"/>
      <c r="I243" s="36"/>
      <c r="J243" s="38"/>
      <c r="K243" s="38"/>
      <c r="L243" s="39"/>
      <c r="M243" s="39"/>
      <c r="N243" s="39"/>
      <c r="O243" s="39"/>
      <c r="P243" s="39"/>
      <c r="Q243" s="39"/>
      <c r="R243" s="39"/>
      <c r="S243" s="39"/>
      <c r="T243" s="39"/>
      <c r="U243" s="39"/>
      <c r="V243" s="39"/>
      <c r="W243" s="39"/>
      <c r="X243" s="39"/>
      <c r="Y243" s="39"/>
      <c r="Z243" s="39"/>
      <c r="AA243" s="39"/>
      <c r="AB243" s="39"/>
    </row>
    <row r="244">
      <c r="A244" s="1"/>
      <c r="B244" s="36"/>
      <c r="C244" s="36"/>
      <c r="D244" s="36"/>
      <c r="E244" s="36"/>
      <c r="F244" s="36"/>
      <c r="G244" s="36"/>
      <c r="H244" s="37"/>
      <c r="I244" s="36"/>
      <c r="J244" s="38"/>
      <c r="K244" s="38"/>
      <c r="L244" s="39"/>
      <c r="M244" s="39"/>
      <c r="N244" s="39"/>
      <c r="O244" s="39"/>
      <c r="P244" s="39"/>
      <c r="Q244" s="39"/>
      <c r="R244" s="39"/>
      <c r="S244" s="39"/>
      <c r="T244" s="39"/>
      <c r="U244" s="39"/>
      <c r="V244" s="39"/>
      <c r="W244" s="39"/>
      <c r="X244" s="39"/>
      <c r="Y244" s="39"/>
      <c r="Z244" s="39"/>
      <c r="AA244" s="39"/>
      <c r="AB244" s="39"/>
    </row>
    <row r="245">
      <c r="A245" s="1"/>
      <c r="B245" s="36"/>
      <c r="C245" s="36"/>
      <c r="D245" s="36"/>
      <c r="E245" s="36"/>
      <c r="F245" s="36"/>
      <c r="G245" s="36"/>
      <c r="H245" s="37"/>
      <c r="I245" s="36"/>
      <c r="J245" s="38"/>
      <c r="K245" s="38"/>
      <c r="L245" s="39"/>
      <c r="M245" s="39"/>
      <c r="N245" s="39"/>
      <c r="O245" s="39"/>
      <c r="P245" s="39"/>
      <c r="Q245" s="39"/>
      <c r="R245" s="39"/>
      <c r="S245" s="39"/>
      <c r="T245" s="39"/>
      <c r="U245" s="39"/>
      <c r="V245" s="39"/>
      <c r="W245" s="39"/>
      <c r="X245" s="39"/>
      <c r="Y245" s="39"/>
      <c r="Z245" s="39"/>
      <c r="AA245" s="39"/>
      <c r="AB245" s="39"/>
    </row>
    <row r="246">
      <c r="A246" s="1"/>
      <c r="B246" s="36"/>
      <c r="C246" s="36"/>
      <c r="D246" s="36"/>
      <c r="E246" s="36"/>
      <c r="F246" s="36"/>
      <c r="G246" s="36"/>
      <c r="H246" s="37"/>
      <c r="I246" s="36"/>
      <c r="J246" s="38"/>
      <c r="K246" s="38"/>
      <c r="L246" s="39"/>
      <c r="M246" s="39"/>
      <c r="N246" s="39"/>
      <c r="O246" s="39"/>
      <c r="P246" s="39"/>
      <c r="Q246" s="39"/>
      <c r="R246" s="39"/>
      <c r="S246" s="39"/>
      <c r="T246" s="39"/>
      <c r="U246" s="39"/>
      <c r="V246" s="39"/>
      <c r="W246" s="39"/>
      <c r="X246" s="39"/>
      <c r="Y246" s="39"/>
      <c r="Z246" s="39"/>
      <c r="AA246" s="39"/>
      <c r="AB246" s="39"/>
    </row>
    <row r="247">
      <c r="A247" s="1"/>
      <c r="B247" s="36"/>
      <c r="C247" s="36"/>
      <c r="D247" s="36"/>
      <c r="E247" s="36"/>
      <c r="F247" s="36"/>
      <c r="G247" s="36"/>
      <c r="H247" s="37"/>
      <c r="I247" s="36"/>
      <c r="J247" s="38"/>
      <c r="K247" s="38"/>
      <c r="L247" s="39"/>
      <c r="M247" s="39"/>
      <c r="N247" s="39"/>
      <c r="O247" s="39"/>
      <c r="P247" s="39"/>
      <c r="Q247" s="39"/>
      <c r="R247" s="39"/>
      <c r="S247" s="39"/>
      <c r="T247" s="39"/>
      <c r="U247" s="39"/>
      <c r="V247" s="39"/>
      <c r="W247" s="39"/>
      <c r="X247" s="39"/>
      <c r="Y247" s="39"/>
      <c r="Z247" s="39"/>
      <c r="AA247" s="39"/>
      <c r="AB247" s="39"/>
    </row>
    <row r="248">
      <c r="A248" s="1"/>
      <c r="B248" s="36"/>
      <c r="C248" s="36"/>
      <c r="D248" s="36"/>
      <c r="E248" s="36"/>
      <c r="F248" s="36"/>
      <c r="G248" s="36"/>
      <c r="H248" s="37"/>
      <c r="I248" s="36"/>
      <c r="J248" s="38"/>
      <c r="K248" s="38"/>
      <c r="L248" s="39"/>
      <c r="M248" s="39"/>
      <c r="N248" s="39"/>
      <c r="O248" s="39"/>
      <c r="P248" s="39"/>
      <c r="Q248" s="39"/>
      <c r="R248" s="39"/>
      <c r="S248" s="39"/>
      <c r="T248" s="39"/>
      <c r="U248" s="39"/>
      <c r="V248" s="39"/>
      <c r="W248" s="39"/>
      <c r="X248" s="39"/>
      <c r="Y248" s="39"/>
      <c r="Z248" s="39"/>
      <c r="AA248" s="39"/>
      <c r="AB248" s="39"/>
    </row>
    <row r="249">
      <c r="A249" s="1"/>
      <c r="B249" s="36"/>
      <c r="C249" s="36"/>
      <c r="D249" s="36"/>
      <c r="E249" s="36"/>
      <c r="F249" s="36"/>
      <c r="G249" s="36"/>
      <c r="H249" s="37"/>
      <c r="I249" s="36"/>
      <c r="J249" s="38"/>
      <c r="K249" s="38"/>
      <c r="L249" s="39"/>
      <c r="M249" s="39"/>
      <c r="N249" s="39"/>
      <c r="O249" s="39"/>
      <c r="P249" s="39"/>
      <c r="Q249" s="39"/>
      <c r="R249" s="39"/>
      <c r="S249" s="39"/>
      <c r="T249" s="39"/>
      <c r="U249" s="39"/>
      <c r="V249" s="39"/>
      <c r="W249" s="39"/>
      <c r="X249" s="39"/>
      <c r="Y249" s="39"/>
      <c r="Z249" s="39"/>
      <c r="AA249" s="39"/>
      <c r="AB249" s="39"/>
    </row>
    <row r="250">
      <c r="A250" s="1"/>
      <c r="B250" s="36"/>
      <c r="C250" s="36"/>
      <c r="D250" s="36"/>
      <c r="E250" s="36"/>
      <c r="F250" s="36"/>
      <c r="G250" s="36"/>
      <c r="H250" s="37"/>
      <c r="I250" s="36"/>
      <c r="J250" s="38"/>
      <c r="K250" s="38"/>
      <c r="L250" s="39"/>
      <c r="M250" s="39"/>
      <c r="N250" s="39"/>
      <c r="O250" s="39"/>
      <c r="P250" s="39"/>
      <c r="Q250" s="39"/>
      <c r="R250" s="39"/>
      <c r="S250" s="39"/>
      <c r="T250" s="39"/>
      <c r="U250" s="39"/>
      <c r="V250" s="39"/>
      <c r="W250" s="39"/>
      <c r="X250" s="39"/>
      <c r="Y250" s="39"/>
      <c r="Z250" s="39"/>
      <c r="AA250" s="39"/>
      <c r="AB250" s="39"/>
    </row>
    <row r="251">
      <c r="A251" s="1"/>
      <c r="B251" s="36"/>
      <c r="C251" s="36"/>
      <c r="D251" s="36"/>
      <c r="E251" s="36"/>
      <c r="F251" s="36"/>
      <c r="G251" s="36"/>
      <c r="H251" s="37"/>
      <c r="I251" s="36"/>
      <c r="J251" s="38"/>
      <c r="K251" s="38"/>
      <c r="L251" s="39"/>
      <c r="M251" s="39"/>
      <c r="N251" s="39"/>
      <c r="O251" s="39"/>
      <c r="P251" s="39"/>
      <c r="Q251" s="39"/>
      <c r="R251" s="39"/>
      <c r="S251" s="39"/>
      <c r="T251" s="39"/>
      <c r="U251" s="39"/>
      <c r="V251" s="39"/>
      <c r="W251" s="39"/>
      <c r="X251" s="39"/>
      <c r="Y251" s="39"/>
      <c r="Z251" s="39"/>
      <c r="AA251" s="39"/>
      <c r="AB251" s="39"/>
    </row>
    <row r="252">
      <c r="A252" s="1"/>
      <c r="B252" s="36"/>
      <c r="C252" s="36"/>
      <c r="D252" s="36"/>
      <c r="E252" s="36"/>
      <c r="F252" s="36"/>
      <c r="G252" s="36"/>
      <c r="H252" s="37"/>
      <c r="I252" s="36"/>
      <c r="J252" s="38"/>
      <c r="K252" s="38"/>
      <c r="L252" s="39"/>
      <c r="M252" s="39"/>
      <c r="N252" s="39"/>
      <c r="O252" s="39"/>
      <c r="P252" s="39"/>
      <c r="Q252" s="39"/>
      <c r="R252" s="39"/>
      <c r="S252" s="39"/>
      <c r="T252" s="39"/>
      <c r="U252" s="39"/>
      <c r="V252" s="39"/>
      <c r="W252" s="39"/>
      <c r="X252" s="39"/>
      <c r="Y252" s="39"/>
      <c r="Z252" s="39"/>
      <c r="AA252" s="39"/>
      <c r="AB252" s="39"/>
    </row>
    <row r="253">
      <c r="A253" s="1"/>
      <c r="B253" s="36"/>
      <c r="C253" s="36"/>
      <c r="D253" s="36"/>
      <c r="E253" s="36"/>
      <c r="F253" s="36"/>
      <c r="G253" s="36"/>
      <c r="H253" s="37"/>
      <c r="I253" s="36"/>
      <c r="J253" s="38"/>
      <c r="K253" s="38"/>
      <c r="L253" s="39"/>
      <c r="M253" s="39"/>
      <c r="N253" s="39"/>
      <c r="O253" s="39"/>
      <c r="P253" s="39"/>
      <c r="Q253" s="39"/>
      <c r="R253" s="39"/>
      <c r="S253" s="39"/>
      <c r="T253" s="39"/>
      <c r="U253" s="39"/>
      <c r="V253" s="39"/>
      <c r="W253" s="39"/>
      <c r="X253" s="39"/>
      <c r="Y253" s="39"/>
      <c r="Z253" s="39"/>
      <c r="AA253" s="39"/>
      <c r="AB253" s="39"/>
    </row>
    <row r="254">
      <c r="A254" s="1"/>
      <c r="B254" s="36"/>
      <c r="C254" s="36"/>
      <c r="D254" s="36"/>
      <c r="E254" s="36"/>
      <c r="F254" s="36"/>
      <c r="G254" s="36"/>
      <c r="H254" s="37"/>
      <c r="I254" s="36"/>
      <c r="J254" s="38"/>
      <c r="K254" s="38"/>
      <c r="L254" s="39"/>
      <c r="M254" s="39"/>
      <c r="N254" s="39"/>
      <c r="O254" s="39"/>
      <c r="P254" s="39"/>
      <c r="Q254" s="39"/>
      <c r="R254" s="39"/>
      <c r="S254" s="39"/>
      <c r="T254" s="39"/>
      <c r="U254" s="39"/>
      <c r="V254" s="39"/>
      <c r="W254" s="39"/>
      <c r="X254" s="39"/>
      <c r="Y254" s="39"/>
      <c r="Z254" s="39"/>
      <c r="AA254" s="39"/>
      <c r="AB254" s="39"/>
    </row>
    <row r="255">
      <c r="A255" s="1"/>
      <c r="B255" s="36"/>
      <c r="C255" s="36"/>
      <c r="D255" s="36"/>
      <c r="E255" s="36"/>
      <c r="F255" s="36"/>
      <c r="G255" s="36"/>
      <c r="H255" s="37"/>
      <c r="I255" s="36"/>
      <c r="J255" s="38"/>
      <c r="K255" s="38"/>
      <c r="L255" s="39"/>
      <c r="M255" s="39"/>
      <c r="N255" s="39"/>
      <c r="O255" s="39"/>
      <c r="P255" s="39"/>
      <c r="Q255" s="39"/>
      <c r="R255" s="39"/>
      <c r="S255" s="39"/>
      <c r="T255" s="39"/>
      <c r="U255" s="39"/>
      <c r="V255" s="39"/>
      <c r="W255" s="39"/>
      <c r="X255" s="39"/>
      <c r="Y255" s="39"/>
      <c r="Z255" s="39"/>
      <c r="AA255" s="39"/>
      <c r="AB255" s="39"/>
    </row>
    <row r="256">
      <c r="A256" s="1"/>
      <c r="B256" s="36"/>
      <c r="C256" s="36"/>
      <c r="D256" s="36"/>
      <c r="E256" s="36"/>
      <c r="F256" s="36"/>
      <c r="G256" s="36"/>
      <c r="H256" s="37"/>
      <c r="I256" s="36"/>
      <c r="J256" s="38"/>
      <c r="K256" s="38"/>
      <c r="L256" s="39"/>
      <c r="M256" s="39"/>
      <c r="N256" s="39"/>
      <c r="O256" s="39"/>
      <c r="P256" s="39"/>
      <c r="Q256" s="39"/>
      <c r="R256" s="39"/>
      <c r="S256" s="39"/>
      <c r="T256" s="39"/>
      <c r="U256" s="39"/>
      <c r="V256" s="39"/>
      <c r="W256" s="39"/>
      <c r="X256" s="39"/>
      <c r="Y256" s="39"/>
      <c r="Z256" s="39"/>
      <c r="AA256" s="39"/>
      <c r="AB256" s="39"/>
    </row>
    <row r="257">
      <c r="A257" s="1"/>
      <c r="B257" s="36"/>
      <c r="C257" s="36"/>
      <c r="D257" s="36"/>
      <c r="E257" s="36"/>
      <c r="F257" s="36"/>
      <c r="G257" s="36"/>
      <c r="H257" s="37"/>
      <c r="I257" s="36"/>
      <c r="J257" s="38"/>
      <c r="K257" s="38"/>
      <c r="L257" s="39"/>
      <c r="M257" s="39"/>
      <c r="N257" s="39"/>
      <c r="O257" s="39"/>
      <c r="P257" s="39"/>
      <c r="Q257" s="39"/>
      <c r="R257" s="39"/>
      <c r="S257" s="39"/>
      <c r="T257" s="39"/>
      <c r="U257" s="39"/>
      <c r="V257" s="39"/>
      <c r="W257" s="39"/>
      <c r="X257" s="39"/>
      <c r="Y257" s="39"/>
      <c r="Z257" s="39"/>
      <c r="AA257" s="39"/>
      <c r="AB257" s="39"/>
    </row>
    <row r="258">
      <c r="A258" s="1"/>
      <c r="B258" s="36"/>
      <c r="C258" s="36"/>
      <c r="D258" s="36"/>
      <c r="E258" s="36"/>
      <c r="F258" s="36"/>
      <c r="G258" s="36"/>
      <c r="H258" s="37"/>
      <c r="I258" s="36"/>
      <c r="J258" s="38"/>
      <c r="K258" s="38"/>
      <c r="L258" s="39"/>
      <c r="M258" s="39"/>
      <c r="N258" s="39"/>
      <c r="O258" s="39"/>
      <c r="P258" s="39"/>
      <c r="Q258" s="39"/>
      <c r="R258" s="39"/>
      <c r="S258" s="39"/>
      <c r="T258" s="39"/>
      <c r="U258" s="39"/>
      <c r="V258" s="39"/>
      <c r="W258" s="39"/>
      <c r="X258" s="39"/>
      <c r="Y258" s="39"/>
      <c r="Z258" s="39"/>
      <c r="AA258" s="39"/>
      <c r="AB258" s="39"/>
    </row>
    <row r="259">
      <c r="A259" s="1"/>
      <c r="B259" s="36"/>
      <c r="C259" s="36"/>
      <c r="D259" s="36"/>
      <c r="E259" s="36"/>
      <c r="F259" s="36"/>
      <c r="G259" s="36"/>
      <c r="H259" s="37"/>
      <c r="I259" s="36"/>
      <c r="J259" s="38"/>
      <c r="K259" s="38"/>
      <c r="L259" s="39"/>
      <c r="M259" s="39"/>
      <c r="N259" s="39"/>
      <c r="O259" s="39"/>
      <c r="P259" s="39"/>
      <c r="Q259" s="39"/>
      <c r="R259" s="39"/>
      <c r="S259" s="39"/>
      <c r="T259" s="39"/>
      <c r="U259" s="39"/>
      <c r="V259" s="39"/>
      <c r="W259" s="39"/>
      <c r="X259" s="39"/>
      <c r="Y259" s="39"/>
      <c r="Z259" s="39"/>
      <c r="AA259" s="39"/>
      <c r="AB259" s="39"/>
    </row>
    <row r="260">
      <c r="A260" s="1"/>
      <c r="B260" s="36"/>
      <c r="C260" s="36"/>
      <c r="D260" s="36"/>
      <c r="E260" s="36"/>
      <c r="F260" s="36"/>
      <c r="G260" s="36"/>
      <c r="H260" s="37"/>
      <c r="I260" s="36"/>
      <c r="J260" s="38"/>
      <c r="K260" s="38"/>
      <c r="L260" s="39"/>
      <c r="M260" s="39"/>
      <c r="N260" s="39"/>
      <c r="O260" s="39"/>
      <c r="P260" s="39"/>
      <c r="Q260" s="39"/>
      <c r="R260" s="39"/>
      <c r="S260" s="39"/>
      <c r="T260" s="39"/>
      <c r="U260" s="39"/>
      <c r="V260" s="39"/>
      <c r="W260" s="39"/>
      <c r="X260" s="39"/>
      <c r="Y260" s="39"/>
      <c r="Z260" s="39"/>
      <c r="AA260" s="39"/>
      <c r="AB260" s="39"/>
    </row>
    <row r="261">
      <c r="A261" s="1"/>
      <c r="B261" s="36"/>
      <c r="C261" s="36"/>
      <c r="D261" s="36"/>
      <c r="E261" s="36"/>
      <c r="F261" s="36"/>
      <c r="G261" s="36"/>
      <c r="H261" s="37"/>
      <c r="I261" s="36"/>
      <c r="J261" s="38"/>
      <c r="K261" s="38"/>
      <c r="L261" s="39"/>
      <c r="M261" s="39"/>
      <c r="N261" s="39"/>
      <c r="O261" s="39"/>
      <c r="P261" s="39"/>
      <c r="Q261" s="39"/>
      <c r="R261" s="39"/>
      <c r="S261" s="39"/>
      <c r="T261" s="39"/>
      <c r="U261" s="39"/>
      <c r="V261" s="39"/>
      <c r="W261" s="39"/>
      <c r="X261" s="39"/>
      <c r="Y261" s="39"/>
      <c r="Z261" s="39"/>
      <c r="AA261" s="39"/>
      <c r="AB261" s="39"/>
    </row>
    <row r="262">
      <c r="A262" s="1"/>
      <c r="B262" s="36"/>
      <c r="C262" s="36"/>
      <c r="D262" s="36"/>
      <c r="E262" s="36"/>
      <c r="F262" s="36"/>
      <c r="G262" s="36"/>
      <c r="H262" s="37"/>
      <c r="I262" s="36"/>
      <c r="J262" s="38"/>
      <c r="K262" s="38"/>
      <c r="L262" s="39"/>
      <c r="M262" s="39"/>
      <c r="N262" s="39"/>
      <c r="O262" s="39"/>
      <c r="P262" s="39"/>
      <c r="Q262" s="39"/>
      <c r="R262" s="39"/>
      <c r="S262" s="39"/>
      <c r="T262" s="39"/>
      <c r="U262" s="39"/>
      <c r="V262" s="39"/>
      <c r="W262" s="39"/>
      <c r="X262" s="39"/>
      <c r="Y262" s="39"/>
      <c r="Z262" s="39"/>
      <c r="AA262" s="39"/>
      <c r="AB262" s="39"/>
    </row>
    <row r="263">
      <c r="A263" s="1"/>
      <c r="B263" s="36"/>
      <c r="C263" s="36"/>
      <c r="D263" s="36"/>
      <c r="E263" s="36"/>
      <c r="F263" s="36"/>
      <c r="G263" s="36"/>
      <c r="H263" s="37"/>
      <c r="I263" s="36"/>
      <c r="J263" s="38"/>
      <c r="K263" s="38"/>
      <c r="L263" s="39"/>
      <c r="M263" s="39"/>
      <c r="N263" s="39"/>
      <c r="O263" s="39"/>
      <c r="P263" s="39"/>
      <c r="Q263" s="39"/>
      <c r="R263" s="39"/>
      <c r="S263" s="39"/>
      <c r="T263" s="39"/>
      <c r="U263" s="39"/>
      <c r="V263" s="39"/>
      <c r="W263" s="39"/>
      <c r="X263" s="39"/>
      <c r="Y263" s="39"/>
      <c r="Z263" s="39"/>
      <c r="AA263" s="39"/>
      <c r="AB263" s="39"/>
    </row>
    <row r="264">
      <c r="A264" s="1"/>
      <c r="B264" s="36"/>
      <c r="C264" s="36"/>
      <c r="D264" s="36"/>
      <c r="E264" s="36"/>
      <c r="F264" s="36"/>
      <c r="G264" s="36"/>
      <c r="H264" s="37"/>
      <c r="I264" s="36"/>
      <c r="J264" s="38"/>
      <c r="K264" s="38"/>
      <c r="L264" s="39"/>
      <c r="M264" s="39"/>
      <c r="N264" s="39"/>
      <c r="O264" s="39"/>
      <c r="P264" s="39"/>
      <c r="Q264" s="39"/>
      <c r="R264" s="39"/>
      <c r="S264" s="39"/>
      <c r="T264" s="39"/>
      <c r="U264" s="39"/>
      <c r="V264" s="39"/>
      <c r="W264" s="39"/>
      <c r="X264" s="39"/>
      <c r="Y264" s="39"/>
      <c r="Z264" s="39"/>
      <c r="AA264" s="39"/>
      <c r="AB264" s="39"/>
    </row>
    <row r="265">
      <c r="A265" s="1"/>
      <c r="B265" s="36"/>
      <c r="C265" s="36"/>
      <c r="D265" s="36"/>
      <c r="E265" s="36"/>
      <c r="F265" s="36"/>
      <c r="G265" s="36"/>
      <c r="H265" s="37"/>
      <c r="I265" s="36"/>
      <c r="J265" s="38"/>
      <c r="K265" s="38"/>
      <c r="L265" s="39"/>
      <c r="M265" s="39"/>
      <c r="N265" s="39"/>
      <c r="O265" s="39"/>
      <c r="P265" s="39"/>
      <c r="Q265" s="39"/>
      <c r="R265" s="39"/>
      <c r="S265" s="39"/>
      <c r="T265" s="39"/>
      <c r="U265" s="39"/>
      <c r="V265" s="39"/>
      <c r="W265" s="39"/>
      <c r="X265" s="39"/>
      <c r="Y265" s="39"/>
      <c r="Z265" s="39"/>
      <c r="AA265" s="39"/>
      <c r="AB265" s="39"/>
    </row>
    <row r="266">
      <c r="A266" s="1"/>
      <c r="B266" s="36"/>
      <c r="C266" s="36"/>
      <c r="D266" s="36"/>
      <c r="E266" s="36"/>
      <c r="F266" s="36"/>
      <c r="G266" s="36"/>
      <c r="H266" s="37"/>
      <c r="I266" s="36"/>
      <c r="J266" s="38"/>
      <c r="K266" s="38"/>
      <c r="L266" s="39"/>
      <c r="M266" s="39"/>
      <c r="N266" s="39"/>
      <c r="O266" s="39"/>
      <c r="P266" s="39"/>
      <c r="Q266" s="39"/>
      <c r="R266" s="39"/>
      <c r="S266" s="39"/>
      <c r="T266" s="39"/>
      <c r="U266" s="39"/>
      <c r="V266" s="39"/>
      <c r="W266" s="39"/>
      <c r="X266" s="39"/>
      <c r="Y266" s="39"/>
      <c r="Z266" s="39"/>
      <c r="AA266" s="39"/>
      <c r="AB266" s="39"/>
    </row>
    <row r="267">
      <c r="A267" s="1"/>
      <c r="B267" s="36"/>
      <c r="C267" s="36"/>
      <c r="D267" s="36"/>
      <c r="E267" s="36"/>
      <c r="F267" s="36"/>
      <c r="G267" s="36"/>
      <c r="H267" s="37"/>
      <c r="I267" s="36"/>
      <c r="J267" s="38"/>
      <c r="K267" s="38"/>
      <c r="L267" s="39"/>
      <c r="M267" s="39"/>
      <c r="N267" s="39"/>
      <c r="O267" s="39"/>
      <c r="P267" s="39"/>
      <c r="Q267" s="39"/>
      <c r="R267" s="39"/>
      <c r="S267" s="39"/>
      <c r="T267" s="39"/>
      <c r="U267" s="39"/>
      <c r="V267" s="39"/>
      <c r="W267" s="39"/>
      <c r="X267" s="39"/>
      <c r="Y267" s="39"/>
      <c r="Z267" s="39"/>
      <c r="AA267" s="39"/>
      <c r="AB267" s="39"/>
    </row>
    <row r="268">
      <c r="A268" s="1"/>
      <c r="B268" s="36"/>
      <c r="C268" s="36"/>
      <c r="D268" s="36"/>
      <c r="E268" s="36"/>
      <c r="F268" s="36"/>
      <c r="G268" s="36"/>
      <c r="H268" s="37"/>
      <c r="I268" s="36"/>
      <c r="J268" s="38"/>
      <c r="K268" s="38"/>
      <c r="L268" s="39"/>
      <c r="M268" s="39"/>
      <c r="N268" s="39"/>
      <c r="O268" s="39"/>
      <c r="P268" s="39"/>
      <c r="Q268" s="39"/>
      <c r="R268" s="39"/>
      <c r="S268" s="39"/>
      <c r="T268" s="39"/>
      <c r="U268" s="39"/>
      <c r="V268" s="39"/>
      <c r="W268" s="39"/>
      <c r="X268" s="39"/>
      <c r="Y268" s="39"/>
      <c r="Z268" s="39"/>
      <c r="AA268" s="39"/>
      <c r="AB268" s="39"/>
    </row>
    <row r="269">
      <c r="A269" s="1"/>
      <c r="B269" s="36"/>
      <c r="C269" s="36"/>
      <c r="D269" s="36"/>
      <c r="E269" s="36"/>
      <c r="F269" s="36"/>
      <c r="G269" s="36"/>
      <c r="H269" s="37"/>
      <c r="I269" s="36"/>
      <c r="J269" s="38"/>
      <c r="K269" s="38"/>
      <c r="L269" s="39"/>
      <c r="M269" s="39"/>
      <c r="N269" s="39"/>
      <c r="O269" s="39"/>
      <c r="P269" s="39"/>
      <c r="Q269" s="39"/>
      <c r="R269" s="39"/>
      <c r="S269" s="39"/>
      <c r="T269" s="39"/>
      <c r="U269" s="39"/>
      <c r="V269" s="39"/>
      <c r="W269" s="39"/>
      <c r="X269" s="39"/>
      <c r="Y269" s="39"/>
      <c r="Z269" s="39"/>
      <c r="AA269" s="39"/>
      <c r="AB269" s="39"/>
    </row>
    <row r="270">
      <c r="A270" s="1"/>
      <c r="B270" s="36"/>
      <c r="C270" s="36"/>
      <c r="D270" s="36"/>
      <c r="E270" s="36"/>
      <c r="F270" s="36"/>
      <c r="G270" s="36"/>
      <c r="H270" s="37"/>
      <c r="I270" s="36"/>
      <c r="J270" s="38"/>
      <c r="K270" s="38"/>
      <c r="L270" s="39"/>
      <c r="M270" s="39"/>
      <c r="N270" s="39"/>
      <c r="O270" s="39"/>
      <c r="P270" s="39"/>
      <c r="Q270" s="39"/>
      <c r="R270" s="39"/>
      <c r="S270" s="39"/>
      <c r="T270" s="39"/>
      <c r="U270" s="39"/>
      <c r="V270" s="39"/>
      <c r="W270" s="39"/>
      <c r="X270" s="39"/>
      <c r="Y270" s="39"/>
      <c r="Z270" s="39"/>
      <c r="AA270" s="39"/>
      <c r="AB270" s="39"/>
    </row>
    <row r="271">
      <c r="A271" s="1"/>
      <c r="B271" s="36"/>
      <c r="C271" s="36"/>
      <c r="D271" s="36"/>
      <c r="E271" s="36"/>
      <c r="F271" s="36"/>
      <c r="G271" s="36"/>
      <c r="H271" s="37"/>
      <c r="I271" s="36"/>
      <c r="J271" s="38"/>
      <c r="K271" s="38"/>
      <c r="L271" s="39"/>
      <c r="M271" s="39"/>
      <c r="N271" s="39"/>
      <c r="O271" s="39"/>
      <c r="P271" s="39"/>
      <c r="Q271" s="39"/>
      <c r="R271" s="39"/>
      <c r="S271" s="39"/>
      <c r="T271" s="39"/>
      <c r="U271" s="39"/>
      <c r="V271" s="39"/>
      <c r="W271" s="39"/>
      <c r="X271" s="39"/>
      <c r="Y271" s="39"/>
      <c r="Z271" s="39"/>
      <c r="AA271" s="39"/>
      <c r="AB271" s="39"/>
    </row>
    <row r="272">
      <c r="A272" s="1"/>
      <c r="B272" s="36"/>
      <c r="C272" s="36"/>
      <c r="D272" s="36"/>
      <c r="E272" s="36"/>
      <c r="F272" s="36"/>
      <c r="G272" s="36"/>
      <c r="H272" s="37"/>
      <c r="I272" s="36"/>
      <c r="J272" s="38"/>
      <c r="K272" s="38"/>
      <c r="L272" s="39"/>
      <c r="M272" s="39"/>
      <c r="N272" s="39"/>
      <c r="O272" s="39"/>
      <c r="P272" s="39"/>
      <c r="Q272" s="39"/>
      <c r="R272" s="39"/>
      <c r="S272" s="39"/>
      <c r="T272" s="39"/>
      <c r="U272" s="39"/>
      <c r="V272" s="39"/>
      <c r="W272" s="39"/>
      <c r="X272" s="39"/>
      <c r="Y272" s="39"/>
      <c r="Z272" s="39"/>
      <c r="AA272" s="39"/>
      <c r="AB272" s="39"/>
    </row>
    <row r="273">
      <c r="A273" s="1"/>
      <c r="B273" s="36"/>
      <c r="C273" s="36"/>
      <c r="D273" s="36"/>
      <c r="E273" s="36"/>
      <c r="F273" s="36"/>
      <c r="G273" s="36"/>
      <c r="H273" s="37"/>
      <c r="I273" s="36"/>
      <c r="J273" s="38"/>
      <c r="K273" s="38"/>
      <c r="L273" s="39"/>
      <c r="M273" s="39"/>
      <c r="N273" s="39"/>
      <c r="O273" s="39"/>
      <c r="P273" s="39"/>
      <c r="Q273" s="39"/>
      <c r="R273" s="39"/>
      <c r="S273" s="39"/>
      <c r="T273" s="39"/>
      <c r="U273" s="39"/>
      <c r="V273" s="39"/>
      <c r="W273" s="39"/>
      <c r="X273" s="39"/>
      <c r="Y273" s="39"/>
      <c r="Z273" s="39"/>
      <c r="AA273" s="39"/>
      <c r="AB273" s="39"/>
    </row>
    <row r="274">
      <c r="A274" s="1"/>
      <c r="B274" s="36"/>
      <c r="C274" s="36"/>
      <c r="D274" s="36"/>
      <c r="E274" s="36"/>
      <c r="F274" s="36"/>
      <c r="G274" s="36"/>
      <c r="H274" s="37"/>
      <c r="I274" s="36"/>
      <c r="J274" s="38"/>
      <c r="K274" s="38"/>
      <c r="L274" s="39"/>
      <c r="M274" s="39"/>
      <c r="N274" s="39"/>
      <c r="O274" s="39"/>
      <c r="P274" s="39"/>
      <c r="Q274" s="39"/>
      <c r="R274" s="39"/>
      <c r="S274" s="39"/>
      <c r="T274" s="39"/>
      <c r="U274" s="39"/>
      <c r="V274" s="39"/>
      <c r="W274" s="39"/>
      <c r="X274" s="39"/>
      <c r="Y274" s="39"/>
      <c r="Z274" s="39"/>
      <c r="AA274" s="39"/>
      <c r="AB274" s="39"/>
    </row>
    <row r="275">
      <c r="A275" s="1"/>
      <c r="B275" s="36"/>
      <c r="C275" s="36"/>
      <c r="D275" s="36"/>
      <c r="E275" s="36"/>
      <c r="F275" s="36"/>
      <c r="G275" s="36"/>
      <c r="H275" s="37"/>
      <c r="I275" s="36"/>
      <c r="J275" s="38"/>
      <c r="K275" s="38"/>
      <c r="L275" s="39"/>
      <c r="M275" s="39"/>
      <c r="N275" s="39"/>
      <c r="O275" s="39"/>
      <c r="P275" s="39"/>
      <c r="Q275" s="39"/>
      <c r="R275" s="39"/>
      <c r="S275" s="39"/>
      <c r="T275" s="39"/>
      <c r="U275" s="39"/>
      <c r="V275" s="39"/>
      <c r="W275" s="39"/>
      <c r="X275" s="39"/>
      <c r="Y275" s="39"/>
      <c r="Z275" s="39"/>
      <c r="AA275" s="39"/>
      <c r="AB275" s="39"/>
    </row>
    <row r="276">
      <c r="A276" s="1"/>
      <c r="B276" s="36"/>
      <c r="C276" s="36"/>
      <c r="D276" s="36"/>
      <c r="E276" s="36"/>
      <c r="F276" s="36"/>
      <c r="G276" s="36"/>
      <c r="H276" s="37"/>
      <c r="I276" s="36"/>
      <c r="J276" s="38"/>
      <c r="K276" s="38"/>
      <c r="L276" s="39"/>
      <c r="M276" s="39"/>
      <c r="N276" s="39"/>
      <c r="O276" s="39"/>
      <c r="P276" s="39"/>
      <c r="Q276" s="39"/>
      <c r="R276" s="39"/>
      <c r="S276" s="39"/>
      <c r="T276" s="39"/>
      <c r="U276" s="39"/>
      <c r="V276" s="39"/>
      <c r="W276" s="39"/>
      <c r="X276" s="39"/>
      <c r="Y276" s="39"/>
      <c r="Z276" s="39"/>
      <c r="AA276" s="39"/>
      <c r="AB276" s="39"/>
    </row>
    <row r="277">
      <c r="A277" s="1"/>
      <c r="B277" s="36"/>
      <c r="C277" s="36"/>
      <c r="D277" s="36"/>
      <c r="E277" s="36"/>
      <c r="F277" s="36"/>
      <c r="G277" s="36"/>
      <c r="H277" s="37"/>
      <c r="I277" s="36"/>
      <c r="J277" s="38"/>
      <c r="K277" s="38"/>
      <c r="L277" s="39"/>
      <c r="M277" s="39"/>
      <c r="N277" s="39"/>
      <c r="O277" s="39"/>
      <c r="P277" s="39"/>
      <c r="Q277" s="39"/>
      <c r="R277" s="39"/>
      <c r="S277" s="39"/>
      <c r="T277" s="39"/>
      <c r="U277" s="39"/>
      <c r="V277" s="39"/>
      <c r="W277" s="39"/>
      <c r="X277" s="39"/>
      <c r="Y277" s="39"/>
      <c r="Z277" s="39"/>
      <c r="AA277" s="39"/>
      <c r="AB277" s="39"/>
    </row>
    <row r="278">
      <c r="A278" s="1"/>
      <c r="B278" s="36"/>
      <c r="C278" s="36"/>
      <c r="D278" s="36"/>
      <c r="E278" s="36"/>
      <c r="F278" s="36"/>
      <c r="G278" s="36"/>
      <c r="H278" s="37"/>
      <c r="I278" s="36"/>
      <c r="J278" s="38"/>
      <c r="K278" s="38"/>
      <c r="L278" s="39"/>
      <c r="M278" s="39"/>
      <c r="N278" s="39"/>
      <c r="O278" s="39"/>
      <c r="P278" s="39"/>
      <c r="Q278" s="39"/>
      <c r="R278" s="39"/>
      <c r="S278" s="39"/>
      <c r="T278" s="39"/>
      <c r="U278" s="39"/>
      <c r="V278" s="39"/>
      <c r="W278" s="39"/>
      <c r="X278" s="39"/>
      <c r="Y278" s="39"/>
      <c r="Z278" s="39"/>
      <c r="AA278" s="39"/>
      <c r="AB278" s="39"/>
    </row>
    <row r="279">
      <c r="A279" s="1"/>
      <c r="B279" s="36"/>
      <c r="C279" s="36"/>
      <c r="D279" s="36"/>
      <c r="E279" s="36"/>
      <c r="F279" s="36"/>
      <c r="G279" s="36"/>
      <c r="H279" s="37"/>
      <c r="I279" s="36"/>
      <c r="J279" s="38"/>
      <c r="K279" s="38"/>
      <c r="L279" s="39"/>
      <c r="M279" s="39"/>
      <c r="N279" s="39"/>
      <c r="O279" s="39"/>
      <c r="P279" s="39"/>
      <c r="Q279" s="39"/>
      <c r="R279" s="39"/>
      <c r="S279" s="39"/>
      <c r="T279" s="39"/>
      <c r="U279" s="39"/>
      <c r="V279" s="39"/>
      <c r="W279" s="39"/>
      <c r="X279" s="39"/>
      <c r="Y279" s="39"/>
      <c r="Z279" s="39"/>
      <c r="AA279" s="39"/>
      <c r="AB279" s="39"/>
    </row>
    <row r="280">
      <c r="A280" s="1"/>
      <c r="B280" s="36"/>
      <c r="C280" s="36"/>
      <c r="D280" s="36"/>
      <c r="E280" s="36"/>
      <c r="F280" s="36"/>
      <c r="G280" s="36"/>
      <c r="H280" s="37"/>
      <c r="I280" s="36"/>
      <c r="J280" s="38"/>
      <c r="K280" s="38"/>
      <c r="L280" s="39"/>
      <c r="M280" s="39"/>
      <c r="N280" s="39"/>
      <c r="O280" s="39"/>
      <c r="P280" s="39"/>
      <c r="Q280" s="39"/>
      <c r="R280" s="39"/>
      <c r="S280" s="39"/>
      <c r="T280" s="39"/>
      <c r="U280" s="39"/>
      <c r="V280" s="39"/>
      <c r="W280" s="39"/>
      <c r="X280" s="39"/>
      <c r="Y280" s="39"/>
      <c r="Z280" s="39"/>
      <c r="AA280" s="39"/>
      <c r="AB280" s="39"/>
    </row>
    <row r="281">
      <c r="A281" s="1"/>
      <c r="B281" s="36"/>
      <c r="C281" s="36"/>
      <c r="D281" s="36"/>
      <c r="E281" s="36"/>
      <c r="F281" s="36"/>
      <c r="G281" s="36"/>
      <c r="H281" s="37"/>
      <c r="I281" s="36"/>
      <c r="J281" s="38"/>
      <c r="K281" s="38"/>
      <c r="L281" s="39"/>
      <c r="M281" s="39"/>
      <c r="N281" s="39"/>
      <c r="O281" s="39"/>
      <c r="P281" s="39"/>
      <c r="Q281" s="39"/>
      <c r="R281" s="39"/>
      <c r="S281" s="39"/>
      <c r="T281" s="39"/>
      <c r="U281" s="39"/>
      <c r="V281" s="39"/>
      <c r="W281" s="39"/>
      <c r="X281" s="39"/>
      <c r="Y281" s="39"/>
      <c r="Z281" s="39"/>
      <c r="AA281" s="39"/>
      <c r="AB281" s="39"/>
    </row>
    <row r="282">
      <c r="A282" s="1"/>
      <c r="B282" s="36"/>
      <c r="C282" s="36"/>
      <c r="D282" s="36"/>
      <c r="E282" s="36"/>
      <c r="F282" s="36"/>
      <c r="G282" s="36"/>
      <c r="H282" s="37"/>
      <c r="I282" s="36"/>
      <c r="J282" s="38"/>
      <c r="K282" s="38"/>
      <c r="L282" s="39"/>
      <c r="M282" s="39"/>
      <c r="N282" s="39"/>
      <c r="O282" s="39"/>
      <c r="P282" s="39"/>
      <c r="Q282" s="39"/>
      <c r="R282" s="39"/>
      <c r="S282" s="39"/>
      <c r="T282" s="39"/>
      <c r="U282" s="39"/>
      <c r="V282" s="39"/>
      <c r="W282" s="39"/>
      <c r="X282" s="39"/>
      <c r="Y282" s="39"/>
      <c r="Z282" s="39"/>
      <c r="AA282" s="39"/>
      <c r="AB282" s="39"/>
    </row>
    <row r="283">
      <c r="A283" s="1"/>
      <c r="B283" s="36"/>
      <c r="C283" s="36"/>
      <c r="D283" s="36"/>
      <c r="E283" s="36"/>
      <c r="F283" s="36"/>
      <c r="G283" s="36"/>
      <c r="H283" s="37"/>
      <c r="I283" s="36"/>
      <c r="J283" s="38"/>
      <c r="K283" s="38"/>
      <c r="L283" s="39"/>
      <c r="M283" s="39"/>
      <c r="N283" s="39"/>
      <c r="O283" s="39"/>
      <c r="P283" s="39"/>
      <c r="Q283" s="39"/>
      <c r="R283" s="39"/>
      <c r="S283" s="39"/>
      <c r="T283" s="39"/>
      <c r="U283" s="39"/>
      <c r="V283" s="39"/>
      <c r="W283" s="39"/>
      <c r="X283" s="39"/>
      <c r="Y283" s="39"/>
      <c r="Z283" s="39"/>
      <c r="AA283" s="39"/>
      <c r="AB283" s="39"/>
    </row>
    <row r="284">
      <c r="A284" s="1"/>
      <c r="B284" s="36"/>
      <c r="C284" s="36"/>
      <c r="D284" s="36"/>
      <c r="E284" s="36"/>
      <c r="F284" s="36"/>
      <c r="G284" s="36"/>
      <c r="H284" s="37"/>
      <c r="I284" s="36"/>
      <c r="J284" s="38"/>
      <c r="K284" s="38"/>
      <c r="L284" s="39"/>
      <c r="M284" s="39"/>
      <c r="N284" s="39"/>
      <c r="O284" s="39"/>
      <c r="P284" s="39"/>
      <c r="Q284" s="39"/>
      <c r="R284" s="39"/>
      <c r="S284" s="39"/>
      <c r="T284" s="39"/>
      <c r="U284" s="39"/>
      <c r="V284" s="39"/>
      <c r="W284" s="39"/>
      <c r="X284" s="39"/>
      <c r="Y284" s="39"/>
      <c r="Z284" s="39"/>
      <c r="AA284" s="39"/>
      <c r="AB284" s="39"/>
    </row>
    <row r="285">
      <c r="A285" s="1"/>
      <c r="B285" s="36"/>
      <c r="C285" s="36"/>
      <c r="D285" s="36"/>
      <c r="E285" s="36"/>
      <c r="F285" s="36"/>
      <c r="G285" s="36"/>
      <c r="H285" s="37"/>
      <c r="I285" s="36"/>
      <c r="J285" s="38"/>
      <c r="K285" s="38"/>
      <c r="L285" s="39"/>
      <c r="M285" s="39"/>
      <c r="N285" s="39"/>
      <c r="O285" s="39"/>
      <c r="P285" s="39"/>
      <c r="Q285" s="39"/>
      <c r="R285" s="39"/>
      <c r="S285" s="39"/>
      <c r="T285" s="39"/>
      <c r="U285" s="39"/>
      <c r="V285" s="39"/>
      <c r="W285" s="39"/>
      <c r="X285" s="39"/>
      <c r="Y285" s="39"/>
      <c r="Z285" s="39"/>
      <c r="AA285" s="39"/>
      <c r="AB285" s="39"/>
    </row>
    <row r="286">
      <c r="A286" s="1"/>
      <c r="B286" s="36"/>
      <c r="C286" s="36"/>
      <c r="D286" s="36"/>
      <c r="E286" s="36"/>
      <c r="F286" s="36"/>
      <c r="G286" s="36"/>
      <c r="H286" s="37"/>
      <c r="I286" s="36"/>
      <c r="J286" s="38"/>
      <c r="K286" s="38"/>
      <c r="L286" s="39"/>
      <c r="M286" s="39"/>
      <c r="N286" s="39"/>
      <c r="O286" s="39"/>
      <c r="P286" s="39"/>
      <c r="Q286" s="39"/>
      <c r="R286" s="39"/>
      <c r="S286" s="39"/>
      <c r="T286" s="39"/>
      <c r="U286" s="39"/>
      <c r="V286" s="39"/>
      <c r="W286" s="39"/>
      <c r="X286" s="39"/>
      <c r="Y286" s="39"/>
      <c r="Z286" s="39"/>
      <c r="AA286" s="39"/>
      <c r="AB286" s="39"/>
    </row>
    <row r="287">
      <c r="A287" s="1"/>
      <c r="B287" s="36"/>
      <c r="C287" s="36"/>
      <c r="D287" s="36"/>
      <c r="E287" s="36"/>
      <c r="F287" s="36"/>
      <c r="G287" s="36"/>
      <c r="H287" s="37"/>
      <c r="I287" s="36"/>
      <c r="J287" s="38"/>
      <c r="K287" s="38"/>
      <c r="L287" s="39"/>
      <c r="M287" s="39"/>
      <c r="N287" s="39"/>
      <c r="O287" s="39"/>
      <c r="P287" s="39"/>
      <c r="Q287" s="39"/>
      <c r="R287" s="39"/>
      <c r="S287" s="39"/>
      <c r="T287" s="39"/>
      <c r="U287" s="39"/>
      <c r="V287" s="39"/>
      <c r="W287" s="39"/>
      <c r="X287" s="39"/>
      <c r="Y287" s="39"/>
      <c r="Z287" s="39"/>
      <c r="AA287" s="39"/>
      <c r="AB287" s="39"/>
    </row>
    <row r="288">
      <c r="A288" s="1"/>
      <c r="B288" s="36"/>
      <c r="C288" s="36"/>
      <c r="D288" s="36"/>
      <c r="E288" s="36"/>
      <c r="F288" s="36"/>
      <c r="G288" s="36"/>
      <c r="H288" s="37"/>
      <c r="I288" s="36"/>
      <c r="J288" s="38"/>
      <c r="K288" s="38"/>
      <c r="L288" s="39"/>
      <c r="M288" s="39"/>
      <c r="N288" s="39"/>
      <c r="O288" s="39"/>
      <c r="P288" s="39"/>
      <c r="Q288" s="39"/>
      <c r="R288" s="39"/>
      <c r="S288" s="39"/>
      <c r="T288" s="39"/>
      <c r="U288" s="39"/>
      <c r="V288" s="39"/>
      <c r="W288" s="39"/>
      <c r="X288" s="39"/>
      <c r="Y288" s="39"/>
      <c r="Z288" s="39"/>
      <c r="AA288" s="39"/>
      <c r="AB288" s="39"/>
    </row>
    <row r="289">
      <c r="A289" s="1"/>
      <c r="B289" s="36"/>
      <c r="C289" s="36"/>
      <c r="D289" s="36"/>
      <c r="E289" s="36"/>
      <c r="F289" s="36"/>
      <c r="G289" s="36"/>
      <c r="H289" s="37"/>
      <c r="I289" s="36"/>
      <c r="J289" s="38"/>
      <c r="K289" s="38"/>
      <c r="L289" s="39"/>
      <c r="M289" s="39"/>
      <c r="N289" s="39"/>
      <c r="O289" s="39"/>
      <c r="P289" s="39"/>
      <c r="Q289" s="39"/>
      <c r="R289" s="39"/>
      <c r="S289" s="39"/>
      <c r="T289" s="39"/>
      <c r="U289" s="39"/>
      <c r="V289" s="39"/>
      <c r="W289" s="39"/>
      <c r="X289" s="39"/>
      <c r="Y289" s="39"/>
      <c r="Z289" s="39"/>
      <c r="AA289" s="39"/>
      <c r="AB289" s="39"/>
    </row>
    <row r="290">
      <c r="A290" s="1"/>
      <c r="B290" s="36"/>
      <c r="C290" s="36"/>
      <c r="D290" s="36"/>
      <c r="E290" s="36"/>
      <c r="F290" s="36"/>
      <c r="G290" s="36"/>
      <c r="H290" s="37"/>
      <c r="I290" s="36"/>
      <c r="J290" s="38"/>
      <c r="K290" s="38"/>
      <c r="L290" s="39"/>
      <c r="M290" s="39"/>
      <c r="N290" s="39"/>
      <c r="O290" s="39"/>
      <c r="P290" s="39"/>
      <c r="Q290" s="39"/>
      <c r="R290" s="39"/>
      <c r="S290" s="39"/>
      <c r="T290" s="39"/>
      <c r="U290" s="39"/>
      <c r="V290" s="39"/>
      <c r="W290" s="39"/>
      <c r="X290" s="39"/>
      <c r="Y290" s="39"/>
      <c r="Z290" s="39"/>
      <c r="AA290" s="39"/>
      <c r="AB290" s="39"/>
    </row>
    <row r="291">
      <c r="A291" s="1"/>
      <c r="B291" s="36"/>
      <c r="C291" s="36"/>
      <c r="D291" s="36"/>
      <c r="E291" s="36"/>
      <c r="F291" s="36"/>
      <c r="G291" s="36"/>
      <c r="H291" s="37"/>
      <c r="I291" s="36"/>
      <c r="J291" s="38"/>
      <c r="K291" s="38"/>
      <c r="L291" s="39"/>
      <c r="M291" s="39"/>
      <c r="N291" s="39"/>
      <c r="O291" s="39"/>
      <c r="P291" s="39"/>
      <c r="Q291" s="39"/>
      <c r="R291" s="39"/>
      <c r="S291" s="39"/>
      <c r="T291" s="39"/>
      <c r="U291" s="39"/>
      <c r="V291" s="39"/>
      <c r="W291" s="39"/>
      <c r="X291" s="39"/>
      <c r="Y291" s="39"/>
      <c r="Z291" s="39"/>
      <c r="AA291" s="39"/>
      <c r="AB291" s="39"/>
    </row>
    <row r="292">
      <c r="A292" s="1"/>
      <c r="B292" s="36"/>
      <c r="C292" s="36"/>
      <c r="D292" s="36"/>
      <c r="E292" s="36"/>
      <c r="F292" s="36"/>
      <c r="G292" s="36"/>
      <c r="H292" s="37"/>
      <c r="I292" s="36"/>
      <c r="J292" s="38"/>
      <c r="K292" s="38"/>
      <c r="L292" s="39"/>
      <c r="M292" s="39"/>
      <c r="N292" s="39"/>
      <c r="O292" s="39"/>
      <c r="P292" s="39"/>
      <c r="Q292" s="39"/>
      <c r="R292" s="39"/>
      <c r="S292" s="39"/>
      <c r="T292" s="39"/>
      <c r="U292" s="39"/>
      <c r="V292" s="39"/>
      <c r="W292" s="39"/>
      <c r="X292" s="39"/>
      <c r="Y292" s="39"/>
      <c r="Z292" s="39"/>
      <c r="AA292" s="39"/>
      <c r="AB292" s="39"/>
    </row>
    <row r="293">
      <c r="A293" s="1"/>
      <c r="B293" s="36"/>
      <c r="C293" s="36"/>
      <c r="D293" s="36"/>
      <c r="E293" s="36"/>
      <c r="F293" s="36"/>
      <c r="G293" s="36"/>
      <c r="H293" s="37"/>
      <c r="I293" s="36"/>
      <c r="J293" s="38"/>
      <c r="K293" s="38"/>
      <c r="L293" s="39"/>
      <c r="M293" s="39"/>
      <c r="N293" s="39"/>
      <c r="O293" s="39"/>
      <c r="P293" s="39"/>
      <c r="Q293" s="39"/>
      <c r="R293" s="39"/>
      <c r="S293" s="39"/>
      <c r="T293" s="39"/>
      <c r="U293" s="39"/>
      <c r="V293" s="39"/>
      <c r="W293" s="39"/>
      <c r="X293" s="39"/>
      <c r="Y293" s="39"/>
      <c r="Z293" s="39"/>
      <c r="AA293" s="39"/>
      <c r="AB293" s="39"/>
    </row>
    <row r="294">
      <c r="A294" s="1"/>
      <c r="B294" s="36"/>
      <c r="C294" s="36"/>
      <c r="D294" s="36"/>
      <c r="E294" s="36"/>
      <c r="F294" s="36"/>
      <c r="G294" s="36"/>
      <c r="H294" s="37"/>
      <c r="I294" s="36"/>
      <c r="J294" s="38"/>
      <c r="K294" s="38"/>
      <c r="L294" s="39"/>
      <c r="M294" s="39"/>
      <c r="N294" s="39"/>
      <c r="O294" s="39"/>
      <c r="P294" s="39"/>
      <c r="Q294" s="39"/>
      <c r="R294" s="39"/>
      <c r="S294" s="39"/>
      <c r="T294" s="39"/>
      <c r="U294" s="39"/>
      <c r="V294" s="39"/>
      <c r="W294" s="39"/>
      <c r="X294" s="39"/>
      <c r="Y294" s="39"/>
      <c r="Z294" s="39"/>
      <c r="AA294" s="39"/>
      <c r="AB294" s="39"/>
    </row>
    <row r="295">
      <c r="A295" s="1"/>
      <c r="B295" s="36"/>
      <c r="C295" s="36"/>
      <c r="D295" s="36"/>
      <c r="E295" s="36"/>
      <c r="F295" s="36"/>
      <c r="G295" s="36"/>
      <c r="H295" s="37"/>
      <c r="I295" s="36"/>
      <c r="J295" s="38"/>
      <c r="K295" s="38"/>
      <c r="L295" s="39"/>
      <c r="M295" s="39"/>
      <c r="N295" s="39"/>
      <c r="O295" s="39"/>
      <c r="P295" s="39"/>
      <c r="Q295" s="39"/>
      <c r="R295" s="39"/>
      <c r="S295" s="39"/>
      <c r="T295" s="39"/>
      <c r="U295" s="39"/>
      <c r="V295" s="39"/>
      <c r="W295" s="39"/>
      <c r="X295" s="39"/>
      <c r="Y295" s="39"/>
      <c r="Z295" s="39"/>
      <c r="AA295" s="39"/>
      <c r="AB295" s="39"/>
    </row>
    <row r="296">
      <c r="A296" s="1"/>
      <c r="B296" s="36"/>
      <c r="C296" s="36"/>
      <c r="D296" s="36"/>
      <c r="E296" s="36"/>
      <c r="F296" s="36"/>
      <c r="G296" s="36"/>
      <c r="H296" s="37"/>
      <c r="I296" s="36"/>
      <c r="J296" s="38"/>
      <c r="K296" s="38"/>
      <c r="L296" s="39"/>
      <c r="M296" s="39"/>
      <c r="N296" s="39"/>
      <c r="O296" s="39"/>
      <c r="P296" s="39"/>
      <c r="Q296" s="39"/>
      <c r="R296" s="39"/>
      <c r="S296" s="39"/>
      <c r="T296" s="39"/>
      <c r="U296" s="39"/>
      <c r="V296" s="39"/>
      <c r="W296" s="39"/>
      <c r="X296" s="39"/>
      <c r="Y296" s="39"/>
      <c r="Z296" s="39"/>
      <c r="AA296" s="39"/>
      <c r="AB296" s="39"/>
    </row>
    <row r="297">
      <c r="A297" s="1"/>
      <c r="B297" s="36"/>
      <c r="C297" s="36"/>
      <c r="D297" s="36"/>
      <c r="E297" s="36"/>
      <c r="F297" s="36"/>
      <c r="G297" s="36"/>
      <c r="H297" s="37"/>
      <c r="I297" s="36"/>
      <c r="J297" s="38"/>
      <c r="K297" s="38"/>
      <c r="L297" s="39"/>
      <c r="M297" s="39"/>
      <c r="N297" s="39"/>
      <c r="O297" s="39"/>
      <c r="P297" s="39"/>
      <c r="Q297" s="39"/>
      <c r="R297" s="39"/>
      <c r="S297" s="39"/>
      <c r="T297" s="39"/>
      <c r="U297" s="39"/>
      <c r="V297" s="39"/>
      <c r="W297" s="39"/>
      <c r="X297" s="39"/>
      <c r="Y297" s="39"/>
      <c r="Z297" s="39"/>
      <c r="AA297" s="39"/>
      <c r="AB297" s="39"/>
    </row>
    <row r="298">
      <c r="A298" s="1"/>
      <c r="B298" s="36"/>
      <c r="C298" s="36"/>
      <c r="D298" s="36"/>
      <c r="E298" s="36"/>
      <c r="F298" s="36"/>
      <c r="G298" s="36"/>
      <c r="H298" s="37"/>
      <c r="I298" s="36"/>
      <c r="J298" s="38"/>
      <c r="K298" s="38"/>
      <c r="L298" s="39"/>
      <c r="M298" s="39"/>
      <c r="N298" s="39"/>
      <c r="O298" s="39"/>
      <c r="P298" s="39"/>
      <c r="Q298" s="39"/>
      <c r="R298" s="39"/>
      <c r="S298" s="39"/>
      <c r="T298" s="39"/>
      <c r="U298" s="39"/>
      <c r="V298" s="39"/>
      <c r="W298" s="39"/>
      <c r="X298" s="39"/>
      <c r="Y298" s="39"/>
      <c r="Z298" s="39"/>
      <c r="AA298" s="39"/>
      <c r="AB298" s="39"/>
    </row>
    <row r="299">
      <c r="A299" s="1"/>
      <c r="B299" s="36"/>
      <c r="C299" s="36"/>
      <c r="D299" s="36"/>
      <c r="E299" s="36"/>
      <c r="F299" s="36"/>
      <c r="G299" s="36"/>
      <c r="H299" s="37"/>
      <c r="I299" s="36"/>
      <c r="J299" s="38"/>
      <c r="K299" s="38"/>
      <c r="L299" s="39"/>
      <c r="M299" s="39"/>
      <c r="N299" s="39"/>
      <c r="O299" s="39"/>
      <c r="P299" s="39"/>
      <c r="Q299" s="39"/>
      <c r="R299" s="39"/>
      <c r="S299" s="39"/>
      <c r="T299" s="39"/>
      <c r="U299" s="39"/>
      <c r="V299" s="39"/>
      <c r="W299" s="39"/>
      <c r="X299" s="39"/>
      <c r="Y299" s="39"/>
      <c r="Z299" s="39"/>
      <c r="AA299" s="39"/>
      <c r="AB299" s="39"/>
    </row>
    <row r="300">
      <c r="A300" s="1"/>
      <c r="B300" s="36"/>
      <c r="C300" s="36"/>
      <c r="D300" s="36"/>
      <c r="E300" s="36"/>
      <c r="F300" s="36"/>
      <c r="G300" s="36"/>
      <c r="H300" s="37"/>
      <c r="I300" s="36"/>
      <c r="J300" s="38"/>
      <c r="K300" s="38"/>
      <c r="L300" s="39"/>
      <c r="M300" s="39"/>
      <c r="N300" s="39"/>
      <c r="O300" s="39"/>
      <c r="P300" s="39"/>
      <c r="Q300" s="39"/>
      <c r="R300" s="39"/>
      <c r="S300" s="39"/>
      <c r="T300" s="39"/>
      <c r="U300" s="39"/>
      <c r="V300" s="39"/>
      <c r="W300" s="39"/>
      <c r="X300" s="39"/>
      <c r="Y300" s="39"/>
      <c r="Z300" s="39"/>
      <c r="AA300" s="39"/>
      <c r="AB300" s="39"/>
    </row>
    <row r="301">
      <c r="A301" s="1"/>
      <c r="B301" s="36"/>
      <c r="C301" s="36"/>
      <c r="D301" s="36"/>
      <c r="E301" s="36"/>
      <c r="F301" s="36"/>
      <c r="G301" s="36"/>
      <c r="H301" s="37"/>
      <c r="I301" s="36"/>
      <c r="J301" s="38"/>
      <c r="K301" s="38"/>
      <c r="L301" s="39"/>
      <c r="M301" s="39"/>
      <c r="N301" s="39"/>
      <c r="O301" s="39"/>
      <c r="P301" s="39"/>
      <c r="Q301" s="39"/>
      <c r="R301" s="39"/>
      <c r="S301" s="39"/>
      <c r="T301" s="39"/>
      <c r="U301" s="39"/>
      <c r="V301" s="39"/>
      <c r="W301" s="39"/>
      <c r="X301" s="39"/>
      <c r="Y301" s="39"/>
      <c r="Z301" s="39"/>
      <c r="AA301" s="39"/>
      <c r="AB301" s="39"/>
    </row>
    <row r="302">
      <c r="A302" s="1"/>
      <c r="B302" s="36"/>
      <c r="C302" s="36"/>
      <c r="D302" s="36"/>
      <c r="E302" s="36"/>
      <c r="F302" s="36"/>
      <c r="G302" s="36"/>
      <c r="H302" s="37"/>
      <c r="I302" s="36"/>
      <c r="J302" s="38"/>
      <c r="K302" s="38"/>
      <c r="L302" s="39"/>
      <c r="M302" s="39"/>
      <c r="N302" s="39"/>
      <c r="O302" s="39"/>
      <c r="P302" s="39"/>
      <c r="Q302" s="39"/>
      <c r="R302" s="39"/>
      <c r="S302" s="39"/>
      <c r="T302" s="39"/>
      <c r="U302" s="39"/>
      <c r="V302" s="39"/>
      <c r="W302" s="39"/>
      <c r="X302" s="39"/>
      <c r="Y302" s="39"/>
      <c r="Z302" s="39"/>
      <c r="AA302" s="39"/>
      <c r="AB302" s="39"/>
    </row>
    <row r="303">
      <c r="A303" s="1"/>
      <c r="B303" s="36"/>
      <c r="C303" s="36"/>
      <c r="D303" s="36"/>
      <c r="E303" s="36"/>
      <c r="F303" s="36"/>
      <c r="G303" s="36"/>
      <c r="H303" s="37"/>
      <c r="I303" s="36"/>
      <c r="J303" s="38"/>
      <c r="K303" s="38"/>
      <c r="L303" s="39"/>
      <c r="M303" s="39"/>
      <c r="N303" s="39"/>
      <c r="O303" s="39"/>
      <c r="P303" s="39"/>
      <c r="Q303" s="39"/>
      <c r="R303" s="39"/>
      <c r="S303" s="39"/>
      <c r="T303" s="39"/>
      <c r="U303" s="39"/>
      <c r="V303" s="39"/>
      <c r="W303" s="39"/>
      <c r="X303" s="39"/>
      <c r="Y303" s="39"/>
      <c r="Z303" s="39"/>
      <c r="AA303" s="39"/>
      <c r="AB303" s="39"/>
    </row>
    <row r="304">
      <c r="A304" s="1"/>
      <c r="B304" s="36"/>
      <c r="C304" s="36"/>
      <c r="D304" s="36"/>
      <c r="E304" s="36"/>
      <c r="F304" s="36"/>
      <c r="G304" s="36"/>
      <c r="H304" s="37"/>
      <c r="I304" s="36"/>
      <c r="J304" s="38"/>
      <c r="K304" s="38"/>
      <c r="L304" s="39"/>
      <c r="M304" s="39"/>
      <c r="N304" s="39"/>
      <c r="O304" s="39"/>
      <c r="P304" s="39"/>
      <c r="Q304" s="39"/>
      <c r="R304" s="39"/>
      <c r="S304" s="39"/>
      <c r="T304" s="39"/>
      <c r="U304" s="39"/>
      <c r="V304" s="39"/>
      <c r="W304" s="39"/>
      <c r="X304" s="39"/>
      <c r="Y304" s="39"/>
      <c r="Z304" s="39"/>
      <c r="AA304" s="39"/>
      <c r="AB304" s="39"/>
    </row>
    <row r="305">
      <c r="A305" s="1"/>
      <c r="B305" s="36"/>
      <c r="C305" s="36"/>
      <c r="D305" s="36"/>
      <c r="E305" s="36"/>
      <c r="F305" s="36"/>
      <c r="G305" s="36"/>
      <c r="H305" s="37"/>
      <c r="I305" s="36"/>
      <c r="J305" s="38"/>
      <c r="K305" s="38"/>
      <c r="L305" s="39"/>
      <c r="M305" s="39"/>
      <c r="N305" s="39"/>
      <c r="O305" s="39"/>
      <c r="P305" s="39"/>
      <c r="Q305" s="39"/>
      <c r="R305" s="39"/>
      <c r="S305" s="39"/>
      <c r="T305" s="39"/>
      <c r="U305" s="39"/>
      <c r="V305" s="39"/>
      <c r="W305" s="39"/>
      <c r="X305" s="39"/>
      <c r="Y305" s="39"/>
      <c r="Z305" s="39"/>
      <c r="AA305" s="39"/>
      <c r="AB305" s="39"/>
    </row>
    <row r="306">
      <c r="A306" s="1"/>
      <c r="B306" s="36"/>
      <c r="C306" s="36"/>
      <c r="D306" s="36"/>
      <c r="E306" s="36"/>
      <c r="F306" s="36"/>
      <c r="G306" s="36"/>
      <c r="H306" s="37"/>
      <c r="I306" s="36"/>
      <c r="J306" s="38"/>
      <c r="K306" s="38"/>
      <c r="L306" s="39"/>
      <c r="M306" s="39"/>
      <c r="N306" s="39"/>
      <c r="O306" s="39"/>
      <c r="P306" s="39"/>
      <c r="Q306" s="39"/>
      <c r="R306" s="39"/>
      <c r="S306" s="39"/>
      <c r="T306" s="39"/>
      <c r="U306" s="39"/>
      <c r="V306" s="39"/>
      <c r="W306" s="39"/>
      <c r="X306" s="39"/>
      <c r="Y306" s="39"/>
      <c r="Z306" s="39"/>
      <c r="AA306" s="39"/>
      <c r="AB306" s="39"/>
    </row>
    <row r="307">
      <c r="A307" s="1"/>
      <c r="B307" s="36"/>
      <c r="C307" s="36"/>
      <c r="D307" s="36"/>
      <c r="E307" s="36"/>
      <c r="F307" s="36"/>
      <c r="G307" s="36"/>
      <c r="H307" s="37"/>
      <c r="I307" s="36"/>
      <c r="J307" s="38"/>
      <c r="K307" s="38"/>
      <c r="L307" s="39"/>
      <c r="M307" s="39"/>
      <c r="N307" s="39"/>
      <c r="O307" s="39"/>
      <c r="P307" s="39"/>
      <c r="Q307" s="39"/>
      <c r="R307" s="39"/>
      <c r="S307" s="39"/>
      <c r="T307" s="39"/>
      <c r="U307" s="39"/>
      <c r="V307" s="39"/>
      <c r="W307" s="39"/>
      <c r="X307" s="39"/>
      <c r="Y307" s="39"/>
      <c r="Z307" s="39"/>
      <c r="AA307" s="39"/>
      <c r="AB307" s="39"/>
    </row>
    <row r="308">
      <c r="A308" s="1"/>
      <c r="B308" s="36"/>
      <c r="C308" s="36"/>
      <c r="D308" s="36"/>
      <c r="E308" s="36"/>
      <c r="F308" s="36"/>
      <c r="G308" s="36"/>
      <c r="H308" s="37"/>
      <c r="I308" s="36"/>
      <c r="J308" s="38"/>
      <c r="K308" s="38"/>
      <c r="L308" s="39"/>
      <c r="M308" s="39"/>
      <c r="N308" s="39"/>
      <c r="O308" s="39"/>
      <c r="P308" s="39"/>
      <c r="Q308" s="39"/>
      <c r="R308" s="39"/>
      <c r="S308" s="39"/>
      <c r="T308" s="39"/>
      <c r="U308" s="39"/>
      <c r="V308" s="39"/>
      <c r="W308" s="39"/>
      <c r="X308" s="39"/>
      <c r="Y308" s="39"/>
      <c r="Z308" s="39"/>
      <c r="AA308" s="39"/>
      <c r="AB308" s="39"/>
    </row>
    <row r="309">
      <c r="A309" s="1"/>
      <c r="B309" s="36"/>
      <c r="C309" s="36"/>
      <c r="D309" s="36"/>
      <c r="E309" s="36"/>
      <c r="F309" s="36"/>
      <c r="G309" s="36"/>
      <c r="H309" s="37"/>
      <c r="I309" s="36"/>
      <c r="J309" s="38"/>
      <c r="K309" s="38"/>
      <c r="L309" s="39"/>
      <c r="M309" s="39"/>
      <c r="N309" s="39"/>
      <c r="O309" s="39"/>
      <c r="P309" s="39"/>
      <c r="Q309" s="39"/>
      <c r="R309" s="39"/>
      <c r="S309" s="39"/>
      <c r="T309" s="39"/>
      <c r="U309" s="39"/>
      <c r="V309" s="39"/>
      <c r="W309" s="39"/>
      <c r="X309" s="39"/>
      <c r="Y309" s="39"/>
      <c r="Z309" s="39"/>
      <c r="AA309" s="39"/>
      <c r="AB309" s="39"/>
    </row>
    <row r="310">
      <c r="A310" s="1"/>
      <c r="B310" s="36"/>
      <c r="C310" s="36"/>
      <c r="D310" s="36"/>
      <c r="E310" s="36"/>
      <c r="F310" s="36"/>
      <c r="G310" s="36"/>
      <c r="H310" s="37"/>
      <c r="I310" s="36"/>
      <c r="J310" s="38"/>
      <c r="K310" s="38"/>
      <c r="L310" s="39"/>
      <c r="M310" s="39"/>
      <c r="N310" s="39"/>
      <c r="O310" s="39"/>
      <c r="P310" s="39"/>
      <c r="Q310" s="39"/>
      <c r="R310" s="39"/>
      <c r="S310" s="39"/>
      <c r="T310" s="39"/>
      <c r="U310" s="39"/>
      <c r="V310" s="39"/>
      <c r="W310" s="39"/>
      <c r="X310" s="39"/>
      <c r="Y310" s="39"/>
      <c r="Z310" s="39"/>
      <c r="AA310" s="39"/>
      <c r="AB310" s="39"/>
    </row>
    <row r="311">
      <c r="A311" s="1"/>
      <c r="B311" s="36"/>
      <c r="C311" s="36"/>
      <c r="D311" s="36"/>
      <c r="E311" s="36"/>
      <c r="F311" s="36"/>
      <c r="G311" s="36"/>
      <c r="H311" s="37"/>
      <c r="I311" s="36"/>
      <c r="J311" s="38"/>
      <c r="K311" s="38"/>
      <c r="L311" s="39"/>
      <c r="M311" s="39"/>
      <c r="N311" s="39"/>
      <c r="O311" s="39"/>
      <c r="P311" s="39"/>
      <c r="Q311" s="39"/>
      <c r="R311" s="39"/>
      <c r="S311" s="39"/>
      <c r="T311" s="39"/>
      <c r="U311" s="39"/>
      <c r="V311" s="39"/>
      <c r="W311" s="39"/>
      <c r="X311" s="39"/>
      <c r="Y311" s="39"/>
      <c r="Z311" s="39"/>
      <c r="AA311" s="39"/>
      <c r="AB311" s="39"/>
    </row>
    <row r="312">
      <c r="A312" s="1"/>
      <c r="B312" s="36"/>
      <c r="C312" s="36"/>
      <c r="D312" s="36"/>
      <c r="E312" s="36"/>
      <c r="F312" s="36"/>
      <c r="G312" s="36"/>
      <c r="H312" s="37"/>
      <c r="I312" s="36"/>
      <c r="J312" s="38"/>
      <c r="K312" s="38"/>
      <c r="L312" s="39"/>
      <c r="M312" s="39"/>
      <c r="N312" s="39"/>
      <c r="O312" s="39"/>
      <c r="P312" s="39"/>
      <c r="Q312" s="39"/>
      <c r="R312" s="39"/>
      <c r="S312" s="39"/>
      <c r="T312" s="39"/>
      <c r="U312" s="39"/>
      <c r="V312" s="39"/>
      <c r="W312" s="39"/>
      <c r="X312" s="39"/>
      <c r="Y312" s="39"/>
      <c r="Z312" s="39"/>
      <c r="AA312" s="39"/>
      <c r="AB312" s="39"/>
    </row>
    <row r="313">
      <c r="A313" s="1"/>
      <c r="B313" s="36"/>
      <c r="C313" s="36"/>
      <c r="D313" s="36"/>
      <c r="E313" s="36"/>
      <c r="F313" s="36"/>
      <c r="G313" s="36"/>
      <c r="H313" s="37"/>
      <c r="I313" s="36"/>
      <c r="J313" s="38"/>
      <c r="K313" s="38"/>
      <c r="L313" s="39"/>
      <c r="M313" s="39"/>
      <c r="N313" s="39"/>
      <c r="O313" s="39"/>
      <c r="P313" s="39"/>
      <c r="Q313" s="39"/>
      <c r="R313" s="39"/>
      <c r="S313" s="39"/>
      <c r="T313" s="39"/>
      <c r="U313" s="39"/>
      <c r="V313" s="39"/>
      <c r="W313" s="39"/>
      <c r="X313" s="39"/>
      <c r="Y313" s="39"/>
      <c r="Z313" s="39"/>
      <c r="AA313" s="39"/>
      <c r="AB313" s="39"/>
    </row>
    <row r="314">
      <c r="A314" s="1"/>
      <c r="B314" s="36"/>
      <c r="C314" s="36"/>
      <c r="D314" s="36"/>
      <c r="E314" s="36"/>
      <c r="F314" s="36"/>
      <c r="G314" s="36"/>
      <c r="H314" s="37"/>
      <c r="I314" s="36"/>
      <c r="J314" s="38"/>
      <c r="K314" s="38"/>
      <c r="L314" s="39"/>
      <c r="M314" s="39"/>
      <c r="N314" s="39"/>
      <c r="O314" s="39"/>
      <c r="P314" s="39"/>
      <c r="Q314" s="39"/>
      <c r="R314" s="39"/>
      <c r="S314" s="39"/>
      <c r="T314" s="39"/>
      <c r="U314" s="39"/>
      <c r="V314" s="39"/>
      <c r="W314" s="39"/>
      <c r="X314" s="39"/>
      <c r="Y314" s="39"/>
      <c r="Z314" s="39"/>
      <c r="AA314" s="39"/>
      <c r="AB314" s="39"/>
    </row>
    <row r="315">
      <c r="A315" s="1"/>
      <c r="B315" s="36"/>
      <c r="C315" s="36"/>
      <c r="D315" s="36"/>
      <c r="E315" s="36"/>
      <c r="F315" s="36"/>
      <c r="G315" s="36"/>
      <c r="H315" s="37"/>
      <c r="I315" s="36"/>
      <c r="J315" s="38"/>
      <c r="K315" s="38"/>
      <c r="L315" s="39"/>
      <c r="M315" s="39"/>
      <c r="N315" s="39"/>
      <c r="O315" s="39"/>
      <c r="P315" s="39"/>
      <c r="Q315" s="39"/>
      <c r="R315" s="39"/>
      <c r="S315" s="39"/>
      <c r="T315" s="39"/>
      <c r="U315" s="39"/>
      <c r="V315" s="39"/>
      <c r="W315" s="39"/>
      <c r="X315" s="39"/>
      <c r="Y315" s="39"/>
      <c r="Z315" s="39"/>
      <c r="AA315" s="39"/>
      <c r="AB315" s="39"/>
    </row>
    <row r="316">
      <c r="A316" s="1"/>
      <c r="B316" s="36"/>
      <c r="C316" s="36"/>
      <c r="D316" s="36"/>
      <c r="E316" s="36"/>
      <c r="F316" s="36"/>
      <c r="G316" s="36"/>
      <c r="H316" s="37"/>
      <c r="I316" s="36"/>
      <c r="J316" s="38"/>
      <c r="K316" s="38"/>
      <c r="L316" s="39"/>
      <c r="M316" s="39"/>
      <c r="N316" s="39"/>
      <c r="O316" s="39"/>
      <c r="P316" s="39"/>
      <c r="Q316" s="39"/>
      <c r="R316" s="39"/>
      <c r="S316" s="39"/>
      <c r="T316" s="39"/>
      <c r="U316" s="39"/>
      <c r="V316" s="39"/>
      <c r="W316" s="39"/>
      <c r="X316" s="39"/>
      <c r="Y316" s="39"/>
      <c r="Z316" s="39"/>
      <c r="AA316" s="39"/>
      <c r="AB316" s="39"/>
    </row>
    <row r="317">
      <c r="A317" s="1"/>
      <c r="B317" s="36"/>
      <c r="C317" s="36"/>
      <c r="D317" s="36"/>
      <c r="E317" s="36"/>
      <c r="F317" s="36"/>
      <c r="G317" s="36"/>
      <c r="H317" s="37"/>
      <c r="I317" s="36"/>
      <c r="J317" s="38"/>
      <c r="K317" s="38"/>
      <c r="L317" s="39"/>
      <c r="M317" s="39"/>
      <c r="N317" s="39"/>
      <c r="O317" s="39"/>
      <c r="P317" s="39"/>
      <c r="Q317" s="39"/>
      <c r="R317" s="39"/>
      <c r="S317" s="39"/>
      <c r="T317" s="39"/>
      <c r="U317" s="39"/>
      <c r="V317" s="39"/>
      <c r="W317" s="39"/>
      <c r="X317" s="39"/>
      <c r="Y317" s="39"/>
      <c r="Z317" s="39"/>
      <c r="AA317" s="39"/>
      <c r="AB317" s="39"/>
    </row>
    <row r="318">
      <c r="A318" s="1"/>
      <c r="B318" s="36"/>
      <c r="C318" s="36"/>
      <c r="D318" s="36"/>
      <c r="E318" s="36"/>
      <c r="F318" s="36"/>
      <c r="G318" s="36"/>
      <c r="H318" s="37"/>
      <c r="I318" s="36"/>
      <c r="J318" s="38"/>
      <c r="K318" s="38"/>
      <c r="L318" s="39"/>
      <c r="M318" s="39"/>
      <c r="N318" s="39"/>
      <c r="O318" s="39"/>
      <c r="P318" s="39"/>
      <c r="Q318" s="39"/>
      <c r="R318" s="39"/>
      <c r="S318" s="39"/>
      <c r="T318" s="39"/>
      <c r="U318" s="39"/>
      <c r="V318" s="39"/>
      <c r="W318" s="39"/>
      <c r="X318" s="39"/>
      <c r="Y318" s="39"/>
      <c r="Z318" s="39"/>
      <c r="AA318" s="39"/>
      <c r="AB318" s="39"/>
    </row>
    <row r="319">
      <c r="A319" s="1"/>
      <c r="B319" s="36"/>
      <c r="C319" s="36"/>
      <c r="D319" s="36"/>
      <c r="E319" s="36"/>
      <c r="F319" s="36"/>
      <c r="G319" s="36"/>
      <c r="H319" s="37"/>
      <c r="I319" s="36"/>
      <c r="J319" s="38"/>
      <c r="K319" s="38"/>
      <c r="L319" s="39"/>
      <c r="M319" s="39"/>
      <c r="N319" s="39"/>
      <c r="O319" s="39"/>
      <c r="P319" s="39"/>
      <c r="Q319" s="39"/>
      <c r="R319" s="39"/>
      <c r="S319" s="39"/>
      <c r="T319" s="39"/>
      <c r="U319" s="39"/>
      <c r="V319" s="39"/>
      <c r="W319" s="39"/>
      <c r="X319" s="39"/>
      <c r="Y319" s="39"/>
      <c r="Z319" s="39"/>
      <c r="AA319" s="39"/>
      <c r="AB319" s="39"/>
    </row>
    <row r="320">
      <c r="A320" s="1"/>
      <c r="B320" s="36"/>
      <c r="C320" s="36"/>
      <c r="D320" s="36"/>
      <c r="E320" s="36"/>
      <c r="F320" s="36"/>
      <c r="G320" s="36"/>
      <c r="H320" s="37"/>
      <c r="I320" s="36"/>
      <c r="J320" s="38"/>
      <c r="K320" s="38"/>
      <c r="L320" s="39"/>
      <c r="M320" s="39"/>
      <c r="N320" s="39"/>
      <c r="O320" s="39"/>
      <c r="P320" s="39"/>
      <c r="Q320" s="39"/>
      <c r="R320" s="39"/>
      <c r="S320" s="39"/>
      <c r="T320" s="39"/>
      <c r="U320" s="39"/>
      <c r="V320" s="39"/>
      <c r="W320" s="39"/>
      <c r="X320" s="39"/>
      <c r="Y320" s="39"/>
      <c r="Z320" s="39"/>
      <c r="AA320" s="39"/>
      <c r="AB320" s="39"/>
    </row>
    <row r="321">
      <c r="A321" s="1"/>
      <c r="B321" s="36"/>
      <c r="C321" s="36"/>
      <c r="D321" s="36"/>
      <c r="E321" s="36"/>
      <c r="F321" s="36"/>
      <c r="G321" s="36"/>
      <c r="H321" s="37"/>
      <c r="I321" s="36"/>
      <c r="J321" s="38"/>
      <c r="K321" s="38"/>
      <c r="L321" s="39"/>
      <c r="M321" s="39"/>
      <c r="N321" s="39"/>
      <c r="O321" s="39"/>
      <c r="P321" s="39"/>
      <c r="Q321" s="39"/>
      <c r="R321" s="39"/>
      <c r="S321" s="39"/>
      <c r="T321" s="39"/>
      <c r="U321" s="39"/>
      <c r="V321" s="39"/>
      <c r="W321" s="39"/>
      <c r="X321" s="39"/>
      <c r="Y321" s="39"/>
      <c r="Z321" s="39"/>
      <c r="AA321" s="39"/>
      <c r="AB321" s="39"/>
    </row>
    <row r="322">
      <c r="A322" s="1"/>
      <c r="B322" s="36"/>
      <c r="C322" s="36"/>
      <c r="D322" s="36"/>
      <c r="E322" s="36"/>
      <c r="F322" s="36"/>
      <c r="G322" s="36"/>
      <c r="H322" s="37"/>
      <c r="I322" s="36"/>
      <c r="J322" s="38"/>
      <c r="K322" s="38"/>
      <c r="L322" s="39"/>
      <c r="M322" s="39"/>
      <c r="N322" s="39"/>
      <c r="O322" s="39"/>
      <c r="P322" s="39"/>
      <c r="Q322" s="39"/>
      <c r="R322" s="39"/>
      <c r="S322" s="39"/>
      <c r="T322" s="39"/>
      <c r="U322" s="39"/>
      <c r="V322" s="39"/>
      <c r="W322" s="39"/>
      <c r="X322" s="39"/>
      <c r="Y322" s="39"/>
      <c r="Z322" s="39"/>
      <c r="AA322" s="39"/>
      <c r="AB322" s="39"/>
    </row>
    <row r="323">
      <c r="A323" s="1"/>
      <c r="B323" s="36"/>
      <c r="C323" s="36"/>
      <c r="D323" s="36"/>
      <c r="E323" s="36"/>
      <c r="F323" s="36"/>
      <c r="G323" s="36"/>
      <c r="H323" s="37"/>
      <c r="I323" s="36"/>
      <c r="J323" s="38"/>
      <c r="K323" s="38"/>
      <c r="L323" s="39"/>
      <c r="M323" s="39"/>
      <c r="N323" s="39"/>
      <c r="O323" s="39"/>
      <c r="P323" s="39"/>
      <c r="Q323" s="39"/>
      <c r="R323" s="39"/>
      <c r="S323" s="39"/>
      <c r="T323" s="39"/>
      <c r="U323" s="39"/>
      <c r="V323" s="39"/>
      <c r="W323" s="39"/>
      <c r="X323" s="39"/>
      <c r="Y323" s="39"/>
      <c r="Z323" s="39"/>
      <c r="AA323" s="39"/>
      <c r="AB323" s="39"/>
    </row>
    <row r="324">
      <c r="A324" s="1"/>
      <c r="B324" s="36"/>
      <c r="C324" s="36"/>
      <c r="D324" s="36"/>
      <c r="E324" s="36"/>
      <c r="F324" s="36"/>
      <c r="G324" s="36"/>
      <c r="H324" s="37"/>
      <c r="I324" s="36"/>
      <c r="J324" s="38"/>
      <c r="K324" s="38"/>
      <c r="L324" s="39"/>
      <c r="M324" s="39"/>
      <c r="N324" s="39"/>
      <c r="O324" s="39"/>
      <c r="P324" s="39"/>
      <c r="Q324" s="39"/>
      <c r="R324" s="39"/>
      <c r="S324" s="39"/>
      <c r="T324" s="39"/>
      <c r="U324" s="39"/>
      <c r="V324" s="39"/>
      <c r="W324" s="39"/>
      <c r="X324" s="39"/>
      <c r="Y324" s="39"/>
      <c r="Z324" s="39"/>
      <c r="AA324" s="39"/>
      <c r="AB324" s="39"/>
    </row>
    <row r="325">
      <c r="A325" s="1"/>
      <c r="B325" s="36"/>
      <c r="C325" s="36"/>
      <c r="D325" s="36"/>
      <c r="E325" s="36"/>
      <c r="F325" s="36"/>
      <c r="G325" s="36"/>
      <c r="H325" s="37"/>
      <c r="I325" s="36"/>
      <c r="J325" s="38"/>
      <c r="K325" s="38"/>
      <c r="L325" s="39"/>
      <c r="M325" s="39"/>
      <c r="N325" s="39"/>
      <c r="O325" s="39"/>
      <c r="P325" s="39"/>
      <c r="Q325" s="39"/>
      <c r="R325" s="39"/>
      <c r="S325" s="39"/>
      <c r="T325" s="39"/>
      <c r="U325" s="39"/>
      <c r="V325" s="39"/>
      <c r="W325" s="39"/>
      <c r="X325" s="39"/>
      <c r="Y325" s="39"/>
      <c r="Z325" s="39"/>
      <c r="AA325" s="39"/>
      <c r="AB325" s="39"/>
    </row>
    <row r="326">
      <c r="A326" s="1"/>
      <c r="B326" s="36"/>
      <c r="C326" s="36"/>
      <c r="D326" s="36"/>
      <c r="E326" s="36"/>
      <c r="F326" s="36"/>
      <c r="G326" s="36"/>
      <c r="H326" s="37"/>
      <c r="I326" s="36"/>
      <c r="J326" s="38"/>
      <c r="K326" s="38"/>
      <c r="L326" s="39"/>
      <c r="M326" s="39"/>
      <c r="N326" s="39"/>
      <c r="O326" s="39"/>
      <c r="P326" s="39"/>
      <c r="Q326" s="39"/>
      <c r="R326" s="39"/>
      <c r="S326" s="39"/>
      <c r="T326" s="39"/>
      <c r="U326" s="39"/>
      <c r="V326" s="39"/>
      <c r="W326" s="39"/>
      <c r="X326" s="39"/>
      <c r="Y326" s="39"/>
      <c r="Z326" s="39"/>
      <c r="AA326" s="39"/>
      <c r="AB326" s="39"/>
    </row>
    <row r="327">
      <c r="A327" s="1"/>
      <c r="B327" s="36"/>
      <c r="C327" s="36"/>
      <c r="D327" s="36"/>
      <c r="E327" s="36"/>
      <c r="F327" s="36"/>
      <c r="G327" s="36"/>
      <c r="H327" s="37"/>
      <c r="I327" s="36"/>
      <c r="J327" s="38"/>
      <c r="K327" s="38"/>
      <c r="L327" s="39"/>
      <c r="M327" s="39"/>
      <c r="N327" s="39"/>
      <c r="O327" s="39"/>
      <c r="P327" s="39"/>
      <c r="Q327" s="39"/>
      <c r="R327" s="39"/>
      <c r="S327" s="39"/>
      <c r="T327" s="39"/>
      <c r="U327" s="39"/>
      <c r="V327" s="39"/>
      <c r="W327" s="39"/>
      <c r="X327" s="39"/>
      <c r="Y327" s="39"/>
      <c r="Z327" s="39"/>
      <c r="AA327" s="39"/>
      <c r="AB327" s="39"/>
    </row>
    <row r="328">
      <c r="A328" s="1"/>
      <c r="B328" s="36"/>
      <c r="C328" s="36"/>
      <c r="D328" s="36"/>
      <c r="E328" s="36"/>
      <c r="F328" s="36"/>
      <c r="G328" s="36"/>
      <c r="H328" s="37"/>
      <c r="I328" s="36"/>
      <c r="J328" s="38"/>
      <c r="K328" s="38"/>
      <c r="L328" s="39"/>
      <c r="M328" s="39"/>
      <c r="N328" s="39"/>
      <c r="O328" s="39"/>
      <c r="P328" s="39"/>
      <c r="Q328" s="39"/>
      <c r="R328" s="39"/>
      <c r="S328" s="39"/>
      <c r="T328" s="39"/>
      <c r="U328" s="39"/>
      <c r="V328" s="39"/>
      <c r="W328" s="39"/>
      <c r="X328" s="39"/>
      <c r="Y328" s="39"/>
      <c r="Z328" s="39"/>
      <c r="AA328" s="39"/>
      <c r="AB328" s="39"/>
    </row>
    <row r="329">
      <c r="A329" s="1"/>
      <c r="B329" s="36"/>
      <c r="C329" s="36"/>
      <c r="D329" s="36"/>
      <c r="E329" s="36"/>
      <c r="F329" s="36"/>
      <c r="G329" s="36"/>
      <c r="H329" s="37"/>
      <c r="I329" s="36"/>
      <c r="J329" s="38"/>
      <c r="K329" s="38"/>
      <c r="L329" s="39"/>
      <c r="M329" s="39"/>
      <c r="N329" s="39"/>
      <c r="O329" s="39"/>
      <c r="P329" s="39"/>
      <c r="Q329" s="39"/>
      <c r="R329" s="39"/>
      <c r="S329" s="39"/>
      <c r="T329" s="39"/>
      <c r="U329" s="39"/>
      <c r="V329" s="39"/>
      <c r="W329" s="39"/>
      <c r="X329" s="39"/>
      <c r="Y329" s="39"/>
      <c r="Z329" s="39"/>
      <c r="AA329" s="39"/>
      <c r="AB329" s="39"/>
    </row>
    <row r="330">
      <c r="A330" s="1"/>
      <c r="B330" s="36"/>
      <c r="C330" s="36"/>
      <c r="D330" s="36"/>
      <c r="E330" s="36"/>
      <c r="F330" s="36"/>
      <c r="G330" s="36"/>
      <c r="H330" s="37"/>
      <c r="I330" s="36"/>
      <c r="J330" s="38"/>
      <c r="K330" s="38"/>
      <c r="L330" s="39"/>
      <c r="M330" s="39"/>
      <c r="N330" s="39"/>
      <c r="O330" s="39"/>
      <c r="P330" s="39"/>
      <c r="Q330" s="39"/>
      <c r="R330" s="39"/>
      <c r="S330" s="39"/>
      <c r="T330" s="39"/>
      <c r="U330" s="39"/>
      <c r="V330" s="39"/>
      <c r="W330" s="39"/>
      <c r="X330" s="39"/>
      <c r="Y330" s="39"/>
      <c r="Z330" s="39"/>
      <c r="AA330" s="39"/>
      <c r="AB330" s="39"/>
    </row>
    <row r="331">
      <c r="A331" s="1"/>
      <c r="B331" s="36"/>
      <c r="C331" s="36"/>
      <c r="D331" s="36"/>
      <c r="E331" s="36"/>
      <c r="F331" s="36"/>
      <c r="G331" s="36"/>
      <c r="H331" s="37"/>
      <c r="I331" s="36"/>
      <c r="J331" s="38"/>
      <c r="K331" s="38"/>
      <c r="L331" s="39"/>
      <c r="M331" s="39"/>
      <c r="N331" s="39"/>
      <c r="O331" s="39"/>
      <c r="P331" s="39"/>
      <c r="Q331" s="39"/>
      <c r="R331" s="39"/>
      <c r="S331" s="39"/>
      <c r="T331" s="39"/>
      <c r="U331" s="39"/>
      <c r="V331" s="39"/>
      <c r="W331" s="39"/>
      <c r="X331" s="39"/>
      <c r="Y331" s="39"/>
      <c r="Z331" s="39"/>
      <c r="AA331" s="39"/>
      <c r="AB331" s="39"/>
    </row>
    <row r="332">
      <c r="A332" s="1"/>
      <c r="B332" s="36"/>
      <c r="C332" s="36"/>
      <c r="D332" s="36"/>
      <c r="E332" s="36"/>
      <c r="F332" s="36"/>
      <c r="G332" s="36"/>
      <c r="H332" s="37"/>
      <c r="I332" s="36"/>
      <c r="J332" s="38"/>
      <c r="K332" s="38"/>
      <c r="L332" s="39"/>
      <c r="M332" s="39"/>
      <c r="N332" s="39"/>
      <c r="O332" s="39"/>
      <c r="P332" s="39"/>
      <c r="Q332" s="39"/>
      <c r="R332" s="39"/>
      <c r="S332" s="39"/>
      <c r="T332" s="39"/>
      <c r="U332" s="39"/>
      <c r="V332" s="39"/>
      <c r="W332" s="39"/>
      <c r="X332" s="39"/>
      <c r="Y332" s="39"/>
      <c r="Z332" s="39"/>
      <c r="AA332" s="39"/>
      <c r="AB332" s="39"/>
    </row>
    <row r="333">
      <c r="A333" s="1"/>
      <c r="B333" s="36"/>
      <c r="C333" s="36"/>
      <c r="D333" s="36"/>
      <c r="E333" s="36"/>
      <c r="F333" s="36"/>
      <c r="G333" s="36"/>
      <c r="H333" s="37"/>
      <c r="I333" s="36"/>
      <c r="J333" s="38"/>
      <c r="K333" s="38"/>
      <c r="L333" s="39"/>
      <c r="M333" s="39"/>
      <c r="N333" s="39"/>
      <c r="O333" s="39"/>
      <c r="P333" s="39"/>
      <c r="Q333" s="39"/>
      <c r="R333" s="39"/>
      <c r="S333" s="39"/>
      <c r="T333" s="39"/>
      <c r="U333" s="39"/>
      <c r="V333" s="39"/>
      <c r="W333" s="39"/>
      <c r="X333" s="39"/>
      <c r="Y333" s="39"/>
      <c r="Z333" s="39"/>
      <c r="AA333" s="39"/>
      <c r="AB333" s="39"/>
    </row>
    <row r="334">
      <c r="A334" s="1"/>
      <c r="B334" s="36"/>
      <c r="C334" s="36"/>
      <c r="D334" s="36"/>
      <c r="E334" s="36"/>
      <c r="F334" s="36"/>
      <c r="G334" s="36"/>
      <c r="H334" s="37"/>
      <c r="I334" s="36"/>
      <c r="J334" s="38"/>
      <c r="K334" s="38"/>
      <c r="L334" s="39"/>
      <c r="M334" s="39"/>
      <c r="N334" s="39"/>
      <c r="O334" s="39"/>
      <c r="P334" s="39"/>
      <c r="Q334" s="39"/>
      <c r="R334" s="39"/>
      <c r="S334" s="39"/>
      <c r="T334" s="39"/>
      <c r="U334" s="39"/>
      <c r="V334" s="39"/>
      <c r="W334" s="39"/>
      <c r="X334" s="39"/>
      <c r="Y334" s="39"/>
      <c r="Z334" s="39"/>
      <c r="AA334" s="39"/>
      <c r="AB334" s="39"/>
    </row>
    <row r="335">
      <c r="A335" s="1"/>
      <c r="B335" s="36"/>
      <c r="C335" s="36"/>
      <c r="D335" s="36"/>
      <c r="E335" s="36"/>
      <c r="F335" s="36"/>
      <c r="G335" s="36"/>
      <c r="H335" s="37"/>
      <c r="I335" s="36"/>
      <c r="J335" s="38"/>
      <c r="K335" s="38"/>
      <c r="L335" s="39"/>
      <c r="M335" s="39"/>
      <c r="N335" s="39"/>
      <c r="O335" s="39"/>
      <c r="P335" s="39"/>
      <c r="Q335" s="39"/>
      <c r="R335" s="39"/>
      <c r="S335" s="39"/>
      <c r="T335" s="39"/>
      <c r="U335" s="39"/>
      <c r="V335" s="39"/>
      <c r="W335" s="39"/>
      <c r="X335" s="39"/>
      <c r="Y335" s="39"/>
      <c r="Z335" s="39"/>
      <c r="AA335" s="39"/>
      <c r="AB335" s="39"/>
    </row>
    <row r="336">
      <c r="A336" s="1"/>
      <c r="B336" s="36"/>
      <c r="C336" s="36"/>
      <c r="D336" s="36"/>
      <c r="E336" s="36"/>
      <c r="F336" s="36"/>
      <c r="G336" s="36"/>
      <c r="H336" s="37"/>
      <c r="I336" s="36"/>
      <c r="J336" s="38"/>
      <c r="K336" s="38"/>
      <c r="L336" s="39"/>
      <c r="M336" s="39"/>
      <c r="N336" s="39"/>
      <c r="O336" s="39"/>
      <c r="P336" s="39"/>
      <c r="Q336" s="39"/>
      <c r="R336" s="39"/>
      <c r="S336" s="39"/>
      <c r="T336" s="39"/>
      <c r="U336" s="39"/>
      <c r="V336" s="39"/>
      <c r="W336" s="39"/>
      <c r="X336" s="39"/>
      <c r="Y336" s="39"/>
      <c r="Z336" s="39"/>
      <c r="AA336" s="39"/>
      <c r="AB336" s="39"/>
    </row>
    <row r="337">
      <c r="A337" s="1"/>
      <c r="B337" s="36"/>
      <c r="C337" s="36"/>
      <c r="D337" s="36"/>
      <c r="E337" s="36"/>
      <c r="F337" s="36"/>
      <c r="G337" s="36"/>
      <c r="H337" s="37"/>
      <c r="I337" s="36"/>
      <c r="J337" s="38"/>
      <c r="K337" s="38"/>
      <c r="L337" s="39"/>
      <c r="M337" s="39"/>
      <c r="N337" s="39"/>
      <c r="O337" s="39"/>
      <c r="P337" s="39"/>
      <c r="Q337" s="39"/>
      <c r="R337" s="39"/>
      <c r="S337" s="39"/>
      <c r="T337" s="39"/>
      <c r="U337" s="39"/>
      <c r="V337" s="39"/>
      <c r="W337" s="39"/>
      <c r="X337" s="39"/>
      <c r="Y337" s="39"/>
      <c r="Z337" s="39"/>
      <c r="AA337" s="39"/>
      <c r="AB337" s="39"/>
    </row>
    <row r="338">
      <c r="A338" s="1"/>
      <c r="B338" s="36"/>
      <c r="C338" s="36"/>
      <c r="D338" s="36"/>
      <c r="E338" s="36"/>
      <c r="F338" s="36"/>
      <c r="G338" s="36"/>
      <c r="H338" s="37"/>
      <c r="I338" s="36"/>
      <c r="J338" s="38"/>
      <c r="K338" s="38"/>
      <c r="L338" s="39"/>
      <c r="M338" s="39"/>
      <c r="N338" s="39"/>
      <c r="O338" s="39"/>
      <c r="P338" s="39"/>
      <c r="Q338" s="39"/>
      <c r="R338" s="39"/>
      <c r="S338" s="39"/>
      <c r="T338" s="39"/>
      <c r="U338" s="39"/>
      <c r="V338" s="39"/>
      <c r="W338" s="39"/>
      <c r="X338" s="39"/>
      <c r="Y338" s="39"/>
      <c r="Z338" s="39"/>
      <c r="AA338" s="39"/>
      <c r="AB338" s="39"/>
    </row>
    <row r="339">
      <c r="A339" s="1"/>
      <c r="B339" s="36"/>
      <c r="C339" s="36"/>
      <c r="D339" s="36"/>
      <c r="E339" s="36"/>
      <c r="F339" s="36"/>
      <c r="G339" s="36"/>
      <c r="H339" s="37"/>
      <c r="I339" s="36"/>
      <c r="J339" s="38"/>
      <c r="K339" s="38"/>
      <c r="L339" s="39"/>
      <c r="M339" s="39"/>
      <c r="N339" s="39"/>
      <c r="O339" s="39"/>
      <c r="P339" s="39"/>
      <c r="Q339" s="39"/>
      <c r="R339" s="39"/>
      <c r="S339" s="39"/>
      <c r="T339" s="39"/>
      <c r="U339" s="39"/>
      <c r="V339" s="39"/>
      <c r="W339" s="39"/>
      <c r="X339" s="39"/>
      <c r="Y339" s="39"/>
      <c r="Z339" s="39"/>
      <c r="AA339" s="39"/>
      <c r="AB339" s="39"/>
    </row>
    <row r="340">
      <c r="A340" s="1"/>
      <c r="B340" s="36"/>
      <c r="C340" s="36"/>
      <c r="D340" s="36"/>
      <c r="E340" s="36"/>
      <c r="F340" s="36"/>
      <c r="G340" s="36"/>
      <c r="H340" s="37"/>
      <c r="I340" s="36"/>
      <c r="J340" s="38"/>
      <c r="K340" s="38"/>
      <c r="L340" s="39"/>
      <c r="M340" s="39"/>
      <c r="N340" s="39"/>
      <c r="O340" s="39"/>
      <c r="P340" s="39"/>
      <c r="Q340" s="39"/>
      <c r="R340" s="39"/>
      <c r="S340" s="39"/>
      <c r="T340" s="39"/>
      <c r="U340" s="39"/>
      <c r="V340" s="39"/>
      <c r="W340" s="39"/>
      <c r="X340" s="39"/>
      <c r="Y340" s="39"/>
      <c r="Z340" s="39"/>
      <c r="AA340" s="39"/>
      <c r="AB340" s="39"/>
    </row>
    <row r="341">
      <c r="A341" s="1"/>
      <c r="B341" s="36"/>
      <c r="C341" s="36"/>
      <c r="D341" s="36"/>
      <c r="E341" s="36"/>
      <c r="F341" s="36"/>
      <c r="G341" s="36"/>
      <c r="H341" s="37"/>
      <c r="I341" s="36"/>
      <c r="J341" s="38"/>
      <c r="K341" s="38"/>
      <c r="L341" s="39"/>
      <c r="M341" s="39"/>
      <c r="N341" s="39"/>
      <c r="O341" s="39"/>
      <c r="P341" s="39"/>
      <c r="Q341" s="39"/>
      <c r="R341" s="39"/>
      <c r="S341" s="39"/>
      <c r="T341" s="39"/>
      <c r="U341" s="39"/>
      <c r="V341" s="39"/>
      <c r="W341" s="39"/>
      <c r="X341" s="39"/>
      <c r="Y341" s="39"/>
      <c r="Z341" s="39"/>
      <c r="AA341" s="39"/>
      <c r="AB341" s="39"/>
    </row>
    <row r="342">
      <c r="A342" s="1"/>
      <c r="B342" s="36"/>
      <c r="C342" s="36"/>
      <c r="D342" s="36"/>
      <c r="E342" s="36"/>
      <c r="F342" s="36"/>
      <c r="G342" s="36"/>
      <c r="H342" s="37"/>
      <c r="I342" s="36"/>
      <c r="J342" s="38"/>
      <c r="K342" s="38"/>
      <c r="L342" s="39"/>
      <c r="M342" s="39"/>
      <c r="N342" s="39"/>
      <c r="O342" s="39"/>
      <c r="P342" s="39"/>
      <c r="Q342" s="39"/>
      <c r="R342" s="39"/>
      <c r="S342" s="39"/>
      <c r="T342" s="39"/>
      <c r="U342" s="39"/>
      <c r="V342" s="39"/>
      <c r="W342" s="39"/>
      <c r="X342" s="39"/>
      <c r="Y342" s="39"/>
      <c r="Z342" s="39"/>
      <c r="AA342" s="39"/>
      <c r="AB342" s="39"/>
    </row>
    <row r="343">
      <c r="A343" s="1"/>
      <c r="B343" s="36"/>
      <c r="C343" s="36"/>
      <c r="D343" s="36"/>
      <c r="E343" s="36"/>
      <c r="F343" s="36"/>
      <c r="G343" s="36"/>
      <c r="H343" s="37"/>
      <c r="I343" s="36"/>
      <c r="J343" s="38"/>
      <c r="K343" s="38"/>
      <c r="L343" s="39"/>
      <c r="M343" s="39"/>
      <c r="N343" s="39"/>
      <c r="O343" s="39"/>
      <c r="P343" s="39"/>
      <c r="Q343" s="39"/>
      <c r="R343" s="39"/>
      <c r="S343" s="39"/>
      <c r="T343" s="39"/>
      <c r="U343" s="39"/>
      <c r="V343" s="39"/>
      <c r="W343" s="39"/>
      <c r="X343" s="39"/>
      <c r="Y343" s="39"/>
      <c r="Z343" s="39"/>
      <c r="AA343" s="39"/>
      <c r="AB343" s="39"/>
    </row>
    <row r="344">
      <c r="A344" s="1"/>
      <c r="B344" s="36"/>
      <c r="C344" s="36"/>
      <c r="D344" s="36"/>
      <c r="E344" s="36"/>
      <c r="F344" s="36"/>
      <c r="G344" s="36"/>
      <c r="H344" s="37"/>
      <c r="I344" s="36"/>
      <c r="J344" s="38"/>
      <c r="K344" s="38"/>
      <c r="L344" s="39"/>
      <c r="M344" s="39"/>
      <c r="N344" s="39"/>
      <c r="O344" s="39"/>
      <c r="P344" s="39"/>
      <c r="Q344" s="39"/>
      <c r="R344" s="39"/>
      <c r="S344" s="39"/>
      <c r="T344" s="39"/>
      <c r="U344" s="39"/>
      <c r="V344" s="39"/>
      <c r="W344" s="39"/>
      <c r="X344" s="39"/>
      <c r="Y344" s="39"/>
      <c r="Z344" s="39"/>
      <c r="AA344" s="39"/>
      <c r="AB344" s="39"/>
    </row>
    <row r="345">
      <c r="A345" s="1"/>
      <c r="B345" s="36"/>
      <c r="C345" s="36"/>
      <c r="D345" s="36"/>
      <c r="E345" s="36"/>
      <c r="F345" s="36"/>
      <c r="G345" s="36"/>
      <c r="H345" s="37"/>
      <c r="I345" s="36"/>
      <c r="J345" s="38"/>
      <c r="K345" s="38"/>
      <c r="L345" s="39"/>
      <c r="M345" s="39"/>
      <c r="N345" s="39"/>
      <c r="O345" s="39"/>
      <c r="P345" s="39"/>
      <c r="Q345" s="39"/>
      <c r="R345" s="39"/>
      <c r="S345" s="39"/>
      <c r="T345" s="39"/>
      <c r="U345" s="39"/>
      <c r="V345" s="39"/>
      <c r="W345" s="39"/>
      <c r="X345" s="39"/>
      <c r="Y345" s="39"/>
      <c r="Z345" s="39"/>
      <c r="AA345" s="39"/>
      <c r="AB345" s="39"/>
    </row>
    <row r="346">
      <c r="A346" s="1"/>
      <c r="B346" s="36"/>
      <c r="C346" s="36"/>
      <c r="D346" s="36"/>
      <c r="E346" s="36"/>
      <c r="F346" s="36"/>
      <c r="G346" s="36"/>
      <c r="H346" s="37"/>
      <c r="I346" s="36"/>
      <c r="J346" s="38"/>
      <c r="K346" s="38"/>
      <c r="L346" s="39"/>
      <c r="M346" s="39"/>
      <c r="N346" s="39"/>
      <c r="O346" s="39"/>
      <c r="P346" s="39"/>
      <c r="Q346" s="39"/>
      <c r="R346" s="39"/>
      <c r="S346" s="39"/>
      <c r="T346" s="39"/>
      <c r="U346" s="39"/>
      <c r="V346" s="39"/>
      <c r="W346" s="39"/>
      <c r="X346" s="39"/>
      <c r="Y346" s="39"/>
      <c r="Z346" s="39"/>
      <c r="AA346" s="39"/>
      <c r="AB346" s="39"/>
    </row>
    <row r="347">
      <c r="A347" s="1"/>
      <c r="B347" s="36"/>
      <c r="C347" s="36"/>
      <c r="D347" s="36"/>
      <c r="E347" s="36"/>
      <c r="F347" s="36"/>
      <c r="G347" s="36"/>
      <c r="H347" s="37"/>
      <c r="I347" s="36"/>
      <c r="J347" s="38"/>
      <c r="K347" s="38"/>
      <c r="L347" s="39"/>
      <c r="M347" s="39"/>
      <c r="N347" s="39"/>
      <c r="O347" s="39"/>
      <c r="P347" s="39"/>
      <c r="Q347" s="39"/>
      <c r="R347" s="39"/>
      <c r="S347" s="39"/>
      <c r="T347" s="39"/>
      <c r="U347" s="39"/>
      <c r="V347" s="39"/>
      <c r="W347" s="39"/>
      <c r="X347" s="39"/>
      <c r="Y347" s="39"/>
      <c r="Z347" s="39"/>
      <c r="AA347" s="39"/>
      <c r="AB347" s="39"/>
    </row>
    <row r="348">
      <c r="A348" s="1"/>
      <c r="B348" s="36"/>
      <c r="C348" s="36"/>
      <c r="D348" s="36"/>
      <c r="E348" s="36"/>
      <c r="F348" s="36"/>
      <c r="G348" s="36"/>
      <c r="H348" s="37"/>
      <c r="I348" s="36"/>
      <c r="J348" s="38"/>
      <c r="K348" s="38"/>
      <c r="L348" s="39"/>
      <c r="M348" s="39"/>
      <c r="N348" s="39"/>
      <c r="O348" s="39"/>
      <c r="P348" s="39"/>
      <c r="Q348" s="39"/>
      <c r="R348" s="39"/>
      <c r="S348" s="39"/>
      <c r="T348" s="39"/>
      <c r="U348" s="39"/>
      <c r="V348" s="39"/>
      <c r="W348" s="39"/>
      <c r="X348" s="39"/>
      <c r="Y348" s="39"/>
      <c r="Z348" s="39"/>
      <c r="AA348" s="39"/>
      <c r="AB348" s="39"/>
    </row>
    <row r="349">
      <c r="A349" s="1"/>
      <c r="B349" s="36"/>
      <c r="C349" s="36"/>
      <c r="D349" s="36"/>
      <c r="E349" s="36"/>
      <c r="F349" s="36"/>
      <c r="G349" s="36"/>
      <c r="H349" s="37"/>
      <c r="I349" s="36"/>
      <c r="J349" s="38"/>
      <c r="K349" s="38"/>
      <c r="L349" s="39"/>
      <c r="M349" s="39"/>
      <c r="N349" s="39"/>
      <c r="O349" s="39"/>
      <c r="P349" s="39"/>
      <c r="Q349" s="39"/>
      <c r="R349" s="39"/>
      <c r="S349" s="39"/>
      <c r="T349" s="39"/>
      <c r="U349" s="39"/>
      <c r="V349" s="39"/>
      <c r="W349" s="39"/>
      <c r="X349" s="39"/>
      <c r="Y349" s="39"/>
      <c r="Z349" s="39"/>
      <c r="AA349" s="39"/>
      <c r="AB349" s="39"/>
    </row>
    <row r="350">
      <c r="A350" s="1"/>
      <c r="B350" s="36"/>
      <c r="C350" s="36"/>
      <c r="D350" s="36"/>
      <c r="E350" s="36"/>
      <c r="F350" s="36"/>
      <c r="G350" s="36"/>
      <c r="H350" s="37"/>
      <c r="I350" s="36"/>
      <c r="J350" s="38"/>
      <c r="K350" s="38"/>
      <c r="L350" s="39"/>
      <c r="M350" s="39"/>
      <c r="N350" s="39"/>
      <c r="O350" s="39"/>
      <c r="P350" s="39"/>
      <c r="Q350" s="39"/>
      <c r="R350" s="39"/>
      <c r="S350" s="39"/>
      <c r="T350" s="39"/>
      <c r="U350" s="39"/>
      <c r="V350" s="39"/>
      <c r="W350" s="39"/>
      <c r="X350" s="39"/>
      <c r="Y350" s="39"/>
      <c r="Z350" s="39"/>
      <c r="AA350" s="39"/>
      <c r="AB350" s="39"/>
    </row>
    <row r="351">
      <c r="A351" s="1"/>
      <c r="B351" s="36"/>
      <c r="C351" s="36"/>
      <c r="D351" s="36"/>
      <c r="E351" s="36"/>
      <c r="F351" s="36"/>
      <c r="G351" s="36"/>
      <c r="H351" s="37"/>
      <c r="I351" s="36"/>
      <c r="J351" s="38"/>
      <c r="K351" s="38"/>
      <c r="L351" s="39"/>
      <c r="M351" s="39"/>
      <c r="N351" s="39"/>
      <c r="O351" s="39"/>
      <c r="P351" s="39"/>
      <c r="Q351" s="39"/>
      <c r="R351" s="39"/>
      <c r="S351" s="39"/>
      <c r="T351" s="39"/>
      <c r="U351" s="39"/>
      <c r="V351" s="39"/>
      <c r="W351" s="39"/>
      <c r="X351" s="39"/>
      <c r="Y351" s="39"/>
      <c r="Z351" s="39"/>
      <c r="AA351" s="39"/>
      <c r="AB351" s="39"/>
    </row>
    <row r="352">
      <c r="A352" s="1"/>
      <c r="B352" s="36"/>
      <c r="C352" s="36"/>
      <c r="D352" s="36"/>
      <c r="E352" s="36"/>
      <c r="F352" s="36"/>
      <c r="G352" s="36"/>
      <c r="H352" s="37"/>
      <c r="I352" s="36"/>
      <c r="J352" s="38"/>
      <c r="K352" s="38"/>
      <c r="L352" s="39"/>
      <c r="M352" s="39"/>
      <c r="N352" s="39"/>
      <c r="O352" s="39"/>
      <c r="P352" s="39"/>
      <c r="Q352" s="39"/>
      <c r="R352" s="39"/>
      <c r="S352" s="39"/>
      <c r="T352" s="39"/>
      <c r="U352" s="39"/>
      <c r="V352" s="39"/>
      <c r="W352" s="39"/>
      <c r="X352" s="39"/>
      <c r="Y352" s="39"/>
      <c r="Z352" s="39"/>
      <c r="AA352" s="39"/>
      <c r="AB352" s="39"/>
    </row>
    <row r="353">
      <c r="A353" s="1"/>
      <c r="B353" s="36"/>
      <c r="C353" s="36"/>
      <c r="D353" s="36"/>
      <c r="E353" s="36"/>
      <c r="F353" s="36"/>
      <c r="G353" s="36"/>
      <c r="H353" s="37"/>
      <c r="I353" s="36"/>
      <c r="J353" s="38"/>
      <c r="K353" s="38"/>
      <c r="L353" s="39"/>
      <c r="M353" s="39"/>
      <c r="N353" s="39"/>
      <c r="O353" s="39"/>
      <c r="P353" s="39"/>
      <c r="Q353" s="39"/>
      <c r="R353" s="39"/>
      <c r="S353" s="39"/>
      <c r="T353" s="39"/>
      <c r="U353" s="39"/>
      <c r="V353" s="39"/>
      <c r="W353" s="39"/>
      <c r="X353" s="39"/>
      <c r="Y353" s="39"/>
      <c r="Z353" s="39"/>
      <c r="AA353" s="39"/>
      <c r="AB353" s="39"/>
    </row>
    <row r="354">
      <c r="A354" s="1"/>
      <c r="B354" s="36"/>
      <c r="C354" s="36"/>
      <c r="D354" s="36"/>
      <c r="E354" s="36"/>
      <c r="F354" s="36"/>
      <c r="G354" s="36"/>
      <c r="H354" s="37"/>
      <c r="I354" s="36"/>
      <c r="J354" s="38"/>
      <c r="K354" s="38"/>
      <c r="L354" s="39"/>
      <c r="M354" s="39"/>
      <c r="N354" s="39"/>
      <c r="O354" s="39"/>
      <c r="P354" s="39"/>
      <c r="Q354" s="39"/>
      <c r="R354" s="39"/>
      <c r="S354" s="39"/>
      <c r="T354" s="39"/>
      <c r="U354" s="39"/>
      <c r="V354" s="39"/>
      <c r="W354" s="39"/>
      <c r="X354" s="39"/>
      <c r="Y354" s="39"/>
      <c r="Z354" s="39"/>
      <c r="AA354" s="39"/>
      <c r="AB354" s="39"/>
    </row>
    <row r="355">
      <c r="A355" s="1"/>
      <c r="B355" s="36"/>
      <c r="C355" s="36"/>
      <c r="D355" s="36"/>
      <c r="E355" s="36"/>
      <c r="F355" s="36"/>
      <c r="G355" s="36"/>
      <c r="H355" s="37"/>
      <c r="I355" s="36"/>
      <c r="J355" s="38"/>
      <c r="K355" s="38"/>
      <c r="L355" s="39"/>
      <c r="M355" s="39"/>
      <c r="N355" s="39"/>
      <c r="O355" s="39"/>
      <c r="P355" s="39"/>
      <c r="Q355" s="39"/>
      <c r="R355" s="39"/>
      <c r="S355" s="39"/>
      <c r="T355" s="39"/>
      <c r="U355" s="39"/>
      <c r="V355" s="39"/>
      <c r="W355" s="39"/>
      <c r="X355" s="39"/>
      <c r="Y355" s="39"/>
      <c r="Z355" s="39"/>
      <c r="AA355" s="39"/>
      <c r="AB355" s="39"/>
    </row>
    <row r="356">
      <c r="A356" s="1"/>
      <c r="B356" s="36"/>
      <c r="C356" s="36"/>
      <c r="D356" s="36"/>
      <c r="E356" s="36"/>
      <c r="F356" s="36"/>
      <c r="G356" s="36"/>
      <c r="H356" s="37"/>
      <c r="I356" s="36"/>
      <c r="J356" s="38"/>
      <c r="K356" s="38"/>
      <c r="L356" s="39"/>
      <c r="M356" s="39"/>
      <c r="N356" s="39"/>
      <c r="O356" s="39"/>
      <c r="P356" s="39"/>
      <c r="Q356" s="39"/>
      <c r="R356" s="39"/>
      <c r="S356" s="39"/>
      <c r="T356" s="39"/>
      <c r="U356" s="39"/>
      <c r="V356" s="39"/>
      <c r="W356" s="39"/>
      <c r="X356" s="39"/>
      <c r="Y356" s="39"/>
      <c r="Z356" s="39"/>
      <c r="AA356" s="39"/>
      <c r="AB356" s="39"/>
    </row>
    <row r="357">
      <c r="A357" s="1"/>
      <c r="B357" s="36"/>
      <c r="C357" s="36"/>
      <c r="D357" s="36"/>
      <c r="E357" s="36"/>
      <c r="F357" s="36"/>
      <c r="G357" s="36"/>
      <c r="H357" s="37"/>
      <c r="I357" s="36"/>
      <c r="J357" s="38"/>
      <c r="K357" s="38"/>
      <c r="L357" s="39"/>
      <c r="M357" s="39"/>
      <c r="N357" s="39"/>
      <c r="O357" s="39"/>
      <c r="P357" s="39"/>
      <c r="Q357" s="39"/>
      <c r="R357" s="39"/>
      <c r="S357" s="39"/>
      <c r="T357" s="39"/>
      <c r="U357" s="39"/>
      <c r="V357" s="39"/>
      <c r="W357" s="39"/>
      <c r="X357" s="39"/>
      <c r="Y357" s="39"/>
      <c r="Z357" s="39"/>
      <c r="AA357" s="39"/>
      <c r="AB357" s="39"/>
    </row>
    <row r="358">
      <c r="A358" s="1"/>
      <c r="B358" s="36"/>
      <c r="C358" s="36"/>
      <c r="D358" s="36"/>
      <c r="E358" s="36"/>
      <c r="F358" s="36"/>
      <c r="G358" s="36"/>
      <c r="H358" s="37"/>
      <c r="I358" s="36"/>
      <c r="J358" s="38"/>
      <c r="K358" s="38"/>
      <c r="L358" s="39"/>
      <c r="M358" s="39"/>
      <c r="N358" s="39"/>
      <c r="O358" s="39"/>
      <c r="P358" s="39"/>
      <c r="Q358" s="39"/>
      <c r="R358" s="39"/>
      <c r="S358" s="39"/>
      <c r="T358" s="39"/>
      <c r="U358" s="39"/>
      <c r="V358" s="39"/>
      <c r="W358" s="39"/>
      <c r="X358" s="39"/>
      <c r="Y358" s="39"/>
      <c r="Z358" s="39"/>
      <c r="AA358" s="39"/>
      <c r="AB358" s="39"/>
    </row>
    <row r="359">
      <c r="A359" s="1"/>
      <c r="B359" s="36"/>
      <c r="C359" s="36"/>
      <c r="D359" s="36"/>
      <c r="E359" s="36"/>
      <c r="F359" s="36"/>
      <c r="G359" s="36"/>
      <c r="H359" s="37"/>
      <c r="I359" s="36"/>
      <c r="J359" s="38"/>
      <c r="K359" s="38"/>
      <c r="L359" s="39"/>
      <c r="M359" s="39"/>
      <c r="N359" s="39"/>
      <c r="O359" s="39"/>
      <c r="P359" s="39"/>
      <c r="Q359" s="39"/>
      <c r="R359" s="39"/>
      <c r="S359" s="39"/>
      <c r="T359" s="39"/>
      <c r="U359" s="39"/>
      <c r="V359" s="39"/>
      <c r="W359" s="39"/>
      <c r="X359" s="39"/>
      <c r="Y359" s="39"/>
      <c r="Z359" s="39"/>
      <c r="AA359" s="39"/>
      <c r="AB359" s="39"/>
    </row>
    <row r="360">
      <c r="A360" s="1"/>
      <c r="B360" s="36"/>
      <c r="C360" s="36"/>
      <c r="D360" s="36"/>
      <c r="E360" s="36"/>
      <c r="F360" s="36"/>
      <c r="G360" s="36"/>
      <c r="H360" s="37"/>
      <c r="I360" s="36"/>
      <c r="J360" s="38"/>
      <c r="K360" s="38"/>
      <c r="L360" s="39"/>
      <c r="M360" s="39"/>
      <c r="N360" s="39"/>
      <c r="O360" s="39"/>
      <c r="P360" s="39"/>
      <c r="Q360" s="39"/>
      <c r="R360" s="39"/>
      <c r="S360" s="39"/>
      <c r="T360" s="39"/>
      <c r="U360" s="39"/>
      <c r="V360" s="39"/>
      <c r="W360" s="39"/>
      <c r="X360" s="39"/>
      <c r="Y360" s="39"/>
      <c r="Z360" s="39"/>
      <c r="AA360" s="39"/>
      <c r="AB360" s="39"/>
    </row>
    <row r="361">
      <c r="A361" s="1"/>
      <c r="B361" s="36"/>
      <c r="C361" s="36"/>
      <c r="D361" s="36"/>
      <c r="E361" s="36"/>
      <c r="F361" s="36"/>
      <c r="G361" s="36"/>
      <c r="H361" s="37"/>
      <c r="I361" s="36"/>
      <c r="J361" s="38"/>
      <c r="K361" s="38"/>
      <c r="L361" s="39"/>
      <c r="M361" s="39"/>
      <c r="N361" s="39"/>
      <c r="O361" s="39"/>
      <c r="P361" s="39"/>
      <c r="Q361" s="39"/>
      <c r="R361" s="39"/>
      <c r="S361" s="39"/>
      <c r="T361" s="39"/>
      <c r="U361" s="39"/>
      <c r="V361" s="39"/>
      <c r="W361" s="39"/>
      <c r="X361" s="39"/>
      <c r="Y361" s="39"/>
      <c r="Z361" s="39"/>
      <c r="AA361" s="39"/>
      <c r="AB361" s="39"/>
    </row>
    <row r="362">
      <c r="A362" s="1"/>
      <c r="B362" s="36"/>
      <c r="C362" s="36"/>
      <c r="D362" s="36"/>
      <c r="E362" s="36"/>
      <c r="F362" s="36"/>
      <c r="G362" s="36"/>
      <c r="H362" s="37"/>
      <c r="I362" s="36"/>
      <c r="J362" s="38"/>
      <c r="K362" s="38"/>
      <c r="L362" s="39"/>
      <c r="M362" s="39"/>
      <c r="N362" s="39"/>
      <c r="O362" s="39"/>
      <c r="P362" s="39"/>
      <c r="Q362" s="39"/>
      <c r="R362" s="39"/>
      <c r="S362" s="39"/>
      <c r="T362" s="39"/>
      <c r="U362" s="39"/>
      <c r="V362" s="39"/>
      <c r="W362" s="39"/>
      <c r="X362" s="39"/>
      <c r="Y362" s="39"/>
      <c r="Z362" s="39"/>
      <c r="AA362" s="39"/>
      <c r="AB362" s="39"/>
    </row>
    <row r="363">
      <c r="A363" s="1"/>
      <c r="B363" s="36"/>
      <c r="C363" s="36"/>
      <c r="D363" s="36"/>
      <c r="E363" s="36"/>
      <c r="F363" s="36"/>
      <c r="G363" s="36"/>
      <c r="H363" s="37"/>
      <c r="I363" s="36"/>
      <c r="J363" s="38"/>
      <c r="K363" s="38"/>
      <c r="L363" s="39"/>
      <c r="M363" s="39"/>
      <c r="N363" s="39"/>
      <c r="O363" s="39"/>
      <c r="P363" s="39"/>
      <c r="Q363" s="39"/>
      <c r="R363" s="39"/>
      <c r="S363" s="39"/>
      <c r="T363" s="39"/>
      <c r="U363" s="39"/>
      <c r="V363" s="39"/>
      <c r="W363" s="39"/>
      <c r="X363" s="39"/>
      <c r="Y363" s="39"/>
      <c r="Z363" s="39"/>
      <c r="AA363" s="39"/>
      <c r="AB363" s="39"/>
    </row>
    <row r="364">
      <c r="A364" s="1"/>
      <c r="B364" s="36"/>
      <c r="C364" s="36"/>
      <c r="D364" s="36"/>
      <c r="E364" s="36"/>
      <c r="F364" s="36"/>
      <c r="G364" s="36"/>
      <c r="H364" s="37"/>
      <c r="I364" s="36"/>
      <c r="J364" s="38"/>
      <c r="K364" s="38"/>
      <c r="L364" s="39"/>
      <c r="M364" s="39"/>
      <c r="N364" s="39"/>
      <c r="O364" s="39"/>
      <c r="P364" s="39"/>
      <c r="Q364" s="39"/>
      <c r="R364" s="39"/>
      <c r="S364" s="39"/>
      <c r="T364" s="39"/>
      <c r="U364" s="39"/>
      <c r="V364" s="39"/>
      <c r="W364" s="39"/>
      <c r="X364" s="39"/>
      <c r="Y364" s="39"/>
      <c r="Z364" s="39"/>
      <c r="AA364" s="39"/>
      <c r="AB364" s="39"/>
    </row>
    <row r="365">
      <c r="A365" s="1"/>
      <c r="B365" s="36"/>
      <c r="C365" s="36"/>
      <c r="D365" s="36"/>
      <c r="E365" s="36"/>
      <c r="F365" s="36"/>
      <c r="G365" s="36"/>
      <c r="H365" s="37"/>
      <c r="I365" s="36"/>
      <c r="J365" s="38"/>
      <c r="K365" s="38"/>
      <c r="L365" s="39"/>
      <c r="M365" s="39"/>
      <c r="N365" s="39"/>
      <c r="O365" s="39"/>
      <c r="P365" s="39"/>
      <c r="Q365" s="39"/>
      <c r="R365" s="39"/>
      <c r="S365" s="39"/>
      <c r="T365" s="39"/>
      <c r="U365" s="39"/>
      <c r="V365" s="39"/>
      <c r="W365" s="39"/>
      <c r="X365" s="39"/>
      <c r="Y365" s="39"/>
      <c r="Z365" s="39"/>
      <c r="AA365" s="39"/>
      <c r="AB365" s="39"/>
    </row>
    <row r="366">
      <c r="A366" s="1"/>
      <c r="B366" s="36"/>
      <c r="C366" s="36"/>
      <c r="D366" s="36"/>
      <c r="E366" s="36"/>
      <c r="F366" s="36"/>
      <c r="G366" s="36"/>
      <c r="H366" s="37"/>
      <c r="I366" s="36"/>
      <c r="J366" s="38"/>
      <c r="K366" s="38"/>
      <c r="L366" s="39"/>
      <c r="M366" s="39"/>
      <c r="N366" s="39"/>
      <c r="O366" s="39"/>
      <c r="P366" s="39"/>
      <c r="Q366" s="39"/>
      <c r="R366" s="39"/>
      <c r="S366" s="39"/>
      <c r="T366" s="39"/>
      <c r="U366" s="39"/>
      <c r="V366" s="39"/>
      <c r="W366" s="39"/>
      <c r="X366" s="39"/>
      <c r="Y366" s="39"/>
      <c r="Z366" s="39"/>
      <c r="AA366" s="39"/>
      <c r="AB366" s="39"/>
    </row>
    <row r="367">
      <c r="A367" s="1"/>
      <c r="B367" s="36"/>
      <c r="C367" s="36"/>
      <c r="D367" s="36"/>
      <c r="E367" s="36"/>
      <c r="F367" s="36"/>
      <c r="G367" s="36"/>
      <c r="H367" s="37"/>
      <c r="I367" s="36"/>
      <c r="J367" s="38"/>
      <c r="K367" s="38"/>
      <c r="L367" s="39"/>
      <c r="M367" s="39"/>
      <c r="N367" s="39"/>
      <c r="O367" s="39"/>
      <c r="P367" s="39"/>
      <c r="Q367" s="39"/>
      <c r="R367" s="39"/>
      <c r="S367" s="39"/>
      <c r="T367" s="39"/>
      <c r="U367" s="39"/>
      <c r="V367" s="39"/>
      <c r="W367" s="39"/>
      <c r="X367" s="39"/>
      <c r="Y367" s="39"/>
      <c r="Z367" s="39"/>
      <c r="AA367" s="39"/>
      <c r="AB367" s="39"/>
    </row>
    <row r="368">
      <c r="A368" s="1"/>
      <c r="B368" s="36"/>
      <c r="C368" s="36"/>
      <c r="D368" s="36"/>
      <c r="E368" s="36"/>
      <c r="F368" s="36"/>
      <c r="G368" s="36"/>
      <c r="H368" s="37"/>
      <c r="I368" s="36"/>
      <c r="J368" s="38"/>
      <c r="K368" s="38"/>
      <c r="L368" s="39"/>
      <c r="M368" s="39"/>
      <c r="N368" s="39"/>
      <c r="O368" s="39"/>
      <c r="P368" s="39"/>
      <c r="Q368" s="39"/>
      <c r="R368" s="39"/>
      <c r="S368" s="39"/>
      <c r="T368" s="39"/>
      <c r="U368" s="39"/>
      <c r="V368" s="39"/>
      <c r="W368" s="39"/>
      <c r="X368" s="39"/>
      <c r="Y368" s="39"/>
      <c r="Z368" s="39"/>
      <c r="AA368" s="39"/>
      <c r="AB368" s="39"/>
    </row>
    <row r="369">
      <c r="A369" s="1"/>
      <c r="B369" s="36"/>
      <c r="C369" s="36"/>
      <c r="D369" s="36"/>
      <c r="E369" s="36"/>
      <c r="F369" s="36"/>
      <c r="G369" s="36"/>
      <c r="H369" s="37"/>
      <c r="I369" s="36"/>
      <c r="J369" s="38"/>
      <c r="K369" s="38"/>
      <c r="L369" s="39"/>
      <c r="M369" s="39"/>
      <c r="N369" s="39"/>
      <c r="O369" s="39"/>
      <c r="P369" s="39"/>
      <c r="Q369" s="39"/>
      <c r="R369" s="39"/>
      <c r="S369" s="39"/>
      <c r="T369" s="39"/>
      <c r="U369" s="39"/>
      <c r="V369" s="39"/>
      <c r="W369" s="39"/>
      <c r="X369" s="39"/>
      <c r="Y369" s="39"/>
      <c r="Z369" s="39"/>
      <c r="AA369" s="39"/>
      <c r="AB369" s="39"/>
    </row>
    <row r="370">
      <c r="A370" s="1"/>
      <c r="B370" s="36"/>
      <c r="C370" s="36"/>
      <c r="D370" s="36"/>
      <c r="E370" s="36"/>
      <c r="F370" s="36"/>
      <c r="G370" s="36"/>
      <c r="H370" s="37"/>
      <c r="I370" s="36"/>
      <c r="J370" s="38"/>
      <c r="K370" s="38"/>
      <c r="L370" s="39"/>
      <c r="M370" s="39"/>
      <c r="N370" s="39"/>
      <c r="O370" s="39"/>
      <c r="P370" s="39"/>
      <c r="Q370" s="39"/>
      <c r="R370" s="39"/>
      <c r="S370" s="39"/>
      <c r="T370" s="39"/>
      <c r="U370" s="39"/>
      <c r="V370" s="39"/>
      <c r="W370" s="39"/>
      <c r="X370" s="39"/>
      <c r="Y370" s="39"/>
      <c r="Z370" s="39"/>
      <c r="AA370" s="39"/>
      <c r="AB370" s="39"/>
    </row>
    <row r="371">
      <c r="A371" s="1"/>
      <c r="B371" s="36"/>
      <c r="C371" s="36"/>
      <c r="D371" s="36"/>
      <c r="E371" s="36"/>
      <c r="F371" s="36"/>
      <c r="G371" s="36"/>
      <c r="H371" s="37"/>
      <c r="I371" s="36"/>
      <c r="J371" s="38"/>
      <c r="K371" s="38"/>
      <c r="L371" s="39"/>
      <c r="M371" s="39"/>
      <c r="N371" s="39"/>
      <c r="O371" s="39"/>
      <c r="P371" s="39"/>
      <c r="Q371" s="39"/>
      <c r="R371" s="39"/>
      <c r="S371" s="39"/>
      <c r="T371" s="39"/>
      <c r="U371" s="39"/>
      <c r="V371" s="39"/>
      <c r="W371" s="39"/>
      <c r="X371" s="39"/>
      <c r="Y371" s="39"/>
      <c r="Z371" s="39"/>
      <c r="AA371" s="39"/>
      <c r="AB371" s="39"/>
    </row>
    <row r="372">
      <c r="A372" s="1"/>
      <c r="B372" s="36"/>
      <c r="C372" s="36"/>
      <c r="D372" s="36"/>
      <c r="E372" s="36"/>
      <c r="F372" s="36"/>
      <c r="G372" s="36"/>
      <c r="H372" s="37"/>
      <c r="I372" s="36"/>
      <c r="J372" s="38"/>
      <c r="K372" s="38"/>
      <c r="L372" s="39"/>
      <c r="M372" s="39"/>
      <c r="N372" s="39"/>
      <c r="O372" s="39"/>
      <c r="P372" s="39"/>
      <c r="Q372" s="39"/>
      <c r="R372" s="39"/>
      <c r="S372" s="39"/>
      <c r="T372" s="39"/>
      <c r="U372" s="39"/>
      <c r="V372" s="39"/>
      <c r="W372" s="39"/>
      <c r="X372" s="39"/>
      <c r="Y372" s="39"/>
      <c r="Z372" s="39"/>
      <c r="AA372" s="39"/>
      <c r="AB372" s="39"/>
    </row>
    <row r="373">
      <c r="A373" s="1"/>
      <c r="B373" s="36"/>
      <c r="C373" s="36"/>
      <c r="D373" s="36"/>
      <c r="E373" s="36"/>
      <c r="F373" s="36"/>
      <c r="G373" s="36"/>
      <c r="H373" s="37"/>
      <c r="I373" s="36"/>
      <c r="J373" s="38"/>
      <c r="K373" s="38"/>
      <c r="L373" s="39"/>
      <c r="M373" s="39"/>
      <c r="N373" s="39"/>
      <c r="O373" s="39"/>
      <c r="P373" s="39"/>
      <c r="Q373" s="39"/>
      <c r="R373" s="39"/>
      <c r="S373" s="39"/>
      <c r="T373" s="39"/>
      <c r="U373" s="39"/>
      <c r="V373" s="39"/>
      <c r="W373" s="39"/>
      <c r="X373" s="39"/>
      <c r="Y373" s="39"/>
      <c r="Z373" s="39"/>
      <c r="AA373" s="39"/>
      <c r="AB373" s="39"/>
    </row>
    <row r="374">
      <c r="A374" s="1"/>
      <c r="B374" s="36"/>
      <c r="C374" s="36"/>
      <c r="D374" s="36"/>
      <c r="E374" s="36"/>
      <c r="F374" s="36"/>
      <c r="G374" s="36"/>
      <c r="H374" s="37"/>
      <c r="I374" s="36"/>
      <c r="J374" s="38"/>
      <c r="K374" s="38"/>
      <c r="L374" s="39"/>
      <c r="M374" s="39"/>
      <c r="N374" s="39"/>
      <c r="O374" s="39"/>
      <c r="P374" s="39"/>
      <c r="Q374" s="39"/>
      <c r="R374" s="39"/>
      <c r="S374" s="39"/>
      <c r="T374" s="39"/>
      <c r="U374" s="39"/>
      <c r="V374" s="39"/>
      <c r="W374" s="39"/>
      <c r="X374" s="39"/>
      <c r="Y374" s="39"/>
      <c r="Z374" s="39"/>
      <c r="AA374" s="39"/>
      <c r="AB374" s="39"/>
    </row>
    <row r="375">
      <c r="A375" s="1"/>
      <c r="B375" s="36"/>
      <c r="C375" s="36"/>
      <c r="D375" s="36"/>
      <c r="E375" s="36"/>
      <c r="F375" s="36"/>
      <c r="G375" s="36"/>
      <c r="H375" s="37"/>
      <c r="I375" s="36"/>
      <c r="J375" s="38"/>
      <c r="K375" s="38"/>
      <c r="L375" s="39"/>
      <c r="M375" s="39"/>
      <c r="N375" s="39"/>
      <c r="O375" s="39"/>
      <c r="P375" s="39"/>
      <c r="Q375" s="39"/>
      <c r="R375" s="39"/>
      <c r="S375" s="39"/>
      <c r="T375" s="39"/>
      <c r="U375" s="39"/>
      <c r="V375" s="39"/>
      <c r="W375" s="39"/>
      <c r="X375" s="39"/>
      <c r="Y375" s="39"/>
      <c r="Z375" s="39"/>
      <c r="AA375" s="39"/>
      <c r="AB375" s="39"/>
    </row>
    <row r="376">
      <c r="A376" s="1"/>
      <c r="B376" s="36"/>
      <c r="C376" s="36"/>
      <c r="D376" s="36"/>
      <c r="E376" s="36"/>
      <c r="F376" s="36"/>
      <c r="G376" s="36"/>
      <c r="H376" s="37"/>
      <c r="I376" s="36"/>
      <c r="J376" s="38"/>
      <c r="K376" s="38"/>
      <c r="L376" s="39"/>
      <c r="M376" s="39"/>
      <c r="N376" s="39"/>
      <c r="O376" s="39"/>
      <c r="P376" s="39"/>
      <c r="Q376" s="39"/>
      <c r="R376" s="39"/>
      <c r="S376" s="39"/>
      <c r="T376" s="39"/>
      <c r="U376" s="39"/>
      <c r="V376" s="39"/>
      <c r="W376" s="39"/>
      <c r="X376" s="39"/>
      <c r="Y376" s="39"/>
      <c r="Z376" s="39"/>
      <c r="AA376" s="39"/>
      <c r="AB376" s="39"/>
    </row>
    <row r="377">
      <c r="A377" s="1"/>
      <c r="B377" s="36"/>
      <c r="C377" s="36"/>
      <c r="D377" s="36"/>
      <c r="E377" s="36"/>
      <c r="F377" s="36"/>
      <c r="G377" s="36"/>
      <c r="H377" s="37"/>
      <c r="I377" s="36"/>
      <c r="J377" s="38"/>
      <c r="K377" s="38"/>
      <c r="L377" s="39"/>
      <c r="M377" s="39"/>
      <c r="N377" s="39"/>
      <c r="O377" s="39"/>
      <c r="P377" s="39"/>
      <c r="Q377" s="39"/>
      <c r="R377" s="39"/>
      <c r="S377" s="39"/>
      <c r="T377" s="39"/>
      <c r="U377" s="39"/>
      <c r="V377" s="39"/>
      <c r="W377" s="39"/>
      <c r="X377" s="39"/>
      <c r="Y377" s="39"/>
      <c r="Z377" s="39"/>
      <c r="AA377" s="39"/>
      <c r="AB377" s="39"/>
    </row>
    <row r="378">
      <c r="A378" s="1"/>
      <c r="B378" s="36"/>
      <c r="C378" s="36"/>
      <c r="D378" s="36"/>
      <c r="E378" s="36"/>
      <c r="F378" s="36"/>
      <c r="G378" s="36"/>
      <c r="H378" s="37"/>
      <c r="I378" s="36"/>
      <c r="J378" s="38"/>
      <c r="K378" s="38"/>
      <c r="L378" s="39"/>
      <c r="M378" s="39"/>
      <c r="N378" s="39"/>
      <c r="O378" s="39"/>
      <c r="P378" s="39"/>
      <c r="Q378" s="39"/>
      <c r="R378" s="39"/>
      <c r="S378" s="39"/>
      <c r="T378" s="39"/>
      <c r="U378" s="39"/>
      <c r="V378" s="39"/>
      <c r="W378" s="39"/>
      <c r="X378" s="39"/>
      <c r="Y378" s="39"/>
      <c r="Z378" s="39"/>
      <c r="AA378" s="39"/>
      <c r="AB378" s="39"/>
    </row>
    <row r="379">
      <c r="A379" s="1"/>
      <c r="B379" s="36"/>
      <c r="C379" s="36"/>
      <c r="D379" s="36"/>
      <c r="E379" s="36"/>
      <c r="F379" s="36"/>
      <c r="G379" s="36"/>
      <c r="H379" s="37"/>
      <c r="I379" s="36"/>
      <c r="J379" s="38"/>
      <c r="K379" s="38"/>
      <c r="L379" s="39"/>
      <c r="M379" s="39"/>
      <c r="N379" s="39"/>
      <c r="O379" s="39"/>
      <c r="P379" s="39"/>
      <c r="Q379" s="39"/>
      <c r="R379" s="39"/>
      <c r="S379" s="39"/>
      <c r="T379" s="39"/>
      <c r="U379" s="39"/>
      <c r="V379" s="39"/>
      <c r="W379" s="39"/>
      <c r="X379" s="39"/>
      <c r="Y379" s="39"/>
      <c r="Z379" s="39"/>
      <c r="AA379" s="39"/>
      <c r="AB379" s="39"/>
    </row>
    <row r="380">
      <c r="A380" s="1"/>
      <c r="B380" s="36"/>
      <c r="C380" s="36"/>
      <c r="D380" s="36"/>
      <c r="E380" s="36"/>
      <c r="F380" s="36"/>
      <c r="G380" s="36"/>
      <c r="H380" s="37"/>
      <c r="I380" s="36"/>
      <c r="J380" s="38"/>
      <c r="K380" s="38"/>
      <c r="L380" s="39"/>
      <c r="M380" s="39"/>
      <c r="N380" s="39"/>
      <c r="O380" s="39"/>
      <c r="P380" s="39"/>
      <c r="Q380" s="39"/>
      <c r="R380" s="39"/>
      <c r="S380" s="39"/>
      <c r="T380" s="39"/>
      <c r="U380" s="39"/>
      <c r="V380" s="39"/>
      <c r="W380" s="39"/>
      <c r="X380" s="39"/>
      <c r="Y380" s="39"/>
      <c r="Z380" s="39"/>
      <c r="AA380" s="39"/>
      <c r="AB380" s="39"/>
    </row>
    <row r="381">
      <c r="A381" s="1"/>
      <c r="B381" s="36"/>
      <c r="C381" s="36"/>
      <c r="D381" s="36"/>
      <c r="E381" s="36"/>
      <c r="F381" s="36"/>
      <c r="G381" s="36"/>
      <c r="H381" s="37"/>
      <c r="I381" s="36"/>
      <c r="J381" s="38"/>
      <c r="K381" s="38"/>
      <c r="L381" s="39"/>
      <c r="M381" s="39"/>
      <c r="N381" s="39"/>
      <c r="O381" s="39"/>
      <c r="P381" s="39"/>
      <c r="Q381" s="39"/>
      <c r="R381" s="39"/>
      <c r="S381" s="39"/>
      <c r="T381" s="39"/>
      <c r="U381" s="39"/>
      <c r="V381" s="39"/>
      <c r="W381" s="39"/>
      <c r="X381" s="39"/>
      <c r="Y381" s="39"/>
      <c r="Z381" s="39"/>
      <c r="AA381" s="39"/>
      <c r="AB381" s="39"/>
    </row>
    <row r="382">
      <c r="A382" s="1"/>
      <c r="B382" s="36"/>
      <c r="C382" s="36"/>
      <c r="D382" s="36"/>
      <c r="E382" s="36"/>
      <c r="F382" s="36"/>
      <c r="G382" s="36"/>
      <c r="H382" s="37"/>
      <c r="I382" s="36"/>
      <c r="J382" s="38"/>
      <c r="K382" s="38"/>
      <c r="L382" s="39"/>
      <c r="M382" s="39"/>
      <c r="N382" s="39"/>
      <c r="O382" s="39"/>
      <c r="P382" s="39"/>
      <c r="Q382" s="39"/>
      <c r="R382" s="39"/>
      <c r="S382" s="39"/>
      <c r="T382" s="39"/>
      <c r="U382" s="39"/>
      <c r="V382" s="39"/>
      <c r="W382" s="39"/>
      <c r="X382" s="39"/>
      <c r="Y382" s="39"/>
      <c r="Z382" s="39"/>
      <c r="AA382" s="39"/>
      <c r="AB382" s="39"/>
    </row>
    <row r="383">
      <c r="A383" s="1"/>
      <c r="B383" s="36"/>
      <c r="C383" s="36"/>
      <c r="D383" s="36"/>
      <c r="E383" s="36"/>
      <c r="F383" s="36"/>
      <c r="G383" s="36"/>
      <c r="H383" s="37"/>
      <c r="I383" s="36"/>
      <c r="J383" s="38"/>
      <c r="K383" s="38"/>
      <c r="L383" s="39"/>
      <c r="M383" s="39"/>
      <c r="N383" s="39"/>
      <c r="O383" s="39"/>
      <c r="P383" s="39"/>
      <c r="Q383" s="39"/>
      <c r="R383" s="39"/>
      <c r="S383" s="39"/>
      <c r="T383" s="39"/>
      <c r="U383" s="39"/>
      <c r="V383" s="39"/>
      <c r="W383" s="39"/>
      <c r="X383" s="39"/>
      <c r="Y383" s="39"/>
      <c r="Z383" s="39"/>
      <c r="AA383" s="39"/>
      <c r="AB383" s="39"/>
    </row>
    <row r="384">
      <c r="A384" s="1"/>
      <c r="B384" s="36"/>
      <c r="C384" s="36"/>
      <c r="D384" s="36"/>
      <c r="E384" s="36"/>
      <c r="F384" s="36"/>
      <c r="G384" s="36"/>
      <c r="H384" s="37"/>
      <c r="I384" s="36"/>
      <c r="J384" s="38"/>
      <c r="K384" s="38"/>
      <c r="L384" s="39"/>
      <c r="M384" s="39"/>
      <c r="N384" s="39"/>
      <c r="O384" s="39"/>
      <c r="P384" s="39"/>
      <c r="Q384" s="39"/>
      <c r="R384" s="39"/>
      <c r="S384" s="39"/>
      <c r="T384" s="39"/>
      <c r="U384" s="39"/>
      <c r="V384" s="39"/>
      <c r="W384" s="39"/>
      <c r="X384" s="39"/>
      <c r="Y384" s="39"/>
      <c r="Z384" s="39"/>
      <c r="AA384" s="39"/>
      <c r="AB384" s="39"/>
    </row>
    <row r="385">
      <c r="A385" s="1"/>
      <c r="B385" s="36"/>
      <c r="C385" s="36"/>
      <c r="D385" s="36"/>
      <c r="E385" s="36"/>
      <c r="F385" s="36"/>
      <c r="G385" s="36"/>
      <c r="H385" s="37"/>
      <c r="I385" s="36"/>
      <c r="J385" s="38"/>
      <c r="K385" s="38"/>
      <c r="L385" s="39"/>
      <c r="M385" s="39"/>
      <c r="N385" s="39"/>
      <c r="O385" s="39"/>
      <c r="P385" s="39"/>
      <c r="Q385" s="39"/>
      <c r="R385" s="39"/>
      <c r="S385" s="39"/>
      <c r="T385" s="39"/>
      <c r="U385" s="39"/>
      <c r="V385" s="39"/>
      <c r="W385" s="39"/>
      <c r="X385" s="39"/>
      <c r="Y385" s="39"/>
      <c r="Z385" s="39"/>
      <c r="AA385" s="39"/>
      <c r="AB385" s="39"/>
    </row>
    <row r="386">
      <c r="A386" s="1"/>
      <c r="B386" s="36"/>
      <c r="C386" s="36"/>
      <c r="D386" s="36"/>
      <c r="E386" s="36"/>
      <c r="F386" s="36"/>
      <c r="G386" s="36"/>
      <c r="H386" s="37"/>
      <c r="I386" s="36"/>
      <c r="J386" s="38"/>
      <c r="K386" s="38"/>
      <c r="L386" s="39"/>
      <c r="M386" s="39"/>
      <c r="N386" s="39"/>
      <c r="O386" s="39"/>
      <c r="P386" s="39"/>
      <c r="Q386" s="39"/>
      <c r="R386" s="39"/>
      <c r="S386" s="39"/>
      <c r="T386" s="39"/>
      <c r="U386" s="39"/>
      <c r="V386" s="39"/>
      <c r="W386" s="39"/>
      <c r="X386" s="39"/>
      <c r="Y386" s="39"/>
      <c r="Z386" s="39"/>
      <c r="AA386" s="39"/>
      <c r="AB386" s="39"/>
    </row>
    <row r="387">
      <c r="A387" s="1"/>
      <c r="B387" s="36"/>
      <c r="C387" s="36"/>
      <c r="D387" s="36"/>
      <c r="E387" s="36"/>
      <c r="F387" s="36"/>
      <c r="G387" s="36"/>
      <c r="H387" s="37"/>
      <c r="I387" s="36"/>
      <c r="J387" s="38"/>
      <c r="K387" s="38"/>
      <c r="L387" s="39"/>
      <c r="M387" s="39"/>
      <c r="N387" s="39"/>
      <c r="O387" s="39"/>
      <c r="P387" s="39"/>
      <c r="Q387" s="39"/>
      <c r="R387" s="39"/>
      <c r="S387" s="39"/>
      <c r="T387" s="39"/>
      <c r="U387" s="39"/>
      <c r="V387" s="39"/>
      <c r="W387" s="39"/>
      <c r="X387" s="39"/>
      <c r="Y387" s="39"/>
      <c r="Z387" s="39"/>
      <c r="AA387" s="39"/>
      <c r="AB387" s="39"/>
    </row>
    <row r="388">
      <c r="A388" s="1"/>
      <c r="B388" s="36"/>
      <c r="C388" s="36"/>
      <c r="D388" s="36"/>
      <c r="E388" s="36"/>
      <c r="F388" s="36"/>
      <c r="G388" s="36"/>
      <c r="H388" s="37"/>
      <c r="I388" s="36"/>
      <c r="J388" s="38"/>
      <c r="K388" s="38"/>
      <c r="L388" s="39"/>
      <c r="M388" s="39"/>
      <c r="N388" s="39"/>
      <c r="O388" s="39"/>
      <c r="P388" s="39"/>
      <c r="Q388" s="39"/>
      <c r="R388" s="39"/>
      <c r="S388" s="39"/>
      <c r="T388" s="39"/>
      <c r="U388" s="39"/>
      <c r="V388" s="39"/>
      <c r="W388" s="39"/>
      <c r="X388" s="39"/>
      <c r="Y388" s="39"/>
      <c r="Z388" s="39"/>
      <c r="AA388" s="39"/>
      <c r="AB388" s="39"/>
    </row>
    <row r="389">
      <c r="A389" s="1"/>
      <c r="B389" s="36"/>
      <c r="C389" s="36"/>
      <c r="D389" s="36"/>
      <c r="E389" s="36"/>
      <c r="F389" s="36"/>
      <c r="G389" s="36"/>
      <c r="H389" s="37"/>
      <c r="I389" s="36"/>
      <c r="J389" s="38"/>
      <c r="K389" s="38"/>
      <c r="L389" s="39"/>
      <c r="M389" s="39"/>
      <c r="N389" s="39"/>
      <c r="O389" s="39"/>
      <c r="P389" s="39"/>
      <c r="Q389" s="39"/>
      <c r="R389" s="39"/>
      <c r="S389" s="39"/>
      <c r="T389" s="39"/>
      <c r="U389" s="39"/>
      <c r="V389" s="39"/>
      <c r="W389" s="39"/>
      <c r="X389" s="39"/>
      <c r="Y389" s="39"/>
      <c r="Z389" s="39"/>
      <c r="AA389" s="39"/>
      <c r="AB389" s="39"/>
    </row>
    <row r="390">
      <c r="A390" s="1"/>
      <c r="B390" s="36"/>
      <c r="C390" s="36"/>
      <c r="D390" s="36"/>
      <c r="E390" s="36"/>
      <c r="F390" s="36"/>
      <c r="G390" s="36"/>
      <c r="H390" s="37"/>
      <c r="I390" s="36"/>
      <c r="J390" s="38"/>
      <c r="K390" s="38"/>
      <c r="L390" s="39"/>
      <c r="M390" s="39"/>
      <c r="N390" s="39"/>
      <c r="O390" s="39"/>
      <c r="P390" s="39"/>
      <c r="Q390" s="39"/>
      <c r="R390" s="39"/>
      <c r="S390" s="39"/>
      <c r="T390" s="39"/>
      <c r="U390" s="39"/>
      <c r="V390" s="39"/>
      <c r="W390" s="39"/>
      <c r="X390" s="39"/>
      <c r="Y390" s="39"/>
      <c r="Z390" s="39"/>
      <c r="AA390" s="39"/>
      <c r="AB390" s="39"/>
    </row>
    <row r="391">
      <c r="A391" s="1"/>
      <c r="B391" s="36"/>
      <c r="C391" s="36"/>
      <c r="D391" s="36"/>
      <c r="E391" s="36"/>
      <c r="F391" s="36"/>
      <c r="G391" s="36"/>
      <c r="H391" s="37"/>
      <c r="I391" s="36"/>
      <c r="J391" s="38"/>
      <c r="K391" s="38"/>
      <c r="L391" s="39"/>
      <c r="M391" s="39"/>
      <c r="N391" s="39"/>
      <c r="O391" s="39"/>
      <c r="P391" s="39"/>
      <c r="Q391" s="39"/>
      <c r="R391" s="39"/>
      <c r="S391" s="39"/>
      <c r="T391" s="39"/>
      <c r="U391" s="39"/>
      <c r="V391" s="39"/>
      <c r="W391" s="39"/>
      <c r="X391" s="39"/>
      <c r="Y391" s="39"/>
      <c r="Z391" s="39"/>
      <c r="AA391" s="39"/>
      <c r="AB391" s="39"/>
    </row>
    <row r="392">
      <c r="A392" s="1"/>
      <c r="B392" s="36"/>
      <c r="C392" s="36"/>
      <c r="D392" s="36"/>
      <c r="E392" s="36"/>
      <c r="F392" s="36"/>
      <c r="G392" s="36"/>
      <c r="H392" s="37"/>
      <c r="I392" s="36"/>
      <c r="J392" s="38"/>
      <c r="K392" s="38"/>
      <c r="L392" s="39"/>
      <c r="M392" s="39"/>
      <c r="N392" s="39"/>
      <c r="O392" s="39"/>
      <c r="P392" s="39"/>
      <c r="Q392" s="39"/>
      <c r="R392" s="39"/>
      <c r="S392" s="39"/>
      <c r="T392" s="39"/>
      <c r="U392" s="39"/>
      <c r="V392" s="39"/>
      <c r="W392" s="39"/>
      <c r="X392" s="39"/>
      <c r="Y392" s="39"/>
      <c r="Z392" s="39"/>
      <c r="AA392" s="39"/>
      <c r="AB392" s="39"/>
    </row>
    <row r="393">
      <c r="A393" s="1"/>
      <c r="B393" s="36"/>
      <c r="C393" s="36"/>
      <c r="D393" s="36"/>
      <c r="E393" s="36"/>
      <c r="F393" s="36"/>
      <c r="G393" s="36"/>
      <c r="H393" s="37"/>
      <c r="I393" s="36"/>
      <c r="J393" s="38"/>
      <c r="K393" s="38"/>
      <c r="L393" s="39"/>
      <c r="M393" s="39"/>
      <c r="N393" s="39"/>
      <c r="O393" s="39"/>
      <c r="P393" s="39"/>
      <c r="Q393" s="39"/>
      <c r="R393" s="39"/>
      <c r="S393" s="39"/>
      <c r="T393" s="39"/>
      <c r="U393" s="39"/>
      <c r="V393" s="39"/>
      <c r="W393" s="39"/>
      <c r="X393" s="39"/>
      <c r="Y393" s="39"/>
      <c r="Z393" s="39"/>
      <c r="AA393" s="39"/>
      <c r="AB393" s="39"/>
    </row>
    <row r="394">
      <c r="A394" s="1"/>
      <c r="B394" s="36"/>
      <c r="C394" s="36"/>
      <c r="D394" s="36"/>
      <c r="E394" s="36"/>
      <c r="F394" s="36"/>
      <c r="G394" s="36"/>
      <c r="H394" s="37"/>
      <c r="I394" s="36"/>
      <c r="J394" s="38"/>
      <c r="K394" s="38"/>
      <c r="L394" s="39"/>
      <c r="M394" s="39"/>
      <c r="N394" s="39"/>
      <c r="O394" s="39"/>
      <c r="P394" s="39"/>
      <c r="Q394" s="39"/>
      <c r="R394" s="39"/>
      <c r="S394" s="39"/>
      <c r="T394" s="39"/>
      <c r="U394" s="39"/>
      <c r="V394" s="39"/>
      <c r="W394" s="39"/>
      <c r="X394" s="39"/>
      <c r="Y394" s="39"/>
      <c r="Z394" s="39"/>
      <c r="AA394" s="39"/>
      <c r="AB394" s="39"/>
    </row>
    <row r="395">
      <c r="A395" s="1"/>
      <c r="B395" s="36"/>
      <c r="C395" s="36"/>
      <c r="D395" s="36"/>
      <c r="E395" s="36"/>
      <c r="F395" s="36"/>
      <c r="G395" s="36"/>
      <c r="H395" s="37"/>
      <c r="I395" s="36"/>
      <c r="J395" s="38"/>
      <c r="K395" s="38"/>
      <c r="L395" s="39"/>
      <c r="M395" s="39"/>
      <c r="N395" s="39"/>
      <c r="O395" s="39"/>
      <c r="P395" s="39"/>
      <c r="Q395" s="39"/>
      <c r="R395" s="39"/>
      <c r="S395" s="39"/>
      <c r="T395" s="39"/>
      <c r="U395" s="39"/>
      <c r="V395" s="39"/>
      <c r="W395" s="39"/>
      <c r="X395" s="39"/>
      <c r="Y395" s="39"/>
      <c r="Z395" s="39"/>
      <c r="AA395" s="39"/>
      <c r="AB395" s="39"/>
    </row>
    <row r="396">
      <c r="A396" s="1"/>
      <c r="B396" s="36"/>
      <c r="C396" s="36"/>
      <c r="D396" s="36"/>
      <c r="E396" s="36"/>
      <c r="F396" s="36"/>
      <c r="G396" s="36"/>
      <c r="H396" s="37"/>
      <c r="I396" s="36"/>
      <c r="J396" s="38"/>
      <c r="K396" s="38"/>
      <c r="L396" s="39"/>
      <c r="M396" s="39"/>
      <c r="N396" s="39"/>
      <c r="O396" s="39"/>
      <c r="P396" s="39"/>
      <c r="Q396" s="39"/>
      <c r="R396" s="39"/>
      <c r="S396" s="39"/>
      <c r="T396" s="39"/>
      <c r="U396" s="39"/>
      <c r="V396" s="39"/>
      <c r="W396" s="39"/>
      <c r="X396" s="39"/>
      <c r="Y396" s="39"/>
      <c r="Z396" s="39"/>
      <c r="AA396" s="39"/>
      <c r="AB396" s="39"/>
    </row>
    <row r="397">
      <c r="A397" s="1"/>
      <c r="B397" s="36"/>
      <c r="C397" s="36"/>
      <c r="D397" s="36"/>
      <c r="E397" s="36"/>
      <c r="F397" s="36"/>
      <c r="G397" s="36"/>
      <c r="H397" s="37"/>
      <c r="I397" s="36"/>
      <c r="J397" s="38"/>
      <c r="K397" s="38"/>
      <c r="L397" s="39"/>
      <c r="M397" s="39"/>
      <c r="N397" s="39"/>
      <c r="O397" s="39"/>
      <c r="P397" s="39"/>
      <c r="Q397" s="39"/>
      <c r="R397" s="39"/>
      <c r="S397" s="39"/>
      <c r="T397" s="39"/>
      <c r="U397" s="39"/>
      <c r="V397" s="39"/>
      <c r="W397" s="39"/>
      <c r="X397" s="39"/>
      <c r="Y397" s="39"/>
      <c r="Z397" s="39"/>
      <c r="AA397" s="39"/>
      <c r="AB397" s="39"/>
    </row>
    <row r="398">
      <c r="A398" s="1"/>
      <c r="B398" s="36"/>
      <c r="C398" s="36"/>
      <c r="D398" s="36"/>
      <c r="E398" s="36"/>
      <c r="F398" s="36"/>
      <c r="G398" s="36"/>
      <c r="H398" s="37"/>
      <c r="I398" s="36"/>
      <c r="J398" s="38"/>
      <c r="K398" s="38"/>
      <c r="L398" s="39"/>
      <c r="M398" s="39"/>
      <c r="N398" s="39"/>
      <c r="O398" s="39"/>
      <c r="P398" s="39"/>
      <c r="Q398" s="39"/>
      <c r="R398" s="39"/>
      <c r="S398" s="39"/>
      <c r="T398" s="39"/>
      <c r="U398" s="39"/>
      <c r="V398" s="39"/>
      <c r="W398" s="39"/>
      <c r="X398" s="39"/>
      <c r="Y398" s="39"/>
      <c r="Z398" s="39"/>
      <c r="AA398" s="39"/>
      <c r="AB398" s="39"/>
    </row>
    <row r="399">
      <c r="A399" s="1"/>
      <c r="B399" s="36"/>
      <c r="C399" s="36"/>
      <c r="D399" s="36"/>
      <c r="E399" s="36"/>
      <c r="F399" s="36"/>
      <c r="G399" s="36"/>
      <c r="H399" s="37"/>
      <c r="I399" s="36"/>
      <c r="J399" s="38"/>
      <c r="K399" s="38"/>
      <c r="L399" s="39"/>
      <c r="M399" s="39"/>
      <c r="N399" s="39"/>
      <c r="O399" s="39"/>
      <c r="P399" s="39"/>
      <c r="Q399" s="39"/>
      <c r="R399" s="39"/>
      <c r="S399" s="39"/>
      <c r="T399" s="39"/>
      <c r="U399" s="39"/>
      <c r="V399" s="39"/>
      <c r="W399" s="39"/>
      <c r="X399" s="39"/>
      <c r="Y399" s="39"/>
      <c r="Z399" s="39"/>
      <c r="AA399" s="39"/>
      <c r="AB399" s="39"/>
    </row>
    <row r="400">
      <c r="A400" s="1"/>
      <c r="B400" s="36"/>
      <c r="C400" s="36"/>
      <c r="D400" s="36"/>
      <c r="E400" s="36"/>
      <c r="F400" s="36"/>
      <c r="G400" s="36"/>
      <c r="H400" s="37"/>
      <c r="I400" s="36"/>
      <c r="J400" s="38"/>
      <c r="K400" s="38"/>
      <c r="L400" s="39"/>
      <c r="M400" s="39"/>
      <c r="N400" s="39"/>
      <c r="O400" s="39"/>
      <c r="P400" s="39"/>
      <c r="Q400" s="39"/>
      <c r="R400" s="39"/>
      <c r="S400" s="39"/>
      <c r="T400" s="39"/>
      <c r="U400" s="39"/>
      <c r="V400" s="39"/>
      <c r="W400" s="39"/>
      <c r="X400" s="39"/>
      <c r="Y400" s="39"/>
      <c r="Z400" s="39"/>
      <c r="AA400" s="39"/>
      <c r="AB400" s="39"/>
    </row>
    <row r="401">
      <c r="A401" s="1"/>
      <c r="B401" s="36"/>
      <c r="C401" s="36"/>
      <c r="D401" s="36"/>
      <c r="E401" s="36"/>
      <c r="F401" s="36"/>
      <c r="G401" s="36"/>
      <c r="H401" s="37"/>
      <c r="I401" s="36"/>
      <c r="J401" s="38"/>
      <c r="K401" s="38"/>
      <c r="L401" s="39"/>
      <c r="M401" s="39"/>
      <c r="N401" s="39"/>
      <c r="O401" s="39"/>
      <c r="P401" s="39"/>
      <c r="Q401" s="39"/>
      <c r="R401" s="39"/>
      <c r="S401" s="39"/>
      <c r="T401" s="39"/>
      <c r="U401" s="39"/>
      <c r="V401" s="39"/>
      <c r="W401" s="39"/>
      <c r="X401" s="39"/>
      <c r="Y401" s="39"/>
      <c r="Z401" s="39"/>
      <c r="AA401" s="39"/>
      <c r="AB401" s="39"/>
    </row>
    <row r="402">
      <c r="A402" s="1"/>
      <c r="B402" s="36"/>
      <c r="C402" s="36"/>
      <c r="D402" s="36"/>
      <c r="E402" s="36"/>
      <c r="F402" s="36"/>
      <c r="G402" s="36"/>
      <c r="H402" s="37"/>
      <c r="I402" s="36"/>
      <c r="J402" s="38"/>
      <c r="K402" s="38"/>
      <c r="L402" s="39"/>
      <c r="M402" s="39"/>
      <c r="N402" s="39"/>
      <c r="O402" s="39"/>
      <c r="P402" s="39"/>
      <c r="Q402" s="39"/>
      <c r="R402" s="39"/>
      <c r="S402" s="39"/>
      <c r="T402" s="39"/>
      <c r="U402" s="39"/>
      <c r="V402" s="39"/>
      <c r="W402" s="39"/>
      <c r="X402" s="39"/>
      <c r="Y402" s="39"/>
      <c r="Z402" s="39"/>
      <c r="AA402" s="39"/>
      <c r="AB402" s="39"/>
    </row>
    <row r="403">
      <c r="A403" s="1"/>
      <c r="B403" s="36"/>
      <c r="C403" s="36"/>
      <c r="D403" s="36"/>
      <c r="E403" s="36"/>
      <c r="F403" s="36"/>
      <c r="G403" s="36"/>
      <c r="H403" s="37"/>
      <c r="I403" s="36"/>
      <c r="J403" s="38"/>
      <c r="K403" s="38"/>
      <c r="L403" s="39"/>
      <c r="M403" s="39"/>
      <c r="N403" s="39"/>
      <c r="O403" s="39"/>
      <c r="P403" s="39"/>
      <c r="Q403" s="39"/>
      <c r="R403" s="39"/>
      <c r="S403" s="39"/>
      <c r="T403" s="39"/>
      <c r="U403" s="39"/>
      <c r="V403" s="39"/>
      <c r="W403" s="39"/>
      <c r="X403" s="39"/>
      <c r="Y403" s="39"/>
      <c r="Z403" s="39"/>
      <c r="AA403" s="39"/>
      <c r="AB403" s="39"/>
    </row>
    <row r="404">
      <c r="A404" s="1"/>
      <c r="B404" s="36"/>
      <c r="C404" s="36"/>
      <c r="D404" s="36"/>
      <c r="E404" s="36"/>
      <c r="F404" s="36"/>
      <c r="G404" s="36"/>
      <c r="H404" s="37"/>
      <c r="I404" s="36"/>
      <c r="J404" s="38"/>
      <c r="K404" s="38"/>
      <c r="L404" s="39"/>
      <c r="M404" s="39"/>
      <c r="N404" s="39"/>
      <c r="O404" s="39"/>
      <c r="P404" s="39"/>
      <c r="Q404" s="39"/>
      <c r="R404" s="39"/>
      <c r="S404" s="39"/>
      <c r="T404" s="39"/>
      <c r="U404" s="39"/>
      <c r="V404" s="39"/>
      <c r="W404" s="39"/>
      <c r="X404" s="39"/>
      <c r="Y404" s="39"/>
      <c r="Z404" s="39"/>
      <c r="AA404" s="39"/>
      <c r="AB404" s="39"/>
    </row>
    <row r="405">
      <c r="A405" s="1"/>
      <c r="B405" s="36"/>
      <c r="C405" s="36"/>
      <c r="D405" s="36"/>
      <c r="E405" s="36"/>
      <c r="F405" s="36"/>
      <c r="G405" s="36"/>
      <c r="H405" s="37"/>
      <c r="I405" s="36"/>
      <c r="J405" s="38"/>
      <c r="K405" s="38"/>
      <c r="L405" s="39"/>
      <c r="M405" s="39"/>
      <c r="N405" s="39"/>
      <c r="O405" s="39"/>
      <c r="P405" s="39"/>
      <c r="Q405" s="39"/>
      <c r="R405" s="39"/>
      <c r="S405" s="39"/>
      <c r="T405" s="39"/>
      <c r="U405" s="39"/>
      <c r="V405" s="39"/>
      <c r="W405" s="39"/>
      <c r="X405" s="39"/>
      <c r="Y405" s="39"/>
      <c r="Z405" s="39"/>
      <c r="AA405" s="39"/>
      <c r="AB405" s="39"/>
    </row>
    <row r="406">
      <c r="A406" s="1"/>
      <c r="B406" s="36"/>
      <c r="C406" s="36"/>
      <c r="D406" s="36"/>
      <c r="E406" s="36"/>
      <c r="F406" s="36"/>
      <c r="G406" s="36"/>
      <c r="H406" s="37"/>
      <c r="I406" s="36"/>
      <c r="J406" s="38"/>
      <c r="K406" s="38"/>
      <c r="L406" s="39"/>
      <c r="M406" s="39"/>
      <c r="N406" s="39"/>
      <c r="O406" s="39"/>
      <c r="P406" s="39"/>
      <c r="Q406" s="39"/>
      <c r="R406" s="39"/>
      <c r="S406" s="39"/>
      <c r="T406" s="39"/>
      <c r="U406" s="39"/>
      <c r="V406" s="39"/>
      <c r="W406" s="39"/>
      <c r="X406" s="39"/>
      <c r="Y406" s="39"/>
      <c r="Z406" s="39"/>
      <c r="AA406" s="39"/>
      <c r="AB406" s="39"/>
    </row>
    <row r="407">
      <c r="A407" s="1"/>
      <c r="B407" s="36"/>
      <c r="C407" s="36"/>
      <c r="D407" s="36"/>
      <c r="E407" s="36"/>
      <c r="F407" s="36"/>
      <c r="G407" s="36"/>
      <c r="H407" s="37"/>
      <c r="I407" s="36"/>
      <c r="J407" s="38"/>
      <c r="K407" s="38"/>
      <c r="L407" s="39"/>
      <c r="M407" s="39"/>
      <c r="N407" s="39"/>
      <c r="O407" s="39"/>
      <c r="P407" s="39"/>
      <c r="Q407" s="39"/>
      <c r="R407" s="39"/>
      <c r="S407" s="39"/>
      <c r="T407" s="39"/>
      <c r="U407" s="39"/>
      <c r="V407" s="39"/>
      <c r="W407" s="39"/>
      <c r="X407" s="39"/>
      <c r="Y407" s="39"/>
      <c r="Z407" s="39"/>
      <c r="AA407" s="39"/>
      <c r="AB407" s="39"/>
    </row>
    <row r="408">
      <c r="A408" s="1"/>
      <c r="B408" s="36"/>
      <c r="C408" s="36"/>
      <c r="D408" s="36"/>
      <c r="E408" s="36"/>
      <c r="F408" s="36"/>
      <c r="G408" s="36"/>
      <c r="H408" s="37"/>
      <c r="I408" s="36"/>
      <c r="J408" s="38"/>
      <c r="K408" s="38"/>
      <c r="L408" s="39"/>
      <c r="M408" s="39"/>
      <c r="N408" s="39"/>
      <c r="O408" s="39"/>
      <c r="P408" s="39"/>
      <c r="Q408" s="39"/>
      <c r="R408" s="39"/>
      <c r="S408" s="39"/>
      <c r="T408" s="39"/>
      <c r="U408" s="39"/>
      <c r="V408" s="39"/>
      <c r="W408" s="39"/>
      <c r="X408" s="39"/>
      <c r="Y408" s="39"/>
      <c r="Z408" s="39"/>
      <c r="AA408" s="39"/>
      <c r="AB408" s="39"/>
    </row>
    <row r="409">
      <c r="A409" s="1"/>
      <c r="B409" s="36"/>
      <c r="C409" s="36"/>
      <c r="D409" s="36"/>
      <c r="E409" s="36"/>
      <c r="F409" s="36"/>
      <c r="G409" s="36"/>
      <c r="H409" s="37"/>
      <c r="I409" s="36"/>
      <c r="J409" s="38"/>
      <c r="K409" s="38"/>
      <c r="L409" s="39"/>
      <c r="M409" s="39"/>
      <c r="N409" s="39"/>
      <c r="O409" s="39"/>
      <c r="P409" s="39"/>
      <c r="Q409" s="39"/>
      <c r="R409" s="39"/>
      <c r="S409" s="39"/>
      <c r="T409" s="39"/>
      <c r="U409" s="39"/>
      <c r="V409" s="39"/>
      <c r="W409" s="39"/>
      <c r="X409" s="39"/>
      <c r="Y409" s="39"/>
      <c r="Z409" s="39"/>
      <c r="AA409" s="39"/>
      <c r="AB409" s="39"/>
    </row>
    <row r="410">
      <c r="A410" s="1"/>
      <c r="B410" s="36"/>
      <c r="C410" s="36"/>
      <c r="D410" s="36"/>
      <c r="E410" s="36"/>
      <c r="F410" s="36"/>
      <c r="G410" s="36"/>
      <c r="H410" s="37"/>
      <c r="I410" s="36"/>
      <c r="J410" s="38"/>
      <c r="K410" s="38"/>
      <c r="L410" s="39"/>
      <c r="M410" s="39"/>
      <c r="N410" s="39"/>
      <c r="O410" s="39"/>
      <c r="P410" s="39"/>
      <c r="Q410" s="39"/>
      <c r="R410" s="39"/>
      <c r="S410" s="39"/>
      <c r="T410" s="39"/>
      <c r="U410" s="39"/>
      <c r="V410" s="39"/>
      <c r="W410" s="39"/>
      <c r="X410" s="39"/>
      <c r="Y410" s="39"/>
      <c r="Z410" s="39"/>
      <c r="AA410" s="39"/>
      <c r="AB410" s="39"/>
    </row>
    <row r="411">
      <c r="A411" s="1"/>
      <c r="B411" s="36"/>
      <c r="C411" s="36"/>
      <c r="D411" s="36"/>
      <c r="E411" s="36"/>
      <c r="F411" s="36"/>
      <c r="G411" s="36"/>
      <c r="H411" s="37"/>
      <c r="I411" s="36"/>
      <c r="J411" s="38"/>
      <c r="K411" s="38"/>
      <c r="L411" s="39"/>
      <c r="M411" s="39"/>
      <c r="N411" s="39"/>
      <c r="O411" s="39"/>
      <c r="P411" s="39"/>
      <c r="Q411" s="39"/>
      <c r="R411" s="39"/>
      <c r="S411" s="39"/>
      <c r="T411" s="39"/>
      <c r="U411" s="39"/>
      <c r="V411" s="39"/>
      <c r="W411" s="39"/>
      <c r="X411" s="39"/>
      <c r="Y411" s="39"/>
      <c r="Z411" s="39"/>
      <c r="AA411" s="39"/>
      <c r="AB411" s="39"/>
    </row>
    <row r="412">
      <c r="A412" s="1"/>
      <c r="B412" s="36"/>
      <c r="C412" s="36"/>
      <c r="D412" s="36"/>
      <c r="E412" s="36"/>
      <c r="F412" s="36"/>
      <c r="G412" s="36"/>
      <c r="H412" s="37"/>
      <c r="I412" s="36"/>
      <c r="J412" s="38"/>
      <c r="K412" s="38"/>
      <c r="L412" s="39"/>
      <c r="M412" s="39"/>
      <c r="N412" s="39"/>
      <c r="O412" s="39"/>
      <c r="P412" s="39"/>
      <c r="Q412" s="39"/>
      <c r="R412" s="39"/>
      <c r="S412" s="39"/>
      <c r="T412" s="39"/>
      <c r="U412" s="39"/>
      <c r="V412" s="39"/>
      <c r="W412" s="39"/>
      <c r="X412" s="39"/>
      <c r="Y412" s="39"/>
      <c r="Z412" s="39"/>
      <c r="AA412" s="39"/>
      <c r="AB412" s="39"/>
    </row>
    <row r="413">
      <c r="A413" s="1"/>
      <c r="B413" s="36"/>
      <c r="C413" s="36"/>
      <c r="D413" s="36"/>
      <c r="E413" s="36"/>
      <c r="F413" s="36"/>
      <c r="G413" s="36"/>
      <c r="H413" s="37"/>
      <c r="I413" s="36"/>
      <c r="J413" s="38"/>
      <c r="K413" s="38"/>
      <c r="L413" s="39"/>
      <c r="M413" s="39"/>
      <c r="N413" s="39"/>
      <c r="O413" s="39"/>
      <c r="P413" s="39"/>
      <c r="Q413" s="39"/>
      <c r="R413" s="39"/>
      <c r="S413" s="39"/>
      <c r="T413" s="39"/>
      <c r="U413" s="39"/>
      <c r="V413" s="39"/>
      <c r="W413" s="39"/>
      <c r="X413" s="39"/>
      <c r="Y413" s="39"/>
      <c r="Z413" s="39"/>
      <c r="AA413" s="39"/>
      <c r="AB413" s="39"/>
    </row>
    <row r="414">
      <c r="A414" s="1"/>
      <c r="B414" s="36"/>
      <c r="C414" s="36"/>
      <c r="D414" s="36"/>
      <c r="E414" s="36"/>
      <c r="F414" s="36"/>
      <c r="G414" s="36"/>
      <c r="H414" s="37"/>
      <c r="I414" s="36"/>
      <c r="J414" s="38"/>
      <c r="K414" s="38"/>
      <c r="L414" s="39"/>
      <c r="M414" s="39"/>
      <c r="N414" s="39"/>
      <c r="O414" s="39"/>
      <c r="P414" s="39"/>
      <c r="Q414" s="39"/>
      <c r="R414" s="39"/>
      <c r="S414" s="39"/>
      <c r="T414" s="39"/>
      <c r="U414" s="39"/>
      <c r="V414" s="39"/>
      <c r="W414" s="39"/>
      <c r="X414" s="39"/>
      <c r="Y414" s="39"/>
      <c r="Z414" s="39"/>
      <c r="AA414" s="39"/>
      <c r="AB414" s="39"/>
    </row>
    <row r="415">
      <c r="A415" s="1"/>
      <c r="B415" s="36"/>
      <c r="C415" s="36"/>
      <c r="D415" s="36"/>
      <c r="E415" s="36"/>
      <c r="F415" s="36"/>
      <c r="G415" s="36"/>
      <c r="H415" s="37"/>
      <c r="I415" s="36"/>
      <c r="J415" s="38"/>
      <c r="K415" s="38"/>
      <c r="L415" s="39"/>
      <c r="M415" s="39"/>
      <c r="N415" s="39"/>
      <c r="O415" s="39"/>
      <c r="P415" s="39"/>
      <c r="Q415" s="39"/>
      <c r="R415" s="39"/>
      <c r="S415" s="39"/>
      <c r="T415" s="39"/>
      <c r="U415" s="39"/>
      <c r="V415" s="39"/>
      <c r="W415" s="39"/>
      <c r="X415" s="39"/>
      <c r="Y415" s="39"/>
      <c r="Z415" s="39"/>
      <c r="AA415" s="39"/>
      <c r="AB415" s="39"/>
    </row>
    <row r="416">
      <c r="A416" s="1"/>
      <c r="B416" s="36"/>
      <c r="C416" s="36"/>
      <c r="D416" s="36"/>
      <c r="E416" s="36"/>
      <c r="F416" s="36"/>
      <c r="G416" s="36"/>
      <c r="H416" s="37"/>
      <c r="I416" s="36"/>
      <c r="J416" s="38"/>
      <c r="K416" s="38"/>
      <c r="L416" s="39"/>
      <c r="M416" s="39"/>
      <c r="N416" s="39"/>
      <c r="O416" s="39"/>
      <c r="P416" s="39"/>
      <c r="Q416" s="39"/>
      <c r="R416" s="39"/>
      <c r="S416" s="39"/>
      <c r="T416" s="39"/>
      <c r="U416" s="39"/>
      <c r="V416" s="39"/>
      <c r="W416" s="39"/>
      <c r="X416" s="39"/>
      <c r="Y416" s="39"/>
      <c r="Z416" s="39"/>
      <c r="AA416" s="39"/>
      <c r="AB416" s="39"/>
    </row>
    <row r="417">
      <c r="A417" s="1"/>
      <c r="B417" s="36"/>
      <c r="C417" s="36"/>
      <c r="D417" s="36"/>
      <c r="E417" s="36"/>
      <c r="F417" s="36"/>
      <c r="G417" s="36"/>
      <c r="H417" s="37"/>
      <c r="I417" s="36"/>
      <c r="J417" s="38"/>
      <c r="K417" s="38"/>
      <c r="L417" s="39"/>
      <c r="M417" s="39"/>
      <c r="N417" s="39"/>
      <c r="O417" s="39"/>
      <c r="P417" s="39"/>
      <c r="Q417" s="39"/>
      <c r="R417" s="39"/>
      <c r="S417" s="39"/>
      <c r="T417" s="39"/>
      <c r="U417" s="39"/>
      <c r="V417" s="39"/>
      <c r="W417" s="39"/>
      <c r="X417" s="39"/>
      <c r="Y417" s="39"/>
      <c r="Z417" s="39"/>
      <c r="AA417" s="39"/>
      <c r="AB417" s="39"/>
    </row>
    <row r="418">
      <c r="A418" s="1"/>
      <c r="B418" s="36"/>
      <c r="C418" s="36"/>
      <c r="D418" s="36"/>
      <c r="E418" s="36"/>
      <c r="F418" s="36"/>
      <c r="G418" s="36"/>
      <c r="H418" s="37"/>
      <c r="I418" s="36"/>
      <c r="J418" s="38"/>
      <c r="K418" s="38"/>
      <c r="L418" s="39"/>
      <c r="M418" s="39"/>
      <c r="N418" s="39"/>
      <c r="O418" s="39"/>
      <c r="P418" s="39"/>
      <c r="Q418" s="39"/>
      <c r="R418" s="39"/>
      <c r="S418" s="39"/>
      <c r="T418" s="39"/>
      <c r="U418" s="39"/>
      <c r="V418" s="39"/>
      <c r="W418" s="39"/>
      <c r="X418" s="39"/>
      <c r="Y418" s="39"/>
      <c r="Z418" s="39"/>
      <c r="AA418" s="39"/>
      <c r="AB418" s="39"/>
    </row>
    <row r="419">
      <c r="A419" s="1"/>
      <c r="B419" s="36"/>
      <c r="C419" s="36"/>
      <c r="D419" s="36"/>
      <c r="E419" s="36"/>
      <c r="F419" s="36"/>
      <c r="G419" s="36"/>
      <c r="H419" s="37"/>
      <c r="I419" s="36"/>
      <c r="J419" s="38"/>
      <c r="K419" s="38"/>
      <c r="L419" s="39"/>
      <c r="M419" s="39"/>
      <c r="N419" s="39"/>
      <c r="O419" s="39"/>
      <c r="P419" s="39"/>
      <c r="Q419" s="39"/>
      <c r="R419" s="39"/>
      <c r="S419" s="39"/>
      <c r="T419" s="39"/>
      <c r="U419" s="39"/>
      <c r="V419" s="39"/>
      <c r="W419" s="39"/>
      <c r="X419" s="39"/>
      <c r="Y419" s="39"/>
      <c r="Z419" s="39"/>
      <c r="AA419" s="39"/>
      <c r="AB419" s="39"/>
    </row>
    <row r="420">
      <c r="A420" s="1"/>
      <c r="B420" s="36"/>
      <c r="C420" s="36"/>
      <c r="D420" s="36"/>
      <c r="E420" s="36"/>
      <c r="F420" s="36"/>
      <c r="G420" s="36"/>
      <c r="H420" s="37"/>
      <c r="I420" s="36"/>
      <c r="J420" s="38"/>
      <c r="K420" s="38"/>
      <c r="L420" s="39"/>
      <c r="M420" s="39"/>
      <c r="N420" s="39"/>
      <c r="O420" s="39"/>
      <c r="P420" s="39"/>
      <c r="Q420" s="39"/>
      <c r="R420" s="39"/>
      <c r="S420" s="39"/>
      <c r="T420" s="39"/>
      <c r="U420" s="39"/>
      <c r="V420" s="39"/>
      <c r="W420" s="39"/>
      <c r="X420" s="39"/>
      <c r="Y420" s="39"/>
      <c r="Z420" s="39"/>
      <c r="AA420" s="39"/>
      <c r="AB420" s="39"/>
    </row>
    <row r="421">
      <c r="A421" s="1"/>
      <c r="B421" s="36"/>
      <c r="C421" s="36"/>
      <c r="D421" s="36"/>
      <c r="E421" s="36"/>
      <c r="F421" s="36"/>
      <c r="G421" s="36"/>
      <c r="H421" s="37"/>
      <c r="I421" s="36"/>
      <c r="J421" s="38"/>
      <c r="K421" s="38"/>
      <c r="L421" s="39"/>
      <c r="M421" s="39"/>
      <c r="N421" s="39"/>
      <c r="O421" s="39"/>
      <c r="P421" s="39"/>
      <c r="Q421" s="39"/>
      <c r="R421" s="39"/>
      <c r="S421" s="39"/>
      <c r="T421" s="39"/>
      <c r="U421" s="39"/>
      <c r="V421" s="39"/>
      <c r="W421" s="39"/>
      <c r="X421" s="39"/>
      <c r="Y421" s="39"/>
      <c r="Z421" s="39"/>
      <c r="AA421" s="39"/>
      <c r="AB421" s="39"/>
    </row>
    <row r="422">
      <c r="A422" s="1"/>
      <c r="B422" s="36"/>
      <c r="C422" s="36"/>
      <c r="D422" s="36"/>
      <c r="E422" s="36"/>
      <c r="F422" s="36"/>
      <c r="G422" s="36"/>
      <c r="H422" s="37"/>
      <c r="I422" s="36"/>
      <c r="J422" s="38"/>
      <c r="K422" s="38"/>
      <c r="L422" s="39"/>
      <c r="M422" s="39"/>
      <c r="N422" s="39"/>
      <c r="O422" s="39"/>
      <c r="P422" s="39"/>
      <c r="Q422" s="39"/>
      <c r="R422" s="39"/>
      <c r="S422" s="39"/>
      <c r="T422" s="39"/>
      <c r="U422" s="39"/>
      <c r="V422" s="39"/>
      <c r="W422" s="39"/>
      <c r="X422" s="39"/>
      <c r="Y422" s="39"/>
      <c r="Z422" s="39"/>
      <c r="AA422" s="39"/>
      <c r="AB422" s="39"/>
    </row>
    <row r="423">
      <c r="A423" s="1"/>
      <c r="B423" s="36"/>
      <c r="C423" s="36"/>
      <c r="D423" s="36"/>
      <c r="E423" s="36"/>
      <c r="F423" s="36"/>
      <c r="G423" s="36"/>
      <c r="H423" s="37"/>
      <c r="I423" s="36"/>
      <c r="J423" s="38"/>
      <c r="K423" s="38"/>
      <c r="L423" s="39"/>
      <c r="M423" s="39"/>
      <c r="N423" s="39"/>
      <c r="O423" s="39"/>
      <c r="P423" s="39"/>
      <c r="Q423" s="39"/>
      <c r="R423" s="39"/>
      <c r="S423" s="39"/>
      <c r="T423" s="39"/>
      <c r="U423" s="39"/>
      <c r="V423" s="39"/>
      <c r="W423" s="39"/>
      <c r="X423" s="39"/>
      <c r="Y423" s="39"/>
      <c r="Z423" s="39"/>
      <c r="AA423" s="39"/>
      <c r="AB423" s="39"/>
    </row>
    <row r="424">
      <c r="A424" s="1"/>
      <c r="B424" s="36"/>
      <c r="C424" s="36"/>
      <c r="D424" s="36"/>
      <c r="E424" s="36"/>
      <c r="F424" s="36"/>
      <c r="G424" s="36"/>
      <c r="H424" s="37"/>
      <c r="I424" s="36"/>
      <c r="J424" s="38"/>
      <c r="K424" s="38"/>
      <c r="L424" s="39"/>
      <c r="M424" s="39"/>
      <c r="N424" s="39"/>
      <c r="O424" s="39"/>
      <c r="P424" s="39"/>
      <c r="Q424" s="39"/>
      <c r="R424" s="39"/>
      <c r="S424" s="39"/>
      <c r="T424" s="39"/>
      <c r="U424" s="39"/>
      <c r="V424" s="39"/>
      <c r="W424" s="39"/>
      <c r="X424" s="39"/>
      <c r="Y424" s="39"/>
      <c r="Z424" s="39"/>
      <c r="AA424" s="39"/>
      <c r="AB424" s="39"/>
    </row>
    <row r="425">
      <c r="A425" s="1"/>
      <c r="B425" s="36"/>
      <c r="C425" s="36"/>
      <c r="D425" s="36"/>
      <c r="E425" s="36"/>
      <c r="F425" s="36"/>
      <c r="G425" s="36"/>
      <c r="H425" s="37"/>
      <c r="I425" s="36"/>
      <c r="J425" s="38"/>
      <c r="K425" s="38"/>
      <c r="L425" s="39"/>
      <c r="M425" s="39"/>
      <c r="N425" s="39"/>
      <c r="O425" s="39"/>
      <c r="P425" s="39"/>
      <c r="Q425" s="39"/>
      <c r="R425" s="39"/>
      <c r="S425" s="39"/>
      <c r="T425" s="39"/>
      <c r="U425" s="39"/>
      <c r="V425" s="39"/>
      <c r="W425" s="39"/>
      <c r="X425" s="39"/>
      <c r="Y425" s="39"/>
      <c r="Z425" s="39"/>
      <c r="AA425" s="39"/>
      <c r="AB425" s="39"/>
    </row>
    <row r="426">
      <c r="A426" s="1"/>
      <c r="B426" s="36"/>
      <c r="C426" s="36"/>
      <c r="D426" s="36"/>
      <c r="E426" s="36"/>
      <c r="F426" s="36"/>
      <c r="G426" s="36"/>
      <c r="H426" s="37"/>
      <c r="I426" s="36"/>
      <c r="J426" s="38"/>
      <c r="K426" s="38"/>
      <c r="L426" s="39"/>
      <c r="M426" s="39"/>
      <c r="N426" s="39"/>
      <c r="O426" s="39"/>
      <c r="P426" s="39"/>
      <c r="Q426" s="39"/>
      <c r="R426" s="39"/>
      <c r="S426" s="39"/>
      <c r="T426" s="39"/>
      <c r="U426" s="39"/>
      <c r="V426" s="39"/>
      <c r="W426" s="39"/>
      <c r="X426" s="39"/>
      <c r="Y426" s="39"/>
      <c r="Z426" s="39"/>
      <c r="AA426" s="39"/>
      <c r="AB426" s="39"/>
    </row>
    <row r="427">
      <c r="A427" s="1"/>
      <c r="B427" s="36"/>
      <c r="C427" s="36"/>
      <c r="D427" s="36"/>
      <c r="E427" s="36"/>
      <c r="F427" s="36"/>
      <c r="G427" s="36"/>
      <c r="H427" s="37"/>
      <c r="I427" s="36"/>
      <c r="J427" s="38"/>
      <c r="K427" s="38"/>
      <c r="L427" s="39"/>
      <c r="M427" s="39"/>
      <c r="N427" s="39"/>
      <c r="O427" s="39"/>
      <c r="P427" s="39"/>
      <c r="Q427" s="39"/>
      <c r="R427" s="39"/>
      <c r="S427" s="39"/>
      <c r="T427" s="39"/>
      <c r="U427" s="39"/>
      <c r="V427" s="39"/>
      <c r="W427" s="39"/>
      <c r="X427" s="39"/>
      <c r="Y427" s="39"/>
      <c r="Z427" s="39"/>
      <c r="AA427" s="39"/>
      <c r="AB427" s="39"/>
    </row>
    <row r="428">
      <c r="A428" s="1"/>
      <c r="B428" s="36"/>
      <c r="C428" s="36"/>
      <c r="D428" s="36"/>
      <c r="E428" s="36"/>
      <c r="F428" s="36"/>
      <c r="G428" s="36"/>
      <c r="H428" s="37"/>
      <c r="I428" s="36"/>
      <c r="J428" s="38"/>
      <c r="K428" s="38"/>
      <c r="L428" s="39"/>
      <c r="M428" s="39"/>
      <c r="N428" s="39"/>
      <c r="O428" s="39"/>
      <c r="P428" s="39"/>
      <c r="Q428" s="39"/>
      <c r="R428" s="39"/>
      <c r="S428" s="39"/>
      <c r="T428" s="39"/>
      <c r="U428" s="39"/>
      <c r="V428" s="39"/>
      <c r="W428" s="39"/>
      <c r="X428" s="39"/>
      <c r="Y428" s="39"/>
      <c r="Z428" s="39"/>
      <c r="AA428" s="39"/>
      <c r="AB428" s="39"/>
    </row>
    <row r="429">
      <c r="A429" s="1"/>
      <c r="B429" s="36"/>
      <c r="C429" s="36"/>
      <c r="D429" s="36"/>
      <c r="E429" s="36"/>
      <c r="F429" s="36"/>
      <c r="G429" s="36"/>
      <c r="H429" s="37"/>
      <c r="I429" s="36"/>
      <c r="J429" s="38"/>
      <c r="K429" s="38"/>
      <c r="L429" s="39"/>
      <c r="M429" s="39"/>
      <c r="N429" s="39"/>
      <c r="O429" s="39"/>
      <c r="P429" s="39"/>
      <c r="Q429" s="39"/>
      <c r="R429" s="39"/>
      <c r="S429" s="39"/>
      <c r="T429" s="39"/>
      <c r="U429" s="39"/>
      <c r="V429" s="39"/>
      <c r="W429" s="39"/>
      <c r="X429" s="39"/>
      <c r="Y429" s="39"/>
      <c r="Z429" s="39"/>
      <c r="AA429" s="39"/>
      <c r="AB429" s="39"/>
    </row>
    <row r="430">
      <c r="A430" s="1"/>
      <c r="B430" s="36"/>
      <c r="C430" s="36"/>
      <c r="D430" s="36"/>
      <c r="E430" s="36"/>
      <c r="F430" s="36"/>
      <c r="G430" s="36"/>
      <c r="H430" s="37"/>
      <c r="I430" s="36"/>
      <c r="J430" s="38"/>
      <c r="K430" s="38"/>
      <c r="L430" s="39"/>
      <c r="M430" s="39"/>
      <c r="N430" s="39"/>
      <c r="O430" s="39"/>
      <c r="P430" s="39"/>
      <c r="Q430" s="39"/>
      <c r="R430" s="39"/>
      <c r="S430" s="39"/>
      <c r="T430" s="39"/>
      <c r="U430" s="39"/>
      <c r="V430" s="39"/>
      <c r="W430" s="39"/>
      <c r="X430" s="39"/>
      <c r="Y430" s="39"/>
      <c r="Z430" s="39"/>
      <c r="AA430" s="39"/>
      <c r="AB430" s="39"/>
    </row>
    <row r="431">
      <c r="A431" s="1"/>
      <c r="B431" s="36"/>
      <c r="C431" s="36"/>
      <c r="D431" s="36"/>
      <c r="E431" s="36"/>
      <c r="F431" s="36"/>
      <c r="G431" s="36"/>
      <c r="H431" s="37"/>
      <c r="I431" s="36"/>
      <c r="J431" s="38"/>
      <c r="K431" s="38"/>
      <c r="L431" s="39"/>
      <c r="M431" s="39"/>
      <c r="N431" s="39"/>
      <c r="O431" s="39"/>
      <c r="P431" s="39"/>
      <c r="Q431" s="39"/>
      <c r="R431" s="39"/>
      <c r="S431" s="39"/>
      <c r="T431" s="39"/>
      <c r="U431" s="39"/>
      <c r="V431" s="39"/>
      <c r="W431" s="39"/>
      <c r="X431" s="39"/>
      <c r="Y431" s="39"/>
      <c r="Z431" s="39"/>
      <c r="AA431" s="39"/>
      <c r="AB431" s="39"/>
    </row>
    <row r="432">
      <c r="A432" s="1"/>
      <c r="B432" s="36"/>
      <c r="C432" s="36"/>
      <c r="D432" s="36"/>
      <c r="E432" s="36"/>
      <c r="F432" s="36"/>
      <c r="G432" s="36"/>
      <c r="H432" s="37"/>
      <c r="I432" s="36"/>
      <c r="J432" s="38"/>
      <c r="K432" s="38"/>
      <c r="L432" s="39"/>
      <c r="M432" s="39"/>
      <c r="N432" s="39"/>
      <c r="O432" s="39"/>
      <c r="P432" s="39"/>
      <c r="Q432" s="39"/>
      <c r="R432" s="39"/>
      <c r="S432" s="39"/>
      <c r="T432" s="39"/>
      <c r="U432" s="39"/>
      <c r="V432" s="39"/>
      <c r="W432" s="39"/>
      <c r="X432" s="39"/>
      <c r="Y432" s="39"/>
      <c r="Z432" s="39"/>
      <c r="AA432" s="39"/>
      <c r="AB432" s="39"/>
    </row>
    <row r="433">
      <c r="A433" s="1"/>
      <c r="B433" s="36"/>
      <c r="C433" s="36"/>
      <c r="D433" s="36"/>
      <c r="E433" s="36"/>
      <c r="F433" s="36"/>
      <c r="G433" s="36"/>
      <c r="H433" s="37"/>
      <c r="I433" s="36"/>
      <c r="J433" s="38"/>
      <c r="K433" s="38"/>
      <c r="L433" s="39"/>
      <c r="M433" s="39"/>
      <c r="N433" s="39"/>
      <c r="O433" s="39"/>
      <c r="P433" s="39"/>
      <c r="Q433" s="39"/>
      <c r="R433" s="39"/>
      <c r="S433" s="39"/>
      <c r="T433" s="39"/>
      <c r="U433" s="39"/>
      <c r="V433" s="39"/>
      <c r="W433" s="39"/>
      <c r="X433" s="39"/>
      <c r="Y433" s="39"/>
      <c r="Z433" s="39"/>
      <c r="AA433" s="39"/>
      <c r="AB433" s="39"/>
    </row>
    <row r="434">
      <c r="A434" s="1"/>
      <c r="B434" s="36"/>
      <c r="C434" s="36"/>
      <c r="D434" s="36"/>
      <c r="E434" s="36"/>
      <c r="F434" s="36"/>
      <c r="G434" s="36"/>
      <c r="H434" s="37"/>
      <c r="I434" s="36"/>
      <c r="J434" s="38"/>
      <c r="K434" s="38"/>
      <c r="L434" s="39"/>
      <c r="M434" s="39"/>
      <c r="N434" s="39"/>
      <c r="O434" s="39"/>
      <c r="P434" s="39"/>
      <c r="Q434" s="39"/>
      <c r="R434" s="39"/>
      <c r="S434" s="39"/>
      <c r="T434" s="39"/>
      <c r="U434" s="39"/>
      <c r="V434" s="39"/>
      <c r="W434" s="39"/>
      <c r="X434" s="39"/>
      <c r="Y434" s="39"/>
      <c r="Z434" s="39"/>
      <c r="AA434" s="39"/>
      <c r="AB434" s="39"/>
    </row>
    <row r="435">
      <c r="A435" s="1"/>
      <c r="B435" s="36"/>
      <c r="C435" s="36"/>
      <c r="D435" s="36"/>
      <c r="E435" s="36"/>
      <c r="F435" s="36"/>
      <c r="G435" s="36"/>
      <c r="H435" s="37"/>
      <c r="I435" s="36"/>
      <c r="J435" s="38"/>
      <c r="K435" s="38"/>
      <c r="L435" s="39"/>
      <c r="M435" s="39"/>
      <c r="N435" s="39"/>
      <c r="O435" s="39"/>
      <c r="P435" s="39"/>
      <c r="Q435" s="39"/>
      <c r="R435" s="39"/>
      <c r="S435" s="39"/>
      <c r="T435" s="39"/>
      <c r="U435" s="39"/>
      <c r="V435" s="39"/>
      <c r="W435" s="39"/>
      <c r="X435" s="39"/>
      <c r="Y435" s="39"/>
      <c r="Z435" s="39"/>
      <c r="AA435" s="39"/>
      <c r="AB435" s="39"/>
    </row>
    <row r="436">
      <c r="A436" s="1"/>
      <c r="B436" s="36"/>
      <c r="C436" s="36"/>
      <c r="D436" s="36"/>
      <c r="E436" s="36"/>
      <c r="F436" s="36"/>
      <c r="G436" s="36"/>
      <c r="H436" s="37"/>
      <c r="I436" s="36"/>
      <c r="J436" s="38"/>
      <c r="K436" s="38"/>
      <c r="L436" s="39"/>
      <c r="M436" s="39"/>
      <c r="N436" s="39"/>
      <c r="O436" s="39"/>
      <c r="P436" s="39"/>
      <c r="Q436" s="39"/>
      <c r="R436" s="39"/>
      <c r="S436" s="39"/>
      <c r="T436" s="39"/>
      <c r="U436" s="39"/>
      <c r="V436" s="39"/>
      <c r="W436" s="39"/>
      <c r="X436" s="39"/>
      <c r="Y436" s="39"/>
      <c r="Z436" s="39"/>
      <c r="AA436" s="39"/>
      <c r="AB436" s="39"/>
    </row>
    <row r="437">
      <c r="A437" s="1"/>
      <c r="B437" s="36"/>
      <c r="C437" s="36"/>
      <c r="D437" s="36"/>
      <c r="E437" s="36"/>
      <c r="F437" s="36"/>
      <c r="G437" s="36"/>
      <c r="H437" s="37"/>
      <c r="I437" s="36"/>
      <c r="J437" s="38"/>
      <c r="K437" s="38"/>
      <c r="L437" s="39"/>
      <c r="M437" s="39"/>
      <c r="N437" s="39"/>
      <c r="O437" s="39"/>
      <c r="P437" s="39"/>
      <c r="Q437" s="39"/>
      <c r="R437" s="39"/>
      <c r="S437" s="39"/>
      <c r="T437" s="39"/>
      <c r="U437" s="39"/>
      <c r="V437" s="39"/>
      <c r="W437" s="39"/>
      <c r="X437" s="39"/>
      <c r="Y437" s="39"/>
      <c r="Z437" s="39"/>
      <c r="AA437" s="39"/>
      <c r="AB437" s="39"/>
    </row>
    <row r="438">
      <c r="A438" s="1"/>
      <c r="B438" s="36"/>
      <c r="C438" s="36"/>
      <c r="D438" s="36"/>
      <c r="E438" s="36"/>
      <c r="F438" s="36"/>
      <c r="G438" s="36"/>
      <c r="H438" s="37"/>
      <c r="I438" s="36"/>
      <c r="J438" s="38"/>
      <c r="K438" s="38"/>
      <c r="L438" s="39"/>
      <c r="M438" s="39"/>
      <c r="N438" s="39"/>
      <c r="O438" s="39"/>
      <c r="P438" s="39"/>
      <c r="Q438" s="39"/>
      <c r="R438" s="39"/>
      <c r="S438" s="39"/>
      <c r="T438" s="39"/>
      <c r="U438" s="39"/>
      <c r="V438" s="39"/>
      <c r="W438" s="39"/>
      <c r="X438" s="39"/>
      <c r="Y438" s="39"/>
      <c r="Z438" s="39"/>
      <c r="AA438" s="39"/>
      <c r="AB438" s="39"/>
    </row>
    <row r="439">
      <c r="A439" s="1"/>
      <c r="B439" s="36"/>
      <c r="C439" s="36"/>
      <c r="D439" s="36"/>
      <c r="E439" s="36"/>
      <c r="F439" s="36"/>
      <c r="G439" s="36"/>
      <c r="H439" s="37"/>
      <c r="I439" s="36"/>
      <c r="J439" s="38"/>
      <c r="K439" s="38"/>
      <c r="L439" s="39"/>
      <c r="M439" s="39"/>
      <c r="N439" s="39"/>
      <c r="O439" s="39"/>
      <c r="P439" s="39"/>
      <c r="Q439" s="39"/>
      <c r="R439" s="39"/>
      <c r="S439" s="39"/>
      <c r="T439" s="39"/>
      <c r="U439" s="39"/>
      <c r="V439" s="39"/>
      <c r="W439" s="39"/>
      <c r="X439" s="39"/>
      <c r="Y439" s="39"/>
      <c r="Z439" s="39"/>
      <c r="AA439" s="39"/>
      <c r="AB439" s="39"/>
    </row>
    <row r="440">
      <c r="A440" s="1"/>
      <c r="B440" s="36"/>
      <c r="C440" s="36"/>
      <c r="D440" s="36"/>
      <c r="E440" s="36"/>
      <c r="F440" s="36"/>
      <c r="G440" s="36"/>
      <c r="H440" s="37"/>
      <c r="I440" s="36"/>
      <c r="J440" s="38"/>
      <c r="K440" s="38"/>
      <c r="L440" s="39"/>
      <c r="M440" s="39"/>
      <c r="N440" s="39"/>
      <c r="O440" s="39"/>
      <c r="P440" s="39"/>
      <c r="Q440" s="39"/>
      <c r="R440" s="39"/>
      <c r="S440" s="39"/>
      <c r="T440" s="39"/>
      <c r="U440" s="39"/>
      <c r="V440" s="39"/>
      <c r="W440" s="39"/>
      <c r="X440" s="39"/>
      <c r="Y440" s="39"/>
      <c r="Z440" s="39"/>
      <c r="AA440" s="39"/>
      <c r="AB440" s="39"/>
    </row>
    <row r="441">
      <c r="A441" s="1"/>
      <c r="B441" s="36"/>
      <c r="C441" s="36"/>
      <c r="D441" s="36"/>
      <c r="E441" s="36"/>
      <c r="F441" s="36"/>
      <c r="G441" s="36"/>
      <c r="H441" s="37"/>
      <c r="I441" s="36"/>
      <c r="J441" s="38"/>
      <c r="K441" s="38"/>
      <c r="L441" s="39"/>
      <c r="M441" s="39"/>
      <c r="N441" s="39"/>
      <c r="O441" s="39"/>
      <c r="P441" s="39"/>
      <c r="Q441" s="39"/>
      <c r="R441" s="39"/>
      <c r="S441" s="39"/>
      <c r="T441" s="39"/>
      <c r="U441" s="39"/>
      <c r="V441" s="39"/>
      <c r="W441" s="39"/>
      <c r="X441" s="39"/>
      <c r="Y441" s="39"/>
      <c r="Z441" s="39"/>
      <c r="AA441" s="39"/>
      <c r="AB441" s="39"/>
    </row>
    <row r="442">
      <c r="A442" s="1"/>
      <c r="B442" s="36"/>
      <c r="C442" s="36"/>
      <c r="D442" s="36"/>
      <c r="E442" s="36"/>
      <c r="F442" s="36"/>
      <c r="G442" s="36"/>
      <c r="H442" s="37"/>
      <c r="I442" s="36"/>
      <c r="J442" s="38"/>
      <c r="K442" s="38"/>
      <c r="L442" s="39"/>
      <c r="M442" s="39"/>
      <c r="N442" s="39"/>
      <c r="O442" s="39"/>
      <c r="P442" s="39"/>
      <c r="Q442" s="39"/>
      <c r="R442" s="39"/>
      <c r="S442" s="39"/>
      <c r="T442" s="39"/>
      <c r="U442" s="39"/>
      <c r="V442" s="39"/>
      <c r="W442" s="39"/>
      <c r="X442" s="39"/>
      <c r="Y442" s="39"/>
      <c r="Z442" s="39"/>
      <c r="AA442" s="39"/>
      <c r="AB442" s="39"/>
    </row>
    <row r="443">
      <c r="A443" s="1"/>
      <c r="B443" s="36"/>
      <c r="C443" s="36"/>
      <c r="D443" s="36"/>
      <c r="E443" s="36"/>
      <c r="F443" s="36"/>
      <c r="G443" s="36"/>
      <c r="H443" s="37"/>
      <c r="I443" s="36"/>
      <c r="J443" s="38"/>
      <c r="K443" s="38"/>
      <c r="L443" s="39"/>
      <c r="M443" s="39"/>
      <c r="N443" s="39"/>
      <c r="O443" s="39"/>
      <c r="P443" s="39"/>
      <c r="Q443" s="39"/>
      <c r="R443" s="39"/>
      <c r="S443" s="39"/>
      <c r="T443" s="39"/>
      <c r="U443" s="39"/>
      <c r="V443" s="39"/>
      <c r="W443" s="39"/>
      <c r="X443" s="39"/>
      <c r="Y443" s="39"/>
      <c r="Z443" s="39"/>
      <c r="AA443" s="39"/>
      <c r="AB443" s="39"/>
    </row>
    <row r="444">
      <c r="A444" s="1"/>
      <c r="B444" s="36"/>
      <c r="C444" s="36"/>
      <c r="D444" s="36"/>
      <c r="E444" s="36"/>
      <c r="F444" s="36"/>
      <c r="G444" s="36"/>
      <c r="H444" s="37"/>
      <c r="I444" s="36"/>
      <c r="J444" s="38"/>
      <c r="K444" s="38"/>
      <c r="L444" s="39"/>
      <c r="M444" s="39"/>
      <c r="N444" s="39"/>
      <c r="O444" s="39"/>
      <c r="P444" s="39"/>
      <c r="Q444" s="39"/>
      <c r="R444" s="39"/>
      <c r="S444" s="39"/>
      <c r="T444" s="39"/>
      <c r="U444" s="39"/>
      <c r="V444" s="39"/>
      <c r="W444" s="39"/>
      <c r="X444" s="39"/>
      <c r="Y444" s="39"/>
      <c r="Z444" s="39"/>
      <c r="AA444" s="39"/>
      <c r="AB444" s="39"/>
    </row>
    <row r="445">
      <c r="A445" s="1"/>
      <c r="B445" s="36"/>
      <c r="C445" s="36"/>
      <c r="D445" s="36"/>
      <c r="E445" s="36"/>
      <c r="F445" s="36"/>
      <c r="G445" s="36"/>
      <c r="H445" s="37"/>
      <c r="I445" s="36"/>
      <c r="J445" s="38"/>
      <c r="K445" s="38"/>
      <c r="L445" s="39"/>
      <c r="M445" s="39"/>
      <c r="N445" s="39"/>
      <c r="O445" s="39"/>
      <c r="P445" s="39"/>
      <c r="Q445" s="39"/>
      <c r="R445" s="39"/>
      <c r="S445" s="39"/>
      <c r="T445" s="39"/>
      <c r="U445" s="39"/>
      <c r="V445" s="39"/>
      <c r="W445" s="39"/>
      <c r="X445" s="39"/>
      <c r="Y445" s="39"/>
      <c r="Z445" s="39"/>
      <c r="AA445" s="39"/>
      <c r="AB445" s="39"/>
    </row>
    <row r="446">
      <c r="A446" s="1"/>
      <c r="B446" s="36"/>
      <c r="C446" s="36"/>
      <c r="D446" s="36"/>
      <c r="E446" s="36"/>
      <c r="F446" s="36"/>
      <c r="G446" s="36"/>
      <c r="H446" s="37"/>
      <c r="I446" s="36"/>
      <c r="J446" s="38"/>
      <c r="K446" s="38"/>
      <c r="L446" s="39"/>
      <c r="M446" s="39"/>
      <c r="N446" s="39"/>
      <c r="O446" s="39"/>
      <c r="P446" s="39"/>
      <c r="Q446" s="39"/>
      <c r="R446" s="39"/>
      <c r="S446" s="39"/>
      <c r="T446" s="39"/>
      <c r="U446" s="39"/>
      <c r="V446" s="39"/>
      <c r="W446" s="39"/>
      <c r="X446" s="39"/>
      <c r="Y446" s="39"/>
      <c r="Z446" s="39"/>
      <c r="AA446" s="39"/>
      <c r="AB446" s="39"/>
    </row>
    <row r="447">
      <c r="A447" s="1"/>
      <c r="B447" s="36"/>
      <c r="C447" s="36"/>
      <c r="D447" s="36"/>
      <c r="E447" s="36"/>
      <c r="F447" s="36"/>
      <c r="G447" s="36"/>
      <c r="H447" s="37"/>
      <c r="I447" s="36"/>
      <c r="J447" s="38"/>
      <c r="K447" s="38"/>
      <c r="L447" s="39"/>
      <c r="M447" s="39"/>
      <c r="N447" s="39"/>
      <c r="O447" s="39"/>
      <c r="P447" s="39"/>
      <c r="Q447" s="39"/>
      <c r="R447" s="39"/>
      <c r="S447" s="39"/>
      <c r="T447" s="39"/>
      <c r="U447" s="39"/>
      <c r="V447" s="39"/>
      <c r="W447" s="39"/>
      <c r="X447" s="39"/>
      <c r="Y447" s="39"/>
      <c r="Z447" s="39"/>
      <c r="AA447" s="39"/>
      <c r="AB447" s="39"/>
    </row>
    <row r="448">
      <c r="A448" s="1"/>
      <c r="B448" s="36"/>
      <c r="C448" s="36"/>
      <c r="D448" s="36"/>
      <c r="E448" s="36"/>
      <c r="F448" s="36"/>
      <c r="G448" s="36"/>
      <c r="H448" s="37"/>
      <c r="I448" s="36"/>
      <c r="J448" s="38"/>
      <c r="K448" s="38"/>
      <c r="L448" s="39"/>
      <c r="M448" s="39"/>
      <c r="N448" s="39"/>
      <c r="O448" s="39"/>
      <c r="P448" s="39"/>
      <c r="Q448" s="39"/>
      <c r="R448" s="39"/>
      <c r="S448" s="39"/>
      <c r="T448" s="39"/>
      <c r="U448" s="39"/>
      <c r="V448" s="39"/>
      <c r="W448" s="39"/>
      <c r="X448" s="39"/>
      <c r="Y448" s="39"/>
      <c r="Z448" s="39"/>
      <c r="AA448" s="39"/>
      <c r="AB448" s="39"/>
    </row>
    <row r="449">
      <c r="A449" s="1"/>
      <c r="B449" s="36"/>
      <c r="C449" s="36"/>
      <c r="D449" s="36"/>
      <c r="E449" s="36"/>
      <c r="F449" s="36"/>
      <c r="G449" s="36"/>
      <c r="H449" s="37"/>
      <c r="I449" s="36"/>
      <c r="J449" s="38"/>
      <c r="K449" s="38"/>
      <c r="L449" s="39"/>
      <c r="M449" s="39"/>
      <c r="N449" s="39"/>
      <c r="O449" s="39"/>
      <c r="P449" s="39"/>
      <c r="Q449" s="39"/>
      <c r="R449" s="39"/>
      <c r="S449" s="39"/>
      <c r="T449" s="39"/>
      <c r="U449" s="39"/>
      <c r="V449" s="39"/>
      <c r="W449" s="39"/>
      <c r="X449" s="39"/>
      <c r="Y449" s="39"/>
      <c r="Z449" s="39"/>
      <c r="AA449" s="39"/>
      <c r="AB449" s="39"/>
    </row>
    <row r="450">
      <c r="A450" s="1"/>
      <c r="B450" s="36"/>
      <c r="C450" s="36"/>
      <c r="D450" s="36"/>
      <c r="E450" s="36"/>
      <c r="F450" s="36"/>
      <c r="G450" s="36"/>
      <c r="H450" s="37"/>
      <c r="I450" s="36"/>
      <c r="J450" s="38"/>
      <c r="K450" s="38"/>
      <c r="L450" s="39"/>
      <c r="M450" s="39"/>
      <c r="N450" s="39"/>
      <c r="O450" s="39"/>
      <c r="P450" s="39"/>
      <c r="Q450" s="39"/>
      <c r="R450" s="39"/>
      <c r="S450" s="39"/>
      <c r="T450" s="39"/>
      <c r="U450" s="39"/>
      <c r="V450" s="39"/>
      <c r="W450" s="39"/>
      <c r="X450" s="39"/>
      <c r="Y450" s="39"/>
      <c r="Z450" s="39"/>
      <c r="AA450" s="39"/>
      <c r="AB450" s="39"/>
    </row>
    <row r="451">
      <c r="A451" s="1"/>
      <c r="B451" s="36"/>
      <c r="C451" s="36"/>
      <c r="D451" s="36"/>
      <c r="E451" s="36"/>
      <c r="F451" s="36"/>
      <c r="G451" s="36"/>
      <c r="H451" s="37"/>
      <c r="I451" s="36"/>
      <c r="J451" s="38"/>
      <c r="K451" s="38"/>
      <c r="L451" s="39"/>
      <c r="M451" s="39"/>
      <c r="N451" s="39"/>
      <c r="O451" s="39"/>
      <c r="P451" s="39"/>
      <c r="Q451" s="39"/>
      <c r="R451" s="39"/>
      <c r="S451" s="39"/>
      <c r="T451" s="39"/>
      <c r="U451" s="39"/>
      <c r="V451" s="39"/>
      <c r="W451" s="39"/>
      <c r="X451" s="39"/>
      <c r="Y451" s="39"/>
      <c r="Z451" s="39"/>
      <c r="AA451" s="39"/>
      <c r="AB451" s="39"/>
    </row>
    <row r="452">
      <c r="A452" s="1"/>
      <c r="B452" s="36"/>
      <c r="C452" s="36"/>
      <c r="D452" s="36"/>
      <c r="E452" s="36"/>
      <c r="F452" s="36"/>
      <c r="G452" s="36"/>
      <c r="H452" s="37"/>
      <c r="I452" s="36"/>
      <c r="J452" s="38"/>
      <c r="K452" s="38"/>
      <c r="L452" s="39"/>
      <c r="M452" s="39"/>
      <c r="N452" s="39"/>
      <c r="O452" s="39"/>
      <c r="P452" s="39"/>
      <c r="Q452" s="39"/>
      <c r="R452" s="39"/>
      <c r="S452" s="39"/>
      <c r="T452" s="39"/>
      <c r="U452" s="39"/>
      <c r="V452" s="39"/>
      <c r="W452" s="39"/>
      <c r="X452" s="39"/>
      <c r="Y452" s="39"/>
      <c r="Z452" s="39"/>
      <c r="AA452" s="39"/>
      <c r="AB452" s="39"/>
    </row>
    <row r="453">
      <c r="A453" s="1"/>
      <c r="B453" s="36"/>
      <c r="C453" s="36"/>
      <c r="D453" s="36"/>
      <c r="E453" s="36"/>
      <c r="F453" s="36"/>
      <c r="G453" s="36"/>
      <c r="H453" s="37"/>
      <c r="I453" s="36"/>
      <c r="J453" s="38"/>
      <c r="K453" s="38"/>
      <c r="L453" s="39"/>
      <c r="M453" s="39"/>
      <c r="N453" s="39"/>
      <c r="O453" s="39"/>
      <c r="P453" s="39"/>
      <c r="Q453" s="39"/>
      <c r="R453" s="39"/>
      <c r="S453" s="39"/>
      <c r="T453" s="39"/>
      <c r="U453" s="39"/>
      <c r="V453" s="39"/>
      <c r="W453" s="39"/>
      <c r="X453" s="39"/>
      <c r="Y453" s="39"/>
      <c r="Z453" s="39"/>
      <c r="AA453" s="39"/>
      <c r="AB453" s="39"/>
    </row>
    <row r="454">
      <c r="A454" s="1"/>
      <c r="B454" s="36"/>
      <c r="C454" s="36"/>
      <c r="D454" s="36"/>
      <c r="E454" s="36"/>
      <c r="F454" s="36"/>
      <c r="G454" s="36"/>
      <c r="H454" s="37"/>
      <c r="I454" s="36"/>
      <c r="J454" s="38"/>
      <c r="K454" s="38"/>
      <c r="L454" s="39"/>
      <c r="M454" s="39"/>
      <c r="N454" s="39"/>
      <c r="O454" s="39"/>
      <c r="P454" s="39"/>
      <c r="Q454" s="39"/>
      <c r="R454" s="39"/>
      <c r="S454" s="39"/>
      <c r="T454" s="39"/>
      <c r="U454" s="39"/>
      <c r="V454" s="39"/>
      <c r="W454" s="39"/>
      <c r="X454" s="39"/>
      <c r="Y454" s="39"/>
      <c r="Z454" s="39"/>
      <c r="AA454" s="39"/>
      <c r="AB454" s="39"/>
    </row>
    <row r="455">
      <c r="A455" s="1"/>
      <c r="B455" s="36"/>
      <c r="C455" s="36"/>
      <c r="D455" s="36"/>
      <c r="E455" s="36"/>
      <c r="F455" s="36"/>
      <c r="G455" s="36"/>
      <c r="H455" s="37"/>
      <c r="I455" s="36"/>
      <c r="J455" s="38"/>
      <c r="K455" s="38"/>
      <c r="L455" s="39"/>
      <c r="M455" s="39"/>
      <c r="N455" s="39"/>
      <c r="O455" s="39"/>
      <c r="P455" s="39"/>
      <c r="Q455" s="39"/>
      <c r="R455" s="39"/>
      <c r="S455" s="39"/>
      <c r="T455" s="39"/>
      <c r="U455" s="39"/>
      <c r="V455" s="39"/>
      <c r="W455" s="39"/>
      <c r="X455" s="39"/>
      <c r="Y455" s="39"/>
      <c r="Z455" s="39"/>
      <c r="AA455" s="39"/>
      <c r="AB455" s="39"/>
    </row>
    <row r="456">
      <c r="A456" s="1"/>
      <c r="B456" s="36"/>
      <c r="C456" s="36"/>
      <c r="D456" s="36"/>
      <c r="E456" s="36"/>
      <c r="F456" s="36"/>
      <c r="G456" s="36"/>
      <c r="H456" s="37"/>
      <c r="I456" s="36"/>
      <c r="J456" s="38"/>
      <c r="K456" s="38"/>
      <c r="L456" s="39"/>
      <c r="M456" s="39"/>
      <c r="N456" s="39"/>
      <c r="O456" s="39"/>
      <c r="P456" s="39"/>
      <c r="Q456" s="39"/>
      <c r="R456" s="39"/>
      <c r="S456" s="39"/>
      <c r="T456" s="39"/>
      <c r="U456" s="39"/>
      <c r="V456" s="39"/>
      <c r="W456" s="39"/>
      <c r="X456" s="39"/>
      <c r="Y456" s="39"/>
      <c r="Z456" s="39"/>
      <c r="AA456" s="39"/>
      <c r="AB456" s="39"/>
    </row>
    <row r="457">
      <c r="A457" s="1"/>
      <c r="B457" s="36"/>
      <c r="C457" s="36"/>
      <c r="D457" s="36"/>
      <c r="E457" s="36"/>
      <c r="F457" s="36"/>
      <c r="G457" s="36"/>
      <c r="H457" s="37"/>
      <c r="I457" s="36"/>
      <c r="J457" s="38"/>
      <c r="K457" s="38"/>
      <c r="L457" s="39"/>
      <c r="M457" s="39"/>
      <c r="N457" s="39"/>
      <c r="O457" s="39"/>
      <c r="P457" s="39"/>
      <c r="Q457" s="39"/>
      <c r="R457" s="39"/>
      <c r="S457" s="39"/>
      <c r="T457" s="39"/>
      <c r="U457" s="39"/>
      <c r="V457" s="39"/>
      <c r="W457" s="39"/>
      <c r="X457" s="39"/>
      <c r="Y457" s="39"/>
      <c r="Z457" s="39"/>
      <c r="AA457" s="39"/>
      <c r="AB457" s="39"/>
    </row>
    <row r="458">
      <c r="A458" s="1"/>
      <c r="B458" s="36"/>
      <c r="C458" s="36"/>
      <c r="D458" s="36"/>
      <c r="E458" s="36"/>
      <c r="F458" s="36"/>
      <c r="G458" s="36"/>
      <c r="H458" s="37"/>
      <c r="I458" s="36"/>
      <c r="J458" s="38"/>
      <c r="K458" s="38"/>
      <c r="L458" s="39"/>
      <c r="M458" s="39"/>
      <c r="N458" s="39"/>
      <c r="O458" s="39"/>
      <c r="P458" s="39"/>
      <c r="Q458" s="39"/>
      <c r="R458" s="39"/>
      <c r="S458" s="39"/>
      <c r="T458" s="39"/>
      <c r="U458" s="39"/>
      <c r="V458" s="39"/>
      <c r="W458" s="39"/>
      <c r="X458" s="39"/>
      <c r="Y458" s="39"/>
      <c r="Z458" s="39"/>
      <c r="AA458" s="39"/>
      <c r="AB458" s="39"/>
    </row>
    <row r="459">
      <c r="A459" s="1"/>
      <c r="B459" s="36"/>
      <c r="C459" s="36"/>
      <c r="D459" s="36"/>
      <c r="E459" s="36"/>
      <c r="F459" s="36"/>
      <c r="G459" s="36"/>
      <c r="H459" s="37"/>
      <c r="I459" s="36"/>
      <c r="J459" s="38"/>
      <c r="K459" s="38"/>
      <c r="L459" s="39"/>
      <c r="M459" s="39"/>
      <c r="N459" s="39"/>
      <c r="O459" s="39"/>
      <c r="P459" s="39"/>
      <c r="Q459" s="39"/>
      <c r="R459" s="39"/>
      <c r="S459" s="39"/>
      <c r="T459" s="39"/>
      <c r="U459" s="39"/>
      <c r="V459" s="39"/>
      <c r="W459" s="39"/>
      <c r="X459" s="39"/>
      <c r="Y459" s="39"/>
      <c r="Z459" s="39"/>
      <c r="AA459" s="39"/>
      <c r="AB459" s="39"/>
    </row>
    <row r="460">
      <c r="A460" s="1"/>
      <c r="B460" s="36"/>
      <c r="C460" s="36"/>
      <c r="D460" s="36"/>
      <c r="E460" s="36"/>
      <c r="F460" s="36"/>
      <c r="G460" s="36"/>
      <c r="H460" s="37"/>
      <c r="I460" s="36"/>
      <c r="J460" s="38"/>
      <c r="K460" s="38"/>
      <c r="L460" s="39"/>
      <c r="M460" s="39"/>
      <c r="N460" s="39"/>
      <c r="O460" s="39"/>
      <c r="P460" s="39"/>
      <c r="Q460" s="39"/>
      <c r="R460" s="39"/>
      <c r="S460" s="39"/>
      <c r="T460" s="39"/>
      <c r="U460" s="39"/>
      <c r="V460" s="39"/>
      <c r="W460" s="39"/>
      <c r="X460" s="39"/>
      <c r="Y460" s="39"/>
      <c r="Z460" s="39"/>
      <c r="AA460" s="39"/>
      <c r="AB460" s="39"/>
    </row>
    <row r="461">
      <c r="A461" s="1"/>
      <c r="B461" s="36"/>
      <c r="C461" s="36"/>
      <c r="D461" s="36"/>
      <c r="E461" s="36"/>
      <c r="F461" s="36"/>
      <c r="G461" s="36"/>
      <c r="H461" s="37"/>
      <c r="I461" s="36"/>
      <c r="J461" s="38"/>
      <c r="K461" s="38"/>
      <c r="L461" s="39"/>
      <c r="M461" s="39"/>
      <c r="N461" s="39"/>
      <c r="O461" s="39"/>
      <c r="P461" s="39"/>
      <c r="Q461" s="39"/>
      <c r="R461" s="39"/>
      <c r="S461" s="39"/>
      <c r="T461" s="39"/>
      <c r="U461" s="39"/>
      <c r="V461" s="39"/>
      <c r="W461" s="39"/>
      <c r="X461" s="39"/>
      <c r="Y461" s="39"/>
      <c r="Z461" s="39"/>
      <c r="AA461" s="39"/>
      <c r="AB461" s="39"/>
    </row>
    <row r="462">
      <c r="A462" s="1"/>
      <c r="B462" s="36"/>
      <c r="C462" s="36"/>
      <c r="D462" s="36"/>
      <c r="E462" s="36"/>
      <c r="F462" s="36"/>
      <c r="G462" s="36"/>
      <c r="H462" s="37"/>
      <c r="I462" s="36"/>
      <c r="J462" s="38"/>
      <c r="K462" s="38"/>
      <c r="L462" s="39"/>
      <c r="M462" s="39"/>
      <c r="N462" s="39"/>
      <c r="O462" s="39"/>
      <c r="P462" s="39"/>
      <c r="Q462" s="39"/>
      <c r="R462" s="39"/>
      <c r="S462" s="39"/>
      <c r="T462" s="39"/>
      <c r="U462" s="39"/>
      <c r="V462" s="39"/>
      <c r="W462" s="39"/>
      <c r="X462" s="39"/>
      <c r="Y462" s="39"/>
      <c r="Z462" s="39"/>
      <c r="AA462" s="39"/>
      <c r="AB462" s="39"/>
    </row>
    <row r="463">
      <c r="A463" s="1"/>
      <c r="B463" s="36"/>
      <c r="C463" s="36"/>
      <c r="D463" s="36"/>
      <c r="E463" s="36"/>
      <c r="F463" s="36"/>
      <c r="G463" s="36"/>
      <c r="H463" s="37"/>
      <c r="I463" s="36"/>
      <c r="J463" s="38"/>
      <c r="K463" s="38"/>
      <c r="L463" s="39"/>
      <c r="M463" s="39"/>
      <c r="N463" s="39"/>
      <c r="O463" s="39"/>
      <c r="P463" s="39"/>
      <c r="Q463" s="39"/>
      <c r="R463" s="39"/>
      <c r="S463" s="39"/>
      <c r="T463" s="39"/>
      <c r="U463" s="39"/>
      <c r="V463" s="39"/>
      <c r="W463" s="39"/>
      <c r="X463" s="39"/>
      <c r="Y463" s="39"/>
      <c r="Z463" s="39"/>
      <c r="AA463" s="39"/>
      <c r="AB463" s="39"/>
    </row>
    <row r="464">
      <c r="A464" s="1"/>
      <c r="B464" s="36"/>
      <c r="C464" s="36"/>
      <c r="D464" s="36"/>
      <c r="E464" s="36"/>
      <c r="F464" s="36"/>
      <c r="G464" s="36"/>
      <c r="H464" s="37"/>
      <c r="I464" s="36"/>
      <c r="J464" s="38"/>
      <c r="K464" s="38"/>
      <c r="L464" s="39"/>
      <c r="M464" s="39"/>
      <c r="N464" s="39"/>
      <c r="O464" s="39"/>
      <c r="P464" s="39"/>
      <c r="Q464" s="39"/>
      <c r="R464" s="39"/>
      <c r="S464" s="39"/>
      <c r="T464" s="39"/>
      <c r="U464" s="39"/>
      <c r="V464" s="39"/>
      <c r="W464" s="39"/>
      <c r="X464" s="39"/>
      <c r="Y464" s="39"/>
      <c r="Z464" s="39"/>
      <c r="AA464" s="39"/>
      <c r="AB464" s="39"/>
    </row>
    <row r="465">
      <c r="A465" s="1"/>
      <c r="B465" s="36"/>
      <c r="C465" s="36"/>
      <c r="D465" s="36"/>
      <c r="E465" s="36"/>
      <c r="F465" s="36"/>
      <c r="G465" s="36"/>
      <c r="H465" s="37"/>
      <c r="I465" s="36"/>
      <c r="J465" s="38"/>
      <c r="K465" s="38"/>
      <c r="L465" s="39"/>
      <c r="M465" s="39"/>
      <c r="N465" s="39"/>
      <c r="O465" s="39"/>
      <c r="P465" s="39"/>
      <c r="Q465" s="39"/>
      <c r="R465" s="39"/>
      <c r="S465" s="39"/>
      <c r="T465" s="39"/>
      <c r="U465" s="39"/>
      <c r="V465" s="39"/>
      <c r="W465" s="39"/>
      <c r="X465" s="39"/>
      <c r="Y465" s="39"/>
      <c r="Z465" s="39"/>
      <c r="AA465" s="39"/>
      <c r="AB465" s="39"/>
    </row>
    <row r="466">
      <c r="A466" s="1"/>
      <c r="B466" s="36"/>
      <c r="C466" s="36"/>
      <c r="D466" s="36"/>
      <c r="E466" s="36"/>
      <c r="F466" s="36"/>
      <c r="G466" s="36"/>
      <c r="H466" s="37"/>
      <c r="I466" s="36"/>
      <c r="J466" s="38"/>
      <c r="K466" s="38"/>
      <c r="L466" s="39"/>
      <c r="M466" s="39"/>
      <c r="N466" s="39"/>
      <c r="O466" s="39"/>
      <c r="P466" s="39"/>
      <c r="Q466" s="39"/>
      <c r="R466" s="39"/>
      <c r="S466" s="39"/>
      <c r="T466" s="39"/>
      <c r="U466" s="39"/>
      <c r="V466" s="39"/>
      <c r="W466" s="39"/>
      <c r="X466" s="39"/>
      <c r="Y466" s="39"/>
      <c r="Z466" s="39"/>
      <c r="AA466" s="39"/>
      <c r="AB466" s="39"/>
    </row>
    <row r="467">
      <c r="A467" s="1"/>
      <c r="B467" s="36"/>
      <c r="C467" s="36"/>
      <c r="D467" s="36"/>
      <c r="E467" s="36"/>
      <c r="F467" s="36"/>
      <c r="G467" s="36"/>
      <c r="H467" s="37"/>
      <c r="I467" s="36"/>
      <c r="J467" s="38"/>
      <c r="K467" s="38"/>
      <c r="L467" s="39"/>
      <c r="M467" s="39"/>
      <c r="N467" s="39"/>
      <c r="O467" s="39"/>
      <c r="P467" s="39"/>
      <c r="Q467" s="39"/>
      <c r="R467" s="39"/>
      <c r="S467" s="39"/>
      <c r="T467" s="39"/>
      <c r="U467" s="39"/>
      <c r="V467" s="39"/>
      <c r="W467" s="39"/>
      <c r="X467" s="39"/>
      <c r="Y467" s="39"/>
      <c r="Z467" s="39"/>
      <c r="AA467" s="39"/>
      <c r="AB467" s="39"/>
    </row>
    <row r="468">
      <c r="A468" s="1"/>
      <c r="B468" s="36"/>
      <c r="C468" s="36"/>
      <c r="D468" s="36"/>
      <c r="E468" s="36"/>
      <c r="F468" s="36"/>
      <c r="G468" s="36"/>
      <c r="H468" s="37"/>
      <c r="I468" s="36"/>
      <c r="J468" s="38"/>
      <c r="K468" s="38"/>
      <c r="L468" s="39"/>
      <c r="M468" s="39"/>
      <c r="N468" s="39"/>
      <c r="O468" s="39"/>
      <c r="P468" s="39"/>
      <c r="Q468" s="39"/>
      <c r="R468" s="39"/>
      <c r="S468" s="39"/>
      <c r="T468" s="39"/>
      <c r="U468" s="39"/>
      <c r="V468" s="39"/>
      <c r="W468" s="39"/>
      <c r="X468" s="39"/>
      <c r="Y468" s="39"/>
      <c r="Z468" s="39"/>
      <c r="AA468" s="39"/>
      <c r="AB468" s="39"/>
    </row>
    <row r="469">
      <c r="A469" s="1"/>
      <c r="B469" s="36"/>
      <c r="C469" s="36"/>
      <c r="D469" s="36"/>
      <c r="E469" s="36"/>
      <c r="F469" s="36"/>
      <c r="G469" s="36"/>
      <c r="H469" s="37"/>
      <c r="I469" s="36"/>
      <c r="J469" s="38"/>
      <c r="K469" s="38"/>
      <c r="L469" s="39"/>
      <c r="M469" s="39"/>
      <c r="N469" s="39"/>
      <c r="O469" s="39"/>
      <c r="P469" s="39"/>
      <c r="Q469" s="39"/>
      <c r="R469" s="39"/>
      <c r="S469" s="39"/>
      <c r="T469" s="39"/>
      <c r="U469" s="39"/>
      <c r="V469" s="39"/>
      <c r="W469" s="39"/>
      <c r="X469" s="39"/>
      <c r="Y469" s="39"/>
      <c r="Z469" s="39"/>
      <c r="AA469" s="39"/>
      <c r="AB469" s="39"/>
    </row>
    <row r="470">
      <c r="A470" s="1"/>
      <c r="B470" s="36"/>
      <c r="C470" s="36"/>
      <c r="D470" s="36"/>
      <c r="E470" s="36"/>
      <c r="F470" s="36"/>
      <c r="G470" s="36"/>
      <c r="H470" s="37"/>
      <c r="I470" s="36"/>
      <c r="J470" s="38"/>
      <c r="K470" s="38"/>
      <c r="L470" s="39"/>
      <c r="M470" s="39"/>
      <c r="N470" s="39"/>
      <c r="O470" s="39"/>
      <c r="P470" s="39"/>
      <c r="Q470" s="39"/>
      <c r="R470" s="39"/>
      <c r="S470" s="39"/>
      <c r="T470" s="39"/>
      <c r="U470" s="39"/>
      <c r="V470" s="39"/>
      <c r="W470" s="39"/>
      <c r="X470" s="39"/>
      <c r="Y470" s="39"/>
      <c r="Z470" s="39"/>
      <c r="AA470" s="39"/>
      <c r="AB470" s="39"/>
    </row>
    <row r="471">
      <c r="A471" s="1"/>
      <c r="B471" s="36"/>
      <c r="C471" s="36"/>
      <c r="D471" s="36"/>
      <c r="E471" s="36"/>
      <c r="F471" s="36"/>
      <c r="G471" s="36"/>
      <c r="H471" s="37"/>
      <c r="I471" s="36"/>
      <c r="J471" s="38"/>
      <c r="K471" s="38"/>
      <c r="L471" s="39"/>
      <c r="M471" s="39"/>
      <c r="N471" s="39"/>
      <c r="O471" s="39"/>
      <c r="P471" s="39"/>
      <c r="Q471" s="39"/>
      <c r="R471" s="39"/>
      <c r="S471" s="39"/>
      <c r="T471" s="39"/>
      <c r="U471" s="39"/>
      <c r="V471" s="39"/>
      <c r="W471" s="39"/>
      <c r="X471" s="39"/>
      <c r="Y471" s="39"/>
      <c r="Z471" s="39"/>
      <c r="AA471" s="39"/>
      <c r="AB471" s="39"/>
    </row>
    <row r="472">
      <c r="A472" s="1"/>
      <c r="B472" s="36"/>
      <c r="C472" s="36"/>
      <c r="D472" s="36"/>
      <c r="E472" s="36"/>
      <c r="F472" s="36"/>
      <c r="G472" s="36"/>
      <c r="H472" s="37"/>
      <c r="I472" s="36"/>
      <c r="J472" s="38"/>
      <c r="K472" s="38"/>
      <c r="L472" s="39"/>
      <c r="M472" s="39"/>
      <c r="N472" s="39"/>
      <c r="O472" s="39"/>
      <c r="P472" s="39"/>
      <c r="Q472" s="39"/>
      <c r="R472" s="39"/>
      <c r="S472" s="39"/>
      <c r="T472" s="39"/>
      <c r="U472" s="39"/>
      <c r="V472" s="39"/>
      <c r="W472" s="39"/>
      <c r="X472" s="39"/>
      <c r="Y472" s="39"/>
      <c r="Z472" s="39"/>
      <c r="AA472" s="39"/>
      <c r="AB472" s="39"/>
    </row>
    <row r="473">
      <c r="A473" s="1"/>
      <c r="B473" s="36"/>
      <c r="C473" s="36"/>
      <c r="D473" s="36"/>
      <c r="E473" s="36"/>
      <c r="F473" s="36"/>
      <c r="G473" s="36"/>
      <c r="H473" s="37"/>
      <c r="I473" s="36"/>
      <c r="J473" s="38"/>
      <c r="K473" s="38"/>
      <c r="L473" s="39"/>
      <c r="M473" s="39"/>
      <c r="N473" s="39"/>
      <c r="O473" s="39"/>
      <c r="P473" s="39"/>
      <c r="Q473" s="39"/>
      <c r="R473" s="39"/>
      <c r="S473" s="39"/>
      <c r="T473" s="39"/>
      <c r="U473" s="39"/>
      <c r="V473" s="39"/>
      <c r="W473" s="39"/>
      <c r="X473" s="39"/>
      <c r="Y473" s="39"/>
      <c r="Z473" s="39"/>
      <c r="AA473" s="39"/>
      <c r="AB473" s="39"/>
    </row>
    <row r="474">
      <c r="A474" s="1"/>
      <c r="B474" s="36"/>
      <c r="C474" s="36"/>
      <c r="D474" s="36"/>
      <c r="E474" s="36"/>
      <c r="F474" s="36"/>
      <c r="G474" s="36"/>
      <c r="H474" s="37"/>
      <c r="I474" s="36"/>
      <c r="J474" s="38"/>
      <c r="K474" s="38"/>
      <c r="L474" s="39"/>
      <c r="M474" s="39"/>
      <c r="N474" s="39"/>
      <c r="O474" s="39"/>
      <c r="P474" s="39"/>
      <c r="Q474" s="39"/>
      <c r="R474" s="39"/>
      <c r="S474" s="39"/>
      <c r="T474" s="39"/>
      <c r="U474" s="39"/>
      <c r="V474" s="39"/>
      <c r="W474" s="39"/>
      <c r="X474" s="39"/>
      <c r="Y474" s="39"/>
      <c r="Z474" s="39"/>
      <c r="AA474" s="39"/>
      <c r="AB474" s="39"/>
    </row>
    <row r="475">
      <c r="A475" s="1"/>
      <c r="B475" s="36"/>
      <c r="C475" s="36"/>
      <c r="D475" s="36"/>
      <c r="E475" s="36"/>
      <c r="F475" s="36"/>
      <c r="G475" s="36"/>
      <c r="H475" s="37"/>
      <c r="I475" s="36"/>
      <c r="J475" s="38"/>
      <c r="K475" s="38"/>
      <c r="L475" s="39"/>
      <c r="M475" s="39"/>
      <c r="N475" s="39"/>
      <c r="O475" s="39"/>
      <c r="P475" s="39"/>
      <c r="Q475" s="39"/>
      <c r="R475" s="39"/>
      <c r="S475" s="39"/>
      <c r="T475" s="39"/>
      <c r="U475" s="39"/>
      <c r="V475" s="39"/>
      <c r="W475" s="39"/>
      <c r="X475" s="39"/>
      <c r="Y475" s="39"/>
      <c r="Z475" s="39"/>
      <c r="AA475" s="39"/>
      <c r="AB475" s="39"/>
    </row>
    <row r="476">
      <c r="A476" s="1"/>
      <c r="B476" s="36"/>
      <c r="C476" s="36"/>
      <c r="D476" s="36"/>
      <c r="E476" s="36"/>
      <c r="F476" s="36"/>
      <c r="G476" s="36"/>
      <c r="H476" s="37"/>
      <c r="I476" s="36"/>
      <c r="J476" s="38"/>
      <c r="K476" s="38"/>
      <c r="L476" s="39"/>
      <c r="M476" s="39"/>
      <c r="N476" s="39"/>
      <c r="O476" s="39"/>
      <c r="P476" s="39"/>
      <c r="Q476" s="39"/>
      <c r="R476" s="39"/>
      <c r="S476" s="39"/>
      <c r="T476" s="39"/>
      <c r="U476" s="39"/>
      <c r="V476" s="39"/>
      <c r="W476" s="39"/>
      <c r="X476" s="39"/>
      <c r="Y476" s="39"/>
      <c r="Z476" s="39"/>
      <c r="AA476" s="39"/>
      <c r="AB476" s="39"/>
    </row>
    <row r="477">
      <c r="A477" s="1"/>
      <c r="B477" s="36"/>
      <c r="C477" s="36"/>
      <c r="D477" s="36"/>
      <c r="E477" s="36"/>
      <c r="F477" s="36"/>
      <c r="G477" s="36"/>
      <c r="H477" s="37"/>
      <c r="I477" s="36"/>
      <c r="J477" s="38"/>
      <c r="K477" s="38"/>
      <c r="L477" s="39"/>
      <c r="M477" s="39"/>
      <c r="N477" s="39"/>
      <c r="O477" s="39"/>
      <c r="P477" s="39"/>
      <c r="Q477" s="39"/>
      <c r="R477" s="39"/>
      <c r="S477" s="39"/>
      <c r="T477" s="39"/>
      <c r="U477" s="39"/>
      <c r="V477" s="39"/>
      <c r="W477" s="39"/>
      <c r="X477" s="39"/>
      <c r="Y477" s="39"/>
      <c r="Z477" s="39"/>
      <c r="AA477" s="39"/>
      <c r="AB477" s="39"/>
    </row>
    <row r="478">
      <c r="A478" s="1"/>
      <c r="B478" s="36"/>
      <c r="C478" s="36"/>
      <c r="D478" s="36"/>
      <c r="E478" s="36"/>
      <c r="F478" s="36"/>
      <c r="G478" s="36"/>
      <c r="H478" s="37"/>
      <c r="I478" s="36"/>
      <c r="J478" s="38"/>
      <c r="K478" s="38"/>
      <c r="L478" s="39"/>
      <c r="M478" s="39"/>
      <c r="N478" s="39"/>
      <c r="O478" s="39"/>
      <c r="P478" s="39"/>
      <c r="Q478" s="39"/>
      <c r="R478" s="39"/>
      <c r="S478" s="39"/>
      <c r="T478" s="39"/>
      <c r="U478" s="39"/>
      <c r="V478" s="39"/>
      <c r="W478" s="39"/>
      <c r="X478" s="39"/>
      <c r="Y478" s="39"/>
      <c r="Z478" s="39"/>
      <c r="AA478" s="39"/>
      <c r="AB478" s="39"/>
    </row>
    <row r="479">
      <c r="A479" s="1"/>
      <c r="B479" s="36"/>
      <c r="C479" s="36"/>
      <c r="D479" s="36"/>
      <c r="E479" s="36"/>
      <c r="F479" s="36"/>
      <c r="G479" s="36"/>
      <c r="H479" s="37"/>
      <c r="I479" s="36"/>
      <c r="J479" s="38"/>
      <c r="K479" s="38"/>
      <c r="L479" s="39"/>
      <c r="M479" s="39"/>
      <c r="N479" s="39"/>
      <c r="O479" s="39"/>
      <c r="P479" s="39"/>
      <c r="Q479" s="39"/>
      <c r="R479" s="39"/>
      <c r="S479" s="39"/>
      <c r="T479" s="39"/>
      <c r="U479" s="39"/>
      <c r="V479" s="39"/>
      <c r="W479" s="39"/>
      <c r="X479" s="39"/>
      <c r="Y479" s="39"/>
      <c r="Z479" s="39"/>
      <c r="AA479" s="39"/>
      <c r="AB479" s="39"/>
    </row>
    <row r="480">
      <c r="A480" s="1"/>
      <c r="B480" s="36"/>
      <c r="C480" s="36"/>
      <c r="D480" s="36"/>
      <c r="E480" s="36"/>
      <c r="F480" s="36"/>
      <c r="G480" s="36"/>
      <c r="H480" s="37"/>
      <c r="I480" s="36"/>
      <c r="J480" s="38"/>
      <c r="K480" s="38"/>
      <c r="L480" s="39"/>
      <c r="M480" s="39"/>
      <c r="N480" s="39"/>
      <c r="O480" s="39"/>
      <c r="P480" s="39"/>
      <c r="Q480" s="39"/>
      <c r="R480" s="39"/>
      <c r="S480" s="39"/>
      <c r="T480" s="39"/>
      <c r="U480" s="39"/>
      <c r="V480" s="39"/>
      <c r="W480" s="39"/>
      <c r="X480" s="39"/>
      <c r="Y480" s="39"/>
      <c r="Z480" s="39"/>
      <c r="AA480" s="39"/>
      <c r="AB480" s="39"/>
    </row>
    <row r="481">
      <c r="A481" s="1"/>
      <c r="B481" s="36"/>
      <c r="C481" s="36"/>
      <c r="D481" s="36"/>
      <c r="E481" s="36"/>
      <c r="F481" s="36"/>
      <c r="G481" s="36"/>
      <c r="H481" s="37"/>
      <c r="I481" s="36"/>
      <c r="J481" s="38"/>
      <c r="K481" s="38"/>
      <c r="L481" s="39"/>
      <c r="M481" s="39"/>
      <c r="N481" s="39"/>
      <c r="O481" s="39"/>
      <c r="P481" s="39"/>
      <c r="Q481" s="39"/>
      <c r="R481" s="39"/>
      <c r="S481" s="39"/>
      <c r="T481" s="39"/>
      <c r="U481" s="39"/>
      <c r="V481" s="39"/>
      <c r="W481" s="39"/>
      <c r="X481" s="39"/>
      <c r="Y481" s="39"/>
      <c r="Z481" s="39"/>
      <c r="AA481" s="39"/>
      <c r="AB481" s="39"/>
    </row>
    <row r="482">
      <c r="A482" s="1"/>
      <c r="B482" s="36"/>
      <c r="C482" s="36"/>
      <c r="D482" s="36"/>
      <c r="E482" s="36"/>
      <c r="F482" s="36"/>
      <c r="G482" s="36"/>
      <c r="H482" s="37"/>
      <c r="I482" s="36"/>
      <c r="J482" s="38"/>
      <c r="K482" s="38"/>
      <c r="L482" s="39"/>
      <c r="M482" s="39"/>
      <c r="N482" s="39"/>
      <c r="O482" s="39"/>
      <c r="P482" s="39"/>
      <c r="Q482" s="39"/>
      <c r="R482" s="39"/>
      <c r="S482" s="39"/>
      <c r="T482" s="39"/>
      <c r="U482" s="39"/>
      <c r="V482" s="39"/>
      <c r="W482" s="39"/>
      <c r="X482" s="39"/>
      <c r="Y482" s="39"/>
      <c r="Z482" s="39"/>
      <c r="AA482" s="39"/>
      <c r="AB482" s="39"/>
    </row>
    <row r="483">
      <c r="A483" s="1"/>
      <c r="B483" s="36"/>
      <c r="C483" s="36"/>
      <c r="D483" s="36"/>
      <c r="E483" s="36"/>
      <c r="F483" s="36"/>
      <c r="G483" s="36"/>
      <c r="H483" s="37"/>
      <c r="I483" s="36"/>
      <c r="J483" s="38"/>
      <c r="K483" s="38"/>
      <c r="L483" s="39"/>
      <c r="M483" s="39"/>
      <c r="N483" s="39"/>
      <c r="O483" s="39"/>
      <c r="P483" s="39"/>
      <c r="Q483" s="39"/>
      <c r="R483" s="39"/>
      <c r="S483" s="39"/>
      <c r="T483" s="39"/>
      <c r="U483" s="39"/>
      <c r="V483" s="39"/>
      <c r="W483" s="39"/>
      <c r="X483" s="39"/>
      <c r="Y483" s="39"/>
      <c r="Z483" s="39"/>
      <c r="AA483" s="39"/>
      <c r="AB483" s="39"/>
    </row>
    <row r="484">
      <c r="A484" s="1"/>
      <c r="B484" s="36"/>
      <c r="C484" s="36"/>
      <c r="D484" s="36"/>
      <c r="E484" s="36"/>
      <c r="F484" s="36"/>
      <c r="G484" s="36"/>
      <c r="H484" s="37"/>
      <c r="I484" s="36"/>
      <c r="J484" s="38"/>
      <c r="K484" s="38"/>
      <c r="L484" s="39"/>
      <c r="M484" s="39"/>
      <c r="N484" s="39"/>
      <c r="O484" s="39"/>
      <c r="P484" s="39"/>
      <c r="Q484" s="39"/>
      <c r="R484" s="39"/>
      <c r="S484" s="39"/>
      <c r="T484" s="39"/>
      <c r="U484" s="39"/>
      <c r="V484" s="39"/>
      <c r="W484" s="39"/>
      <c r="X484" s="39"/>
      <c r="Y484" s="39"/>
      <c r="Z484" s="39"/>
      <c r="AA484" s="39"/>
      <c r="AB484" s="39"/>
    </row>
    <row r="485">
      <c r="A485" s="1"/>
      <c r="B485" s="36"/>
      <c r="C485" s="36"/>
      <c r="D485" s="36"/>
      <c r="E485" s="36"/>
      <c r="F485" s="36"/>
      <c r="G485" s="36"/>
      <c r="H485" s="37"/>
      <c r="I485" s="36"/>
      <c r="J485" s="38"/>
      <c r="K485" s="38"/>
      <c r="L485" s="39"/>
      <c r="M485" s="39"/>
      <c r="N485" s="39"/>
      <c r="O485" s="39"/>
      <c r="P485" s="39"/>
      <c r="Q485" s="39"/>
      <c r="R485" s="39"/>
      <c r="S485" s="39"/>
      <c r="T485" s="39"/>
      <c r="U485" s="39"/>
      <c r="V485" s="39"/>
      <c r="W485" s="39"/>
      <c r="X485" s="39"/>
      <c r="Y485" s="39"/>
      <c r="Z485" s="39"/>
      <c r="AA485" s="39"/>
      <c r="AB485" s="39"/>
    </row>
    <row r="486">
      <c r="A486" s="1"/>
      <c r="B486" s="36"/>
      <c r="C486" s="36"/>
      <c r="D486" s="36"/>
      <c r="E486" s="36"/>
      <c r="F486" s="36"/>
      <c r="G486" s="36"/>
      <c r="H486" s="37"/>
      <c r="I486" s="36"/>
      <c r="J486" s="38"/>
      <c r="K486" s="38"/>
      <c r="L486" s="39"/>
      <c r="M486" s="39"/>
      <c r="N486" s="39"/>
      <c r="O486" s="39"/>
      <c r="P486" s="39"/>
      <c r="Q486" s="39"/>
      <c r="R486" s="39"/>
      <c r="S486" s="39"/>
      <c r="T486" s="39"/>
      <c r="U486" s="39"/>
      <c r="V486" s="39"/>
      <c r="W486" s="39"/>
      <c r="X486" s="39"/>
      <c r="Y486" s="39"/>
      <c r="Z486" s="39"/>
      <c r="AA486" s="39"/>
      <c r="AB486" s="39"/>
    </row>
    <row r="487">
      <c r="A487" s="1"/>
      <c r="B487" s="36"/>
      <c r="C487" s="36"/>
      <c r="D487" s="36"/>
      <c r="E487" s="36"/>
      <c r="F487" s="36"/>
      <c r="G487" s="36"/>
      <c r="H487" s="37"/>
      <c r="I487" s="36"/>
      <c r="J487" s="38"/>
      <c r="K487" s="38"/>
      <c r="L487" s="39"/>
      <c r="M487" s="39"/>
      <c r="N487" s="39"/>
      <c r="O487" s="39"/>
      <c r="P487" s="39"/>
      <c r="Q487" s="39"/>
      <c r="R487" s="39"/>
      <c r="S487" s="39"/>
      <c r="T487" s="39"/>
      <c r="U487" s="39"/>
      <c r="V487" s="39"/>
      <c r="W487" s="39"/>
      <c r="X487" s="39"/>
      <c r="Y487" s="39"/>
      <c r="Z487" s="39"/>
      <c r="AA487" s="39"/>
      <c r="AB487" s="39"/>
    </row>
    <row r="488">
      <c r="A488" s="1"/>
      <c r="B488" s="36"/>
      <c r="C488" s="36"/>
      <c r="D488" s="36"/>
      <c r="E488" s="36"/>
      <c r="F488" s="36"/>
      <c r="G488" s="36"/>
      <c r="H488" s="37"/>
      <c r="I488" s="36"/>
      <c r="J488" s="38"/>
      <c r="K488" s="38"/>
      <c r="L488" s="39"/>
      <c r="M488" s="39"/>
      <c r="N488" s="39"/>
      <c r="O488" s="39"/>
      <c r="P488" s="39"/>
      <c r="Q488" s="39"/>
      <c r="R488" s="39"/>
      <c r="S488" s="39"/>
      <c r="T488" s="39"/>
      <c r="U488" s="39"/>
      <c r="V488" s="39"/>
      <c r="W488" s="39"/>
      <c r="X488" s="39"/>
      <c r="Y488" s="39"/>
      <c r="Z488" s="39"/>
      <c r="AA488" s="39"/>
      <c r="AB488" s="39"/>
    </row>
    <row r="489">
      <c r="A489" s="1"/>
      <c r="B489" s="36"/>
      <c r="C489" s="36"/>
      <c r="D489" s="36"/>
      <c r="E489" s="36"/>
      <c r="F489" s="36"/>
      <c r="G489" s="36"/>
      <c r="H489" s="37"/>
      <c r="I489" s="36"/>
      <c r="J489" s="38"/>
      <c r="K489" s="38"/>
      <c r="L489" s="39"/>
      <c r="M489" s="39"/>
      <c r="N489" s="39"/>
      <c r="O489" s="39"/>
      <c r="P489" s="39"/>
      <c r="Q489" s="39"/>
      <c r="R489" s="39"/>
      <c r="S489" s="39"/>
      <c r="T489" s="39"/>
      <c r="U489" s="39"/>
      <c r="V489" s="39"/>
      <c r="W489" s="39"/>
      <c r="X489" s="39"/>
      <c r="Y489" s="39"/>
      <c r="Z489" s="39"/>
      <c r="AA489" s="39"/>
      <c r="AB489" s="39"/>
    </row>
    <row r="490">
      <c r="A490" s="1"/>
      <c r="B490" s="36"/>
      <c r="C490" s="36"/>
      <c r="D490" s="36"/>
      <c r="E490" s="36"/>
      <c r="F490" s="36"/>
      <c r="G490" s="36"/>
      <c r="H490" s="37"/>
      <c r="I490" s="36"/>
      <c r="J490" s="38"/>
      <c r="K490" s="38"/>
      <c r="L490" s="39"/>
      <c r="M490" s="39"/>
      <c r="N490" s="39"/>
      <c r="O490" s="39"/>
      <c r="P490" s="39"/>
      <c r="Q490" s="39"/>
      <c r="R490" s="39"/>
      <c r="S490" s="39"/>
      <c r="T490" s="39"/>
      <c r="U490" s="39"/>
      <c r="V490" s="39"/>
      <c r="W490" s="39"/>
      <c r="X490" s="39"/>
      <c r="Y490" s="39"/>
      <c r="Z490" s="39"/>
      <c r="AA490" s="39"/>
      <c r="AB490" s="39"/>
    </row>
    <row r="491">
      <c r="A491" s="1"/>
      <c r="B491" s="36"/>
      <c r="C491" s="36"/>
      <c r="D491" s="36"/>
      <c r="E491" s="36"/>
      <c r="F491" s="36"/>
      <c r="G491" s="36"/>
      <c r="H491" s="37"/>
      <c r="I491" s="36"/>
      <c r="J491" s="38"/>
      <c r="K491" s="38"/>
      <c r="L491" s="39"/>
      <c r="M491" s="39"/>
      <c r="N491" s="39"/>
      <c r="O491" s="39"/>
      <c r="P491" s="39"/>
      <c r="Q491" s="39"/>
      <c r="R491" s="39"/>
      <c r="S491" s="39"/>
      <c r="T491" s="39"/>
      <c r="U491" s="39"/>
      <c r="V491" s="39"/>
      <c r="W491" s="39"/>
      <c r="X491" s="39"/>
      <c r="Y491" s="39"/>
      <c r="Z491" s="39"/>
      <c r="AA491" s="39"/>
      <c r="AB491" s="39"/>
    </row>
    <row r="492">
      <c r="A492" s="1"/>
      <c r="B492" s="36"/>
      <c r="C492" s="36"/>
      <c r="D492" s="36"/>
      <c r="E492" s="36"/>
      <c r="F492" s="36"/>
      <c r="G492" s="36"/>
      <c r="H492" s="37"/>
      <c r="I492" s="36"/>
      <c r="J492" s="38"/>
      <c r="K492" s="38"/>
      <c r="L492" s="39"/>
      <c r="M492" s="39"/>
      <c r="N492" s="39"/>
      <c r="O492" s="39"/>
      <c r="P492" s="39"/>
      <c r="Q492" s="39"/>
      <c r="R492" s="39"/>
      <c r="S492" s="39"/>
      <c r="T492" s="39"/>
      <c r="U492" s="39"/>
      <c r="V492" s="39"/>
      <c r="W492" s="39"/>
      <c r="X492" s="39"/>
      <c r="Y492" s="39"/>
      <c r="Z492" s="39"/>
      <c r="AA492" s="39"/>
      <c r="AB492" s="39"/>
    </row>
    <row r="493">
      <c r="A493" s="1"/>
      <c r="B493" s="36"/>
      <c r="C493" s="36"/>
      <c r="D493" s="36"/>
      <c r="E493" s="36"/>
      <c r="F493" s="36"/>
      <c r="G493" s="36"/>
      <c r="H493" s="37"/>
      <c r="I493" s="36"/>
      <c r="J493" s="38"/>
      <c r="K493" s="38"/>
      <c r="L493" s="39"/>
      <c r="M493" s="39"/>
      <c r="N493" s="39"/>
      <c r="O493" s="39"/>
      <c r="P493" s="39"/>
      <c r="Q493" s="39"/>
      <c r="R493" s="39"/>
      <c r="S493" s="39"/>
      <c r="T493" s="39"/>
      <c r="U493" s="39"/>
      <c r="V493" s="39"/>
      <c r="W493" s="39"/>
      <c r="X493" s="39"/>
      <c r="Y493" s="39"/>
      <c r="Z493" s="39"/>
      <c r="AA493" s="39"/>
      <c r="AB493" s="39"/>
    </row>
    <row r="494">
      <c r="A494" s="1"/>
      <c r="B494" s="36"/>
      <c r="C494" s="36"/>
      <c r="D494" s="36"/>
      <c r="E494" s="36"/>
      <c r="F494" s="36"/>
      <c r="G494" s="36"/>
      <c r="H494" s="37"/>
      <c r="I494" s="36"/>
      <c r="J494" s="38"/>
      <c r="K494" s="38"/>
      <c r="L494" s="39"/>
      <c r="M494" s="39"/>
      <c r="N494" s="39"/>
      <c r="O494" s="39"/>
      <c r="P494" s="39"/>
      <c r="Q494" s="39"/>
      <c r="R494" s="39"/>
      <c r="S494" s="39"/>
      <c r="T494" s="39"/>
      <c r="U494" s="39"/>
      <c r="V494" s="39"/>
      <c r="W494" s="39"/>
      <c r="X494" s="39"/>
      <c r="Y494" s="39"/>
      <c r="Z494" s="39"/>
      <c r="AA494" s="39"/>
      <c r="AB494" s="39"/>
    </row>
    <row r="495">
      <c r="A495" s="1"/>
      <c r="B495" s="36"/>
      <c r="C495" s="36"/>
      <c r="D495" s="36"/>
      <c r="E495" s="36"/>
      <c r="F495" s="36"/>
      <c r="G495" s="36"/>
      <c r="H495" s="37"/>
      <c r="I495" s="36"/>
      <c r="J495" s="38"/>
      <c r="K495" s="38"/>
      <c r="L495" s="39"/>
      <c r="M495" s="39"/>
      <c r="N495" s="39"/>
      <c r="O495" s="39"/>
      <c r="P495" s="39"/>
      <c r="Q495" s="39"/>
      <c r="R495" s="39"/>
      <c r="S495" s="39"/>
      <c r="T495" s="39"/>
      <c r="U495" s="39"/>
      <c r="V495" s="39"/>
      <c r="W495" s="39"/>
      <c r="X495" s="39"/>
      <c r="Y495" s="39"/>
      <c r="Z495" s="39"/>
      <c r="AA495" s="39"/>
      <c r="AB495" s="39"/>
    </row>
    <row r="496">
      <c r="A496" s="1"/>
      <c r="B496" s="36"/>
      <c r="C496" s="36"/>
      <c r="D496" s="36"/>
      <c r="E496" s="36"/>
      <c r="F496" s="36"/>
      <c r="G496" s="36"/>
      <c r="H496" s="37"/>
      <c r="I496" s="36"/>
      <c r="J496" s="38"/>
      <c r="K496" s="38"/>
      <c r="L496" s="39"/>
      <c r="M496" s="39"/>
      <c r="N496" s="39"/>
      <c r="O496" s="39"/>
      <c r="P496" s="39"/>
      <c r="Q496" s="39"/>
      <c r="R496" s="39"/>
      <c r="S496" s="39"/>
      <c r="T496" s="39"/>
      <c r="U496" s="39"/>
      <c r="V496" s="39"/>
      <c r="W496" s="39"/>
      <c r="X496" s="39"/>
      <c r="Y496" s="39"/>
      <c r="Z496" s="39"/>
      <c r="AA496" s="39"/>
      <c r="AB496" s="39"/>
    </row>
    <row r="497">
      <c r="A497" s="1"/>
      <c r="B497" s="36"/>
      <c r="C497" s="36"/>
      <c r="D497" s="36"/>
      <c r="E497" s="36"/>
      <c r="F497" s="36"/>
      <c r="G497" s="36"/>
      <c r="H497" s="37"/>
      <c r="I497" s="36"/>
      <c r="J497" s="38"/>
      <c r="K497" s="38"/>
      <c r="L497" s="39"/>
      <c r="M497" s="39"/>
      <c r="N497" s="39"/>
      <c r="O497" s="39"/>
      <c r="P497" s="39"/>
      <c r="Q497" s="39"/>
      <c r="R497" s="39"/>
      <c r="S497" s="39"/>
      <c r="T497" s="39"/>
      <c r="U497" s="39"/>
      <c r="V497" s="39"/>
      <c r="W497" s="39"/>
      <c r="X497" s="39"/>
      <c r="Y497" s="39"/>
      <c r="Z497" s="39"/>
      <c r="AA497" s="39"/>
      <c r="AB497" s="39"/>
    </row>
    <row r="498">
      <c r="A498" s="1"/>
      <c r="B498" s="36"/>
      <c r="C498" s="36"/>
      <c r="D498" s="36"/>
      <c r="E498" s="36"/>
      <c r="F498" s="36"/>
      <c r="G498" s="36"/>
      <c r="H498" s="37"/>
      <c r="I498" s="36"/>
      <c r="J498" s="38"/>
      <c r="K498" s="38"/>
      <c r="L498" s="39"/>
      <c r="M498" s="39"/>
      <c r="N498" s="39"/>
      <c r="O498" s="39"/>
      <c r="P498" s="39"/>
      <c r="Q498" s="39"/>
      <c r="R498" s="39"/>
      <c r="S498" s="39"/>
      <c r="T498" s="39"/>
      <c r="U498" s="39"/>
      <c r="V498" s="39"/>
      <c r="W498" s="39"/>
      <c r="X498" s="39"/>
      <c r="Y498" s="39"/>
      <c r="Z498" s="39"/>
      <c r="AA498" s="39"/>
      <c r="AB498" s="39"/>
    </row>
    <row r="499">
      <c r="A499" s="1"/>
      <c r="B499" s="36"/>
      <c r="C499" s="36"/>
      <c r="D499" s="36"/>
      <c r="E499" s="36"/>
      <c r="F499" s="36"/>
      <c r="G499" s="36"/>
      <c r="H499" s="37"/>
      <c r="I499" s="36"/>
      <c r="J499" s="38"/>
      <c r="K499" s="38"/>
      <c r="L499" s="39"/>
      <c r="M499" s="39"/>
      <c r="N499" s="39"/>
      <c r="O499" s="39"/>
      <c r="P499" s="39"/>
      <c r="Q499" s="39"/>
      <c r="R499" s="39"/>
      <c r="S499" s="39"/>
      <c r="T499" s="39"/>
      <c r="U499" s="39"/>
      <c r="V499" s="39"/>
      <c r="W499" s="39"/>
      <c r="X499" s="39"/>
      <c r="Y499" s="39"/>
      <c r="Z499" s="39"/>
      <c r="AA499" s="39"/>
      <c r="AB499" s="39"/>
    </row>
    <row r="500">
      <c r="A500" s="1"/>
      <c r="B500" s="36"/>
      <c r="C500" s="36"/>
      <c r="D500" s="36"/>
      <c r="E500" s="36"/>
      <c r="F500" s="36"/>
      <c r="G500" s="36"/>
      <c r="H500" s="37"/>
      <c r="I500" s="36"/>
      <c r="J500" s="38"/>
      <c r="K500" s="38"/>
      <c r="L500" s="39"/>
      <c r="M500" s="39"/>
      <c r="N500" s="39"/>
      <c r="O500" s="39"/>
      <c r="P500" s="39"/>
      <c r="Q500" s="39"/>
      <c r="R500" s="39"/>
      <c r="S500" s="39"/>
      <c r="T500" s="39"/>
      <c r="U500" s="39"/>
      <c r="V500" s="39"/>
      <c r="W500" s="39"/>
      <c r="X500" s="39"/>
      <c r="Y500" s="39"/>
      <c r="Z500" s="39"/>
      <c r="AA500" s="39"/>
      <c r="AB500" s="39"/>
    </row>
    <row r="501">
      <c r="A501" s="1"/>
      <c r="B501" s="36"/>
      <c r="C501" s="36"/>
      <c r="D501" s="36"/>
      <c r="E501" s="36"/>
      <c r="F501" s="36"/>
      <c r="G501" s="36"/>
      <c r="H501" s="37"/>
      <c r="I501" s="36"/>
      <c r="J501" s="38"/>
      <c r="K501" s="38"/>
      <c r="L501" s="39"/>
      <c r="M501" s="39"/>
      <c r="N501" s="39"/>
      <c r="O501" s="39"/>
      <c r="P501" s="39"/>
      <c r="Q501" s="39"/>
      <c r="R501" s="39"/>
      <c r="S501" s="39"/>
      <c r="T501" s="39"/>
      <c r="U501" s="39"/>
      <c r="V501" s="39"/>
      <c r="W501" s="39"/>
      <c r="X501" s="39"/>
      <c r="Y501" s="39"/>
      <c r="Z501" s="39"/>
      <c r="AA501" s="39"/>
      <c r="AB501" s="39"/>
    </row>
    <row r="502">
      <c r="A502" s="1"/>
      <c r="B502" s="36"/>
      <c r="C502" s="36"/>
      <c r="D502" s="36"/>
      <c r="E502" s="36"/>
      <c r="F502" s="36"/>
      <c r="G502" s="36"/>
      <c r="H502" s="37"/>
      <c r="I502" s="36"/>
      <c r="J502" s="38"/>
      <c r="K502" s="38"/>
      <c r="L502" s="39"/>
      <c r="M502" s="39"/>
      <c r="N502" s="39"/>
      <c r="O502" s="39"/>
      <c r="P502" s="39"/>
      <c r="Q502" s="39"/>
      <c r="R502" s="39"/>
      <c r="S502" s="39"/>
      <c r="T502" s="39"/>
      <c r="U502" s="39"/>
      <c r="V502" s="39"/>
      <c r="W502" s="39"/>
      <c r="X502" s="39"/>
      <c r="Y502" s="39"/>
      <c r="Z502" s="39"/>
      <c r="AA502" s="39"/>
      <c r="AB502" s="39"/>
    </row>
    <row r="503">
      <c r="A503" s="1"/>
      <c r="B503" s="36"/>
      <c r="C503" s="36"/>
      <c r="D503" s="36"/>
      <c r="E503" s="36"/>
      <c r="F503" s="36"/>
      <c r="G503" s="36"/>
      <c r="H503" s="37"/>
      <c r="I503" s="36"/>
      <c r="J503" s="38"/>
      <c r="K503" s="38"/>
      <c r="L503" s="39"/>
      <c r="M503" s="39"/>
      <c r="N503" s="39"/>
      <c r="O503" s="39"/>
      <c r="P503" s="39"/>
      <c r="Q503" s="39"/>
      <c r="R503" s="39"/>
      <c r="S503" s="39"/>
      <c r="T503" s="39"/>
      <c r="U503" s="39"/>
      <c r="V503" s="39"/>
      <c r="W503" s="39"/>
      <c r="X503" s="39"/>
      <c r="Y503" s="39"/>
      <c r="Z503" s="39"/>
      <c r="AA503" s="39"/>
      <c r="AB503" s="39"/>
    </row>
    <row r="504">
      <c r="A504" s="1"/>
      <c r="B504" s="36"/>
      <c r="C504" s="36"/>
      <c r="D504" s="36"/>
      <c r="E504" s="36"/>
      <c r="F504" s="36"/>
      <c r="G504" s="36"/>
      <c r="H504" s="37"/>
      <c r="I504" s="36"/>
      <c r="J504" s="38"/>
      <c r="K504" s="38"/>
      <c r="L504" s="39"/>
      <c r="M504" s="39"/>
      <c r="N504" s="39"/>
      <c r="O504" s="39"/>
      <c r="P504" s="39"/>
      <c r="Q504" s="39"/>
      <c r="R504" s="39"/>
      <c r="S504" s="39"/>
      <c r="T504" s="39"/>
      <c r="U504" s="39"/>
      <c r="V504" s="39"/>
      <c r="W504" s="39"/>
      <c r="X504" s="39"/>
      <c r="Y504" s="39"/>
      <c r="Z504" s="39"/>
      <c r="AA504" s="39"/>
      <c r="AB504" s="39"/>
    </row>
    <row r="505">
      <c r="A505" s="1"/>
      <c r="B505" s="36"/>
      <c r="C505" s="36"/>
      <c r="D505" s="36"/>
      <c r="E505" s="36"/>
      <c r="F505" s="36"/>
      <c r="G505" s="36"/>
      <c r="H505" s="37"/>
      <c r="I505" s="36"/>
      <c r="J505" s="38"/>
      <c r="K505" s="38"/>
      <c r="L505" s="39"/>
      <c r="M505" s="39"/>
      <c r="N505" s="39"/>
      <c r="O505" s="39"/>
      <c r="P505" s="39"/>
      <c r="Q505" s="39"/>
      <c r="R505" s="39"/>
      <c r="S505" s="39"/>
      <c r="T505" s="39"/>
      <c r="U505" s="39"/>
      <c r="V505" s="39"/>
      <c r="W505" s="39"/>
      <c r="X505" s="39"/>
      <c r="Y505" s="39"/>
      <c r="Z505" s="39"/>
      <c r="AA505" s="39"/>
      <c r="AB505" s="39"/>
    </row>
    <row r="506">
      <c r="A506" s="1"/>
      <c r="B506" s="36"/>
      <c r="C506" s="36"/>
      <c r="D506" s="36"/>
      <c r="E506" s="36"/>
      <c r="F506" s="36"/>
      <c r="G506" s="36"/>
      <c r="H506" s="37"/>
      <c r="I506" s="36"/>
      <c r="J506" s="38"/>
      <c r="K506" s="38"/>
      <c r="L506" s="39"/>
      <c r="M506" s="39"/>
      <c r="N506" s="39"/>
      <c r="O506" s="39"/>
      <c r="P506" s="39"/>
      <c r="Q506" s="39"/>
      <c r="R506" s="39"/>
      <c r="S506" s="39"/>
      <c r="T506" s="39"/>
      <c r="U506" s="39"/>
      <c r="V506" s="39"/>
      <c r="W506" s="39"/>
      <c r="X506" s="39"/>
      <c r="Y506" s="39"/>
      <c r="Z506" s="39"/>
      <c r="AA506" s="39"/>
      <c r="AB506" s="39"/>
    </row>
    <row r="507">
      <c r="A507" s="1"/>
      <c r="B507" s="36"/>
      <c r="C507" s="36"/>
      <c r="D507" s="36"/>
      <c r="E507" s="36"/>
      <c r="F507" s="36"/>
      <c r="G507" s="36"/>
      <c r="H507" s="37"/>
      <c r="I507" s="36"/>
      <c r="J507" s="38"/>
      <c r="K507" s="38"/>
      <c r="L507" s="39"/>
      <c r="M507" s="39"/>
      <c r="N507" s="39"/>
      <c r="O507" s="39"/>
      <c r="P507" s="39"/>
      <c r="Q507" s="39"/>
      <c r="R507" s="39"/>
      <c r="S507" s="39"/>
      <c r="T507" s="39"/>
      <c r="U507" s="39"/>
      <c r="V507" s="39"/>
      <c r="W507" s="39"/>
      <c r="X507" s="39"/>
      <c r="Y507" s="39"/>
      <c r="Z507" s="39"/>
      <c r="AA507" s="39"/>
      <c r="AB507" s="39"/>
    </row>
    <row r="508">
      <c r="A508" s="1"/>
      <c r="B508" s="36"/>
      <c r="C508" s="36"/>
      <c r="D508" s="36"/>
      <c r="E508" s="36"/>
      <c r="F508" s="36"/>
      <c r="G508" s="36"/>
      <c r="H508" s="37"/>
      <c r="I508" s="36"/>
      <c r="J508" s="38"/>
      <c r="K508" s="38"/>
      <c r="L508" s="39"/>
      <c r="M508" s="39"/>
      <c r="N508" s="39"/>
      <c r="O508" s="39"/>
      <c r="P508" s="39"/>
      <c r="Q508" s="39"/>
      <c r="R508" s="39"/>
      <c r="S508" s="39"/>
      <c r="T508" s="39"/>
      <c r="U508" s="39"/>
      <c r="V508" s="39"/>
      <c r="W508" s="39"/>
      <c r="X508" s="39"/>
      <c r="Y508" s="39"/>
      <c r="Z508" s="39"/>
      <c r="AA508" s="39"/>
      <c r="AB508" s="39"/>
    </row>
    <row r="509">
      <c r="A509" s="1"/>
      <c r="B509" s="36"/>
      <c r="C509" s="36"/>
      <c r="D509" s="36"/>
      <c r="E509" s="36"/>
      <c r="F509" s="36"/>
      <c r="G509" s="36"/>
      <c r="H509" s="37"/>
      <c r="I509" s="36"/>
      <c r="J509" s="38"/>
      <c r="K509" s="38"/>
      <c r="L509" s="39"/>
      <c r="M509" s="39"/>
      <c r="N509" s="39"/>
      <c r="O509" s="39"/>
      <c r="P509" s="39"/>
      <c r="Q509" s="39"/>
      <c r="R509" s="39"/>
      <c r="S509" s="39"/>
      <c r="T509" s="39"/>
      <c r="U509" s="39"/>
      <c r="V509" s="39"/>
      <c r="W509" s="39"/>
      <c r="X509" s="39"/>
      <c r="Y509" s="39"/>
      <c r="Z509" s="39"/>
      <c r="AA509" s="39"/>
      <c r="AB509" s="39"/>
    </row>
    <row r="510">
      <c r="A510" s="1"/>
      <c r="B510" s="36"/>
      <c r="C510" s="36"/>
      <c r="D510" s="36"/>
      <c r="E510" s="36"/>
      <c r="F510" s="36"/>
      <c r="G510" s="36"/>
      <c r="H510" s="37"/>
      <c r="I510" s="36"/>
      <c r="J510" s="38"/>
      <c r="K510" s="38"/>
      <c r="L510" s="39"/>
      <c r="M510" s="39"/>
      <c r="N510" s="39"/>
      <c r="O510" s="39"/>
      <c r="P510" s="39"/>
      <c r="Q510" s="39"/>
      <c r="R510" s="39"/>
      <c r="S510" s="39"/>
      <c r="T510" s="39"/>
      <c r="U510" s="39"/>
      <c r="V510" s="39"/>
      <c r="W510" s="39"/>
      <c r="X510" s="39"/>
      <c r="Y510" s="39"/>
      <c r="Z510" s="39"/>
      <c r="AA510" s="39"/>
      <c r="AB510" s="39"/>
    </row>
    <row r="511">
      <c r="A511" s="1"/>
      <c r="B511" s="36"/>
      <c r="C511" s="36"/>
      <c r="D511" s="36"/>
      <c r="E511" s="36"/>
      <c r="F511" s="36"/>
      <c r="G511" s="36"/>
      <c r="H511" s="37"/>
      <c r="I511" s="36"/>
      <c r="J511" s="38"/>
      <c r="K511" s="38"/>
      <c r="L511" s="39"/>
      <c r="M511" s="39"/>
      <c r="N511" s="39"/>
      <c r="O511" s="39"/>
      <c r="P511" s="39"/>
      <c r="Q511" s="39"/>
      <c r="R511" s="39"/>
      <c r="S511" s="39"/>
      <c r="T511" s="39"/>
      <c r="U511" s="39"/>
      <c r="V511" s="39"/>
      <c r="W511" s="39"/>
      <c r="X511" s="39"/>
      <c r="Y511" s="39"/>
      <c r="Z511" s="39"/>
      <c r="AA511" s="39"/>
      <c r="AB511" s="39"/>
    </row>
    <row r="512">
      <c r="A512" s="1"/>
      <c r="B512" s="36"/>
      <c r="C512" s="36"/>
      <c r="D512" s="36"/>
      <c r="E512" s="36"/>
      <c r="F512" s="36"/>
      <c r="G512" s="36"/>
      <c r="H512" s="37"/>
      <c r="I512" s="36"/>
      <c r="J512" s="38"/>
      <c r="K512" s="38"/>
      <c r="L512" s="39"/>
      <c r="M512" s="39"/>
      <c r="N512" s="39"/>
      <c r="O512" s="39"/>
      <c r="P512" s="39"/>
      <c r="Q512" s="39"/>
      <c r="R512" s="39"/>
      <c r="S512" s="39"/>
      <c r="T512" s="39"/>
      <c r="U512" s="39"/>
      <c r="V512" s="39"/>
      <c r="W512" s="39"/>
      <c r="X512" s="39"/>
      <c r="Y512" s="39"/>
      <c r="Z512" s="39"/>
      <c r="AA512" s="39"/>
      <c r="AB512" s="39"/>
    </row>
    <row r="513">
      <c r="A513" s="1"/>
      <c r="B513" s="36"/>
      <c r="C513" s="36"/>
      <c r="D513" s="36"/>
      <c r="E513" s="36"/>
      <c r="F513" s="36"/>
      <c r="G513" s="36"/>
      <c r="H513" s="37"/>
      <c r="I513" s="36"/>
      <c r="J513" s="38"/>
      <c r="K513" s="38"/>
      <c r="L513" s="39"/>
      <c r="M513" s="39"/>
      <c r="N513" s="39"/>
      <c r="O513" s="39"/>
      <c r="P513" s="39"/>
      <c r="Q513" s="39"/>
      <c r="R513" s="39"/>
      <c r="S513" s="39"/>
      <c r="T513" s="39"/>
      <c r="U513" s="39"/>
      <c r="V513" s="39"/>
      <c r="W513" s="39"/>
      <c r="X513" s="39"/>
      <c r="Y513" s="39"/>
      <c r="Z513" s="39"/>
      <c r="AA513" s="39"/>
      <c r="AB513" s="39"/>
    </row>
    <row r="514">
      <c r="A514" s="1"/>
      <c r="B514" s="36"/>
      <c r="C514" s="36"/>
      <c r="D514" s="36"/>
      <c r="E514" s="36"/>
      <c r="F514" s="36"/>
      <c r="G514" s="36"/>
      <c r="H514" s="37"/>
      <c r="I514" s="36"/>
      <c r="J514" s="38"/>
      <c r="K514" s="38"/>
      <c r="L514" s="39"/>
      <c r="M514" s="39"/>
      <c r="N514" s="39"/>
      <c r="O514" s="39"/>
      <c r="P514" s="39"/>
      <c r="Q514" s="39"/>
      <c r="R514" s="39"/>
      <c r="S514" s="39"/>
      <c r="T514" s="39"/>
      <c r="U514" s="39"/>
      <c r="V514" s="39"/>
      <c r="W514" s="39"/>
      <c r="X514" s="39"/>
      <c r="Y514" s="39"/>
      <c r="Z514" s="39"/>
      <c r="AA514" s="39"/>
      <c r="AB514" s="39"/>
    </row>
    <row r="515">
      <c r="A515" s="1"/>
      <c r="B515" s="36"/>
      <c r="C515" s="36"/>
      <c r="D515" s="36"/>
      <c r="E515" s="36"/>
      <c r="F515" s="36"/>
      <c r="G515" s="36"/>
      <c r="H515" s="37"/>
      <c r="I515" s="36"/>
      <c r="J515" s="38"/>
      <c r="K515" s="38"/>
      <c r="L515" s="39"/>
      <c r="M515" s="39"/>
      <c r="N515" s="39"/>
      <c r="O515" s="39"/>
      <c r="P515" s="39"/>
      <c r="Q515" s="39"/>
      <c r="R515" s="39"/>
      <c r="S515" s="39"/>
      <c r="T515" s="39"/>
      <c r="U515" s="39"/>
      <c r="V515" s="39"/>
      <c r="W515" s="39"/>
      <c r="X515" s="39"/>
      <c r="Y515" s="39"/>
      <c r="Z515" s="39"/>
      <c r="AA515" s="39"/>
      <c r="AB515" s="39"/>
    </row>
    <row r="516">
      <c r="A516" s="1"/>
      <c r="B516" s="36"/>
      <c r="C516" s="36"/>
      <c r="D516" s="36"/>
      <c r="E516" s="36"/>
      <c r="F516" s="36"/>
      <c r="G516" s="36"/>
      <c r="H516" s="37"/>
      <c r="I516" s="36"/>
      <c r="J516" s="38"/>
      <c r="K516" s="38"/>
      <c r="L516" s="39"/>
      <c r="M516" s="39"/>
      <c r="N516" s="39"/>
      <c r="O516" s="39"/>
      <c r="P516" s="39"/>
      <c r="Q516" s="39"/>
      <c r="R516" s="39"/>
      <c r="S516" s="39"/>
      <c r="T516" s="39"/>
      <c r="U516" s="39"/>
      <c r="V516" s="39"/>
      <c r="W516" s="39"/>
      <c r="X516" s="39"/>
      <c r="Y516" s="39"/>
      <c r="Z516" s="39"/>
      <c r="AA516" s="39"/>
      <c r="AB516" s="39"/>
    </row>
    <row r="517">
      <c r="A517" s="1"/>
      <c r="B517" s="36"/>
      <c r="C517" s="36"/>
      <c r="D517" s="36"/>
      <c r="E517" s="36"/>
      <c r="F517" s="36"/>
      <c r="G517" s="36"/>
      <c r="H517" s="37"/>
      <c r="I517" s="36"/>
      <c r="J517" s="38"/>
      <c r="K517" s="38"/>
      <c r="L517" s="39"/>
      <c r="M517" s="39"/>
      <c r="N517" s="39"/>
      <c r="O517" s="39"/>
      <c r="P517" s="39"/>
      <c r="Q517" s="39"/>
      <c r="R517" s="39"/>
      <c r="S517" s="39"/>
      <c r="T517" s="39"/>
      <c r="U517" s="39"/>
      <c r="V517" s="39"/>
      <c r="W517" s="39"/>
      <c r="X517" s="39"/>
      <c r="Y517" s="39"/>
      <c r="Z517" s="39"/>
      <c r="AA517" s="39"/>
      <c r="AB517" s="39"/>
    </row>
    <row r="518">
      <c r="A518" s="1"/>
      <c r="B518" s="36"/>
      <c r="C518" s="36"/>
      <c r="D518" s="36"/>
      <c r="E518" s="36"/>
      <c r="F518" s="36"/>
      <c r="G518" s="36"/>
      <c r="H518" s="37"/>
      <c r="I518" s="36"/>
      <c r="J518" s="38"/>
      <c r="K518" s="38"/>
      <c r="L518" s="39"/>
      <c r="M518" s="39"/>
      <c r="N518" s="39"/>
      <c r="O518" s="39"/>
      <c r="P518" s="39"/>
      <c r="Q518" s="39"/>
      <c r="R518" s="39"/>
      <c r="S518" s="39"/>
      <c r="T518" s="39"/>
      <c r="U518" s="39"/>
      <c r="V518" s="39"/>
      <c r="W518" s="39"/>
      <c r="X518" s="39"/>
      <c r="Y518" s="39"/>
      <c r="Z518" s="39"/>
      <c r="AA518" s="39"/>
      <c r="AB518" s="39"/>
    </row>
    <row r="519">
      <c r="A519" s="1"/>
      <c r="B519" s="36"/>
      <c r="C519" s="36"/>
      <c r="D519" s="36"/>
      <c r="E519" s="36"/>
      <c r="F519" s="36"/>
      <c r="G519" s="36"/>
      <c r="H519" s="37"/>
      <c r="I519" s="36"/>
      <c r="J519" s="38"/>
      <c r="K519" s="38"/>
      <c r="L519" s="39"/>
      <c r="M519" s="39"/>
      <c r="N519" s="39"/>
      <c r="O519" s="39"/>
      <c r="P519" s="39"/>
      <c r="Q519" s="39"/>
      <c r="R519" s="39"/>
      <c r="S519" s="39"/>
      <c r="T519" s="39"/>
      <c r="U519" s="39"/>
      <c r="V519" s="39"/>
      <c r="W519" s="39"/>
      <c r="X519" s="39"/>
      <c r="Y519" s="39"/>
      <c r="Z519" s="39"/>
      <c r="AA519" s="39"/>
      <c r="AB519" s="39"/>
    </row>
    <row r="520">
      <c r="A520" s="1"/>
      <c r="B520" s="36"/>
      <c r="C520" s="36"/>
      <c r="D520" s="36"/>
      <c r="E520" s="36"/>
      <c r="F520" s="36"/>
      <c r="G520" s="36"/>
      <c r="H520" s="37"/>
      <c r="I520" s="36"/>
      <c r="J520" s="38"/>
      <c r="K520" s="38"/>
      <c r="L520" s="39"/>
      <c r="M520" s="39"/>
      <c r="N520" s="39"/>
      <c r="O520" s="39"/>
      <c r="P520" s="39"/>
      <c r="Q520" s="39"/>
      <c r="R520" s="39"/>
      <c r="S520" s="39"/>
      <c r="T520" s="39"/>
      <c r="U520" s="39"/>
      <c r="V520" s="39"/>
      <c r="W520" s="39"/>
      <c r="X520" s="39"/>
      <c r="Y520" s="39"/>
      <c r="Z520" s="39"/>
      <c r="AA520" s="39"/>
      <c r="AB520" s="39"/>
    </row>
    <row r="521">
      <c r="A521" s="1"/>
      <c r="B521" s="36"/>
      <c r="C521" s="36"/>
      <c r="D521" s="36"/>
      <c r="E521" s="36"/>
      <c r="F521" s="36"/>
      <c r="G521" s="36"/>
      <c r="H521" s="37"/>
      <c r="I521" s="36"/>
      <c r="J521" s="38"/>
      <c r="K521" s="38"/>
      <c r="L521" s="39"/>
      <c r="M521" s="39"/>
      <c r="N521" s="39"/>
      <c r="O521" s="39"/>
      <c r="P521" s="39"/>
      <c r="Q521" s="39"/>
      <c r="R521" s="39"/>
      <c r="S521" s="39"/>
      <c r="T521" s="39"/>
      <c r="U521" s="39"/>
      <c r="V521" s="39"/>
      <c r="W521" s="39"/>
      <c r="X521" s="39"/>
      <c r="Y521" s="39"/>
      <c r="Z521" s="39"/>
      <c r="AA521" s="39"/>
      <c r="AB521" s="39"/>
    </row>
    <row r="522">
      <c r="A522" s="1"/>
      <c r="B522" s="36"/>
      <c r="C522" s="36"/>
      <c r="D522" s="36"/>
      <c r="E522" s="36"/>
      <c r="F522" s="36"/>
      <c r="G522" s="36"/>
      <c r="H522" s="37"/>
      <c r="I522" s="36"/>
      <c r="J522" s="38"/>
      <c r="K522" s="38"/>
      <c r="L522" s="39"/>
      <c r="M522" s="39"/>
      <c r="N522" s="39"/>
      <c r="O522" s="39"/>
      <c r="P522" s="39"/>
      <c r="Q522" s="39"/>
      <c r="R522" s="39"/>
      <c r="S522" s="39"/>
      <c r="T522" s="39"/>
      <c r="U522" s="39"/>
      <c r="V522" s="39"/>
      <c r="W522" s="39"/>
      <c r="X522" s="39"/>
      <c r="Y522" s="39"/>
      <c r="Z522" s="39"/>
      <c r="AA522" s="39"/>
      <c r="AB522" s="39"/>
    </row>
    <row r="523">
      <c r="A523" s="1"/>
      <c r="B523" s="36"/>
      <c r="C523" s="36"/>
      <c r="D523" s="36"/>
      <c r="E523" s="36"/>
      <c r="F523" s="36"/>
      <c r="G523" s="36"/>
      <c r="H523" s="37"/>
      <c r="I523" s="36"/>
      <c r="J523" s="38"/>
      <c r="K523" s="38"/>
      <c r="L523" s="39"/>
      <c r="M523" s="39"/>
      <c r="N523" s="39"/>
      <c r="O523" s="39"/>
      <c r="P523" s="39"/>
      <c r="Q523" s="39"/>
      <c r="R523" s="39"/>
      <c r="S523" s="39"/>
      <c r="T523" s="39"/>
      <c r="U523" s="39"/>
      <c r="V523" s="39"/>
      <c r="W523" s="39"/>
      <c r="X523" s="39"/>
      <c r="Y523" s="39"/>
      <c r="Z523" s="39"/>
      <c r="AA523" s="39"/>
      <c r="AB523" s="39"/>
    </row>
    <row r="524">
      <c r="A524" s="1"/>
      <c r="B524" s="36"/>
      <c r="C524" s="36"/>
      <c r="D524" s="36"/>
      <c r="E524" s="36"/>
      <c r="F524" s="36"/>
      <c r="G524" s="36"/>
      <c r="H524" s="37"/>
      <c r="I524" s="36"/>
      <c r="J524" s="38"/>
      <c r="K524" s="38"/>
      <c r="L524" s="39"/>
      <c r="M524" s="39"/>
      <c r="N524" s="39"/>
      <c r="O524" s="39"/>
      <c r="P524" s="39"/>
      <c r="Q524" s="39"/>
      <c r="R524" s="39"/>
      <c r="S524" s="39"/>
      <c r="T524" s="39"/>
      <c r="U524" s="39"/>
      <c r="V524" s="39"/>
      <c r="W524" s="39"/>
      <c r="X524" s="39"/>
      <c r="Y524" s="39"/>
      <c r="Z524" s="39"/>
      <c r="AA524" s="39"/>
      <c r="AB524" s="39"/>
    </row>
    <row r="525">
      <c r="A525" s="1"/>
      <c r="B525" s="36"/>
      <c r="C525" s="36"/>
      <c r="D525" s="36"/>
      <c r="E525" s="36"/>
      <c r="F525" s="36"/>
      <c r="G525" s="36"/>
      <c r="H525" s="37"/>
      <c r="I525" s="36"/>
      <c r="J525" s="38"/>
      <c r="K525" s="38"/>
      <c r="L525" s="39"/>
      <c r="M525" s="39"/>
      <c r="N525" s="39"/>
      <c r="O525" s="39"/>
      <c r="P525" s="39"/>
      <c r="Q525" s="39"/>
      <c r="R525" s="39"/>
      <c r="S525" s="39"/>
      <c r="T525" s="39"/>
      <c r="U525" s="39"/>
      <c r="V525" s="39"/>
      <c r="W525" s="39"/>
      <c r="X525" s="39"/>
      <c r="Y525" s="39"/>
      <c r="Z525" s="39"/>
      <c r="AA525" s="39"/>
      <c r="AB525" s="39"/>
    </row>
    <row r="526">
      <c r="A526" s="1"/>
      <c r="B526" s="36"/>
      <c r="C526" s="36"/>
      <c r="D526" s="36"/>
      <c r="E526" s="36"/>
      <c r="F526" s="36"/>
      <c r="G526" s="36"/>
      <c r="H526" s="37"/>
      <c r="I526" s="36"/>
      <c r="J526" s="38"/>
      <c r="K526" s="38"/>
      <c r="L526" s="39"/>
      <c r="M526" s="39"/>
      <c r="N526" s="39"/>
      <c r="O526" s="39"/>
      <c r="P526" s="39"/>
      <c r="Q526" s="39"/>
      <c r="R526" s="39"/>
      <c r="S526" s="39"/>
      <c r="T526" s="39"/>
      <c r="U526" s="39"/>
      <c r="V526" s="39"/>
      <c r="W526" s="39"/>
      <c r="X526" s="39"/>
      <c r="Y526" s="39"/>
      <c r="Z526" s="39"/>
      <c r="AA526" s="39"/>
      <c r="AB526" s="39"/>
    </row>
    <row r="527">
      <c r="A527" s="1"/>
      <c r="B527" s="36"/>
      <c r="C527" s="36"/>
      <c r="D527" s="36"/>
      <c r="E527" s="36"/>
      <c r="F527" s="36"/>
      <c r="G527" s="36"/>
      <c r="H527" s="37"/>
      <c r="I527" s="36"/>
      <c r="J527" s="38"/>
      <c r="K527" s="38"/>
      <c r="L527" s="39"/>
      <c r="M527" s="39"/>
      <c r="N527" s="39"/>
      <c r="O527" s="39"/>
      <c r="P527" s="39"/>
      <c r="Q527" s="39"/>
      <c r="R527" s="39"/>
      <c r="S527" s="39"/>
      <c r="T527" s="39"/>
      <c r="U527" s="39"/>
      <c r="V527" s="39"/>
      <c r="W527" s="39"/>
      <c r="X527" s="39"/>
      <c r="Y527" s="39"/>
      <c r="Z527" s="39"/>
      <c r="AA527" s="39"/>
      <c r="AB527" s="39"/>
    </row>
    <row r="528">
      <c r="A528" s="1"/>
      <c r="B528" s="36"/>
      <c r="C528" s="36"/>
      <c r="D528" s="36"/>
      <c r="E528" s="36"/>
      <c r="F528" s="36"/>
      <c r="G528" s="36"/>
      <c r="H528" s="37"/>
      <c r="I528" s="36"/>
      <c r="J528" s="38"/>
      <c r="K528" s="38"/>
      <c r="L528" s="39"/>
      <c r="M528" s="39"/>
      <c r="N528" s="39"/>
      <c r="O528" s="39"/>
      <c r="P528" s="39"/>
      <c r="Q528" s="39"/>
      <c r="R528" s="39"/>
      <c r="S528" s="39"/>
      <c r="T528" s="39"/>
      <c r="U528" s="39"/>
      <c r="V528" s="39"/>
      <c r="W528" s="39"/>
      <c r="X528" s="39"/>
      <c r="Y528" s="39"/>
      <c r="Z528" s="39"/>
      <c r="AA528" s="39"/>
      <c r="AB528" s="39"/>
    </row>
    <row r="529">
      <c r="A529" s="1"/>
      <c r="B529" s="36"/>
      <c r="C529" s="36"/>
      <c r="D529" s="36"/>
      <c r="E529" s="36"/>
      <c r="F529" s="36"/>
      <c r="G529" s="36"/>
      <c r="H529" s="37"/>
      <c r="I529" s="36"/>
      <c r="J529" s="38"/>
      <c r="K529" s="38"/>
      <c r="L529" s="39"/>
      <c r="M529" s="39"/>
      <c r="N529" s="39"/>
      <c r="O529" s="39"/>
      <c r="P529" s="39"/>
      <c r="Q529" s="39"/>
      <c r="R529" s="39"/>
      <c r="S529" s="39"/>
      <c r="T529" s="39"/>
      <c r="U529" s="39"/>
      <c r="V529" s="39"/>
      <c r="W529" s="39"/>
      <c r="X529" s="39"/>
      <c r="Y529" s="39"/>
      <c r="Z529" s="39"/>
      <c r="AA529" s="39"/>
      <c r="AB529" s="39"/>
    </row>
    <row r="530">
      <c r="A530" s="1"/>
      <c r="B530" s="36"/>
      <c r="C530" s="36"/>
      <c r="D530" s="36"/>
      <c r="E530" s="36"/>
      <c r="F530" s="36"/>
      <c r="G530" s="36"/>
      <c r="H530" s="37"/>
      <c r="I530" s="36"/>
      <c r="J530" s="38"/>
      <c r="K530" s="38"/>
      <c r="L530" s="39"/>
      <c r="M530" s="39"/>
      <c r="N530" s="39"/>
      <c r="O530" s="39"/>
      <c r="P530" s="39"/>
      <c r="Q530" s="39"/>
      <c r="R530" s="39"/>
      <c r="S530" s="39"/>
      <c r="T530" s="39"/>
      <c r="U530" s="39"/>
      <c r="V530" s="39"/>
      <c r="W530" s="39"/>
      <c r="X530" s="39"/>
      <c r="Y530" s="39"/>
      <c r="Z530" s="39"/>
      <c r="AA530" s="39"/>
      <c r="AB530" s="39"/>
    </row>
    <row r="531">
      <c r="A531" s="1"/>
      <c r="B531" s="36"/>
      <c r="C531" s="36"/>
      <c r="D531" s="36"/>
      <c r="E531" s="36"/>
      <c r="F531" s="36"/>
      <c r="G531" s="36"/>
      <c r="H531" s="37"/>
      <c r="I531" s="36"/>
      <c r="J531" s="38"/>
      <c r="K531" s="38"/>
      <c r="L531" s="39"/>
      <c r="M531" s="39"/>
      <c r="N531" s="39"/>
      <c r="O531" s="39"/>
      <c r="P531" s="39"/>
      <c r="Q531" s="39"/>
      <c r="R531" s="39"/>
      <c r="S531" s="39"/>
      <c r="T531" s="39"/>
      <c r="U531" s="39"/>
      <c r="V531" s="39"/>
      <c r="W531" s="39"/>
      <c r="X531" s="39"/>
      <c r="Y531" s="39"/>
      <c r="Z531" s="39"/>
      <c r="AA531" s="39"/>
      <c r="AB531" s="39"/>
    </row>
    <row r="532">
      <c r="A532" s="1"/>
      <c r="B532" s="36"/>
      <c r="C532" s="36"/>
      <c r="D532" s="36"/>
      <c r="E532" s="36"/>
      <c r="F532" s="36"/>
      <c r="G532" s="36"/>
      <c r="H532" s="37"/>
      <c r="I532" s="36"/>
      <c r="J532" s="38"/>
      <c r="K532" s="38"/>
      <c r="L532" s="39"/>
      <c r="M532" s="39"/>
      <c r="N532" s="39"/>
      <c r="O532" s="39"/>
      <c r="P532" s="39"/>
      <c r="Q532" s="39"/>
      <c r="R532" s="39"/>
      <c r="S532" s="39"/>
      <c r="T532" s="39"/>
      <c r="U532" s="39"/>
      <c r="V532" s="39"/>
      <c r="W532" s="39"/>
      <c r="X532" s="39"/>
      <c r="Y532" s="39"/>
      <c r="Z532" s="39"/>
      <c r="AA532" s="39"/>
      <c r="AB532" s="39"/>
    </row>
    <row r="533">
      <c r="A533" s="1"/>
      <c r="B533" s="36"/>
      <c r="C533" s="36"/>
      <c r="D533" s="36"/>
      <c r="E533" s="36"/>
      <c r="F533" s="36"/>
      <c r="G533" s="36"/>
      <c r="H533" s="37"/>
      <c r="I533" s="36"/>
      <c r="J533" s="38"/>
      <c r="K533" s="38"/>
      <c r="L533" s="39"/>
      <c r="M533" s="39"/>
      <c r="N533" s="39"/>
      <c r="O533" s="39"/>
      <c r="P533" s="39"/>
      <c r="Q533" s="39"/>
      <c r="R533" s="39"/>
      <c r="S533" s="39"/>
      <c r="T533" s="39"/>
      <c r="U533" s="39"/>
      <c r="V533" s="39"/>
      <c r="W533" s="39"/>
      <c r="X533" s="39"/>
      <c r="Y533" s="39"/>
      <c r="Z533" s="39"/>
      <c r="AA533" s="39"/>
      <c r="AB533" s="39"/>
    </row>
    <row r="534">
      <c r="A534" s="1"/>
      <c r="B534" s="36"/>
      <c r="C534" s="36"/>
      <c r="D534" s="36"/>
      <c r="E534" s="36"/>
      <c r="F534" s="36"/>
      <c r="G534" s="36"/>
      <c r="H534" s="37"/>
      <c r="I534" s="36"/>
      <c r="J534" s="38"/>
      <c r="K534" s="38"/>
      <c r="L534" s="39"/>
      <c r="M534" s="39"/>
      <c r="N534" s="39"/>
      <c r="O534" s="39"/>
      <c r="P534" s="39"/>
      <c r="Q534" s="39"/>
      <c r="R534" s="39"/>
      <c r="S534" s="39"/>
      <c r="T534" s="39"/>
      <c r="U534" s="39"/>
      <c r="V534" s="39"/>
      <c r="W534" s="39"/>
      <c r="X534" s="39"/>
      <c r="Y534" s="39"/>
      <c r="Z534" s="39"/>
      <c r="AA534" s="39"/>
      <c r="AB534" s="39"/>
    </row>
    <row r="535">
      <c r="A535" s="1"/>
      <c r="B535" s="36"/>
      <c r="C535" s="36"/>
      <c r="D535" s="36"/>
      <c r="E535" s="36"/>
      <c r="F535" s="36"/>
      <c r="G535" s="36"/>
      <c r="H535" s="37"/>
      <c r="I535" s="36"/>
      <c r="J535" s="38"/>
      <c r="K535" s="38"/>
      <c r="L535" s="39"/>
      <c r="M535" s="39"/>
      <c r="N535" s="39"/>
      <c r="O535" s="39"/>
      <c r="P535" s="39"/>
      <c r="Q535" s="39"/>
      <c r="R535" s="39"/>
      <c r="S535" s="39"/>
      <c r="T535" s="39"/>
      <c r="U535" s="39"/>
      <c r="V535" s="39"/>
      <c r="W535" s="39"/>
      <c r="X535" s="39"/>
      <c r="Y535" s="39"/>
      <c r="Z535" s="39"/>
      <c r="AA535" s="39"/>
      <c r="AB535" s="39"/>
    </row>
    <row r="536">
      <c r="A536" s="1"/>
      <c r="B536" s="36"/>
      <c r="C536" s="36"/>
      <c r="D536" s="36"/>
      <c r="E536" s="36"/>
      <c r="F536" s="36"/>
      <c r="G536" s="36"/>
      <c r="H536" s="37"/>
      <c r="I536" s="36"/>
      <c r="J536" s="38"/>
      <c r="K536" s="38"/>
      <c r="L536" s="39"/>
      <c r="M536" s="39"/>
      <c r="N536" s="39"/>
      <c r="O536" s="39"/>
      <c r="P536" s="39"/>
      <c r="Q536" s="39"/>
      <c r="R536" s="39"/>
      <c r="S536" s="39"/>
      <c r="T536" s="39"/>
      <c r="U536" s="39"/>
      <c r="V536" s="39"/>
      <c r="W536" s="39"/>
      <c r="X536" s="39"/>
      <c r="Y536" s="39"/>
      <c r="Z536" s="39"/>
      <c r="AA536" s="39"/>
      <c r="AB536" s="39"/>
    </row>
    <row r="537">
      <c r="A537" s="1"/>
      <c r="B537" s="36"/>
      <c r="C537" s="36"/>
      <c r="D537" s="36"/>
      <c r="E537" s="36"/>
      <c r="F537" s="36"/>
      <c r="G537" s="36"/>
      <c r="H537" s="37"/>
      <c r="I537" s="36"/>
      <c r="J537" s="38"/>
      <c r="K537" s="38"/>
      <c r="L537" s="39"/>
      <c r="M537" s="39"/>
      <c r="N537" s="39"/>
      <c r="O537" s="39"/>
      <c r="P537" s="39"/>
      <c r="Q537" s="39"/>
      <c r="R537" s="39"/>
      <c r="S537" s="39"/>
      <c r="T537" s="39"/>
      <c r="U537" s="39"/>
      <c r="V537" s="39"/>
      <c r="W537" s="39"/>
      <c r="X537" s="39"/>
      <c r="Y537" s="39"/>
      <c r="Z537" s="39"/>
      <c r="AA537" s="39"/>
      <c r="AB537" s="39"/>
    </row>
    <row r="538">
      <c r="A538" s="1"/>
      <c r="B538" s="36"/>
      <c r="C538" s="36"/>
      <c r="D538" s="36"/>
      <c r="E538" s="36"/>
      <c r="F538" s="36"/>
      <c r="G538" s="36"/>
      <c r="H538" s="37"/>
      <c r="I538" s="36"/>
      <c r="J538" s="38"/>
      <c r="K538" s="38"/>
      <c r="L538" s="39"/>
      <c r="M538" s="39"/>
      <c r="N538" s="39"/>
      <c r="O538" s="39"/>
      <c r="P538" s="39"/>
      <c r="Q538" s="39"/>
      <c r="R538" s="39"/>
      <c r="S538" s="39"/>
      <c r="T538" s="39"/>
      <c r="U538" s="39"/>
      <c r="V538" s="39"/>
      <c r="W538" s="39"/>
      <c r="X538" s="39"/>
      <c r="Y538" s="39"/>
      <c r="Z538" s="39"/>
      <c r="AA538" s="39"/>
      <c r="AB538" s="39"/>
    </row>
    <row r="539">
      <c r="A539" s="1"/>
      <c r="B539" s="36"/>
      <c r="C539" s="36"/>
      <c r="D539" s="36"/>
      <c r="E539" s="36"/>
      <c r="F539" s="36"/>
      <c r="G539" s="36"/>
      <c r="H539" s="37"/>
      <c r="I539" s="36"/>
      <c r="J539" s="38"/>
      <c r="K539" s="38"/>
      <c r="L539" s="39"/>
      <c r="M539" s="39"/>
      <c r="N539" s="39"/>
      <c r="O539" s="39"/>
      <c r="P539" s="39"/>
      <c r="Q539" s="39"/>
      <c r="R539" s="39"/>
      <c r="S539" s="39"/>
      <c r="T539" s="39"/>
      <c r="U539" s="39"/>
      <c r="V539" s="39"/>
      <c r="W539" s="39"/>
      <c r="X539" s="39"/>
      <c r="Y539" s="39"/>
      <c r="Z539" s="39"/>
      <c r="AA539" s="39"/>
      <c r="AB539" s="39"/>
    </row>
    <row r="540">
      <c r="A540" s="1"/>
      <c r="B540" s="36"/>
      <c r="C540" s="36"/>
      <c r="D540" s="36"/>
      <c r="E540" s="36"/>
      <c r="F540" s="36"/>
      <c r="G540" s="36"/>
      <c r="H540" s="37"/>
      <c r="I540" s="36"/>
      <c r="J540" s="38"/>
      <c r="K540" s="38"/>
      <c r="L540" s="39"/>
      <c r="M540" s="39"/>
      <c r="N540" s="39"/>
      <c r="O540" s="39"/>
      <c r="P540" s="39"/>
      <c r="Q540" s="39"/>
      <c r="R540" s="39"/>
      <c r="S540" s="39"/>
      <c r="T540" s="39"/>
      <c r="U540" s="39"/>
      <c r="V540" s="39"/>
      <c r="W540" s="39"/>
      <c r="X540" s="39"/>
      <c r="Y540" s="39"/>
      <c r="Z540" s="39"/>
      <c r="AA540" s="39"/>
      <c r="AB540" s="39"/>
    </row>
    <row r="541">
      <c r="A541" s="1"/>
      <c r="B541" s="36"/>
      <c r="C541" s="36"/>
      <c r="D541" s="36"/>
      <c r="E541" s="36"/>
      <c r="F541" s="36"/>
      <c r="G541" s="36"/>
      <c r="H541" s="37"/>
      <c r="I541" s="36"/>
      <c r="J541" s="38"/>
      <c r="K541" s="38"/>
      <c r="L541" s="39"/>
      <c r="M541" s="39"/>
      <c r="N541" s="39"/>
      <c r="O541" s="39"/>
      <c r="P541" s="39"/>
      <c r="Q541" s="39"/>
      <c r="R541" s="39"/>
      <c r="S541" s="39"/>
      <c r="T541" s="39"/>
      <c r="U541" s="39"/>
      <c r="V541" s="39"/>
      <c r="W541" s="39"/>
      <c r="X541" s="39"/>
      <c r="Y541" s="39"/>
      <c r="Z541" s="39"/>
      <c r="AA541" s="39"/>
      <c r="AB541" s="39"/>
    </row>
    <row r="542">
      <c r="A542" s="1"/>
      <c r="B542" s="36"/>
      <c r="C542" s="36"/>
      <c r="D542" s="36"/>
      <c r="E542" s="36"/>
      <c r="F542" s="36"/>
      <c r="G542" s="36"/>
      <c r="H542" s="37"/>
      <c r="I542" s="36"/>
      <c r="J542" s="38"/>
      <c r="K542" s="38"/>
      <c r="L542" s="39"/>
      <c r="M542" s="39"/>
      <c r="N542" s="39"/>
      <c r="O542" s="39"/>
      <c r="P542" s="39"/>
      <c r="Q542" s="39"/>
      <c r="R542" s="39"/>
      <c r="S542" s="39"/>
      <c r="T542" s="39"/>
      <c r="U542" s="39"/>
      <c r="V542" s="39"/>
      <c r="W542" s="39"/>
      <c r="X542" s="39"/>
      <c r="Y542" s="39"/>
      <c r="Z542" s="39"/>
      <c r="AA542" s="39"/>
      <c r="AB542" s="39"/>
    </row>
    <row r="543">
      <c r="A543" s="1"/>
      <c r="B543" s="36"/>
      <c r="C543" s="36"/>
      <c r="D543" s="36"/>
      <c r="E543" s="36"/>
      <c r="F543" s="36"/>
      <c r="G543" s="36"/>
      <c r="H543" s="37"/>
      <c r="I543" s="36"/>
      <c r="J543" s="38"/>
      <c r="K543" s="38"/>
      <c r="L543" s="39"/>
      <c r="M543" s="39"/>
      <c r="N543" s="39"/>
      <c r="O543" s="39"/>
      <c r="P543" s="39"/>
      <c r="Q543" s="39"/>
      <c r="R543" s="39"/>
      <c r="S543" s="39"/>
      <c r="T543" s="39"/>
      <c r="U543" s="39"/>
      <c r="V543" s="39"/>
      <c r="W543" s="39"/>
      <c r="X543" s="39"/>
      <c r="Y543" s="39"/>
      <c r="Z543" s="39"/>
      <c r="AA543" s="39"/>
      <c r="AB543" s="39"/>
    </row>
    <row r="544">
      <c r="A544" s="1"/>
      <c r="B544" s="36"/>
      <c r="C544" s="36"/>
      <c r="D544" s="36"/>
      <c r="E544" s="36"/>
      <c r="F544" s="36"/>
      <c r="G544" s="36"/>
      <c r="H544" s="37"/>
      <c r="I544" s="36"/>
      <c r="J544" s="38"/>
      <c r="K544" s="38"/>
      <c r="L544" s="39"/>
      <c r="M544" s="39"/>
      <c r="N544" s="39"/>
      <c r="O544" s="39"/>
      <c r="P544" s="39"/>
      <c r="Q544" s="39"/>
      <c r="R544" s="39"/>
      <c r="S544" s="39"/>
      <c r="T544" s="39"/>
      <c r="U544" s="39"/>
      <c r="V544" s="39"/>
      <c r="W544" s="39"/>
      <c r="X544" s="39"/>
      <c r="Y544" s="39"/>
      <c r="Z544" s="39"/>
      <c r="AA544" s="39"/>
      <c r="AB544" s="39"/>
    </row>
    <row r="545">
      <c r="A545" s="1"/>
      <c r="B545" s="36"/>
      <c r="C545" s="36"/>
      <c r="D545" s="36"/>
      <c r="E545" s="36"/>
      <c r="F545" s="36"/>
      <c r="G545" s="36"/>
      <c r="H545" s="37"/>
      <c r="I545" s="36"/>
      <c r="J545" s="38"/>
      <c r="K545" s="38"/>
      <c r="L545" s="39"/>
      <c r="M545" s="39"/>
      <c r="N545" s="39"/>
      <c r="O545" s="39"/>
      <c r="P545" s="39"/>
      <c r="Q545" s="39"/>
      <c r="R545" s="39"/>
      <c r="S545" s="39"/>
      <c r="T545" s="39"/>
      <c r="U545" s="39"/>
      <c r="V545" s="39"/>
      <c r="W545" s="39"/>
      <c r="X545" s="39"/>
      <c r="Y545" s="39"/>
      <c r="Z545" s="39"/>
      <c r="AA545" s="39"/>
      <c r="AB545" s="39"/>
    </row>
    <row r="546">
      <c r="A546" s="1"/>
      <c r="B546" s="36"/>
      <c r="C546" s="36"/>
      <c r="D546" s="36"/>
      <c r="E546" s="36"/>
      <c r="F546" s="36"/>
      <c r="G546" s="36"/>
      <c r="H546" s="37"/>
      <c r="I546" s="36"/>
      <c r="J546" s="38"/>
      <c r="K546" s="38"/>
      <c r="L546" s="39"/>
      <c r="M546" s="39"/>
      <c r="N546" s="39"/>
      <c r="O546" s="39"/>
      <c r="P546" s="39"/>
      <c r="Q546" s="39"/>
      <c r="R546" s="39"/>
      <c r="S546" s="39"/>
      <c r="T546" s="39"/>
      <c r="U546" s="39"/>
      <c r="V546" s="39"/>
      <c r="W546" s="39"/>
      <c r="X546" s="39"/>
      <c r="Y546" s="39"/>
      <c r="Z546" s="39"/>
      <c r="AA546" s="39"/>
      <c r="AB546" s="39"/>
    </row>
    <row r="547">
      <c r="A547" s="1"/>
      <c r="B547" s="36"/>
      <c r="C547" s="36"/>
      <c r="D547" s="36"/>
      <c r="E547" s="36"/>
      <c r="F547" s="36"/>
      <c r="G547" s="36"/>
      <c r="H547" s="37"/>
      <c r="I547" s="36"/>
      <c r="J547" s="38"/>
      <c r="K547" s="38"/>
      <c r="L547" s="39"/>
      <c r="M547" s="39"/>
      <c r="N547" s="39"/>
      <c r="O547" s="39"/>
      <c r="P547" s="39"/>
      <c r="Q547" s="39"/>
      <c r="R547" s="39"/>
      <c r="S547" s="39"/>
      <c r="T547" s="39"/>
      <c r="U547" s="39"/>
      <c r="V547" s="39"/>
      <c r="W547" s="39"/>
      <c r="X547" s="39"/>
      <c r="Y547" s="39"/>
      <c r="Z547" s="39"/>
      <c r="AA547" s="39"/>
      <c r="AB547" s="39"/>
    </row>
    <row r="548">
      <c r="A548" s="1"/>
      <c r="B548" s="36"/>
      <c r="C548" s="36"/>
      <c r="D548" s="36"/>
      <c r="E548" s="36"/>
      <c r="F548" s="36"/>
      <c r="G548" s="36"/>
      <c r="H548" s="37"/>
      <c r="I548" s="36"/>
      <c r="J548" s="38"/>
      <c r="K548" s="38"/>
      <c r="L548" s="39"/>
      <c r="M548" s="39"/>
      <c r="N548" s="39"/>
      <c r="O548" s="39"/>
      <c r="P548" s="39"/>
      <c r="Q548" s="39"/>
      <c r="R548" s="39"/>
      <c r="S548" s="39"/>
      <c r="T548" s="39"/>
      <c r="U548" s="39"/>
      <c r="V548" s="39"/>
      <c r="W548" s="39"/>
      <c r="X548" s="39"/>
      <c r="Y548" s="39"/>
      <c r="Z548" s="39"/>
      <c r="AA548" s="39"/>
      <c r="AB548" s="39"/>
    </row>
    <row r="549">
      <c r="A549" s="1"/>
      <c r="B549" s="36"/>
      <c r="C549" s="36"/>
      <c r="D549" s="36"/>
      <c r="E549" s="36"/>
      <c r="F549" s="36"/>
      <c r="G549" s="36"/>
      <c r="H549" s="37"/>
      <c r="I549" s="36"/>
      <c r="J549" s="38"/>
      <c r="K549" s="38"/>
      <c r="L549" s="39"/>
      <c r="M549" s="39"/>
      <c r="N549" s="39"/>
      <c r="O549" s="39"/>
      <c r="P549" s="39"/>
      <c r="Q549" s="39"/>
      <c r="R549" s="39"/>
      <c r="S549" s="39"/>
      <c r="T549" s="39"/>
      <c r="U549" s="39"/>
      <c r="V549" s="39"/>
      <c r="W549" s="39"/>
      <c r="X549" s="39"/>
      <c r="Y549" s="39"/>
      <c r="Z549" s="39"/>
      <c r="AA549" s="39"/>
      <c r="AB549" s="39"/>
    </row>
    <row r="550">
      <c r="A550" s="1"/>
      <c r="B550" s="36"/>
      <c r="C550" s="36"/>
      <c r="D550" s="36"/>
      <c r="E550" s="36"/>
      <c r="F550" s="36"/>
      <c r="G550" s="36"/>
      <c r="H550" s="37"/>
      <c r="I550" s="36"/>
      <c r="J550" s="38"/>
      <c r="K550" s="38"/>
      <c r="L550" s="39"/>
      <c r="M550" s="39"/>
      <c r="N550" s="39"/>
      <c r="O550" s="39"/>
      <c r="P550" s="39"/>
      <c r="Q550" s="39"/>
      <c r="R550" s="39"/>
      <c r="S550" s="39"/>
      <c r="T550" s="39"/>
      <c r="U550" s="39"/>
      <c r="V550" s="39"/>
      <c r="W550" s="39"/>
      <c r="X550" s="39"/>
      <c r="Y550" s="39"/>
      <c r="Z550" s="39"/>
      <c r="AA550" s="39"/>
      <c r="AB550" s="39"/>
    </row>
    <row r="551">
      <c r="A551" s="1"/>
      <c r="B551" s="36"/>
      <c r="C551" s="36"/>
      <c r="D551" s="36"/>
      <c r="E551" s="36"/>
      <c r="F551" s="36"/>
      <c r="G551" s="36"/>
      <c r="H551" s="37"/>
      <c r="I551" s="36"/>
      <c r="J551" s="38"/>
      <c r="K551" s="38"/>
      <c r="L551" s="39"/>
      <c r="M551" s="39"/>
      <c r="N551" s="39"/>
      <c r="O551" s="39"/>
      <c r="P551" s="39"/>
      <c r="Q551" s="39"/>
      <c r="R551" s="39"/>
      <c r="S551" s="39"/>
      <c r="T551" s="39"/>
      <c r="U551" s="39"/>
      <c r="V551" s="39"/>
      <c r="W551" s="39"/>
      <c r="X551" s="39"/>
      <c r="Y551" s="39"/>
      <c r="Z551" s="39"/>
      <c r="AA551" s="39"/>
      <c r="AB551" s="39"/>
    </row>
    <row r="552">
      <c r="A552" s="1"/>
      <c r="B552" s="36"/>
      <c r="C552" s="36"/>
      <c r="D552" s="36"/>
      <c r="E552" s="36"/>
      <c r="F552" s="36"/>
      <c r="G552" s="36"/>
      <c r="H552" s="37"/>
      <c r="I552" s="36"/>
      <c r="J552" s="38"/>
      <c r="K552" s="38"/>
      <c r="L552" s="39"/>
      <c r="M552" s="39"/>
      <c r="N552" s="39"/>
      <c r="O552" s="39"/>
      <c r="P552" s="39"/>
      <c r="Q552" s="39"/>
      <c r="R552" s="39"/>
      <c r="S552" s="39"/>
      <c r="T552" s="39"/>
      <c r="U552" s="39"/>
      <c r="V552" s="39"/>
      <c r="W552" s="39"/>
      <c r="X552" s="39"/>
      <c r="Y552" s="39"/>
      <c r="Z552" s="39"/>
      <c r="AA552" s="39"/>
      <c r="AB552" s="39"/>
    </row>
    <row r="553">
      <c r="A553" s="1"/>
      <c r="B553" s="36"/>
      <c r="C553" s="36"/>
      <c r="D553" s="36"/>
      <c r="E553" s="36"/>
      <c r="F553" s="36"/>
      <c r="G553" s="36"/>
      <c r="H553" s="37"/>
      <c r="I553" s="36"/>
      <c r="J553" s="38"/>
      <c r="K553" s="38"/>
      <c r="L553" s="39"/>
      <c r="M553" s="39"/>
      <c r="N553" s="39"/>
      <c r="O553" s="39"/>
      <c r="P553" s="39"/>
      <c r="Q553" s="39"/>
      <c r="R553" s="39"/>
      <c r="S553" s="39"/>
      <c r="T553" s="39"/>
      <c r="U553" s="39"/>
      <c r="V553" s="39"/>
      <c r="W553" s="39"/>
      <c r="X553" s="39"/>
      <c r="Y553" s="39"/>
      <c r="Z553" s="39"/>
      <c r="AA553" s="39"/>
      <c r="AB553" s="39"/>
    </row>
    <row r="554">
      <c r="A554" s="1"/>
      <c r="B554" s="36"/>
      <c r="C554" s="36"/>
      <c r="D554" s="36"/>
      <c r="E554" s="36"/>
      <c r="F554" s="36"/>
      <c r="G554" s="36"/>
      <c r="H554" s="37"/>
      <c r="I554" s="36"/>
      <c r="J554" s="38"/>
      <c r="K554" s="38"/>
      <c r="L554" s="39"/>
      <c r="M554" s="39"/>
      <c r="N554" s="39"/>
      <c r="O554" s="39"/>
      <c r="P554" s="39"/>
      <c r="Q554" s="39"/>
      <c r="R554" s="39"/>
      <c r="S554" s="39"/>
      <c r="T554" s="39"/>
      <c r="U554" s="39"/>
      <c r="V554" s="39"/>
      <c r="W554" s="39"/>
      <c r="X554" s="39"/>
      <c r="Y554" s="39"/>
      <c r="Z554" s="39"/>
      <c r="AA554" s="39"/>
      <c r="AB554" s="39"/>
    </row>
    <row r="555">
      <c r="A555" s="1"/>
      <c r="B555" s="36"/>
      <c r="C555" s="36"/>
      <c r="D555" s="36"/>
      <c r="E555" s="36"/>
      <c r="F555" s="36"/>
      <c r="G555" s="36"/>
      <c r="H555" s="37"/>
      <c r="I555" s="36"/>
      <c r="J555" s="38"/>
      <c r="K555" s="38"/>
      <c r="L555" s="39"/>
      <c r="M555" s="39"/>
      <c r="N555" s="39"/>
      <c r="O555" s="39"/>
      <c r="P555" s="39"/>
      <c r="Q555" s="39"/>
      <c r="R555" s="39"/>
      <c r="S555" s="39"/>
      <c r="T555" s="39"/>
      <c r="U555" s="39"/>
      <c r="V555" s="39"/>
      <c r="W555" s="39"/>
      <c r="X555" s="39"/>
      <c r="Y555" s="39"/>
      <c r="Z555" s="39"/>
      <c r="AA555" s="39"/>
      <c r="AB555" s="39"/>
    </row>
    <row r="556">
      <c r="A556" s="1"/>
      <c r="B556" s="36"/>
      <c r="C556" s="36"/>
      <c r="D556" s="36"/>
      <c r="E556" s="36"/>
      <c r="F556" s="36"/>
      <c r="G556" s="36"/>
      <c r="H556" s="37"/>
      <c r="I556" s="36"/>
      <c r="J556" s="38"/>
      <c r="K556" s="38"/>
      <c r="L556" s="39"/>
      <c r="M556" s="39"/>
      <c r="N556" s="39"/>
      <c r="O556" s="39"/>
      <c r="P556" s="39"/>
      <c r="Q556" s="39"/>
      <c r="R556" s="39"/>
      <c r="S556" s="39"/>
      <c r="T556" s="39"/>
      <c r="U556" s="39"/>
      <c r="V556" s="39"/>
      <c r="W556" s="39"/>
      <c r="X556" s="39"/>
      <c r="Y556" s="39"/>
      <c r="Z556" s="39"/>
      <c r="AA556" s="39"/>
      <c r="AB556" s="39"/>
    </row>
    <row r="557">
      <c r="A557" s="1"/>
      <c r="B557" s="36"/>
      <c r="C557" s="36"/>
      <c r="D557" s="36"/>
      <c r="E557" s="36"/>
      <c r="F557" s="36"/>
      <c r="G557" s="36"/>
      <c r="H557" s="37"/>
      <c r="I557" s="36"/>
      <c r="J557" s="38"/>
      <c r="K557" s="38"/>
      <c r="L557" s="39"/>
      <c r="M557" s="39"/>
      <c r="N557" s="39"/>
      <c r="O557" s="39"/>
      <c r="P557" s="39"/>
      <c r="Q557" s="39"/>
      <c r="R557" s="39"/>
      <c r="S557" s="39"/>
      <c r="T557" s="39"/>
      <c r="U557" s="39"/>
      <c r="V557" s="39"/>
      <c r="W557" s="39"/>
      <c r="X557" s="39"/>
      <c r="Y557" s="39"/>
      <c r="Z557" s="39"/>
      <c r="AA557" s="39"/>
      <c r="AB557" s="39"/>
    </row>
    <row r="558">
      <c r="A558" s="1"/>
      <c r="B558" s="36"/>
      <c r="C558" s="36"/>
      <c r="D558" s="36"/>
      <c r="E558" s="36"/>
      <c r="F558" s="36"/>
      <c r="G558" s="36"/>
      <c r="H558" s="37"/>
      <c r="I558" s="36"/>
      <c r="J558" s="38"/>
      <c r="K558" s="38"/>
      <c r="L558" s="39"/>
      <c r="M558" s="39"/>
      <c r="N558" s="39"/>
      <c r="O558" s="39"/>
      <c r="P558" s="39"/>
      <c r="Q558" s="39"/>
      <c r="R558" s="39"/>
      <c r="S558" s="39"/>
      <c r="T558" s="39"/>
      <c r="U558" s="39"/>
      <c r="V558" s="39"/>
      <c r="W558" s="39"/>
      <c r="X558" s="39"/>
      <c r="Y558" s="39"/>
      <c r="Z558" s="39"/>
      <c r="AA558" s="39"/>
      <c r="AB558" s="39"/>
    </row>
    <row r="559">
      <c r="A559" s="1"/>
      <c r="B559" s="36"/>
      <c r="C559" s="36"/>
      <c r="D559" s="36"/>
      <c r="E559" s="36"/>
      <c r="F559" s="36"/>
      <c r="G559" s="36"/>
      <c r="H559" s="37"/>
      <c r="I559" s="36"/>
      <c r="J559" s="38"/>
      <c r="K559" s="38"/>
      <c r="L559" s="39"/>
      <c r="M559" s="39"/>
      <c r="N559" s="39"/>
      <c r="O559" s="39"/>
      <c r="P559" s="39"/>
      <c r="Q559" s="39"/>
      <c r="R559" s="39"/>
      <c r="S559" s="39"/>
      <c r="T559" s="39"/>
      <c r="U559" s="39"/>
      <c r="V559" s="39"/>
      <c r="W559" s="39"/>
      <c r="X559" s="39"/>
      <c r="Y559" s="39"/>
      <c r="Z559" s="39"/>
      <c r="AA559" s="39"/>
      <c r="AB559" s="39"/>
    </row>
    <row r="560">
      <c r="A560" s="1"/>
      <c r="B560" s="36"/>
      <c r="C560" s="36"/>
      <c r="D560" s="36"/>
      <c r="E560" s="36"/>
      <c r="F560" s="36"/>
      <c r="G560" s="36"/>
      <c r="H560" s="37"/>
      <c r="I560" s="36"/>
      <c r="J560" s="38"/>
      <c r="K560" s="38"/>
      <c r="L560" s="39"/>
      <c r="M560" s="39"/>
      <c r="N560" s="39"/>
      <c r="O560" s="39"/>
      <c r="P560" s="39"/>
      <c r="Q560" s="39"/>
      <c r="R560" s="39"/>
      <c r="S560" s="39"/>
      <c r="T560" s="39"/>
      <c r="U560" s="39"/>
      <c r="V560" s="39"/>
      <c r="W560" s="39"/>
      <c r="X560" s="39"/>
      <c r="Y560" s="39"/>
      <c r="Z560" s="39"/>
      <c r="AA560" s="39"/>
      <c r="AB560" s="39"/>
    </row>
    <row r="561">
      <c r="A561" s="1"/>
      <c r="B561" s="36"/>
      <c r="C561" s="36"/>
      <c r="D561" s="36"/>
      <c r="E561" s="36"/>
      <c r="F561" s="36"/>
      <c r="G561" s="36"/>
      <c r="H561" s="37"/>
      <c r="I561" s="36"/>
      <c r="J561" s="38"/>
      <c r="K561" s="38"/>
      <c r="L561" s="39"/>
      <c r="M561" s="39"/>
      <c r="N561" s="39"/>
      <c r="O561" s="39"/>
      <c r="P561" s="39"/>
      <c r="Q561" s="39"/>
      <c r="R561" s="39"/>
      <c r="S561" s="39"/>
      <c r="T561" s="39"/>
      <c r="U561" s="39"/>
      <c r="V561" s="39"/>
      <c r="W561" s="39"/>
      <c r="X561" s="39"/>
      <c r="Y561" s="39"/>
      <c r="Z561" s="39"/>
      <c r="AA561" s="39"/>
      <c r="AB561" s="39"/>
    </row>
    <row r="562">
      <c r="A562" s="1"/>
      <c r="B562" s="36"/>
      <c r="C562" s="36"/>
      <c r="D562" s="36"/>
      <c r="E562" s="36"/>
      <c r="F562" s="36"/>
      <c r="G562" s="36"/>
      <c r="H562" s="37"/>
      <c r="I562" s="36"/>
      <c r="J562" s="38"/>
      <c r="K562" s="38"/>
      <c r="L562" s="39"/>
      <c r="M562" s="39"/>
      <c r="N562" s="39"/>
      <c r="O562" s="39"/>
      <c r="P562" s="39"/>
      <c r="Q562" s="39"/>
      <c r="R562" s="39"/>
      <c r="S562" s="39"/>
      <c r="T562" s="39"/>
      <c r="U562" s="39"/>
      <c r="V562" s="39"/>
      <c r="W562" s="39"/>
      <c r="X562" s="39"/>
      <c r="Y562" s="39"/>
      <c r="Z562" s="39"/>
      <c r="AA562" s="39"/>
      <c r="AB562" s="39"/>
    </row>
    <row r="563">
      <c r="A563" s="1"/>
      <c r="B563" s="36"/>
      <c r="C563" s="36"/>
      <c r="D563" s="36"/>
      <c r="E563" s="36"/>
      <c r="F563" s="36"/>
      <c r="G563" s="36"/>
      <c r="H563" s="37"/>
      <c r="I563" s="36"/>
      <c r="J563" s="38"/>
      <c r="K563" s="38"/>
      <c r="L563" s="39"/>
      <c r="M563" s="39"/>
      <c r="N563" s="39"/>
      <c r="O563" s="39"/>
      <c r="P563" s="39"/>
      <c r="Q563" s="39"/>
      <c r="R563" s="39"/>
      <c r="S563" s="39"/>
      <c r="T563" s="39"/>
      <c r="U563" s="39"/>
      <c r="V563" s="39"/>
      <c r="W563" s="39"/>
      <c r="X563" s="39"/>
      <c r="Y563" s="39"/>
      <c r="Z563" s="39"/>
      <c r="AA563" s="39"/>
      <c r="AB563" s="39"/>
    </row>
    <row r="564">
      <c r="A564" s="1"/>
      <c r="B564" s="36"/>
      <c r="C564" s="36"/>
      <c r="D564" s="36"/>
      <c r="E564" s="36"/>
      <c r="F564" s="36"/>
      <c r="G564" s="36"/>
      <c r="H564" s="37"/>
      <c r="I564" s="36"/>
      <c r="J564" s="38"/>
      <c r="K564" s="38"/>
      <c r="L564" s="39"/>
      <c r="M564" s="39"/>
      <c r="N564" s="39"/>
      <c r="O564" s="39"/>
      <c r="P564" s="39"/>
      <c r="Q564" s="39"/>
      <c r="R564" s="39"/>
      <c r="S564" s="39"/>
      <c r="T564" s="39"/>
      <c r="U564" s="39"/>
      <c r="V564" s="39"/>
      <c r="W564" s="39"/>
      <c r="X564" s="39"/>
      <c r="Y564" s="39"/>
      <c r="Z564" s="39"/>
      <c r="AA564" s="39"/>
      <c r="AB564" s="39"/>
    </row>
    <row r="565">
      <c r="A565" s="1"/>
      <c r="B565" s="36"/>
      <c r="C565" s="36"/>
      <c r="D565" s="36"/>
      <c r="E565" s="36"/>
      <c r="F565" s="36"/>
      <c r="G565" s="36"/>
      <c r="H565" s="37"/>
      <c r="I565" s="36"/>
      <c r="J565" s="38"/>
      <c r="K565" s="38"/>
      <c r="L565" s="39"/>
      <c r="M565" s="39"/>
      <c r="N565" s="39"/>
      <c r="O565" s="39"/>
      <c r="P565" s="39"/>
      <c r="Q565" s="39"/>
      <c r="R565" s="39"/>
      <c r="S565" s="39"/>
      <c r="T565" s="39"/>
      <c r="U565" s="39"/>
      <c r="V565" s="39"/>
      <c r="W565" s="39"/>
      <c r="X565" s="39"/>
      <c r="Y565" s="39"/>
      <c r="Z565" s="39"/>
      <c r="AA565" s="39"/>
      <c r="AB565" s="39"/>
    </row>
    <row r="566">
      <c r="A566" s="1"/>
      <c r="B566" s="36"/>
      <c r="C566" s="36"/>
      <c r="D566" s="36"/>
      <c r="E566" s="36"/>
      <c r="F566" s="36"/>
      <c r="G566" s="36"/>
      <c r="H566" s="37"/>
      <c r="I566" s="36"/>
      <c r="J566" s="38"/>
      <c r="K566" s="38"/>
      <c r="L566" s="39"/>
      <c r="M566" s="39"/>
      <c r="N566" s="39"/>
      <c r="O566" s="39"/>
      <c r="P566" s="39"/>
      <c r="Q566" s="39"/>
      <c r="R566" s="39"/>
      <c r="S566" s="39"/>
      <c r="T566" s="39"/>
      <c r="U566" s="39"/>
      <c r="V566" s="39"/>
      <c r="W566" s="39"/>
      <c r="X566" s="39"/>
      <c r="Y566" s="39"/>
      <c r="Z566" s="39"/>
      <c r="AA566" s="39"/>
      <c r="AB566" s="39"/>
    </row>
    <row r="567">
      <c r="A567" s="1"/>
      <c r="B567" s="36"/>
      <c r="C567" s="36"/>
      <c r="D567" s="36"/>
      <c r="E567" s="36"/>
      <c r="F567" s="36"/>
      <c r="G567" s="36"/>
      <c r="H567" s="37"/>
      <c r="I567" s="36"/>
      <c r="J567" s="38"/>
      <c r="K567" s="38"/>
      <c r="L567" s="39"/>
      <c r="M567" s="39"/>
      <c r="N567" s="39"/>
      <c r="O567" s="39"/>
      <c r="P567" s="39"/>
      <c r="Q567" s="39"/>
      <c r="R567" s="39"/>
      <c r="S567" s="39"/>
      <c r="T567" s="39"/>
      <c r="U567" s="39"/>
      <c r="V567" s="39"/>
      <c r="W567" s="39"/>
      <c r="X567" s="39"/>
      <c r="Y567" s="39"/>
      <c r="Z567" s="39"/>
      <c r="AA567" s="39"/>
      <c r="AB567" s="39"/>
    </row>
    <row r="568">
      <c r="A568" s="1"/>
      <c r="B568" s="36"/>
      <c r="C568" s="36"/>
      <c r="D568" s="36"/>
      <c r="E568" s="36"/>
      <c r="F568" s="36"/>
      <c r="G568" s="36"/>
      <c r="H568" s="37"/>
      <c r="I568" s="36"/>
      <c r="J568" s="38"/>
      <c r="K568" s="38"/>
      <c r="L568" s="39"/>
      <c r="M568" s="39"/>
      <c r="N568" s="39"/>
      <c r="O568" s="39"/>
      <c r="P568" s="39"/>
      <c r="Q568" s="39"/>
      <c r="R568" s="39"/>
      <c r="S568" s="39"/>
      <c r="T568" s="39"/>
      <c r="U568" s="39"/>
      <c r="V568" s="39"/>
      <c r="W568" s="39"/>
      <c r="X568" s="39"/>
      <c r="Y568" s="39"/>
      <c r="Z568" s="39"/>
      <c r="AA568" s="39"/>
      <c r="AB568" s="39"/>
    </row>
    <row r="569">
      <c r="A569" s="1"/>
      <c r="B569" s="36"/>
      <c r="C569" s="36"/>
      <c r="D569" s="36"/>
      <c r="E569" s="36"/>
      <c r="F569" s="36"/>
      <c r="G569" s="36"/>
      <c r="H569" s="37"/>
      <c r="I569" s="36"/>
      <c r="J569" s="38"/>
      <c r="K569" s="38"/>
      <c r="L569" s="39"/>
      <c r="M569" s="39"/>
      <c r="N569" s="39"/>
      <c r="O569" s="39"/>
      <c r="P569" s="39"/>
      <c r="Q569" s="39"/>
      <c r="R569" s="39"/>
      <c r="S569" s="39"/>
      <c r="T569" s="39"/>
      <c r="U569" s="39"/>
      <c r="V569" s="39"/>
      <c r="W569" s="39"/>
      <c r="X569" s="39"/>
      <c r="Y569" s="39"/>
      <c r="Z569" s="39"/>
      <c r="AA569" s="39"/>
      <c r="AB569" s="39"/>
    </row>
    <row r="570">
      <c r="A570" s="1"/>
      <c r="B570" s="36"/>
      <c r="C570" s="36"/>
      <c r="D570" s="36"/>
      <c r="E570" s="36"/>
      <c r="F570" s="36"/>
      <c r="G570" s="36"/>
      <c r="H570" s="37"/>
      <c r="I570" s="36"/>
      <c r="J570" s="38"/>
      <c r="K570" s="38"/>
      <c r="L570" s="39"/>
      <c r="M570" s="39"/>
      <c r="N570" s="39"/>
      <c r="O570" s="39"/>
      <c r="P570" s="39"/>
      <c r="Q570" s="39"/>
      <c r="R570" s="39"/>
      <c r="S570" s="39"/>
      <c r="T570" s="39"/>
      <c r="U570" s="39"/>
      <c r="V570" s="39"/>
      <c r="W570" s="39"/>
      <c r="X570" s="39"/>
      <c r="Y570" s="39"/>
      <c r="Z570" s="39"/>
      <c r="AA570" s="39"/>
      <c r="AB570" s="39"/>
    </row>
    <row r="571">
      <c r="A571" s="1"/>
      <c r="B571" s="36"/>
      <c r="C571" s="36"/>
      <c r="D571" s="36"/>
      <c r="E571" s="36"/>
      <c r="F571" s="36"/>
      <c r="G571" s="36"/>
      <c r="H571" s="37"/>
      <c r="I571" s="36"/>
      <c r="J571" s="38"/>
      <c r="K571" s="38"/>
      <c r="L571" s="39"/>
      <c r="M571" s="39"/>
      <c r="N571" s="39"/>
      <c r="O571" s="39"/>
      <c r="P571" s="39"/>
      <c r="Q571" s="39"/>
      <c r="R571" s="39"/>
      <c r="S571" s="39"/>
      <c r="T571" s="39"/>
      <c r="U571" s="39"/>
      <c r="V571" s="39"/>
      <c r="W571" s="39"/>
      <c r="X571" s="39"/>
      <c r="Y571" s="39"/>
      <c r="Z571" s="39"/>
      <c r="AA571" s="39"/>
      <c r="AB571" s="39"/>
    </row>
    <row r="572">
      <c r="A572" s="1"/>
      <c r="B572" s="36"/>
      <c r="C572" s="36"/>
      <c r="D572" s="36"/>
      <c r="E572" s="36"/>
      <c r="F572" s="36"/>
      <c r="G572" s="36"/>
      <c r="H572" s="37"/>
      <c r="I572" s="36"/>
      <c r="J572" s="38"/>
      <c r="K572" s="38"/>
      <c r="L572" s="39"/>
      <c r="M572" s="39"/>
      <c r="N572" s="39"/>
      <c r="O572" s="39"/>
      <c r="P572" s="39"/>
      <c r="Q572" s="39"/>
      <c r="R572" s="39"/>
      <c r="S572" s="39"/>
      <c r="T572" s="39"/>
      <c r="U572" s="39"/>
      <c r="V572" s="39"/>
      <c r="W572" s="39"/>
      <c r="X572" s="39"/>
      <c r="Y572" s="39"/>
      <c r="Z572" s="39"/>
      <c r="AA572" s="39"/>
      <c r="AB572" s="39"/>
    </row>
    <row r="573">
      <c r="A573" s="1"/>
      <c r="B573" s="36"/>
      <c r="C573" s="36"/>
      <c r="D573" s="36"/>
      <c r="E573" s="36"/>
      <c r="F573" s="36"/>
      <c r="G573" s="36"/>
      <c r="H573" s="37"/>
      <c r="I573" s="36"/>
      <c r="J573" s="38"/>
      <c r="K573" s="38"/>
      <c r="L573" s="39"/>
      <c r="M573" s="39"/>
      <c r="N573" s="39"/>
      <c r="O573" s="39"/>
      <c r="P573" s="39"/>
      <c r="Q573" s="39"/>
      <c r="R573" s="39"/>
      <c r="S573" s="39"/>
      <c r="T573" s="39"/>
      <c r="U573" s="39"/>
      <c r="V573" s="39"/>
      <c r="W573" s="39"/>
      <c r="X573" s="39"/>
      <c r="Y573" s="39"/>
      <c r="Z573" s="39"/>
      <c r="AA573" s="39"/>
      <c r="AB573" s="39"/>
    </row>
    <row r="574">
      <c r="A574" s="1"/>
      <c r="B574" s="36"/>
      <c r="C574" s="36"/>
      <c r="D574" s="36"/>
      <c r="E574" s="36"/>
      <c r="F574" s="36"/>
      <c r="G574" s="36"/>
      <c r="H574" s="37"/>
      <c r="I574" s="36"/>
      <c r="J574" s="38"/>
      <c r="K574" s="38"/>
      <c r="L574" s="39"/>
      <c r="M574" s="39"/>
      <c r="N574" s="39"/>
      <c r="O574" s="39"/>
      <c r="P574" s="39"/>
      <c r="Q574" s="39"/>
      <c r="R574" s="39"/>
      <c r="S574" s="39"/>
      <c r="T574" s="39"/>
      <c r="U574" s="39"/>
      <c r="V574" s="39"/>
      <c r="W574" s="39"/>
      <c r="X574" s="39"/>
      <c r="Y574" s="39"/>
      <c r="Z574" s="39"/>
      <c r="AA574" s="39"/>
      <c r="AB574" s="39"/>
    </row>
    <row r="575">
      <c r="A575" s="1"/>
      <c r="B575" s="36"/>
      <c r="C575" s="36"/>
      <c r="D575" s="36"/>
      <c r="E575" s="36"/>
      <c r="F575" s="36"/>
      <c r="G575" s="36"/>
      <c r="H575" s="37"/>
      <c r="I575" s="36"/>
      <c r="J575" s="38"/>
      <c r="K575" s="38"/>
      <c r="L575" s="39"/>
      <c r="M575" s="39"/>
      <c r="N575" s="39"/>
      <c r="O575" s="39"/>
      <c r="P575" s="39"/>
      <c r="Q575" s="39"/>
      <c r="R575" s="39"/>
      <c r="S575" s="39"/>
      <c r="T575" s="39"/>
      <c r="U575" s="39"/>
      <c r="V575" s="39"/>
      <c r="W575" s="39"/>
      <c r="X575" s="39"/>
      <c r="Y575" s="39"/>
      <c r="Z575" s="39"/>
      <c r="AA575" s="39"/>
      <c r="AB575" s="39"/>
    </row>
    <row r="576">
      <c r="A576" s="1"/>
      <c r="B576" s="36"/>
      <c r="C576" s="36"/>
      <c r="D576" s="36"/>
      <c r="E576" s="36"/>
      <c r="F576" s="36"/>
      <c r="G576" s="36"/>
      <c r="H576" s="37"/>
      <c r="I576" s="36"/>
      <c r="J576" s="38"/>
      <c r="K576" s="38"/>
      <c r="L576" s="39"/>
      <c r="M576" s="39"/>
      <c r="N576" s="39"/>
      <c r="O576" s="39"/>
      <c r="P576" s="39"/>
      <c r="Q576" s="39"/>
      <c r="R576" s="39"/>
      <c r="S576" s="39"/>
      <c r="T576" s="39"/>
      <c r="U576" s="39"/>
      <c r="V576" s="39"/>
      <c r="W576" s="39"/>
      <c r="X576" s="39"/>
      <c r="Y576" s="39"/>
      <c r="Z576" s="39"/>
      <c r="AA576" s="39"/>
      <c r="AB576" s="39"/>
    </row>
    <row r="577">
      <c r="A577" s="1"/>
      <c r="B577" s="36"/>
      <c r="C577" s="36"/>
      <c r="D577" s="36"/>
      <c r="E577" s="36"/>
      <c r="F577" s="36"/>
      <c r="G577" s="36"/>
      <c r="H577" s="37"/>
      <c r="I577" s="36"/>
      <c r="J577" s="38"/>
      <c r="K577" s="38"/>
      <c r="L577" s="39"/>
      <c r="M577" s="39"/>
      <c r="N577" s="39"/>
      <c r="O577" s="39"/>
      <c r="P577" s="39"/>
      <c r="Q577" s="39"/>
      <c r="R577" s="39"/>
      <c r="S577" s="39"/>
      <c r="T577" s="39"/>
      <c r="U577" s="39"/>
      <c r="V577" s="39"/>
      <c r="W577" s="39"/>
      <c r="X577" s="39"/>
      <c r="Y577" s="39"/>
      <c r="Z577" s="39"/>
      <c r="AA577" s="39"/>
      <c r="AB577" s="39"/>
    </row>
    <row r="578">
      <c r="A578" s="1"/>
      <c r="B578" s="36"/>
      <c r="C578" s="36"/>
      <c r="D578" s="36"/>
      <c r="E578" s="36"/>
      <c r="F578" s="36"/>
      <c r="G578" s="36"/>
      <c r="H578" s="37"/>
      <c r="I578" s="36"/>
      <c r="J578" s="38"/>
      <c r="K578" s="38"/>
      <c r="L578" s="39"/>
      <c r="M578" s="39"/>
      <c r="N578" s="39"/>
      <c r="O578" s="39"/>
      <c r="P578" s="39"/>
      <c r="Q578" s="39"/>
      <c r="R578" s="39"/>
      <c r="S578" s="39"/>
      <c r="T578" s="39"/>
      <c r="U578" s="39"/>
      <c r="V578" s="39"/>
      <c r="W578" s="39"/>
      <c r="X578" s="39"/>
      <c r="Y578" s="39"/>
      <c r="Z578" s="39"/>
      <c r="AA578" s="39"/>
      <c r="AB578" s="39"/>
    </row>
    <row r="579">
      <c r="A579" s="1"/>
      <c r="B579" s="36"/>
      <c r="C579" s="36"/>
      <c r="D579" s="36"/>
      <c r="E579" s="36"/>
      <c r="F579" s="36"/>
      <c r="G579" s="36"/>
      <c r="H579" s="37"/>
      <c r="I579" s="36"/>
      <c r="J579" s="38"/>
      <c r="K579" s="38"/>
      <c r="L579" s="39"/>
      <c r="M579" s="39"/>
      <c r="N579" s="39"/>
      <c r="O579" s="39"/>
      <c r="P579" s="39"/>
      <c r="Q579" s="39"/>
      <c r="R579" s="39"/>
      <c r="S579" s="39"/>
      <c r="T579" s="39"/>
      <c r="U579" s="39"/>
      <c r="V579" s="39"/>
      <c r="W579" s="39"/>
      <c r="X579" s="39"/>
      <c r="Y579" s="39"/>
      <c r="Z579" s="39"/>
      <c r="AA579" s="39"/>
      <c r="AB579" s="39"/>
    </row>
    <row r="580">
      <c r="A580" s="1"/>
      <c r="B580" s="36"/>
      <c r="C580" s="36"/>
      <c r="D580" s="36"/>
      <c r="E580" s="36"/>
      <c r="F580" s="36"/>
      <c r="G580" s="36"/>
      <c r="H580" s="37"/>
      <c r="I580" s="36"/>
      <c r="J580" s="38"/>
      <c r="K580" s="38"/>
      <c r="L580" s="39"/>
      <c r="M580" s="39"/>
      <c r="N580" s="39"/>
      <c r="O580" s="39"/>
      <c r="P580" s="39"/>
      <c r="Q580" s="39"/>
      <c r="R580" s="39"/>
      <c r="S580" s="39"/>
      <c r="T580" s="39"/>
      <c r="U580" s="39"/>
      <c r="V580" s="39"/>
      <c r="W580" s="39"/>
      <c r="X580" s="39"/>
      <c r="Y580" s="39"/>
      <c r="Z580" s="39"/>
      <c r="AA580" s="39"/>
      <c r="AB580" s="39"/>
    </row>
    <row r="581">
      <c r="A581" s="1"/>
      <c r="B581" s="36"/>
      <c r="C581" s="36"/>
      <c r="D581" s="36"/>
      <c r="E581" s="36"/>
      <c r="F581" s="36"/>
      <c r="G581" s="36"/>
      <c r="H581" s="37"/>
      <c r="I581" s="36"/>
      <c r="J581" s="38"/>
      <c r="K581" s="38"/>
      <c r="L581" s="39"/>
      <c r="M581" s="39"/>
      <c r="N581" s="39"/>
      <c r="O581" s="39"/>
      <c r="P581" s="39"/>
      <c r="Q581" s="39"/>
      <c r="R581" s="39"/>
      <c r="S581" s="39"/>
      <c r="T581" s="39"/>
      <c r="U581" s="39"/>
      <c r="V581" s="39"/>
      <c r="W581" s="39"/>
      <c r="X581" s="39"/>
      <c r="Y581" s="39"/>
      <c r="Z581" s="39"/>
      <c r="AA581" s="39"/>
      <c r="AB581" s="39"/>
    </row>
    <row r="582">
      <c r="A582" s="1"/>
      <c r="B582" s="36"/>
      <c r="C582" s="36"/>
      <c r="D582" s="36"/>
      <c r="E582" s="36"/>
      <c r="F582" s="36"/>
      <c r="G582" s="36"/>
      <c r="H582" s="37"/>
      <c r="I582" s="36"/>
      <c r="J582" s="38"/>
      <c r="K582" s="38"/>
      <c r="L582" s="39"/>
      <c r="M582" s="39"/>
      <c r="N582" s="39"/>
      <c r="O582" s="39"/>
      <c r="P582" s="39"/>
      <c r="Q582" s="39"/>
      <c r="R582" s="39"/>
      <c r="S582" s="39"/>
      <c r="T582" s="39"/>
      <c r="U582" s="39"/>
      <c r="V582" s="39"/>
      <c r="W582" s="39"/>
      <c r="X582" s="39"/>
      <c r="Y582" s="39"/>
      <c r="Z582" s="39"/>
      <c r="AA582" s="39"/>
      <c r="AB582" s="39"/>
    </row>
    <row r="583">
      <c r="A583" s="1"/>
      <c r="B583" s="36"/>
      <c r="C583" s="36"/>
      <c r="D583" s="36"/>
      <c r="E583" s="36"/>
      <c r="F583" s="36"/>
      <c r="G583" s="36"/>
      <c r="H583" s="37"/>
      <c r="I583" s="36"/>
      <c r="J583" s="38"/>
      <c r="K583" s="38"/>
      <c r="L583" s="39"/>
      <c r="M583" s="39"/>
      <c r="N583" s="39"/>
      <c r="O583" s="39"/>
      <c r="P583" s="39"/>
      <c r="Q583" s="39"/>
      <c r="R583" s="39"/>
      <c r="S583" s="39"/>
      <c r="T583" s="39"/>
      <c r="U583" s="39"/>
      <c r="V583" s="39"/>
      <c r="W583" s="39"/>
      <c r="X583" s="39"/>
      <c r="Y583" s="39"/>
      <c r="Z583" s="39"/>
      <c r="AA583" s="39"/>
      <c r="AB583" s="39"/>
    </row>
    <row r="584">
      <c r="A584" s="1"/>
      <c r="B584" s="36"/>
      <c r="C584" s="36"/>
      <c r="D584" s="36"/>
      <c r="E584" s="36"/>
      <c r="F584" s="36"/>
      <c r="G584" s="36"/>
      <c r="H584" s="37"/>
      <c r="I584" s="36"/>
      <c r="J584" s="38"/>
      <c r="K584" s="38"/>
      <c r="L584" s="39"/>
      <c r="M584" s="39"/>
      <c r="N584" s="39"/>
      <c r="O584" s="39"/>
      <c r="P584" s="39"/>
      <c r="Q584" s="39"/>
      <c r="R584" s="39"/>
      <c r="S584" s="39"/>
      <c r="T584" s="39"/>
      <c r="U584" s="39"/>
      <c r="V584" s="39"/>
      <c r="W584" s="39"/>
      <c r="X584" s="39"/>
      <c r="Y584" s="39"/>
      <c r="Z584" s="39"/>
      <c r="AA584" s="39"/>
      <c r="AB584" s="39"/>
    </row>
    <row r="585">
      <c r="A585" s="1"/>
      <c r="B585" s="36"/>
      <c r="C585" s="36"/>
      <c r="D585" s="36"/>
      <c r="E585" s="36"/>
      <c r="F585" s="36"/>
      <c r="G585" s="36"/>
      <c r="H585" s="37"/>
      <c r="I585" s="36"/>
      <c r="J585" s="38"/>
      <c r="K585" s="38"/>
      <c r="L585" s="39"/>
      <c r="M585" s="39"/>
      <c r="N585" s="39"/>
      <c r="O585" s="39"/>
      <c r="P585" s="39"/>
      <c r="Q585" s="39"/>
      <c r="R585" s="39"/>
      <c r="S585" s="39"/>
      <c r="T585" s="39"/>
      <c r="U585" s="39"/>
      <c r="V585" s="39"/>
      <c r="W585" s="39"/>
      <c r="X585" s="39"/>
      <c r="Y585" s="39"/>
      <c r="Z585" s="39"/>
      <c r="AA585" s="39"/>
      <c r="AB585" s="39"/>
    </row>
    <row r="586">
      <c r="A586" s="1"/>
      <c r="B586" s="36"/>
      <c r="C586" s="36"/>
      <c r="D586" s="36"/>
      <c r="E586" s="36"/>
      <c r="F586" s="36"/>
      <c r="G586" s="36"/>
      <c r="H586" s="37"/>
      <c r="I586" s="36"/>
      <c r="J586" s="38"/>
      <c r="K586" s="38"/>
      <c r="L586" s="39"/>
      <c r="M586" s="39"/>
      <c r="N586" s="39"/>
      <c r="O586" s="39"/>
      <c r="P586" s="39"/>
      <c r="Q586" s="39"/>
      <c r="R586" s="39"/>
      <c r="S586" s="39"/>
      <c r="T586" s="39"/>
      <c r="U586" s="39"/>
      <c r="V586" s="39"/>
      <c r="W586" s="39"/>
      <c r="X586" s="39"/>
      <c r="Y586" s="39"/>
      <c r="Z586" s="39"/>
      <c r="AA586" s="39"/>
      <c r="AB586" s="39"/>
    </row>
    <row r="587">
      <c r="A587" s="1"/>
      <c r="B587" s="36"/>
      <c r="C587" s="36"/>
      <c r="D587" s="36"/>
      <c r="E587" s="36"/>
      <c r="F587" s="36"/>
      <c r="G587" s="36"/>
      <c r="H587" s="37"/>
      <c r="I587" s="36"/>
      <c r="J587" s="38"/>
      <c r="K587" s="38"/>
      <c r="L587" s="39"/>
      <c r="M587" s="39"/>
      <c r="N587" s="39"/>
      <c r="O587" s="39"/>
      <c r="P587" s="39"/>
      <c r="Q587" s="39"/>
      <c r="R587" s="39"/>
      <c r="S587" s="39"/>
      <c r="T587" s="39"/>
      <c r="U587" s="39"/>
      <c r="V587" s="39"/>
      <c r="W587" s="39"/>
      <c r="X587" s="39"/>
      <c r="Y587" s="39"/>
      <c r="Z587" s="39"/>
      <c r="AA587" s="39"/>
      <c r="AB587" s="39"/>
    </row>
    <row r="588">
      <c r="A588" s="1"/>
      <c r="B588" s="36"/>
      <c r="C588" s="36"/>
      <c r="D588" s="36"/>
      <c r="E588" s="36"/>
      <c r="F588" s="36"/>
      <c r="G588" s="36"/>
      <c r="H588" s="37"/>
      <c r="I588" s="36"/>
      <c r="J588" s="38"/>
      <c r="K588" s="38"/>
      <c r="L588" s="39"/>
      <c r="M588" s="39"/>
      <c r="N588" s="39"/>
      <c r="O588" s="39"/>
      <c r="P588" s="39"/>
      <c r="Q588" s="39"/>
      <c r="R588" s="39"/>
      <c r="S588" s="39"/>
      <c r="T588" s="39"/>
      <c r="U588" s="39"/>
      <c r="V588" s="39"/>
      <c r="W588" s="39"/>
      <c r="X588" s="39"/>
      <c r="Y588" s="39"/>
      <c r="Z588" s="39"/>
      <c r="AA588" s="39"/>
      <c r="AB588" s="39"/>
    </row>
    <row r="589">
      <c r="A589" s="1"/>
      <c r="B589" s="36"/>
      <c r="C589" s="36"/>
      <c r="D589" s="36"/>
      <c r="E589" s="36"/>
      <c r="F589" s="36"/>
      <c r="G589" s="36"/>
      <c r="H589" s="37"/>
      <c r="I589" s="36"/>
      <c r="J589" s="38"/>
      <c r="K589" s="38"/>
      <c r="L589" s="39"/>
      <c r="M589" s="39"/>
      <c r="N589" s="39"/>
      <c r="O589" s="39"/>
      <c r="P589" s="39"/>
      <c r="Q589" s="39"/>
      <c r="R589" s="39"/>
      <c r="S589" s="39"/>
      <c r="T589" s="39"/>
      <c r="U589" s="39"/>
      <c r="V589" s="39"/>
      <c r="W589" s="39"/>
      <c r="X589" s="39"/>
      <c r="Y589" s="39"/>
      <c r="Z589" s="39"/>
      <c r="AA589" s="39"/>
      <c r="AB589" s="39"/>
    </row>
    <row r="590">
      <c r="A590" s="1"/>
      <c r="B590" s="36"/>
      <c r="C590" s="36"/>
      <c r="D590" s="36"/>
      <c r="E590" s="36"/>
      <c r="F590" s="36"/>
      <c r="G590" s="36"/>
      <c r="H590" s="37"/>
      <c r="I590" s="36"/>
      <c r="J590" s="38"/>
      <c r="K590" s="38"/>
      <c r="L590" s="39"/>
      <c r="M590" s="39"/>
      <c r="N590" s="39"/>
      <c r="O590" s="39"/>
      <c r="P590" s="39"/>
      <c r="Q590" s="39"/>
      <c r="R590" s="39"/>
      <c r="S590" s="39"/>
      <c r="T590" s="39"/>
      <c r="U590" s="39"/>
      <c r="V590" s="39"/>
      <c r="W590" s="39"/>
      <c r="X590" s="39"/>
      <c r="Y590" s="39"/>
      <c r="Z590" s="39"/>
      <c r="AA590" s="39"/>
      <c r="AB590" s="39"/>
    </row>
    <row r="591">
      <c r="A591" s="1"/>
      <c r="B591" s="36"/>
      <c r="C591" s="36"/>
      <c r="D591" s="36"/>
      <c r="E591" s="36"/>
      <c r="F591" s="36"/>
      <c r="G591" s="36"/>
      <c r="H591" s="37"/>
      <c r="I591" s="36"/>
      <c r="J591" s="38"/>
      <c r="K591" s="38"/>
      <c r="L591" s="39"/>
      <c r="M591" s="39"/>
      <c r="N591" s="39"/>
      <c r="O591" s="39"/>
      <c r="P591" s="39"/>
      <c r="Q591" s="39"/>
      <c r="R591" s="39"/>
      <c r="S591" s="39"/>
      <c r="T591" s="39"/>
      <c r="U591" s="39"/>
      <c r="V591" s="39"/>
      <c r="W591" s="39"/>
      <c r="X591" s="39"/>
      <c r="Y591" s="39"/>
      <c r="Z591" s="39"/>
      <c r="AA591" s="39"/>
      <c r="AB591" s="39"/>
    </row>
    <row r="592">
      <c r="A592" s="1"/>
      <c r="B592" s="36"/>
      <c r="C592" s="36"/>
      <c r="D592" s="36"/>
      <c r="E592" s="36"/>
      <c r="F592" s="36"/>
      <c r="G592" s="36"/>
      <c r="H592" s="37"/>
      <c r="I592" s="36"/>
      <c r="J592" s="38"/>
      <c r="K592" s="38"/>
      <c r="L592" s="39"/>
      <c r="M592" s="39"/>
      <c r="N592" s="39"/>
      <c r="O592" s="39"/>
      <c r="P592" s="39"/>
      <c r="Q592" s="39"/>
      <c r="R592" s="39"/>
      <c r="S592" s="39"/>
      <c r="T592" s="39"/>
      <c r="U592" s="39"/>
      <c r="V592" s="39"/>
      <c r="W592" s="39"/>
      <c r="X592" s="39"/>
      <c r="Y592" s="39"/>
      <c r="Z592" s="39"/>
      <c r="AA592" s="39"/>
      <c r="AB592" s="39"/>
    </row>
    <row r="593">
      <c r="A593" s="1"/>
      <c r="B593" s="36"/>
      <c r="C593" s="36"/>
      <c r="D593" s="36"/>
      <c r="E593" s="36"/>
      <c r="F593" s="36"/>
      <c r="G593" s="36"/>
      <c r="H593" s="37"/>
      <c r="I593" s="36"/>
      <c r="J593" s="38"/>
      <c r="K593" s="38"/>
      <c r="L593" s="39"/>
      <c r="M593" s="39"/>
      <c r="N593" s="39"/>
      <c r="O593" s="39"/>
      <c r="P593" s="39"/>
      <c r="Q593" s="39"/>
      <c r="R593" s="39"/>
      <c r="S593" s="39"/>
      <c r="T593" s="39"/>
      <c r="U593" s="39"/>
      <c r="V593" s="39"/>
      <c r="W593" s="39"/>
      <c r="X593" s="39"/>
      <c r="Y593" s="39"/>
      <c r="Z593" s="39"/>
      <c r="AA593" s="39"/>
      <c r="AB593" s="39"/>
    </row>
    <row r="594">
      <c r="A594" s="1"/>
      <c r="B594" s="36"/>
      <c r="C594" s="36"/>
      <c r="D594" s="36"/>
      <c r="E594" s="36"/>
      <c r="F594" s="36"/>
      <c r="G594" s="36"/>
      <c r="H594" s="37"/>
      <c r="I594" s="36"/>
      <c r="J594" s="38"/>
      <c r="K594" s="38"/>
      <c r="L594" s="39"/>
      <c r="M594" s="39"/>
      <c r="N594" s="39"/>
      <c r="O594" s="39"/>
      <c r="P594" s="39"/>
      <c r="Q594" s="39"/>
      <c r="R594" s="39"/>
      <c r="S594" s="39"/>
      <c r="T594" s="39"/>
      <c r="U594" s="39"/>
      <c r="V594" s="39"/>
      <c r="W594" s="39"/>
      <c r="X594" s="39"/>
      <c r="Y594" s="39"/>
      <c r="Z594" s="39"/>
      <c r="AA594" s="39"/>
      <c r="AB594" s="39"/>
    </row>
    <row r="595">
      <c r="A595" s="1"/>
      <c r="B595" s="36"/>
      <c r="C595" s="36"/>
      <c r="D595" s="36"/>
      <c r="E595" s="36"/>
      <c r="F595" s="36"/>
      <c r="G595" s="36"/>
      <c r="H595" s="37"/>
      <c r="I595" s="36"/>
      <c r="J595" s="38"/>
      <c r="K595" s="38"/>
      <c r="L595" s="39"/>
      <c r="M595" s="39"/>
      <c r="N595" s="39"/>
      <c r="O595" s="39"/>
      <c r="P595" s="39"/>
      <c r="Q595" s="39"/>
      <c r="R595" s="39"/>
      <c r="S595" s="39"/>
      <c r="T595" s="39"/>
      <c r="U595" s="39"/>
      <c r="V595" s="39"/>
      <c r="W595" s="39"/>
      <c r="X595" s="39"/>
      <c r="Y595" s="39"/>
      <c r="Z595" s="39"/>
      <c r="AA595" s="39"/>
      <c r="AB595" s="39"/>
    </row>
    <row r="596">
      <c r="A596" s="1"/>
      <c r="B596" s="36"/>
      <c r="C596" s="36"/>
      <c r="D596" s="36"/>
      <c r="E596" s="36"/>
      <c r="F596" s="36"/>
      <c r="G596" s="36"/>
      <c r="H596" s="37"/>
      <c r="I596" s="36"/>
      <c r="J596" s="38"/>
      <c r="K596" s="38"/>
      <c r="L596" s="39"/>
      <c r="M596" s="39"/>
      <c r="N596" s="39"/>
      <c r="O596" s="39"/>
      <c r="P596" s="39"/>
      <c r="Q596" s="39"/>
      <c r="R596" s="39"/>
      <c r="S596" s="39"/>
      <c r="T596" s="39"/>
      <c r="U596" s="39"/>
      <c r="V596" s="39"/>
      <c r="W596" s="39"/>
      <c r="X596" s="39"/>
      <c r="Y596" s="39"/>
      <c r="Z596" s="39"/>
      <c r="AA596" s="39"/>
      <c r="AB596" s="39"/>
    </row>
    <row r="597">
      <c r="A597" s="1"/>
      <c r="B597" s="36"/>
      <c r="C597" s="36"/>
      <c r="D597" s="36"/>
      <c r="E597" s="36"/>
      <c r="F597" s="36"/>
      <c r="G597" s="36"/>
      <c r="H597" s="37"/>
      <c r="I597" s="36"/>
      <c r="J597" s="38"/>
      <c r="K597" s="38"/>
      <c r="L597" s="39"/>
      <c r="M597" s="39"/>
      <c r="N597" s="39"/>
      <c r="O597" s="39"/>
      <c r="P597" s="39"/>
      <c r="Q597" s="39"/>
      <c r="R597" s="39"/>
      <c r="S597" s="39"/>
      <c r="T597" s="39"/>
      <c r="U597" s="39"/>
      <c r="V597" s="39"/>
      <c r="W597" s="39"/>
      <c r="X597" s="39"/>
      <c r="Y597" s="39"/>
      <c r="Z597" s="39"/>
      <c r="AA597" s="39"/>
      <c r="AB597" s="39"/>
    </row>
    <row r="598">
      <c r="A598" s="1"/>
      <c r="B598" s="36"/>
      <c r="C598" s="36"/>
      <c r="D598" s="36"/>
      <c r="E598" s="36"/>
      <c r="F598" s="36"/>
      <c r="G598" s="36"/>
      <c r="H598" s="37"/>
      <c r="I598" s="36"/>
      <c r="J598" s="38"/>
      <c r="K598" s="38"/>
      <c r="L598" s="39"/>
      <c r="M598" s="39"/>
      <c r="N598" s="39"/>
      <c r="O598" s="39"/>
      <c r="P598" s="39"/>
      <c r="Q598" s="39"/>
      <c r="R598" s="39"/>
      <c r="S598" s="39"/>
      <c r="T598" s="39"/>
      <c r="U598" s="39"/>
      <c r="V598" s="39"/>
      <c r="W598" s="39"/>
      <c r="X598" s="39"/>
      <c r="Y598" s="39"/>
      <c r="Z598" s="39"/>
      <c r="AA598" s="39"/>
      <c r="AB598" s="39"/>
    </row>
    <row r="599">
      <c r="A599" s="1"/>
      <c r="B599" s="36"/>
      <c r="C599" s="36"/>
      <c r="D599" s="36"/>
      <c r="E599" s="36"/>
      <c r="F599" s="36"/>
      <c r="G599" s="36"/>
      <c r="H599" s="37"/>
      <c r="I599" s="36"/>
      <c r="J599" s="38"/>
      <c r="K599" s="38"/>
      <c r="L599" s="39"/>
      <c r="M599" s="39"/>
      <c r="N599" s="39"/>
      <c r="O599" s="39"/>
      <c r="P599" s="39"/>
      <c r="Q599" s="39"/>
      <c r="R599" s="39"/>
      <c r="S599" s="39"/>
      <c r="T599" s="39"/>
      <c r="U599" s="39"/>
      <c r="V599" s="39"/>
      <c r="W599" s="39"/>
      <c r="X599" s="39"/>
      <c r="Y599" s="39"/>
      <c r="Z599" s="39"/>
      <c r="AA599" s="39"/>
      <c r="AB599" s="39"/>
    </row>
    <row r="600">
      <c r="A600" s="1"/>
      <c r="B600" s="36"/>
      <c r="C600" s="36"/>
      <c r="D600" s="36"/>
      <c r="E600" s="36"/>
      <c r="F600" s="36"/>
      <c r="G600" s="36"/>
      <c r="H600" s="37"/>
      <c r="I600" s="36"/>
      <c r="J600" s="38"/>
      <c r="K600" s="38"/>
      <c r="L600" s="39"/>
      <c r="M600" s="39"/>
      <c r="N600" s="39"/>
      <c r="O600" s="39"/>
      <c r="P600" s="39"/>
      <c r="Q600" s="39"/>
      <c r="R600" s="39"/>
      <c r="S600" s="39"/>
      <c r="T600" s="39"/>
      <c r="U600" s="39"/>
      <c r="V600" s="39"/>
      <c r="W600" s="39"/>
      <c r="X600" s="39"/>
      <c r="Y600" s="39"/>
      <c r="Z600" s="39"/>
      <c r="AA600" s="39"/>
      <c r="AB600" s="39"/>
    </row>
    <row r="601">
      <c r="A601" s="1"/>
      <c r="B601" s="36"/>
      <c r="C601" s="36"/>
      <c r="D601" s="36"/>
      <c r="E601" s="36"/>
      <c r="F601" s="36"/>
      <c r="G601" s="36"/>
      <c r="H601" s="37"/>
      <c r="I601" s="36"/>
      <c r="J601" s="38"/>
      <c r="K601" s="38"/>
      <c r="L601" s="39"/>
      <c r="M601" s="39"/>
      <c r="N601" s="39"/>
      <c r="O601" s="39"/>
      <c r="P601" s="39"/>
      <c r="Q601" s="39"/>
      <c r="R601" s="39"/>
      <c r="S601" s="39"/>
      <c r="T601" s="39"/>
      <c r="U601" s="39"/>
      <c r="V601" s="39"/>
      <c r="W601" s="39"/>
      <c r="X601" s="39"/>
      <c r="Y601" s="39"/>
      <c r="Z601" s="39"/>
      <c r="AA601" s="39"/>
      <c r="AB601" s="39"/>
    </row>
    <row r="602">
      <c r="A602" s="1"/>
      <c r="B602" s="36"/>
      <c r="C602" s="36"/>
      <c r="D602" s="36"/>
      <c r="E602" s="36"/>
      <c r="F602" s="36"/>
      <c r="G602" s="36"/>
      <c r="H602" s="37"/>
      <c r="I602" s="36"/>
      <c r="J602" s="38"/>
      <c r="K602" s="38"/>
      <c r="L602" s="39"/>
      <c r="M602" s="39"/>
      <c r="N602" s="39"/>
      <c r="O602" s="39"/>
      <c r="P602" s="39"/>
      <c r="Q602" s="39"/>
      <c r="R602" s="39"/>
      <c r="S602" s="39"/>
      <c r="T602" s="39"/>
      <c r="U602" s="39"/>
      <c r="V602" s="39"/>
      <c r="W602" s="39"/>
      <c r="X602" s="39"/>
      <c r="Y602" s="39"/>
      <c r="Z602" s="39"/>
      <c r="AA602" s="39"/>
      <c r="AB602" s="39"/>
    </row>
    <row r="603">
      <c r="A603" s="1"/>
      <c r="B603" s="36"/>
      <c r="C603" s="36"/>
      <c r="D603" s="36"/>
      <c r="E603" s="36"/>
      <c r="F603" s="36"/>
      <c r="G603" s="36"/>
      <c r="H603" s="37"/>
      <c r="I603" s="36"/>
      <c r="J603" s="38"/>
      <c r="K603" s="38"/>
      <c r="L603" s="39"/>
      <c r="M603" s="39"/>
      <c r="N603" s="39"/>
      <c r="O603" s="39"/>
      <c r="P603" s="39"/>
      <c r="Q603" s="39"/>
      <c r="R603" s="39"/>
      <c r="S603" s="39"/>
      <c r="T603" s="39"/>
      <c r="U603" s="39"/>
      <c r="V603" s="39"/>
      <c r="W603" s="39"/>
      <c r="X603" s="39"/>
      <c r="Y603" s="39"/>
      <c r="Z603" s="39"/>
      <c r="AA603" s="39"/>
      <c r="AB603" s="39"/>
    </row>
    <row r="604">
      <c r="A604" s="1"/>
      <c r="B604" s="36"/>
      <c r="C604" s="36"/>
      <c r="D604" s="36"/>
      <c r="E604" s="36"/>
      <c r="F604" s="36"/>
      <c r="G604" s="36"/>
      <c r="H604" s="37"/>
      <c r="I604" s="36"/>
      <c r="J604" s="38"/>
      <c r="K604" s="38"/>
      <c r="L604" s="39"/>
      <c r="M604" s="39"/>
      <c r="N604" s="39"/>
      <c r="O604" s="39"/>
      <c r="P604" s="39"/>
      <c r="Q604" s="39"/>
      <c r="R604" s="39"/>
      <c r="S604" s="39"/>
      <c r="T604" s="39"/>
      <c r="U604" s="39"/>
      <c r="V604" s="39"/>
      <c r="W604" s="39"/>
      <c r="X604" s="39"/>
      <c r="Y604" s="39"/>
      <c r="Z604" s="39"/>
      <c r="AA604" s="39"/>
      <c r="AB604" s="39"/>
    </row>
    <row r="605">
      <c r="A605" s="1"/>
      <c r="B605" s="36"/>
      <c r="C605" s="36"/>
      <c r="D605" s="36"/>
      <c r="E605" s="36"/>
      <c r="F605" s="36"/>
      <c r="G605" s="36"/>
      <c r="H605" s="37"/>
      <c r="I605" s="36"/>
      <c r="J605" s="38"/>
      <c r="K605" s="38"/>
      <c r="L605" s="39"/>
      <c r="M605" s="39"/>
      <c r="N605" s="39"/>
      <c r="O605" s="39"/>
      <c r="P605" s="39"/>
      <c r="Q605" s="39"/>
      <c r="R605" s="39"/>
      <c r="S605" s="39"/>
      <c r="T605" s="39"/>
      <c r="U605" s="39"/>
      <c r="V605" s="39"/>
      <c r="W605" s="39"/>
      <c r="X605" s="39"/>
      <c r="Y605" s="39"/>
      <c r="Z605" s="39"/>
      <c r="AA605" s="39"/>
      <c r="AB605" s="39"/>
    </row>
    <row r="606">
      <c r="A606" s="1"/>
      <c r="B606" s="36"/>
      <c r="C606" s="36"/>
      <c r="D606" s="36"/>
      <c r="E606" s="36"/>
      <c r="F606" s="36"/>
      <c r="G606" s="36"/>
      <c r="H606" s="37"/>
      <c r="I606" s="36"/>
      <c r="J606" s="38"/>
      <c r="K606" s="38"/>
      <c r="L606" s="39"/>
      <c r="M606" s="39"/>
      <c r="N606" s="39"/>
      <c r="O606" s="39"/>
      <c r="P606" s="39"/>
      <c r="Q606" s="39"/>
      <c r="R606" s="39"/>
      <c r="S606" s="39"/>
      <c r="T606" s="39"/>
      <c r="U606" s="39"/>
      <c r="V606" s="39"/>
      <c r="W606" s="39"/>
      <c r="X606" s="39"/>
      <c r="Y606" s="39"/>
      <c r="Z606" s="39"/>
      <c r="AA606" s="39"/>
      <c r="AB606" s="39"/>
    </row>
    <row r="607">
      <c r="A607" s="1"/>
      <c r="B607" s="36"/>
      <c r="C607" s="36"/>
      <c r="D607" s="36"/>
      <c r="E607" s="36"/>
      <c r="F607" s="36"/>
      <c r="G607" s="36"/>
      <c r="H607" s="37"/>
      <c r="I607" s="36"/>
      <c r="J607" s="38"/>
      <c r="K607" s="38"/>
      <c r="L607" s="39"/>
      <c r="M607" s="39"/>
      <c r="N607" s="39"/>
      <c r="O607" s="39"/>
      <c r="P607" s="39"/>
      <c r="Q607" s="39"/>
      <c r="R607" s="39"/>
      <c r="S607" s="39"/>
      <c r="T607" s="39"/>
      <c r="U607" s="39"/>
      <c r="V607" s="39"/>
      <c r="W607" s="39"/>
      <c r="X607" s="39"/>
      <c r="Y607" s="39"/>
      <c r="Z607" s="39"/>
      <c r="AA607" s="39"/>
      <c r="AB607" s="39"/>
    </row>
    <row r="608">
      <c r="A608" s="1"/>
      <c r="B608" s="36"/>
      <c r="C608" s="36"/>
      <c r="D608" s="36"/>
      <c r="E608" s="36"/>
      <c r="F608" s="36"/>
      <c r="G608" s="36"/>
      <c r="H608" s="37"/>
      <c r="I608" s="36"/>
      <c r="J608" s="38"/>
      <c r="K608" s="38"/>
      <c r="L608" s="39"/>
      <c r="M608" s="39"/>
      <c r="N608" s="39"/>
      <c r="O608" s="39"/>
      <c r="P608" s="39"/>
      <c r="Q608" s="39"/>
      <c r="R608" s="39"/>
      <c r="S608" s="39"/>
      <c r="T608" s="39"/>
      <c r="U608" s="39"/>
      <c r="V608" s="39"/>
      <c r="W608" s="39"/>
      <c r="X608" s="39"/>
      <c r="Y608" s="39"/>
      <c r="Z608" s="39"/>
      <c r="AA608" s="39"/>
      <c r="AB608" s="39"/>
    </row>
    <row r="609">
      <c r="A609" s="1"/>
      <c r="B609" s="36"/>
      <c r="C609" s="36"/>
      <c r="D609" s="36"/>
      <c r="E609" s="36"/>
      <c r="F609" s="36"/>
      <c r="G609" s="36"/>
      <c r="H609" s="37"/>
      <c r="I609" s="36"/>
      <c r="J609" s="38"/>
      <c r="K609" s="38"/>
      <c r="L609" s="39"/>
      <c r="M609" s="39"/>
      <c r="N609" s="39"/>
      <c r="O609" s="39"/>
      <c r="P609" s="39"/>
      <c r="Q609" s="39"/>
      <c r="R609" s="39"/>
      <c r="S609" s="39"/>
      <c r="T609" s="39"/>
      <c r="U609" s="39"/>
      <c r="V609" s="39"/>
      <c r="W609" s="39"/>
      <c r="X609" s="39"/>
      <c r="Y609" s="39"/>
      <c r="Z609" s="39"/>
      <c r="AA609" s="39"/>
      <c r="AB609" s="39"/>
    </row>
    <row r="610">
      <c r="A610" s="1"/>
      <c r="B610" s="36"/>
      <c r="C610" s="36"/>
      <c r="D610" s="36"/>
      <c r="E610" s="36"/>
      <c r="F610" s="36"/>
      <c r="G610" s="36"/>
      <c r="H610" s="37"/>
      <c r="I610" s="36"/>
      <c r="J610" s="38"/>
      <c r="K610" s="38"/>
      <c r="L610" s="39"/>
      <c r="M610" s="39"/>
      <c r="N610" s="39"/>
      <c r="O610" s="39"/>
      <c r="P610" s="39"/>
      <c r="Q610" s="39"/>
      <c r="R610" s="39"/>
      <c r="S610" s="39"/>
      <c r="T610" s="39"/>
      <c r="U610" s="39"/>
      <c r="V610" s="39"/>
      <c r="W610" s="39"/>
      <c r="X610" s="39"/>
      <c r="Y610" s="39"/>
      <c r="Z610" s="39"/>
      <c r="AA610" s="39"/>
      <c r="AB610" s="39"/>
    </row>
    <row r="611">
      <c r="A611" s="1"/>
      <c r="B611" s="36"/>
      <c r="C611" s="36"/>
      <c r="D611" s="36"/>
      <c r="E611" s="36"/>
      <c r="F611" s="36"/>
      <c r="G611" s="36"/>
      <c r="H611" s="37"/>
      <c r="I611" s="36"/>
      <c r="J611" s="38"/>
      <c r="K611" s="38"/>
      <c r="L611" s="39"/>
      <c r="M611" s="39"/>
      <c r="N611" s="39"/>
      <c r="O611" s="39"/>
      <c r="P611" s="39"/>
      <c r="Q611" s="39"/>
      <c r="R611" s="39"/>
      <c r="S611" s="39"/>
      <c r="T611" s="39"/>
      <c r="U611" s="39"/>
      <c r="V611" s="39"/>
      <c r="W611" s="39"/>
      <c r="X611" s="39"/>
      <c r="Y611" s="39"/>
      <c r="Z611" s="39"/>
      <c r="AA611" s="39"/>
      <c r="AB611" s="39"/>
    </row>
    <row r="612">
      <c r="A612" s="1"/>
      <c r="B612" s="36"/>
      <c r="C612" s="36"/>
      <c r="D612" s="36"/>
      <c r="E612" s="36"/>
      <c r="F612" s="36"/>
      <c r="G612" s="36"/>
      <c r="H612" s="37"/>
      <c r="I612" s="36"/>
      <c r="J612" s="38"/>
      <c r="K612" s="38"/>
      <c r="L612" s="39"/>
      <c r="M612" s="39"/>
      <c r="N612" s="39"/>
      <c r="O612" s="39"/>
      <c r="P612" s="39"/>
      <c r="Q612" s="39"/>
      <c r="R612" s="39"/>
      <c r="S612" s="39"/>
      <c r="T612" s="39"/>
      <c r="U612" s="39"/>
      <c r="V612" s="39"/>
      <c r="W612" s="39"/>
      <c r="X612" s="39"/>
      <c r="Y612" s="39"/>
      <c r="Z612" s="39"/>
      <c r="AA612" s="39"/>
      <c r="AB612" s="39"/>
    </row>
    <row r="613">
      <c r="A613" s="1"/>
      <c r="B613" s="36"/>
      <c r="C613" s="36"/>
      <c r="D613" s="36"/>
      <c r="E613" s="36"/>
      <c r="F613" s="36"/>
      <c r="G613" s="36"/>
      <c r="H613" s="37"/>
      <c r="I613" s="36"/>
      <c r="J613" s="38"/>
      <c r="K613" s="38"/>
      <c r="L613" s="39"/>
      <c r="M613" s="39"/>
      <c r="N613" s="39"/>
      <c r="O613" s="39"/>
      <c r="P613" s="39"/>
      <c r="Q613" s="39"/>
      <c r="R613" s="39"/>
      <c r="S613" s="39"/>
      <c r="T613" s="39"/>
      <c r="U613" s="39"/>
      <c r="V613" s="39"/>
      <c r="W613" s="39"/>
      <c r="X613" s="39"/>
      <c r="Y613" s="39"/>
      <c r="Z613" s="39"/>
      <c r="AA613" s="39"/>
      <c r="AB613" s="39"/>
    </row>
    <row r="614">
      <c r="A614" s="1"/>
      <c r="B614" s="36"/>
      <c r="C614" s="36"/>
      <c r="D614" s="36"/>
      <c r="E614" s="36"/>
      <c r="F614" s="36"/>
      <c r="G614" s="36"/>
      <c r="H614" s="37"/>
      <c r="I614" s="36"/>
      <c r="J614" s="38"/>
      <c r="K614" s="38"/>
      <c r="L614" s="39"/>
      <c r="M614" s="39"/>
      <c r="N614" s="39"/>
      <c r="O614" s="39"/>
      <c r="P614" s="39"/>
      <c r="Q614" s="39"/>
      <c r="R614" s="39"/>
      <c r="S614" s="39"/>
      <c r="T614" s="39"/>
      <c r="U614" s="39"/>
      <c r="V614" s="39"/>
      <c r="W614" s="39"/>
      <c r="X614" s="39"/>
      <c r="Y614" s="39"/>
      <c r="Z614" s="39"/>
      <c r="AA614" s="39"/>
      <c r="AB614" s="39"/>
    </row>
    <row r="615">
      <c r="A615" s="1"/>
      <c r="B615" s="36"/>
      <c r="C615" s="36"/>
      <c r="D615" s="36"/>
      <c r="E615" s="36"/>
      <c r="F615" s="36"/>
      <c r="G615" s="36"/>
      <c r="H615" s="37"/>
      <c r="I615" s="36"/>
      <c r="J615" s="38"/>
      <c r="K615" s="38"/>
      <c r="L615" s="39"/>
      <c r="M615" s="39"/>
      <c r="N615" s="39"/>
      <c r="O615" s="39"/>
      <c r="P615" s="39"/>
      <c r="Q615" s="39"/>
      <c r="R615" s="39"/>
      <c r="S615" s="39"/>
      <c r="T615" s="39"/>
      <c r="U615" s="39"/>
      <c r="V615" s="39"/>
      <c r="W615" s="39"/>
      <c r="X615" s="39"/>
      <c r="Y615" s="39"/>
      <c r="Z615" s="39"/>
      <c r="AA615" s="39"/>
      <c r="AB615" s="39"/>
    </row>
    <row r="616">
      <c r="A616" s="1"/>
      <c r="B616" s="36"/>
      <c r="C616" s="36"/>
      <c r="D616" s="36"/>
      <c r="E616" s="36"/>
      <c r="F616" s="36"/>
      <c r="G616" s="36"/>
      <c r="H616" s="37"/>
      <c r="I616" s="36"/>
      <c r="J616" s="38"/>
      <c r="K616" s="38"/>
      <c r="L616" s="39"/>
      <c r="M616" s="39"/>
      <c r="N616" s="39"/>
      <c r="O616" s="39"/>
      <c r="P616" s="39"/>
      <c r="Q616" s="39"/>
      <c r="R616" s="39"/>
      <c r="S616" s="39"/>
      <c r="T616" s="39"/>
      <c r="U616" s="39"/>
      <c r="V616" s="39"/>
      <c r="W616" s="39"/>
      <c r="X616" s="39"/>
      <c r="Y616" s="39"/>
      <c r="Z616" s="39"/>
      <c r="AA616" s="39"/>
      <c r="AB616" s="39"/>
    </row>
    <row r="617">
      <c r="A617" s="1"/>
      <c r="B617" s="36"/>
      <c r="C617" s="36"/>
      <c r="D617" s="36"/>
      <c r="E617" s="36"/>
      <c r="F617" s="36"/>
      <c r="G617" s="36"/>
      <c r="H617" s="37"/>
      <c r="I617" s="36"/>
      <c r="J617" s="38"/>
      <c r="K617" s="38"/>
      <c r="L617" s="39"/>
      <c r="M617" s="39"/>
      <c r="N617" s="39"/>
      <c r="O617" s="39"/>
      <c r="P617" s="39"/>
      <c r="Q617" s="39"/>
      <c r="R617" s="39"/>
      <c r="S617" s="39"/>
      <c r="T617" s="39"/>
      <c r="U617" s="39"/>
      <c r="V617" s="39"/>
      <c r="W617" s="39"/>
      <c r="X617" s="39"/>
      <c r="Y617" s="39"/>
      <c r="Z617" s="39"/>
      <c r="AA617" s="39"/>
      <c r="AB617" s="39"/>
    </row>
    <row r="618">
      <c r="A618" s="1"/>
      <c r="B618" s="36"/>
      <c r="C618" s="36"/>
      <c r="D618" s="36"/>
      <c r="E618" s="36"/>
      <c r="F618" s="36"/>
      <c r="G618" s="36"/>
      <c r="H618" s="37"/>
      <c r="I618" s="36"/>
      <c r="J618" s="38"/>
      <c r="K618" s="38"/>
      <c r="L618" s="39"/>
      <c r="M618" s="39"/>
      <c r="N618" s="39"/>
      <c r="O618" s="39"/>
      <c r="P618" s="39"/>
      <c r="Q618" s="39"/>
      <c r="R618" s="39"/>
      <c r="S618" s="39"/>
      <c r="T618" s="39"/>
      <c r="U618" s="39"/>
      <c r="V618" s="39"/>
      <c r="W618" s="39"/>
      <c r="X618" s="39"/>
      <c r="Y618" s="39"/>
      <c r="Z618" s="39"/>
      <c r="AA618" s="39"/>
      <c r="AB618" s="39"/>
    </row>
    <row r="619">
      <c r="A619" s="1"/>
      <c r="B619" s="36"/>
      <c r="C619" s="36"/>
      <c r="D619" s="36"/>
      <c r="E619" s="36"/>
      <c r="F619" s="36"/>
      <c r="G619" s="36"/>
      <c r="H619" s="37"/>
      <c r="I619" s="36"/>
      <c r="J619" s="38"/>
      <c r="K619" s="38"/>
      <c r="L619" s="39"/>
      <c r="M619" s="39"/>
      <c r="N619" s="39"/>
      <c r="O619" s="39"/>
      <c r="P619" s="39"/>
      <c r="Q619" s="39"/>
      <c r="R619" s="39"/>
      <c r="S619" s="39"/>
      <c r="T619" s="39"/>
      <c r="U619" s="39"/>
      <c r="V619" s="39"/>
      <c r="W619" s="39"/>
      <c r="X619" s="39"/>
      <c r="Y619" s="39"/>
      <c r="Z619" s="39"/>
      <c r="AA619" s="39"/>
      <c r="AB619" s="39"/>
    </row>
    <row r="620">
      <c r="A620" s="1"/>
      <c r="B620" s="36"/>
      <c r="C620" s="36"/>
      <c r="D620" s="36"/>
      <c r="E620" s="36"/>
      <c r="F620" s="36"/>
      <c r="G620" s="36"/>
      <c r="H620" s="37"/>
      <c r="I620" s="36"/>
      <c r="J620" s="38"/>
      <c r="K620" s="38"/>
      <c r="L620" s="39"/>
      <c r="M620" s="39"/>
      <c r="N620" s="39"/>
      <c r="O620" s="39"/>
      <c r="P620" s="39"/>
      <c r="Q620" s="39"/>
      <c r="R620" s="39"/>
      <c r="S620" s="39"/>
      <c r="T620" s="39"/>
      <c r="U620" s="39"/>
      <c r="V620" s="39"/>
      <c r="W620" s="39"/>
      <c r="X620" s="39"/>
      <c r="Y620" s="39"/>
      <c r="Z620" s="39"/>
      <c r="AA620" s="39"/>
      <c r="AB620" s="39"/>
    </row>
    <row r="621">
      <c r="A621" s="1"/>
      <c r="B621" s="36"/>
      <c r="C621" s="36"/>
      <c r="D621" s="36"/>
      <c r="E621" s="36"/>
      <c r="F621" s="36"/>
      <c r="G621" s="36"/>
      <c r="H621" s="37"/>
      <c r="I621" s="36"/>
      <c r="J621" s="38"/>
      <c r="K621" s="38"/>
      <c r="L621" s="39"/>
      <c r="M621" s="39"/>
      <c r="N621" s="39"/>
      <c r="O621" s="39"/>
      <c r="P621" s="39"/>
      <c r="Q621" s="39"/>
      <c r="R621" s="39"/>
      <c r="S621" s="39"/>
      <c r="T621" s="39"/>
      <c r="U621" s="39"/>
      <c r="V621" s="39"/>
      <c r="W621" s="39"/>
      <c r="X621" s="39"/>
      <c r="Y621" s="39"/>
      <c r="Z621" s="39"/>
      <c r="AA621" s="39"/>
      <c r="AB621" s="39"/>
    </row>
    <row r="622">
      <c r="A622" s="1"/>
      <c r="B622" s="36"/>
      <c r="C622" s="36"/>
      <c r="D622" s="36"/>
      <c r="E622" s="36"/>
      <c r="F622" s="36"/>
      <c r="G622" s="36"/>
      <c r="H622" s="37"/>
      <c r="I622" s="36"/>
      <c r="J622" s="38"/>
      <c r="K622" s="38"/>
      <c r="L622" s="39"/>
      <c r="M622" s="39"/>
      <c r="N622" s="39"/>
      <c r="O622" s="39"/>
      <c r="P622" s="39"/>
      <c r="Q622" s="39"/>
      <c r="R622" s="39"/>
      <c r="S622" s="39"/>
      <c r="T622" s="39"/>
      <c r="U622" s="39"/>
      <c r="V622" s="39"/>
      <c r="W622" s="39"/>
      <c r="X622" s="39"/>
      <c r="Y622" s="39"/>
      <c r="Z622" s="39"/>
      <c r="AA622" s="39"/>
      <c r="AB622" s="39"/>
    </row>
    <row r="623">
      <c r="A623" s="1"/>
      <c r="B623" s="36"/>
      <c r="C623" s="36"/>
      <c r="D623" s="36"/>
      <c r="E623" s="36"/>
      <c r="F623" s="36"/>
      <c r="G623" s="36"/>
      <c r="H623" s="37"/>
      <c r="I623" s="36"/>
      <c r="J623" s="38"/>
      <c r="K623" s="38"/>
      <c r="L623" s="39"/>
      <c r="M623" s="39"/>
      <c r="N623" s="39"/>
      <c r="O623" s="39"/>
      <c r="P623" s="39"/>
      <c r="Q623" s="39"/>
      <c r="R623" s="39"/>
      <c r="S623" s="39"/>
      <c r="T623" s="39"/>
      <c r="U623" s="39"/>
      <c r="V623" s="39"/>
      <c r="W623" s="39"/>
      <c r="X623" s="39"/>
      <c r="Y623" s="39"/>
      <c r="Z623" s="39"/>
      <c r="AA623" s="39"/>
      <c r="AB623" s="39"/>
    </row>
    <row r="624">
      <c r="A624" s="1"/>
      <c r="B624" s="36"/>
      <c r="C624" s="36"/>
      <c r="D624" s="36"/>
      <c r="E624" s="36"/>
      <c r="F624" s="36"/>
      <c r="G624" s="36"/>
      <c r="H624" s="37"/>
      <c r="I624" s="36"/>
      <c r="J624" s="38"/>
      <c r="K624" s="38"/>
      <c r="L624" s="39"/>
      <c r="M624" s="39"/>
      <c r="N624" s="39"/>
      <c r="O624" s="39"/>
      <c r="P624" s="39"/>
      <c r="Q624" s="39"/>
      <c r="R624" s="39"/>
      <c r="S624" s="39"/>
      <c r="T624" s="39"/>
      <c r="U624" s="39"/>
      <c r="V624" s="39"/>
      <c r="W624" s="39"/>
      <c r="X624" s="39"/>
      <c r="Y624" s="39"/>
      <c r="Z624" s="39"/>
      <c r="AA624" s="39"/>
      <c r="AB624" s="39"/>
    </row>
    <row r="625">
      <c r="A625" s="1"/>
      <c r="B625" s="36"/>
      <c r="C625" s="36"/>
      <c r="D625" s="36"/>
      <c r="E625" s="36"/>
      <c r="F625" s="36"/>
      <c r="G625" s="36"/>
      <c r="H625" s="37"/>
      <c r="I625" s="36"/>
      <c r="J625" s="38"/>
      <c r="K625" s="38"/>
      <c r="L625" s="39"/>
      <c r="M625" s="39"/>
      <c r="N625" s="39"/>
      <c r="O625" s="39"/>
      <c r="P625" s="39"/>
      <c r="Q625" s="39"/>
      <c r="R625" s="39"/>
      <c r="S625" s="39"/>
      <c r="T625" s="39"/>
      <c r="U625" s="39"/>
      <c r="V625" s="39"/>
      <c r="W625" s="39"/>
      <c r="X625" s="39"/>
      <c r="Y625" s="39"/>
      <c r="Z625" s="39"/>
      <c r="AA625" s="39"/>
      <c r="AB625" s="39"/>
    </row>
    <row r="626">
      <c r="A626" s="1"/>
      <c r="B626" s="36"/>
      <c r="C626" s="36"/>
      <c r="D626" s="36"/>
      <c r="E626" s="36"/>
      <c r="F626" s="36"/>
      <c r="G626" s="36"/>
      <c r="H626" s="37"/>
      <c r="I626" s="36"/>
      <c r="J626" s="38"/>
      <c r="K626" s="38"/>
      <c r="L626" s="39"/>
      <c r="M626" s="39"/>
      <c r="N626" s="39"/>
      <c r="O626" s="39"/>
      <c r="P626" s="39"/>
      <c r="Q626" s="39"/>
      <c r="R626" s="39"/>
      <c r="S626" s="39"/>
      <c r="T626" s="39"/>
      <c r="U626" s="39"/>
      <c r="V626" s="39"/>
      <c r="W626" s="39"/>
      <c r="X626" s="39"/>
      <c r="Y626" s="39"/>
      <c r="Z626" s="39"/>
      <c r="AA626" s="39"/>
      <c r="AB626" s="39"/>
    </row>
    <row r="627">
      <c r="A627" s="1"/>
      <c r="B627" s="36"/>
      <c r="C627" s="36"/>
      <c r="D627" s="36"/>
      <c r="E627" s="36"/>
      <c r="F627" s="36"/>
      <c r="G627" s="36"/>
      <c r="H627" s="37"/>
      <c r="I627" s="36"/>
      <c r="J627" s="38"/>
      <c r="K627" s="38"/>
      <c r="L627" s="39"/>
      <c r="M627" s="39"/>
      <c r="N627" s="39"/>
      <c r="O627" s="39"/>
      <c r="P627" s="39"/>
      <c r="Q627" s="39"/>
      <c r="R627" s="39"/>
      <c r="S627" s="39"/>
      <c r="T627" s="39"/>
      <c r="U627" s="39"/>
      <c r="V627" s="39"/>
      <c r="W627" s="39"/>
      <c r="X627" s="39"/>
      <c r="Y627" s="39"/>
      <c r="Z627" s="39"/>
      <c r="AA627" s="39"/>
      <c r="AB627" s="39"/>
    </row>
    <row r="628">
      <c r="A628" s="1"/>
      <c r="B628" s="36"/>
      <c r="C628" s="36"/>
      <c r="D628" s="36"/>
      <c r="E628" s="36"/>
      <c r="F628" s="36"/>
      <c r="G628" s="36"/>
      <c r="H628" s="37"/>
      <c r="I628" s="36"/>
      <c r="J628" s="38"/>
      <c r="K628" s="38"/>
      <c r="L628" s="39"/>
      <c r="M628" s="39"/>
      <c r="N628" s="39"/>
      <c r="O628" s="39"/>
      <c r="P628" s="39"/>
      <c r="Q628" s="39"/>
      <c r="R628" s="39"/>
      <c r="S628" s="39"/>
      <c r="T628" s="39"/>
      <c r="U628" s="39"/>
      <c r="V628" s="39"/>
      <c r="W628" s="39"/>
      <c r="X628" s="39"/>
      <c r="Y628" s="39"/>
      <c r="Z628" s="39"/>
      <c r="AA628" s="39"/>
      <c r="AB628" s="39"/>
    </row>
    <row r="629">
      <c r="A629" s="1"/>
      <c r="B629" s="36"/>
      <c r="C629" s="36"/>
      <c r="D629" s="36"/>
      <c r="E629" s="36"/>
      <c r="F629" s="36"/>
      <c r="G629" s="36"/>
      <c r="H629" s="37"/>
      <c r="I629" s="36"/>
      <c r="J629" s="38"/>
      <c r="K629" s="38"/>
      <c r="L629" s="39"/>
      <c r="M629" s="39"/>
      <c r="N629" s="39"/>
      <c r="O629" s="39"/>
      <c r="P629" s="39"/>
      <c r="Q629" s="39"/>
      <c r="R629" s="39"/>
      <c r="S629" s="39"/>
      <c r="T629" s="39"/>
      <c r="U629" s="39"/>
      <c r="V629" s="39"/>
      <c r="W629" s="39"/>
      <c r="X629" s="39"/>
      <c r="Y629" s="39"/>
      <c r="Z629" s="39"/>
      <c r="AA629" s="39"/>
      <c r="AB629" s="39"/>
    </row>
    <row r="630">
      <c r="A630" s="1"/>
      <c r="B630" s="36"/>
      <c r="C630" s="36"/>
      <c r="D630" s="36"/>
      <c r="E630" s="36"/>
      <c r="F630" s="36"/>
      <c r="G630" s="36"/>
      <c r="H630" s="37"/>
      <c r="I630" s="36"/>
      <c r="J630" s="38"/>
      <c r="K630" s="38"/>
      <c r="L630" s="39"/>
      <c r="M630" s="39"/>
      <c r="N630" s="39"/>
      <c r="O630" s="39"/>
      <c r="P630" s="39"/>
      <c r="Q630" s="39"/>
      <c r="R630" s="39"/>
      <c r="S630" s="39"/>
      <c r="T630" s="39"/>
      <c r="U630" s="39"/>
      <c r="V630" s="39"/>
      <c r="W630" s="39"/>
      <c r="X630" s="39"/>
      <c r="Y630" s="39"/>
      <c r="Z630" s="39"/>
      <c r="AA630" s="39"/>
      <c r="AB630" s="39"/>
    </row>
    <row r="631">
      <c r="A631" s="1"/>
      <c r="B631" s="36"/>
      <c r="C631" s="36"/>
      <c r="D631" s="36"/>
      <c r="E631" s="36"/>
      <c r="F631" s="36"/>
      <c r="G631" s="36"/>
      <c r="H631" s="37"/>
      <c r="I631" s="36"/>
      <c r="J631" s="38"/>
      <c r="K631" s="38"/>
      <c r="L631" s="39"/>
      <c r="M631" s="39"/>
      <c r="N631" s="39"/>
      <c r="O631" s="39"/>
      <c r="P631" s="39"/>
      <c r="Q631" s="39"/>
      <c r="R631" s="39"/>
      <c r="S631" s="39"/>
      <c r="T631" s="39"/>
      <c r="U631" s="39"/>
      <c r="V631" s="39"/>
      <c r="W631" s="39"/>
      <c r="X631" s="39"/>
      <c r="Y631" s="39"/>
      <c r="Z631" s="39"/>
      <c r="AA631" s="39"/>
      <c r="AB631" s="39"/>
    </row>
    <row r="632">
      <c r="A632" s="1"/>
      <c r="B632" s="36"/>
      <c r="C632" s="36"/>
      <c r="D632" s="36"/>
      <c r="E632" s="36"/>
      <c r="F632" s="36"/>
      <c r="G632" s="36"/>
      <c r="H632" s="37"/>
      <c r="I632" s="36"/>
      <c r="J632" s="38"/>
      <c r="K632" s="38"/>
      <c r="L632" s="39"/>
      <c r="M632" s="39"/>
      <c r="N632" s="39"/>
      <c r="O632" s="39"/>
      <c r="P632" s="39"/>
      <c r="Q632" s="39"/>
      <c r="R632" s="39"/>
      <c r="S632" s="39"/>
      <c r="T632" s="39"/>
      <c r="U632" s="39"/>
      <c r="V632" s="39"/>
      <c r="W632" s="39"/>
      <c r="X632" s="39"/>
      <c r="Y632" s="39"/>
      <c r="Z632" s="39"/>
      <c r="AA632" s="39"/>
      <c r="AB632" s="39"/>
    </row>
    <row r="633">
      <c r="A633" s="1"/>
      <c r="B633" s="36"/>
      <c r="C633" s="36"/>
      <c r="D633" s="36"/>
      <c r="E633" s="36"/>
      <c r="F633" s="36"/>
      <c r="G633" s="36"/>
      <c r="H633" s="37"/>
      <c r="I633" s="36"/>
      <c r="J633" s="38"/>
      <c r="K633" s="38"/>
      <c r="L633" s="39"/>
      <c r="M633" s="39"/>
      <c r="N633" s="39"/>
      <c r="O633" s="39"/>
      <c r="P633" s="39"/>
      <c r="Q633" s="39"/>
      <c r="R633" s="39"/>
      <c r="S633" s="39"/>
      <c r="T633" s="39"/>
      <c r="U633" s="39"/>
      <c r="V633" s="39"/>
      <c r="W633" s="39"/>
      <c r="X633" s="39"/>
      <c r="Y633" s="39"/>
      <c r="Z633" s="39"/>
      <c r="AA633" s="39"/>
      <c r="AB633" s="39"/>
    </row>
    <row r="634">
      <c r="A634" s="1"/>
      <c r="B634" s="36"/>
      <c r="C634" s="36"/>
      <c r="D634" s="36"/>
      <c r="E634" s="36"/>
      <c r="F634" s="36"/>
      <c r="G634" s="36"/>
      <c r="H634" s="37"/>
      <c r="I634" s="36"/>
      <c r="J634" s="38"/>
      <c r="K634" s="38"/>
      <c r="L634" s="39"/>
      <c r="M634" s="39"/>
      <c r="N634" s="39"/>
      <c r="O634" s="39"/>
      <c r="P634" s="39"/>
      <c r="Q634" s="39"/>
      <c r="R634" s="39"/>
      <c r="S634" s="39"/>
      <c r="T634" s="39"/>
      <c r="U634" s="39"/>
      <c r="V634" s="39"/>
      <c r="W634" s="39"/>
      <c r="X634" s="39"/>
      <c r="Y634" s="39"/>
      <c r="Z634" s="39"/>
      <c r="AA634" s="39"/>
      <c r="AB634" s="39"/>
    </row>
    <row r="635">
      <c r="A635" s="1"/>
      <c r="B635" s="36"/>
      <c r="C635" s="36"/>
      <c r="D635" s="36"/>
      <c r="E635" s="36"/>
      <c r="F635" s="36"/>
      <c r="G635" s="36"/>
      <c r="H635" s="37"/>
      <c r="I635" s="36"/>
      <c r="J635" s="38"/>
      <c r="K635" s="38"/>
      <c r="L635" s="39"/>
      <c r="M635" s="39"/>
      <c r="N635" s="39"/>
      <c r="O635" s="39"/>
      <c r="P635" s="39"/>
      <c r="Q635" s="39"/>
      <c r="R635" s="39"/>
      <c r="S635" s="39"/>
      <c r="T635" s="39"/>
      <c r="U635" s="39"/>
      <c r="V635" s="39"/>
      <c r="W635" s="39"/>
      <c r="X635" s="39"/>
      <c r="Y635" s="39"/>
      <c r="Z635" s="39"/>
      <c r="AA635" s="39"/>
      <c r="AB635" s="39"/>
    </row>
    <row r="636">
      <c r="A636" s="1"/>
      <c r="B636" s="36"/>
      <c r="C636" s="36"/>
      <c r="D636" s="36"/>
      <c r="E636" s="36"/>
      <c r="F636" s="36"/>
      <c r="G636" s="36"/>
      <c r="H636" s="37"/>
      <c r="I636" s="36"/>
      <c r="J636" s="38"/>
      <c r="K636" s="38"/>
      <c r="L636" s="39"/>
      <c r="M636" s="39"/>
      <c r="N636" s="39"/>
      <c r="O636" s="39"/>
      <c r="P636" s="39"/>
      <c r="Q636" s="39"/>
      <c r="R636" s="39"/>
      <c r="S636" s="39"/>
      <c r="T636" s="39"/>
      <c r="U636" s="39"/>
      <c r="V636" s="39"/>
      <c r="W636" s="39"/>
      <c r="X636" s="39"/>
      <c r="Y636" s="39"/>
      <c r="Z636" s="39"/>
      <c r="AA636" s="39"/>
      <c r="AB636" s="39"/>
    </row>
    <row r="637">
      <c r="A637" s="1"/>
      <c r="B637" s="36"/>
      <c r="C637" s="36"/>
      <c r="D637" s="36"/>
      <c r="E637" s="36"/>
      <c r="F637" s="36"/>
      <c r="G637" s="36"/>
      <c r="H637" s="37"/>
      <c r="I637" s="36"/>
      <c r="J637" s="38"/>
      <c r="K637" s="38"/>
      <c r="L637" s="39"/>
      <c r="M637" s="39"/>
      <c r="N637" s="39"/>
      <c r="O637" s="39"/>
      <c r="P637" s="39"/>
      <c r="Q637" s="39"/>
      <c r="R637" s="39"/>
      <c r="S637" s="39"/>
      <c r="T637" s="39"/>
      <c r="U637" s="39"/>
      <c r="V637" s="39"/>
      <c r="W637" s="39"/>
      <c r="X637" s="39"/>
      <c r="Y637" s="39"/>
      <c r="Z637" s="39"/>
      <c r="AA637" s="39"/>
      <c r="AB637" s="39"/>
    </row>
    <row r="638">
      <c r="A638" s="1"/>
      <c r="B638" s="36"/>
      <c r="C638" s="36"/>
      <c r="D638" s="36"/>
      <c r="E638" s="36"/>
      <c r="F638" s="36"/>
      <c r="G638" s="36"/>
      <c r="H638" s="37"/>
      <c r="I638" s="36"/>
      <c r="J638" s="38"/>
      <c r="K638" s="38"/>
      <c r="L638" s="39"/>
      <c r="M638" s="39"/>
      <c r="N638" s="39"/>
      <c r="O638" s="39"/>
      <c r="P638" s="39"/>
      <c r="Q638" s="39"/>
      <c r="R638" s="39"/>
      <c r="S638" s="39"/>
      <c r="T638" s="39"/>
      <c r="U638" s="39"/>
      <c r="V638" s="39"/>
      <c r="W638" s="39"/>
      <c r="X638" s="39"/>
      <c r="Y638" s="39"/>
      <c r="Z638" s="39"/>
      <c r="AA638" s="39"/>
      <c r="AB638" s="39"/>
    </row>
    <row r="639">
      <c r="A639" s="1"/>
      <c r="B639" s="36"/>
      <c r="C639" s="36"/>
      <c r="D639" s="36"/>
      <c r="E639" s="36"/>
      <c r="F639" s="36"/>
      <c r="G639" s="36"/>
      <c r="H639" s="37"/>
      <c r="I639" s="36"/>
      <c r="J639" s="38"/>
      <c r="K639" s="38"/>
      <c r="L639" s="39"/>
      <c r="M639" s="39"/>
      <c r="N639" s="39"/>
      <c r="O639" s="39"/>
      <c r="P639" s="39"/>
      <c r="Q639" s="39"/>
      <c r="R639" s="39"/>
      <c r="S639" s="39"/>
      <c r="T639" s="39"/>
      <c r="U639" s="39"/>
      <c r="V639" s="39"/>
      <c r="W639" s="39"/>
      <c r="X639" s="39"/>
      <c r="Y639" s="39"/>
      <c r="Z639" s="39"/>
      <c r="AA639" s="39"/>
      <c r="AB639" s="39"/>
    </row>
    <row r="640">
      <c r="A640" s="1"/>
      <c r="B640" s="36"/>
      <c r="C640" s="36"/>
      <c r="D640" s="36"/>
      <c r="E640" s="36"/>
      <c r="F640" s="36"/>
      <c r="G640" s="36"/>
      <c r="H640" s="37"/>
      <c r="I640" s="36"/>
      <c r="J640" s="38"/>
      <c r="K640" s="38"/>
      <c r="L640" s="39"/>
      <c r="M640" s="39"/>
      <c r="N640" s="39"/>
      <c r="O640" s="39"/>
      <c r="P640" s="39"/>
      <c r="Q640" s="39"/>
      <c r="R640" s="39"/>
      <c r="S640" s="39"/>
      <c r="T640" s="39"/>
      <c r="U640" s="39"/>
      <c r="V640" s="39"/>
      <c r="W640" s="39"/>
      <c r="X640" s="39"/>
      <c r="Y640" s="39"/>
      <c r="Z640" s="39"/>
      <c r="AA640" s="39"/>
      <c r="AB640" s="39"/>
    </row>
    <row r="641">
      <c r="A641" s="1"/>
      <c r="B641" s="36"/>
      <c r="C641" s="36"/>
      <c r="D641" s="36"/>
      <c r="E641" s="36"/>
      <c r="F641" s="36"/>
      <c r="G641" s="36"/>
      <c r="H641" s="37"/>
      <c r="I641" s="36"/>
      <c r="J641" s="38"/>
      <c r="K641" s="38"/>
      <c r="L641" s="39"/>
      <c r="M641" s="39"/>
      <c r="N641" s="39"/>
      <c r="O641" s="39"/>
      <c r="P641" s="39"/>
      <c r="Q641" s="39"/>
      <c r="R641" s="39"/>
      <c r="S641" s="39"/>
      <c r="T641" s="39"/>
      <c r="U641" s="39"/>
      <c r="V641" s="39"/>
      <c r="W641" s="39"/>
      <c r="X641" s="39"/>
      <c r="Y641" s="39"/>
      <c r="Z641" s="39"/>
      <c r="AA641" s="39"/>
      <c r="AB641" s="39"/>
    </row>
    <row r="642">
      <c r="A642" s="1"/>
      <c r="B642" s="36"/>
      <c r="C642" s="36"/>
      <c r="D642" s="36"/>
      <c r="E642" s="36"/>
      <c r="F642" s="36"/>
      <c r="G642" s="36"/>
      <c r="H642" s="37"/>
      <c r="I642" s="36"/>
      <c r="J642" s="38"/>
      <c r="K642" s="38"/>
      <c r="L642" s="39"/>
      <c r="M642" s="39"/>
      <c r="N642" s="39"/>
      <c r="O642" s="39"/>
      <c r="P642" s="39"/>
      <c r="Q642" s="39"/>
      <c r="R642" s="39"/>
      <c r="S642" s="39"/>
      <c r="T642" s="39"/>
      <c r="U642" s="39"/>
      <c r="V642" s="39"/>
      <c r="W642" s="39"/>
      <c r="X642" s="39"/>
      <c r="Y642" s="39"/>
      <c r="Z642" s="39"/>
      <c r="AA642" s="39"/>
      <c r="AB642" s="39"/>
    </row>
    <row r="643">
      <c r="A643" s="1"/>
      <c r="B643" s="36"/>
      <c r="C643" s="36"/>
      <c r="D643" s="36"/>
      <c r="E643" s="36"/>
      <c r="F643" s="36"/>
      <c r="G643" s="36"/>
      <c r="H643" s="37"/>
      <c r="I643" s="36"/>
      <c r="J643" s="38"/>
      <c r="K643" s="38"/>
      <c r="L643" s="39"/>
      <c r="M643" s="39"/>
      <c r="N643" s="39"/>
      <c r="O643" s="39"/>
      <c r="P643" s="39"/>
      <c r="Q643" s="39"/>
      <c r="R643" s="39"/>
      <c r="S643" s="39"/>
      <c r="T643" s="39"/>
      <c r="U643" s="39"/>
      <c r="V643" s="39"/>
      <c r="W643" s="39"/>
      <c r="X643" s="39"/>
      <c r="Y643" s="39"/>
      <c r="Z643" s="39"/>
      <c r="AA643" s="39"/>
      <c r="AB643" s="39"/>
    </row>
    <row r="644">
      <c r="A644" s="1"/>
      <c r="B644" s="36"/>
      <c r="C644" s="36"/>
      <c r="D644" s="36"/>
      <c r="E644" s="36"/>
      <c r="F644" s="36"/>
      <c r="G644" s="36"/>
      <c r="H644" s="37"/>
      <c r="I644" s="36"/>
      <c r="J644" s="38"/>
      <c r="K644" s="38"/>
      <c r="L644" s="39"/>
      <c r="M644" s="39"/>
      <c r="N644" s="39"/>
      <c r="O644" s="39"/>
      <c r="P644" s="39"/>
      <c r="Q644" s="39"/>
      <c r="R644" s="39"/>
      <c r="S644" s="39"/>
      <c r="T644" s="39"/>
      <c r="U644" s="39"/>
      <c r="V644" s="39"/>
      <c r="W644" s="39"/>
      <c r="X644" s="39"/>
      <c r="Y644" s="39"/>
      <c r="Z644" s="39"/>
      <c r="AA644" s="39"/>
      <c r="AB644" s="39"/>
    </row>
    <row r="645">
      <c r="A645" s="1"/>
      <c r="B645" s="36"/>
      <c r="C645" s="36"/>
      <c r="D645" s="36"/>
      <c r="E645" s="36"/>
      <c r="F645" s="36"/>
      <c r="G645" s="36"/>
      <c r="H645" s="37"/>
      <c r="I645" s="36"/>
      <c r="J645" s="38"/>
      <c r="K645" s="38"/>
      <c r="L645" s="39"/>
      <c r="M645" s="39"/>
      <c r="N645" s="39"/>
      <c r="O645" s="39"/>
      <c r="P645" s="39"/>
      <c r="Q645" s="39"/>
      <c r="R645" s="39"/>
      <c r="S645" s="39"/>
      <c r="T645" s="39"/>
      <c r="U645" s="39"/>
      <c r="V645" s="39"/>
      <c r="W645" s="39"/>
      <c r="X645" s="39"/>
      <c r="Y645" s="39"/>
      <c r="Z645" s="39"/>
      <c r="AA645" s="39"/>
      <c r="AB645" s="39"/>
    </row>
    <row r="646">
      <c r="A646" s="1"/>
      <c r="B646" s="36"/>
      <c r="C646" s="36"/>
      <c r="D646" s="36"/>
      <c r="E646" s="36"/>
      <c r="F646" s="36"/>
      <c r="G646" s="36"/>
      <c r="H646" s="37"/>
      <c r="I646" s="36"/>
      <c r="J646" s="38"/>
      <c r="K646" s="38"/>
      <c r="L646" s="39"/>
      <c r="M646" s="39"/>
      <c r="N646" s="39"/>
      <c r="O646" s="39"/>
      <c r="P646" s="39"/>
      <c r="Q646" s="39"/>
      <c r="R646" s="39"/>
      <c r="S646" s="39"/>
      <c r="T646" s="39"/>
      <c r="U646" s="39"/>
      <c r="V646" s="39"/>
      <c r="W646" s="39"/>
      <c r="X646" s="39"/>
      <c r="Y646" s="39"/>
      <c r="Z646" s="39"/>
      <c r="AA646" s="39"/>
      <c r="AB646" s="39"/>
    </row>
    <row r="647">
      <c r="A647" s="1"/>
      <c r="B647" s="36"/>
      <c r="C647" s="36"/>
      <c r="D647" s="36"/>
      <c r="E647" s="36"/>
      <c r="F647" s="36"/>
      <c r="G647" s="36"/>
      <c r="H647" s="37"/>
      <c r="I647" s="36"/>
      <c r="J647" s="38"/>
      <c r="K647" s="38"/>
      <c r="L647" s="39"/>
      <c r="M647" s="39"/>
      <c r="N647" s="39"/>
      <c r="O647" s="39"/>
      <c r="P647" s="39"/>
      <c r="Q647" s="39"/>
      <c r="R647" s="39"/>
      <c r="S647" s="39"/>
      <c r="T647" s="39"/>
      <c r="U647" s="39"/>
      <c r="V647" s="39"/>
      <c r="W647" s="39"/>
      <c r="X647" s="39"/>
      <c r="Y647" s="39"/>
      <c r="Z647" s="39"/>
      <c r="AA647" s="39"/>
      <c r="AB647" s="39"/>
    </row>
    <row r="648">
      <c r="A648" s="1"/>
      <c r="B648" s="36"/>
      <c r="C648" s="36"/>
      <c r="D648" s="36"/>
      <c r="E648" s="36"/>
      <c r="F648" s="36"/>
      <c r="G648" s="36"/>
      <c r="H648" s="37"/>
      <c r="I648" s="36"/>
      <c r="J648" s="38"/>
      <c r="K648" s="38"/>
      <c r="L648" s="39"/>
      <c r="M648" s="39"/>
      <c r="N648" s="39"/>
      <c r="O648" s="39"/>
      <c r="P648" s="39"/>
      <c r="Q648" s="39"/>
      <c r="R648" s="39"/>
      <c r="S648" s="39"/>
      <c r="T648" s="39"/>
      <c r="U648" s="39"/>
      <c r="V648" s="39"/>
      <c r="W648" s="39"/>
      <c r="X648" s="39"/>
      <c r="Y648" s="39"/>
      <c r="Z648" s="39"/>
      <c r="AA648" s="39"/>
      <c r="AB648" s="39"/>
    </row>
    <row r="649">
      <c r="A649" s="1"/>
      <c r="B649" s="36"/>
      <c r="C649" s="36"/>
      <c r="D649" s="36"/>
      <c r="E649" s="36"/>
      <c r="F649" s="36"/>
      <c r="G649" s="36"/>
      <c r="H649" s="37"/>
      <c r="I649" s="36"/>
      <c r="J649" s="38"/>
      <c r="K649" s="38"/>
      <c r="L649" s="39"/>
      <c r="M649" s="39"/>
      <c r="N649" s="39"/>
      <c r="O649" s="39"/>
      <c r="P649" s="39"/>
      <c r="Q649" s="39"/>
      <c r="R649" s="39"/>
      <c r="S649" s="39"/>
      <c r="T649" s="39"/>
      <c r="U649" s="39"/>
      <c r="V649" s="39"/>
      <c r="W649" s="39"/>
      <c r="X649" s="39"/>
      <c r="Y649" s="39"/>
      <c r="Z649" s="39"/>
      <c r="AA649" s="39"/>
      <c r="AB649" s="39"/>
    </row>
    <row r="650">
      <c r="A650" s="1"/>
      <c r="B650" s="36"/>
      <c r="C650" s="36"/>
      <c r="D650" s="36"/>
      <c r="E650" s="36"/>
      <c r="F650" s="36"/>
      <c r="G650" s="36"/>
      <c r="H650" s="37"/>
      <c r="I650" s="36"/>
      <c r="J650" s="38"/>
      <c r="K650" s="38"/>
      <c r="L650" s="39"/>
      <c r="M650" s="39"/>
      <c r="N650" s="39"/>
      <c r="O650" s="39"/>
      <c r="P650" s="39"/>
      <c r="Q650" s="39"/>
      <c r="R650" s="39"/>
      <c r="S650" s="39"/>
      <c r="T650" s="39"/>
      <c r="U650" s="39"/>
      <c r="V650" s="39"/>
      <c r="W650" s="39"/>
      <c r="X650" s="39"/>
      <c r="Y650" s="39"/>
      <c r="Z650" s="39"/>
      <c r="AA650" s="39"/>
      <c r="AB650" s="39"/>
    </row>
    <row r="651">
      <c r="A651" s="1"/>
      <c r="B651" s="36"/>
      <c r="C651" s="36"/>
      <c r="D651" s="36"/>
      <c r="E651" s="36"/>
      <c r="F651" s="36"/>
      <c r="G651" s="36"/>
      <c r="H651" s="37"/>
      <c r="I651" s="36"/>
      <c r="J651" s="38"/>
      <c r="K651" s="38"/>
      <c r="L651" s="39"/>
      <c r="M651" s="39"/>
      <c r="N651" s="39"/>
      <c r="O651" s="39"/>
      <c r="P651" s="39"/>
      <c r="Q651" s="39"/>
      <c r="R651" s="39"/>
      <c r="S651" s="39"/>
      <c r="T651" s="39"/>
      <c r="U651" s="39"/>
      <c r="V651" s="39"/>
      <c r="W651" s="39"/>
      <c r="X651" s="39"/>
      <c r="Y651" s="39"/>
      <c r="Z651" s="39"/>
      <c r="AA651" s="39"/>
      <c r="AB651" s="39"/>
    </row>
    <row r="652">
      <c r="A652" s="1"/>
      <c r="B652" s="36"/>
      <c r="C652" s="36"/>
      <c r="D652" s="36"/>
      <c r="E652" s="36"/>
      <c r="F652" s="36"/>
      <c r="G652" s="36"/>
      <c r="H652" s="37"/>
      <c r="I652" s="36"/>
      <c r="J652" s="38"/>
      <c r="K652" s="38"/>
      <c r="L652" s="39"/>
      <c r="M652" s="39"/>
      <c r="N652" s="39"/>
      <c r="O652" s="39"/>
      <c r="P652" s="39"/>
      <c r="Q652" s="39"/>
      <c r="R652" s="39"/>
      <c r="S652" s="39"/>
      <c r="T652" s="39"/>
      <c r="U652" s="39"/>
      <c r="V652" s="39"/>
      <c r="W652" s="39"/>
      <c r="X652" s="39"/>
      <c r="Y652" s="39"/>
      <c r="Z652" s="39"/>
      <c r="AA652" s="39"/>
      <c r="AB652" s="39"/>
    </row>
    <row r="653">
      <c r="A653" s="1"/>
      <c r="B653" s="36"/>
      <c r="C653" s="36"/>
      <c r="D653" s="36"/>
      <c r="E653" s="36"/>
      <c r="F653" s="36"/>
      <c r="G653" s="36"/>
      <c r="H653" s="37"/>
      <c r="I653" s="36"/>
      <c r="J653" s="38"/>
      <c r="K653" s="38"/>
      <c r="L653" s="39"/>
      <c r="M653" s="39"/>
      <c r="N653" s="39"/>
      <c r="O653" s="39"/>
      <c r="P653" s="39"/>
      <c r="Q653" s="39"/>
      <c r="R653" s="39"/>
      <c r="S653" s="39"/>
      <c r="T653" s="39"/>
      <c r="U653" s="39"/>
      <c r="V653" s="39"/>
      <c r="W653" s="39"/>
      <c r="X653" s="39"/>
      <c r="Y653" s="39"/>
      <c r="Z653" s="39"/>
      <c r="AA653" s="39"/>
      <c r="AB653" s="39"/>
    </row>
    <row r="654">
      <c r="A654" s="1"/>
      <c r="B654" s="36"/>
      <c r="C654" s="36"/>
      <c r="D654" s="36"/>
      <c r="E654" s="36"/>
      <c r="F654" s="36"/>
      <c r="G654" s="36"/>
      <c r="H654" s="37"/>
      <c r="I654" s="36"/>
      <c r="J654" s="38"/>
      <c r="K654" s="38"/>
      <c r="L654" s="39"/>
      <c r="M654" s="39"/>
      <c r="N654" s="39"/>
      <c r="O654" s="39"/>
      <c r="P654" s="39"/>
      <c r="Q654" s="39"/>
      <c r="R654" s="39"/>
      <c r="S654" s="39"/>
      <c r="T654" s="39"/>
      <c r="U654" s="39"/>
      <c r="V654" s="39"/>
      <c r="W654" s="39"/>
      <c r="X654" s="39"/>
      <c r="Y654" s="39"/>
      <c r="Z654" s="39"/>
      <c r="AA654" s="39"/>
      <c r="AB654" s="39"/>
    </row>
    <row r="655">
      <c r="A655" s="1"/>
      <c r="B655" s="36"/>
      <c r="C655" s="36"/>
      <c r="D655" s="36"/>
      <c r="E655" s="36"/>
      <c r="F655" s="36"/>
      <c r="G655" s="36"/>
      <c r="H655" s="37"/>
      <c r="I655" s="36"/>
      <c r="J655" s="38"/>
      <c r="K655" s="38"/>
      <c r="L655" s="39"/>
      <c r="M655" s="39"/>
      <c r="N655" s="39"/>
      <c r="O655" s="39"/>
      <c r="P655" s="39"/>
      <c r="Q655" s="39"/>
      <c r="R655" s="39"/>
      <c r="S655" s="39"/>
      <c r="T655" s="39"/>
      <c r="U655" s="39"/>
      <c r="V655" s="39"/>
      <c r="W655" s="39"/>
      <c r="X655" s="39"/>
      <c r="Y655" s="39"/>
      <c r="Z655" s="39"/>
      <c r="AA655" s="39"/>
      <c r="AB655" s="39"/>
    </row>
    <row r="656">
      <c r="A656" s="1"/>
      <c r="B656" s="36"/>
      <c r="C656" s="36"/>
      <c r="D656" s="36"/>
      <c r="E656" s="36"/>
      <c r="F656" s="36"/>
      <c r="G656" s="36"/>
      <c r="H656" s="37"/>
      <c r="I656" s="36"/>
      <c r="J656" s="38"/>
      <c r="K656" s="38"/>
      <c r="L656" s="39"/>
      <c r="M656" s="39"/>
      <c r="N656" s="39"/>
      <c r="O656" s="39"/>
      <c r="P656" s="39"/>
      <c r="Q656" s="39"/>
      <c r="R656" s="39"/>
      <c r="S656" s="39"/>
      <c r="T656" s="39"/>
      <c r="U656" s="39"/>
      <c r="V656" s="39"/>
      <c r="W656" s="39"/>
      <c r="X656" s="39"/>
      <c r="Y656" s="39"/>
      <c r="Z656" s="39"/>
      <c r="AA656" s="39"/>
      <c r="AB656" s="39"/>
    </row>
    <row r="657">
      <c r="A657" s="1"/>
      <c r="B657" s="36"/>
      <c r="C657" s="36"/>
      <c r="D657" s="36"/>
      <c r="E657" s="36"/>
      <c r="F657" s="36"/>
      <c r="G657" s="36"/>
      <c r="H657" s="37"/>
      <c r="I657" s="36"/>
      <c r="J657" s="38"/>
      <c r="K657" s="38"/>
      <c r="L657" s="39"/>
      <c r="M657" s="39"/>
      <c r="N657" s="39"/>
      <c r="O657" s="39"/>
      <c r="P657" s="39"/>
      <c r="Q657" s="39"/>
      <c r="R657" s="39"/>
      <c r="S657" s="39"/>
      <c r="T657" s="39"/>
      <c r="U657" s="39"/>
      <c r="V657" s="39"/>
      <c r="W657" s="39"/>
      <c r="X657" s="39"/>
      <c r="Y657" s="39"/>
      <c r="Z657" s="39"/>
      <c r="AA657" s="39"/>
      <c r="AB657" s="39"/>
    </row>
    <row r="658">
      <c r="A658" s="1"/>
      <c r="B658" s="36"/>
      <c r="C658" s="36"/>
      <c r="D658" s="36"/>
      <c r="E658" s="36"/>
      <c r="F658" s="36"/>
      <c r="G658" s="36"/>
      <c r="H658" s="37"/>
      <c r="I658" s="36"/>
      <c r="J658" s="38"/>
      <c r="K658" s="38"/>
      <c r="L658" s="39"/>
      <c r="M658" s="39"/>
      <c r="N658" s="39"/>
      <c r="O658" s="39"/>
      <c r="P658" s="39"/>
      <c r="Q658" s="39"/>
      <c r="R658" s="39"/>
      <c r="S658" s="39"/>
      <c r="T658" s="39"/>
      <c r="U658" s="39"/>
      <c r="V658" s="39"/>
      <c r="W658" s="39"/>
      <c r="X658" s="39"/>
      <c r="Y658" s="39"/>
      <c r="Z658" s="39"/>
      <c r="AA658" s="39"/>
      <c r="AB658" s="39"/>
    </row>
    <row r="659">
      <c r="A659" s="1"/>
      <c r="B659" s="36"/>
      <c r="C659" s="36"/>
      <c r="D659" s="36"/>
      <c r="E659" s="36"/>
      <c r="F659" s="36"/>
      <c r="G659" s="36"/>
      <c r="H659" s="37"/>
      <c r="I659" s="36"/>
      <c r="J659" s="38"/>
      <c r="K659" s="38"/>
      <c r="L659" s="39"/>
      <c r="M659" s="39"/>
      <c r="N659" s="39"/>
      <c r="O659" s="39"/>
      <c r="P659" s="39"/>
      <c r="Q659" s="39"/>
      <c r="R659" s="39"/>
      <c r="S659" s="39"/>
      <c r="T659" s="39"/>
      <c r="U659" s="39"/>
      <c r="V659" s="39"/>
      <c r="W659" s="39"/>
      <c r="X659" s="39"/>
      <c r="Y659" s="39"/>
      <c r="Z659" s="39"/>
      <c r="AA659" s="39"/>
      <c r="AB659" s="39"/>
    </row>
    <row r="660">
      <c r="A660" s="1"/>
      <c r="B660" s="36"/>
      <c r="C660" s="36"/>
      <c r="D660" s="36"/>
      <c r="E660" s="36"/>
      <c r="F660" s="36"/>
      <c r="G660" s="36"/>
      <c r="H660" s="37"/>
      <c r="I660" s="36"/>
      <c r="J660" s="38"/>
      <c r="K660" s="38"/>
      <c r="L660" s="39"/>
      <c r="M660" s="39"/>
      <c r="N660" s="39"/>
      <c r="O660" s="39"/>
      <c r="P660" s="39"/>
      <c r="Q660" s="39"/>
      <c r="R660" s="39"/>
      <c r="S660" s="39"/>
      <c r="T660" s="39"/>
      <c r="U660" s="39"/>
      <c r="V660" s="39"/>
      <c r="W660" s="39"/>
      <c r="X660" s="39"/>
      <c r="Y660" s="39"/>
      <c r="Z660" s="39"/>
      <c r="AA660" s="39"/>
      <c r="AB660" s="39"/>
    </row>
    <row r="661">
      <c r="A661" s="1"/>
      <c r="B661" s="36"/>
      <c r="C661" s="36"/>
      <c r="D661" s="36"/>
      <c r="E661" s="36"/>
      <c r="F661" s="36"/>
      <c r="G661" s="36"/>
      <c r="H661" s="37"/>
      <c r="I661" s="36"/>
      <c r="J661" s="38"/>
      <c r="K661" s="38"/>
      <c r="L661" s="39"/>
      <c r="M661" s="39"/>
      <c r="N661" s="39"/>
      <c r="O661" s="39"/>
      <c r="P661" s="39"/>
      <c r="Q661" s="39"/>
      <c r="R661" s="39"/>
      <c r="S661" s="39"/>
      <c r="T661" s="39"/>
      <c r="U661" s="39"/>
      <c r="V661" s="39"/>
      <c r="W661" s="39"/>
      <c r="X661" s="39"/>
      <c r="Y661" s="39"/>
      <c r="Z661" s="39"/>
      <c r="AA661" s="39"/>
      <c r="AB661" s="39"/>
    </row>
    <row r="662">
      <c r="A662" s="1"/>
      <c r="B662" s="36"/>
      <c r="C662" s="36"/>
      <c r="D662" s="36"/>
      <c r="E662" s="36"/>
      <c r="F662" s="36"/>
      <c r="G662" s="36"/>
      <c r="H662" s="37"/>
      <c r="I662" s="36"/>
      <c r="J662" s="38"/>
      <c r="K662" s="38"/>
      <c r="L662" s="39"/>
      <c r="M662" s="39"/>
      <c r="N662" s="39"/>
      <c r="O662" s="39"/>
      <c r="P662" s="39"/>
      <c r="Q662" s="39"/>
      <c r="R662" s="39"/>
      <c r="S662" s="39"/>
      <c r="T662" s="39"/>
      <c r="U662" s="39"/>
      <c r="V662" s="39"/>
      <c r="W662" s="39"/>
      <c r="X662" s="39"/>
      <c r="Y662" s="39"/>
      <c r="Z662" s="39"/>
      <c r="AA662" s="39"/>
      <c r="AB662" s="39"/>
    </row>
    <row r="663">
      <c r="A663" s="1"/>
      <c r="B663" s="36"/>
      <c r="C663" s="36"/>
      <c r="D663" s="36"/>
      <c r="E663" s="36"/>
      <c r="F663" s="36"/>
      <c r="G663" s="36"/>
      <c r="H663" s="37"/>
      <c r="I663" s="36"/>
      <c r="J663" s="38"/>
      <c r="K663" s="38"/>
      <c r="L663" s="39"/>
      <c r="M663" s="39"/>
      <c r="N663" s="39"/>
      <c r="O663" s="39"/>
      <c r="P663" s="39"/>
      <c r="Q663" s="39"/>
      <c r="R663" s="39"/>
      <c r="S663" s="39"/>
      <c r="T663" s="39"/>
      <c r="U663" s="39"/>
      <c r="V663" s="39"/>
      <c r="W663" s="39"/>
      <c r="X663" s="39"/>
      <c r="Y663" s="39"/>
      <c r="Z663" s="39"/>
      <c r="AA663" s="39"/>
      <c r="AB663" s="39"/>
    </row>
    <row r="664">
      <c r="A664" s="1"/>
      <c r="B664" s="36"/>
      <c r="C664" s="36"/>
      <c r="D664" s="36"/>
      <c r="E664" s="36"/>
      <c r="F664" s="36"/>
      <c r="G664" s="36"/>
      <c r="H664" s="37"/>
      <c r="I664" s="36"/>
      <c r="J664" s="38"/>
      <c r="K664" s="38"/>
      <c r="L664" s="39"/>
      <c r="M664" s="39"/>
      <c r="N664" s="39"/>
      <c r="O664" s="39"/>
      <c r="P664" s="39"/>
      <c r="Q664" s="39"/>
      <c r="R664" s="39"/>
      <c r="S664" s="39"/>
      <c r="T664" s="39"/>
      <c r="U664" s="39"/>
      <c r="V664" s="39"/>
      <c r="W664" s="39"/>
      <c r="X664" s="39"/>
      <c r="Y664" s="39"/>
      <c r="Z664" s="39"/>
      <c r="AA664" s="39"/>
      <c r="AB664" s="39"/>
    </row>
    <row r="665">
      <c r="A665" s="1"/>
      <c r="B665" s="36"/>
      <c r="C665" s="36"/>
      <c r="D665" s="36"/>
      <c r="E665" s="36"/>
      <c r="F665" s="36"/>
      <c r="G665" s="36"/>
      <c r="H665" s="37"/>
      <c r="I665" s="36"/>
      <c r="J665" s="38"/>
      <c r="K665" s="38"/>
      <c r="L665" s="39"/>
      <c r="M665" s="39"/>
      <c r="N665" s="39"/>
      <c r="O665" s="39"/>
      <c r="P665" s="39"/>
      <c r="Q665" s="39"/>
      <c r="R665" s="39"/>
      <c r="S665" s="39"/>
      <c r="T665" s="39"/>
      <c r="U665" s="39"/>
      <c r="V665" s="39"/>
      <c r="W665" s="39"/>
      <c r="X665" s="39"/>
      <c r="Y665" s="39"/>
      <c r="Z665" s="39"/>
      <c r="AA665" s="39"/>
      <c r="AB665" s="39"/>
    </row>
    <row r="666">
      <c r="A666" s="1"/>
      <c r="B666" s="36"/>
      <c r="C666" s="36"/>
      <c r="D666" s="36"/>
      <c r="E666" s="36"/>
      <c r="F666" s="36"/>
      <c r="G666" s="36"/>
      <c r="H666" s="37"/>
      <c r="I666" s="36"/>
      <c r="J666" s="38"/>
      <c r="K666" s="38"/>
      <c r="L666" s="39"/>
      <c r="M666" s="39"/>
      <c r="N666" s="39"/>
      <c r="O666" s="39"/>
      <c r="P666" s="39"/>
      <c r="Q666" s="39"/>
      <c r="R666" s="39"/>
      <c r="S666" s="39"/>
      <c r="T666" s="39"/>
      <c r="U666" s="39"/>
      <c r="V666" s="39"/>
      <c r="W666" s="39"/>
      <c r="X666" s="39"/>
      <c r="Y666" s="39"/>
      <c r="Z666" s="39"/>
      <c r="AA666" s="39"/>
      <c r="AB666" s="39"/>
    </row>
    <row r="667">
      <c r="A667" s="1"/>
      <c r="B667" s="36"/>
      <c r="C667" s="36"/>
      <c r="D667" s="36"/>
      <c r="E667" s="36"/>
      <c r="F667" s="36"/>
      <c r="G667" s="36"/>
      <c r="H667" s="37"/>
      <c r="I667" s="36"/>
      <c r="J667" s="38"/>
      <c r="K667" s="38"/>
      <c r="L667" s="39"/>
      <c r="M667" s="39"/>
      <c r="N667" s="39"/>
      <c r="O667" s="39"/>
      <c r="P667" s="39"/>
      <c r="Q667" s="39"/>
      <c r="R667" s="39"/>
      <c r="S667" s="39"/>
      <c r="T667" s="39"/>
      <c r="U667" s="39"/>
      <c r="V667" s="39"/>
      <c r="W667" s="39"/>
      <c r="X667" s="39"/>
      <c r="Y667" s="39"/>
      <c r="Z667" s="39"/>
      <c r="AA667" s="39"/>
      <c r="AB667" s="39"/>
    </row>
    <row r="668">
      <c r="A668" s="1"/>
      <c r="B668" s="36"/>
      <c r="C668" s="36"/>
      <c r="D668" s="36"/>
      <c r="E668" s="36"/>
      <c r="F668" s="36"/>
      <c r="G668" s="36"/>
      <c r="H668" s="37"/>
      <c r="I668" s="36"/>
      <c r="J668" s="38"/>
      <c r="K668" s="38"/>
      <c r="L668" s="39"/>
      <c r="M668" s="39"/>
      <c r="N668" s="39"/>
      <c r="O668" s="39"/>
      <c r="P668" s="39"/>
      <c r="Q668" s="39"/>
      <c r="R668" s="39"/>
      <c r="S668" s="39"/>
      <c r="T668" s="39"/>
      <c r="U668" s="39"/>
      <c r="V668" s="39"/>
      <c r="W668" s="39"/>
      <c r="X668" s="39"/>
      <c r="Y668" s="39"/>
      <c r="Z668" s="39"/>
      <c r="AA668" s="39"/>
      <c r="AB668" s="39"/>
    </row>
    <row r="669">
      <c r="A669" s="1"/>
      <c r="B669" s="36"/>
      <c r="C669" s="36"/>
      <c r="D669" s="36"/>
      <c r="E669" s="36"/>
      <c r="F669" s="36"/>
      <c r="G669" s="36"/>
      <c r="H669" s="37"/>
      <c r="I669" s="36"/>
      <c r="J669" s="38"/>
      <c r="K669" s="38"/>
      <c r="L669" s="39"/>
      <c r="M669" s="39"/>
      <c r="N669" s="39"/>
      <c r="O669" s="39"/>
      <c r="P669" s="39"/>
      <c r="Q669" s="39"/>
      <c r="R669" s="39"/>
      <c r="S669" s="39"/>
      <c r="T669" s="39"/>
      <c r="U669" s="39"/>
      <c r="V669" s="39"/>
      <c r="W669" s="39"/>
      <c r="X669" s="39"/>
      <c r="Y669" s="39"/>
      <c r="Z669" s="39"/>
      <c r="AA669" s="39"/>
      <c r="AB669" s="39"/>
    </row>
    <row r="670">
      <c r="A670" s="1"/>
      <c r="B670" s="36"/>
      <c r="C670" s="36"/>
      <c r="D670" s="36"/>
      <c r="E670" s="36"/>
      <c r="F670" s="36"/>
      <c r="G670" s="36"/>
      <c r="H670" s="37"/>
      <c r="I670" s="36"/>
      <c r="J670" s="38"/>
      <c r="K670" s="38"/>
      <c r="L670" s="39"/>
      <c r="M670" s="39"/>
      <c r="N670" s="39"/>
      <c r="O670" s="39"/>
      <c r="P670" s="39"/>
      <c r="Q670" s="39"/>
      <c r="R670" s="39"/>
      <c r="S670" s="39"/>
      <c r="T670" s="39"/>
      <c r="U670" s="39"/>
      <c r="V670" s="39"/>
      <c r="W670" s="39"/>
      <c r="X670" s="39"/>
      <c r="Y670" s="39"/>
      <c r="Z670" s="39"/>
      <c r="AA670" s="39"/>
      <c r="AB670" s="39"/>
    </row>
    <row r="671">
      <c r="A671" s="1"/>
      <c r="B671" s="36"/>
      <c r="C671" s="36"/>
      <c r="D671" s="36"/>
      <c r="E671" s="36"/>
      <c r="F671" s="36"/>
      <c r="G671" s="36"/>
      <c r="H671" s="37"/>
      <c r="I671" s="36"/>
      <c r="J671" s="38"/>
      <c r="K671" s="38"/>
      <c r="L671" s="39"/>
      <c r="M671" s="39"/>
      <c r="N671" s="39"/>
      <c r="O671" s="39"/>
      <c r="P671" s="39"/>
      <c r="Q671" s="39"/>
      <c r="R671" s="39"/>
      <c r="S671" s="39"/>
      <c r="T671" s="39"/>
      <c r="U671" s="39"/>
      <c r="V671" s="39"/>
      <c r="W671" s="39"/>
      <c r="X671" s="39"/>
      <c r="Y671" s="39"/>
      <c r="Z671" s="39"/>
      <c r="AA671" s="39"/>
      <c r="AB671" s="39"/>
    </row>
    <row r="672">
      <c r="A672" s="1"/>
      <c r="B672" s="36"/>
      <c r="C672" s="36"/>
      <c r="D672" s="36"/>
      <c r="E672" s="36"/>
      <c r="F672" s="36"/>
      <c r="G672" s="36"/>
      <c r="H672" s="37"/>
      <c r="I672" s="36"/>
      <c r="J672" s="38"/>
      <c r="K672" s="38"/>
      <c r="L672" s="39"/>
      <c r="M672" s="39"/>
      <c r="N672" s="39"/>
      <c r="O672" s="39"/>
      <c r="P672" s="39"/>
      <c r="Q672" s="39"/>
      <c r="R672" s="39"/>
      <c r="S672" s="39"/>
      <c r="T672" s="39"/>
      <c r="U672" s="39"/>
      <c r="V672" s="39"/>
      <c r="W672" s="39"/>
      <c r="X672" s="39"/>
      <c r="Y672" s="39"/>
      <c r="Z672" s="39"/>
      <c r="AA672" s="39"/>
      <c r="AB672" s="39"/>
    </row>
    <row r="673">
      <c r="A673" s="1"/>
      <c r="B673" s="36"/>
      <c r="C673" s="36"/>
      <c r="D673" s="36"/>
      <c r="E673" s="36"/>
      <c r="F673" s="36"/>
      <c r="G673" s="36"/>
      <c r="H673" s="37"/>
      <c r="I673" s="36"/>
      <c r="J673" s="38"/>
      <c r="K673" s="38"/>
      <c r="L673" s="39"/>
      <c r="M673" s="39"/>
      <c r="N673" s="39"/>
      <c r="O673" s="39"/>
      <c r="P673" s="39"/>
      <c r="Q673" s="39"/>
      <c r="R673" s="39"/>
      <c r="S673" s="39"/>
      <c r="T673" s="39"/>
      <c r="U673" s="39"/>
      <c r="V673" s="39"/>
      <c r="W673" s="39"/>
      <c r="X673" s="39"/>
      <c r="Y673" s="39"/>
      <c r="Z673" s="39"/>
      <c r="AA673" s="39"/>
      <c r="AB673" s="39"/>
    </row>
    <row r="674">
      <c r="A674" s="1"/>
      <c r="B674" s="36"/>
      <c r="C674" s="36"/>
      <c r="D674" s="36"/>
      <c r="E674" s="36"/>
      <c r="F674" s="36"/>
      <c r="G674" s="36"/>
      <c r="H674" s="37"/>
      <c r="I674" s="36"/>
      <c r="J674" s="38"/>
      <c r="K674" s="38"/>
      <c r="L674" s="39"/>
      <c r="M674" s="39"/>
      <c r="N674" s="39"/>
      <c r="O674" s="39"/>
      <c r="P674" s="39"/>
      <c r="Q674" s="39"/>
      <c r="R674" s="39"/>
      <c r="S674" s="39"/>
      <c r="T674" s="39"/>
      <c r="U674" s="39"/>
      <c r="V674" s="39"/>
      <c r="W674" s="39"/>
      <c r="X674" s="39"/>
      <c r="Y674" s="39"/>
      <c r="Z674" s="39"/>
      <c r="AA674" s="39"/>
      <c r="AB674" s="39"/>
    </row>
    <row r="675">
      <c r="A675" s="1"/>
      <c r="B675" s="36"/>
      <c r="C675" s="36"/>
      <c r="D675" s="36"/>
      <c r="E675" s="36"/>
      <c r="F675" s="36"/>
      <c r="G675" s="36"/>
      <c r="H675" s="37"/>
      <c r="I675" s="36"/>
      <c r="J675" s="38"/>
      <c r="K675" s="38"/>
      <c r="L675" s="39"/>
      <c r="M675" s="39"/>
      <c r="N675" s="39"/>
      <c r="O675" s="39"/>
      <c r="P675" s="39"/>
      <c r="Q675" s="39"/>
      <c r="R675" s="39"/>
      <c r="S675" s="39"/>
      <c r="T675" s="39"/>
      <c r="U675" s="39"/>
      <c r="V675" s="39"/>
      <c r="W675" s="39"/>
      <c r="X675" s="39"/>
      <c r="Y675" s="39"/>
      <c r="Z675" s="39"/>
      <c r="AA675" s="39"/>
      <c r="AB675" s="39"/>
    </row>
    <row r="676">
      <c r="A676" s="1"/>
      <c r="B676" s="36"/>
      <c r="C676" s="36"/>
      <c r="D676" s="36"/>
      <c r="E676" s="36"/>
      <c r="F676" s="36"/>
      <c r="G676" s="36"/>
      <c r="H676" s="37"/>
      <c r="I676" s="36"/>
      <c r="J676" s="38"/>
      <c r="K676" s="38"/>
      <c r="L676" s="39"/>
      <c r="M676" s="39"/>
      <c r="N676" s="39"/>
      <c r="O676" s="39"/>
      <c r="P676" s="39"/>
      <c r="Q676" s="39"/>
      <c r="R676" s="39"/>
      <c r="S676" s="39"/>
      <c r="T676" s="39"/>
      <c r="U676" s="39"/>
      <c r="V676" s="39"/>
      <c r="W676" s="39"/>
      <c r="X676" s="39"/>
      <c r="Y676" s="39"/>
      <c r="Z676" s="39"/>
      <c r="AA676" s="39"/>
      <c r="AB676" s="39"/>
    </row>
    <row r="677">
      <c r="A677" s="1"/>
      <c r="B677" s="36"/>
      <c r="C677" s="36"/>
      <c r="D677" s="36"/>
      <c r="E677" s="36"/>
      <c r="F677" s="36"/>
      <c r="G677" s="36"/>
      <c r="H677" s="37"/>
      <c r="I677" s="36"/>
      <c r="J677" s="38"/>
      <c r="K677" s="38"/>
      <c r="L677" s="39"/>
      <c r="M677" s="39"/>
      <c r="N677" s="39"/>
      <c r="O677" s="39"/>
      <c r="P677" s="39"/>
      <c r="Q677" s="39"/>
      <c r="R677" s="39"/>
      <c r="S677" s="39"/>
      <c r="T677" s="39"/>
      <c r="U677" s="39"/>
      <c r="V677" s="39"/>
      <c r="W677" s="39"/>
      <c r="X677" s="39"/>
      <c r="Y677" s="39"/>
      <c r="Z677" s="39"/>
      <c r="AA677" s="39"/>
      <c r="AB677" s="39"/>
    </row>
    <row r="678">
      <c r="A678" s="1"/>
      <c r="B678" s="36"/>
      <c r="C678" s="36"/>
      <c r="D678" s="36"/>
      <c r="E678" s="36"/>
      <c r="F678" s="36"/>
      <c r="G678" s="36"/>
      <c r="H678" s="37"/>
      <c r="I678" s="36"/>
      <c r="J678" s="38"/>
      <c r="K678" s="38"/>
      <c r="L678" s="39"/>
      <c r="M678" s="39"/>
      <c r="N678" s="39"/>
      <c r="O678" s="39"/>
      <c r="P678" s="39"/>
      <c r="Q678" s="39"/>
      <c r="R678" s="39"/>
      <c r="S678" s="39"/>
      <c r="T678" s="39"/>
      <c r="U678" s="39"/>
      <c r="V678" s="39"/>
      <c r="W678" s="39"/>
      <c r="X678" s="39"/>
      <c r="Y678" s="39"/>
      <c r="Z678" s="39"/>
      <c r="AA678" s="39"/>
      <c r="AB678" s="39"/>
    </row>
    <row r="679">
      <c r="A679" s="1"/>
      <c r="B679" s="36"/>
      <c r="C679" s="36"/>
      <c r="D679" s="36"/>
      <c r="E679" s="36"/>
      <c r="F679" s="36"/>
      <c r="G679" s="36"/>
      <c r="H679" s="37"/>
      <c r="I679" s="36"/>
      <c r="J679" s="38"/>
      <c r="K679" s="38"/>
      <c r="L679" s="39"/>
      <c r="M679" s="39"/>
      <c r="N679" s="39"/>
      <c r="O679" s="39"/>
      <c r="P679" s="39"/>
      <c r="Q679" s="39"/>
      <c r="R679" s="39"/>
      <c r="S679" s="39"/>
      <c r="T679" s="39"/>
      <c r="U679" s="39"/>
      <c r="V679" s="39"/>
      <c r="W679" s="39"/>
      <c r="X679" s="39"/>
      <c r="Y679" s="39"/>
      <c r="Z679" s="39"/>
      <c r="AA679" s="39"/>
      <c r="AB679" s="39"/>
    </row>
    <row r="680">
      <c r="A680" s="1"/>
      <c r="B680" s="36"/>
      <c r="C680" s="36"/>
      <c r="D680" s="36"/>
      <c r="E680" s="36"/>
      <c r="F680" s="36"/>
      <c r="G680" s="36"/>
      <c r="H680" s="37"/>
      <c r="I680" s="36"/>
      <c r="J680" s="38"/>
      <c r="K680" s="38"/>
      <c r="L680" s="39"/>
      <c r="M680" s="39"/>
      <c r="N680" s="39"/>
      <c r="O680" s="39"/>
      <c r="P680" s="39"/>
      <c r="Q680" s="39"/>
      <c r="R680" s="39"/>
      <c r="S680" s="39"/>
      <c r="T680" s="39"/>
      <c r="U680" s="39"/>
      <c r="V680" s="39"/>
      <c r="W680" s="39"/>
      <c r="X680" s="39"/>
      <c r="Y680" s="39"/>
      <c r="Z680" s="39"/>
      <c r="AA680" s="39"/>
      <c r="AB680" s="39"/>
    </row>
    <row r="681">
      <c r="A681" s="1"/>
      <c r="B681" s="36"/>
      <c r="C681" s="36"/>
      <c r="D681" s="36"/>
      <c r="E681" s="36"/>
      <c r="F681" s="36"/>
      <c r="G681" s="36"/>
      <c r="H681" s="37"/>
      <c r="I681" s="36"/>
      <c r="J681" s="38"/>
      <c r="K681" s="38"/>
      <c r="L681" s="39"/>
      <c r="M681" s="39"/>
      <c r="N681" s="39"/>
      <c r="O681" s="39"/>
      <c r="P681" s="39"/>
      <c r="Q681" s="39"/>
      <c r="R681" s="39"/>
      <c r="S681" s="39"/>
      <c r="T681" s="39"/>
      <c r="U681" s="39"/>
      <c r="V681" s="39"/>
      <c r="W681" s="39"/>
      <c r="X681" s="39"/>
      <c r="Y681" s="39"/>
      <c r="Z681" s="39"/>
      <c r="AA681" s="39"/>
      <c r="AB681" s="39"/>
    </row>
    <row r="682">
      <c r="A682" s="1"/>
      <c r="B682" s="36"/>
      <c r="C682" s="36"/>
      <c r="D682" s="36"/>
      <c r="E682" s="36"/>
      <c r="F682" s="36"/>
      <c r="G682" s="36"/>
      <c r="H682" s="37"/>
      <c r="I682" s="36"/>
      <c r="J682" s="38"/>
      <c r="K682" s="38"/>
      <c r="L682" s="39"/>
      <c r="M682" s="39"/>
      <c r="N682" s="39"/>
      <c r="O682" s="39"/>
      <c r="P682" s="39"/>
      <c r="Q682" s="39"/>
      <c r="R682" s="39"/>
      <c r="S682" s="39"/>
      <c r="T682" s="39"/>
      <c r="U682" s="39"/>
      <c r="V682" s="39"/>
      <c r="W682" s="39"/>
      <c r="X682" s="39"/>
      <c r="Y682" s="39"/>
      <c r="Z682" s="39"/>
      <c r="AA682" s="39"/>
      <c r="AB682" s="39"/>
    </row>
    <row r="683">
      <c r="A683" s="1"/>
      <c r="B683" s="36"/>
      <c r="C683" s="36"/>
      <c r="D683" s="36"/>
      <c r="E683" s="36"/>
      <c r="F683" s="36"/>
      <c r="G683" s="36"/>
      <c r="H683" s="37"/>
      <c r="I683" s="36"/>
      <c r="J683" s="38"/>
      <c r="K683" s="38"/>
      <c r="L683" s="39"/>
      <c r="M683" s="39"/>
      <c r="N683" s="39"/>
      <c r="O683" s="39"/>
      <c r="P683" s="39"/>
      <c r="Q683" s="39"/>
      <c r="R683" s="39"/>
      <c r="S683" s="39"/>
      <c r="T683" s="39"/>
      <c r="U683" s="39"/>
      <c r="V683" s="39"/>
      <c r="W683" s="39"/>
      <c r="X683" s="39"/>
      <c r="Y683" s="39"/>
      <c r="Z683" s="39"/>
      <c r="AA683" s="39"/>
      <c r="AB683" s="39"/>
    </row>
    <row r="684">
      <c r="A684" s="1"/>
      <c r="B684" s="36"/>
      <c r="C684" s="36"/>
      <c r="D684" s="36"/>
      <c r="E684" s="36"/>
      <c r="F684" s="36"/>
      <c r="G684" s="36"/>
      <c r="H684" s="37"/>
      <c r="I684" s="36"/>
      <c r="J684" s="38"/>
      <c r="K684" s="38"/>
      <c r="L684" s="39"/>
      <c r="M684" s="39"/>
      <c r="N684" s="39"/>
      <c r="O684" s="39"/>
      <c r="P684" s="39"/>
      <c r="Q684" s="39"/>
      <c r="R684" s="39"/>
      <c r="S684" s="39"/>
      <c r="T684" s="39"/>
      <c r="U684" s="39"/>
      <c r="V684" s="39"/>
      <c r="W684" s="39"/>
      <c r="X684" s="39"/>
      <c r="Y684" s="39"/>
      <c r="Z684" s="39"/>
      <c r="AA684" s="39"/>
      <c r="AB684" s="39"/>
    </row>
    <row r="685">
      <c r="A685" s="1"/>
      <c r="B685" s="36"/>
      <c r="C685" s="36"/>
      <c r="D685" s="36"/>
      <c r="E685" s="36"/>
      <c r="F685" s="36"/>
      <c r="G685" s="36"/>
      <c r="H685" s="37"/>
      <c r="I685" s="36"/>
      <c r="J685" s="38"/>
      <c r="K685" s="38"/>
      <c r="L685" s="39"/>
      <c r="M685" s="39"/>
      <c r="N685" s="39"/>
      <c r="O685" s="39"/>
      <c r="P685" s="39"/>
      <c r="Q685" s="39"/>
      <c r="R685" s="39"/>
      <c r="S685" s="39"/>
      <c r="T685" s="39"/>
      <c r="U685" s="39"/>
      <c r="V685" s="39"/>
      <c r="W685" s="39"/>
      <c r="X685" s="39"/>
      <c r="Y685" s="39"/>
      <c r="Z685" s="39"/>
      <c r="AA685" s="39"/>
      <c r="AB685" s="39"/>
    </row>
    <row r="686">
      <c r="A686" s="1"/>
      <c r="B686" s="36"/>
      <c r="C686" s="36"/>
      <c r="D686" s="36"/>
      <c r="E686" s="36"/>
      <c r="F686" s="36"/>
      <c r="G686" s="36"/>
      <c r="H686" s="37"/>
      <c r="I686" s="36"/>
      <c r="J686" s="38"/>
      <c r="K686" s="38"/>
      <c r="L686" s="39"/>
      <c r="M686" s="39"/>
      <c r="N686" s="39"/>
      <c r="O686" s="39"/>
      <c r="P686" s="39"/>
      <c r="Q686" s="39"/>
      <c r="R686" s="39"/>
      <c r="S686" s="39"/>
      <c r="T686" s="39"/>
      <c r="U686" s="39"/>
      <c r="V686" s="39"/>
      <c r="W686" s="39"/>
      <c r="X686" s="39"/>
      <c r="Y686" s="39"/>
      <c r="Z686" s="39"/>
      <c r="AA686" s="39"/>
      <c r="AB686" s="39"/>
    </row>
    <row r="687">
      <c r="A687" s="1"/>
      <c r="B687" s="36"/>
      <c r="C687" s="36"/>
      <c r="D687" s="36"/>
      <c r="E687" s="36"/>
      <c r="F687" s="36"/>
      <c r="G687" s="36"/>
      <c r="H687" s="37"/>
      <c r="I687" s="36"/>
      <c r="J687" s="38"/>
      <c r="K687" s="38"/>
      <c r="L687" s="39"/>
      <c r="M687" s="39"/>
      <c r="N687" s="39"/>
      <c r="O687" s="39"/>
      <c r="P687" s="39"/>
      <c r="Q687" s="39"/>
      <c r="R687" s="39"/>
      <c r="S687" s="39"/>
      <c r="T687" s="39"/>
      <c r="U687" s="39"/>
      <c r="V687" s="39"/>
      <c r="W687" s="39"/>
      <c r="X687" s="39"/>
      <c r="Y687" s="39"/>
      <c r="Z687" s="39"/>
      <c r="AA687" s="39"/>
      <c r="AB687" s="39"/>
    </row>
    <row r="688">
      <c r="A688" s="1"/>
      <c r="B688" s="36"/>
      <c r="C688" s="36"/>
      <c r="D688" s="36"/>
      <c r="E688" s="36"/>
      <c r="F688" s="36"/>
      <c r="G688" s="36"/>
      <c r="H688" s="37"/>
      <c r="I688" s="36"/>
      <c r="J688" s="38"/>
      <c r="K688" s="38"/>
      <c r="L688" s="39"/>
      <c r="M688" s="39"/>
      <c r="N688" s="39"/>
      <c r="O688" s="39"/>
      <c r="P688" s="39"/>
      <c r="Q688" s="39"/>
      <c r="R688" s="39"/>
      <c r="S688" s="39"/>
      <c r="T688" s="39"/>
      <c r="U688" s="39"/>
      <c r="V688" s="39"/>
      <c r="W688" s="39"/>
      <c r="X688" s="39"/>
      <c r="Y688" s="39"/>
      <c r="Z688" s="39"/>
      <c r="AA688" s="39"/>
      <c r="AB688" s="39"/>
    </row>
    <row r="689">
      <c r="A689" s="1"/>
      <c r="B689" s="36"/>
      <c r="C689" s="36"/>
      <c r="D689" s="36"/>
      <c r="E689" s="36"/>
      <c r="F689" s="36"/>
      <c r="G689" s="36"/>
      <c r="H689" s="37"/>
      <c r="I689" s="36"/>
      <c r="J689" s="38"/>
      <c r="K689" s="38"/>
      <c r="L689" s="39"/>
      <c r="M689" s="39"/>
      <c r="N689" s="39"/>
      <c r="O689" s="39"/>
      <c r="P689" s="39"/>
      <c r="Q689" s="39"/>
      <c r="R689" s="39"/>
      <c r="S689" s="39"/>
      <c r="T689" s="39"/>
      <c r="U689" s="39"/>
      <c r="V689" s="39"/>
      <c r="W689" s="39"/>
      <c r="X689" s="39"/>
      <c r="Y689" s="39"/>
      <c r="Z689" s="39"/>
      <c r="AA689" s="39"/>
      <c r="AB689" s="39"/>
    </row>
    <row r="690">
      <c r="A690" s="1"/>
      <c r="B690" s="36"/>
      <c r="C690" s="36"/>
      <c r="D690" s="36"/>
      <c r="E690" s="36"/>
      <c r="F690" s="36"/>
      <c r="G690" s="36"/>
      <c r="H690" s="37"/>
      <c r="I690" s="36"/>
      <c r="J690" s="38"/>
      <c r="K690" s="38"/>
      <c r="L690" s="39"/>
      <c r="M690" s="39"/>
      <c r="N690" s="39"/>
      <c r="O690" s="39"/>
      <c r="P690" s="39"/>
      <c r="Q690" s="39"/>
      <c r="R690" s="39"/>
      <c r="S690" s="39"/>
      <c r="T690" s="39"/>
      <c r="U690" s="39"/>
      <c r="V690" s="39"/>
      <c r="W690" s="39"/>
      <c r="X690" s="39"/>
      <c r="Y690" s="39"/>
      <c r="Z690" s="39"/>
      <c r="AA690" s="39"/>
      <c r="AB690" s="39"/>
    </row>
    <row r="691">
      <c r="A691" s="1"/>
      <c r="B691" s="36"/>
      <c r="C691" s="36"/>
      <c r="D691" s="36"/>
      <c r="E691" s="36"/>
      <c r="F691" s="36"/>
      <c r="G691" s="36"/>
      <c r="H691" s="37"/>
      <c r="I691" s="36"/>
      <c r="J691" s="38"/>
      <c r="K691" s="38"/>
      <c r="L691" s="39"/>
      <c r="M691" s="39"/>
      <c r="N691" s="39"/>
      <c r="O691" s="39"/>
      <c r="P691" s="39"/>
      <c r="Q691" s="39"/>
      <c r="R691" s="39"/>
      <c r="S691" s="39"/>
      <c r="T691" s="39"/>
      <c r="U691" s="39"/>
      <c r="V691" s="39"/>
      <c r="W691" s="39"/>
      <c r="X691" s="39"/>
      <c r="Y691" s="39"/>
      <c r="Z691" s="39"/>
      <c r="AA691" s="39"/>
      <c r="AB691" s="39"/>
    </row>
    <row r="692">
      <c r="A692" s="1"/>
      <c r="B692" s="36"/>
      <c r="C692" s="36"/>
      <c r="D692" s="36"/>
      <c r="E692" s="36"/>
      <c r="F692" s="36"/>
      <c r="G692" s="36"/>
      <c r="H692" s="37"/>
      <c r="I692" s="36"/>
      <c r="J692" s="38"/>
      <c r="K692" s="38"/>
      <c r="L692" s="39"/>
      <c r="M692" s="39"/>
      <c r="N692" s="39"/>
      <c r="O692" s="39"/>
      <c r="P692" s="39"/>
      <c r="Q692" s="39"/>
      <c r="R692" s="39"/>
      <c r="S692" s="39"/>
      <c r="T692" s="39"/>
      <c r="U692" s="39"/>
      <c r="V692" s="39"/>
      <c r="W692" s="39"/>
      <c r="X692" s="39"/>
      <c r="Y692" s="39"/>
      <c r="Z692" s="39"/>
      <c r="AA692" s="39"/>
      <c r="AB692" s="39"/>
    </row>
    <row r="693">
      <c r="A693" s="1"/>
      <c r="B693" s="36"/>
      <c r="C693" s="36"/>
      <c r="D693" s="36"/>
      <c r="E693" s="36"/>
      <c r="F693" s="36"/>
      <c r="G693" s="36"/>
      <c r="H693" s="37"/>
      <c r="I693" s="36"/>
      <c r="J693" s="38"/>
      <c r="K693" s="38"/>
      <c r="L693" s="39"/>
      <c r="M693" s="39"/>
      <c r="N693" s="39"/>
      <c r="O693" s="39"/>
      <c r="P693" s="39"/>
      <c r="Q693" s="39"/>
      <c r="R693" s="39"/>
      <c r="S693" s="39"/>
      <c r="T693" s="39"/>
      <c r="U693" s="39"/>
      <c r="V693" s="39"/>
      <c r="W693" s="39"/>
      <c r="X693" s="39"/>
      <c r="Y693" s="39"/>
      <c r="Z693" s="39"/>
      <c r="AA693" s="39"/>
      <c r="AB693" s="39"/>
    </row>
    <row r="694">
      <c r="A694" s="1"/>
      <c r="B694" s="36"/>
      <c r="C694" s="36"/>
      <c r="D694" s="36"/>
      <c r="E694" s="36"/>
      <c r="F694" s="36"/>
      <c r="G694" s="36"/>
      <c r="H694" s="37"/>
      <c r="I694" s="36"/>
      <c r="J694" s="38"/>
      <c r="K694" s="38"/>
      <c r="L694" s="39"/>
      <c r="M694" s="39"/>
      <c r="N694" s="39"/>
      <c r="O694" s="39"/>
      <c r="P694" s="39"/>
      <c r="Q694" s="39"/>
      <c r="R694" s="39"/>
      <c r="S694" s="39"/>
      <c r="T694" s="39"/>
      <c r="U694" s="39"/>
      <c r="V694" s="39"/>
      <c r="W694" s="39"/>
      <c r="X694" s="39"/>
      <c r="Y694" s="39"/>
      <c r="Z694" s="39"/>
      <c r="AA694" s="39"/>
      <c r="AB694" s="39"/>
    </row>
    <row r="695">
      <c r="A695" s="1"/>
      <c r="B695" s="36"/>
      <c r="C695" s="36"/>
      <c r="D695" s="36"/>
      <c r="E695" s="36"/>
      <c r="F695" s="36"/>
      <c r="G695" s="36"/>
      <c r="H695" s="37"/>
      <c r="I695" s="36"/>
      <c r="J695" s="38"/>
      <c r="K695" s="38"/>
      <c r="L695" s="39"/>
      <c r="M695" s="39"/>
      <c r="N695" s="39"/>
      <c r="O695" s="39"/>
      <c r="P695" s="39"/>
      <c r="Q695" s="39"/>
      <c r="R695" s="39"/>
      <c r="S695" s="39"/>
      <c r="T695" s="39"/>
      <c r="U695" s="39"/>
      <c r="V695" s="39"/>
      <c r="W695" s="39"/>
      <c r="X695" s="39"/>
      <c r="Y695" s="39"/>
      <c r="Z695" s="39"/>
      <c r="AA695" s="39"/>
      <c r="AB695" s="39"/>
    </row>
    <row r="696">
      <c r="A696" s="1"/>
      <c r="B696" s="36"/>
      <c r="C696" s="36"/>
      <c r="D696" s="36"/>
      <c r="E696" s="36"/>
      <c r="F696" s="36"/>
      <c r="G696" s="36"/>
      <c r="H696" s="37"/>
      <c r="I696" s="36"/>
      <c r="J696" s="38"/>
      <c r="K696" s="38"/>
      <c r="L696" s="39"/>
      <c r="M696" s="39"/>
      <c r="N696" s="39"/>
      <c r="O696" s="39"/>
      <c r="P696" s="39"/>
      <c r="Q696" s="39"/>
      <c r="R696" s="39"/>
      <c r="S696" s="39"/>
      <c r="T696" s="39"/>
      <c r="U696" s="39"/>
      <c r="V696" s="39"/>
      <c r="W696" s="39"/>
      <c r="X696" s="39"/>
      <c r="Y696" s="39"/>
      <c r="Z696" s="39"/>
      <c r="AA696" s="39"/>
      <c r="AB696" s="39"/>
    </row>
    <row r="697">
      <c r="A697" s="1"/>
      <c r="B697" s="36"/>
      <c r="C697" s="36"/>
      <c r="D697" s="36"/>
      <c r="E697" s="36"/>
      <c r="F697" s="36"/>
      <c r="G697" s="36"/>
      <c r="H697" s="37"/>
      <c r="I697" s="36"/>
      <c r="J697" s="38"/>
      <c r="K697" s="38"/>
      <c r="L697" s="39"/>
      <c r="M697" s="39"/>
      <c r="N697" s="39"/>
      <c r="O697" s="39"/>
      <c r="P697" s="39"/>
      <c r="Q697" s="39"/>
      <c r="R697" s="39"/>
      <c r="S697" s="39"/>
      <c r="T697" s="39"/>
      <c r="U697" s="39"/>
      <c r="V697" s="39"/>
      <c r="W697" s="39"/>
      <c r="X697" s="39"/>
      <c r="Y697" s="39"/>
      <c r="Z697" s="39"/>
      <c r="AA697" s="39"/>
      <c r="AB697" s="39"/>
    </row>
    <row r="698">
      <c r="A698" s="1"/>
      <c r="B698" s="36"/>
      <c r="C698" s="36"/>
      <c r="D698" s="36"/>
      <c r="E698" s="36"/>
      <c r="F698" s="36"/>
      <c r="G698" s="36"/>
      <c r="H698" s="37"/>
      <c r="I698" s="36"/>
      <c r="J698" s="38"/>
      <c r="K698" s="38"/>
      <c r="L698" s="39"/>
      <c r="M698" s="39"/>
      <c r="N698" s="39"/>
      <c r="O698" s="39"/>
      <c r="P698" s="39"/>
      <c r="Q698" s="39"/>
      <c r="R698" s="39"/>
      <c r="S698" s="39"/>
      <c r="T698" s="39"/>
      <c r="U698" s="39"/>
      <c r="V698" s="39"/>
      <c r="W698" s="39"/>
      <c r="X698" s="39"/>
      <c r="Y698" s="39"/>
      <c r="Z698" s="39"/>
      <c r="AA698" s="39"/>
      <c r="AB698" s="39"/>
    </row>
    <row r="699">
      <c r="A699" s="1"/>
      <c r="B699" s="36"/>
      <c r="C699" s="36"/>
      <c r="D699" s="36"/>
      <c r="E699" s="36"/>
      <c r="F699" s="36"/>
      <c r="G699" s="36"/>
      <c r="H699" s="37"/>
      <c r="I699" s="36"/>
      <c r="J699" s="38"/>
      <c r="K699" s="38"/>
      <c r="L699" s="39"/>
      <c r="M699" s="39"/>
      <c r="N699" s="39"/>
      <c r="O699" s="39"/>
      <c r="P699" s="39"/>
      <c r="Q699" s="39"/>
      <c r="R699" s="39"/>
      <c r="S699" s="39"/>
      <c r="T699" s="39"/>
      <c r="U699" s="39"/>
      <c r="V699" s="39"/>
      <c r="W699" s="39"/>
      <c r="X699" s="39"/>
      <c r="Y699" s="39"/>
      <c r="Z699" s="39"/>
      <c r="AA699" s="39"/>
      <c r="AB699" s="39"/>
    </row>
    <row r="700">
      <c r="A700" s="1"/>
      <c r="B700" s="36"/>
      <c r="C700" s="36"/>
      <c r="D700" s="36"/>
      <c r="E700" s="36"/>
      <c r="F700" s="36"/>
      <c r="G700" s="36"/>
      <c r="H700" s="37"/>
      <c r="I700" s="36"/>
      <c r="J700" s="38"/>
      <c r="K700" s="38"/>
      <c r="L700" s="39"/>
      <c r="M700" s="39"/>
      <c r="N700" s="39"/>
      <c r="O700" s="39"/>
      <c r="P700" s="39"/>
      <c r="Q700" s="39"/>
      <c r="R700" s="39"/>
      <c r="S700" s="39"/>
      <c r="T700" s="39"/>
      <c r="U700" s="39"/>
      <c r="V700" s="39"/>
      <c r="W700" s="39"/>
      <c r="X700" s="39"/>
      <c r="Y700" s="39"/>
      <c r="Z700" s="39"/>
      <c r="AA700" s="39"/>
      <c r="AB700" s="39"/>
    </row>
    <row r="701">
      <c r="A701" s="1"/>
      <c r="B701" s="36"/>
      <c r="C701" s="36"/>
      <c r="D701" s="36"/>
      <c r="E701" s="36"/>
      <c r="F701" s="36"/>
      <c r="G701" s="36"/>
      <c r="H701" s="37"/>
      <c r="I701" s="36"/>
      <c r="J701" s="38"/>
      <c r="K701" s="38"/>
      <c r="L701" s="39"/>
      <c r="M701" s="39"/>
      <c r="N701" s="39"/>
      <c r="O701" s="39"/>
      <c r="P701" s="39"/>
      <c r="Q701" s="39"/>
      <c r="R701" s="39"/>
      <c r="S701" s="39"/>
      <c r="T701" s="39"/>
      <c r="U701" s="39"/>
      <c r="V701" s="39"/>
      <c r="W701" s="39"/>
      <c r="X701" s="39"/>
      <c r="Y701" s="39"/>
      <c r="Z701" s="39"/>
      <c r="AA701" s="39"/>
      <c r="AB701" s="39"/>
    </row>
    <row r="702">
      <c r="A702" s="1"/>
      <c r="B702" s="36"/>
      <c r="C702" s="36"/>
      <c r="D702" s="36"/>
      <c r="E702" s="36"/>
      <c r="F702" s="36"/>
      <c r="G702" s="36"/>
      <c r="H702" s="37"/>
      <c r="I702" s="36"/>
      <c r="J702" s="38"/>
      <c r="K702" s="38"/>
      <c r="L702" s="39"/>
      <c r="M702" s="39"/>
      <c r="N702" s="39"/>
      <c r="O702" s="39"/>
      <c r="P702" s="39"/>
      <c r="Q702" s="39"/>
      <c r="R702" s="39"/>
      <c r="S702" s="39"/>
      <c r="T702" s="39"/>
      <c r="U702" s="39"/>
      <c r="V702" s="39"/>
      <c r="W702" s="39"/>
      <c r="X702" s="39"/>
      <c r="Y702" s="39"/>
      <c r="Z702" s="39"/>
      <c r="AA702" s="39"/>
      <c r="AB702" s="39"/>
    </row>
    <row r="703">
      <c r="A703" s="1"/>
      <c r="B703" s="36"/>
      <c r="C703" s="36"/>
      <c r="D703" s="36"/>
      <c r="E703" s="36"/>
      <c r="F703" s="36"/>
      <c r="G703" s="36"/>
      <c r="H703" s="37"/>
      <c r="I703" s="36"/>
      <c r="J703" s="38"/>
      <c r="K703" s="38"/>
      <c r="L703" s="39"/>
      <c r="M703" s="39"/>
      <c r="N703" s="39"/>
      <c r="O703" s="39"/>
      <c r="P703" s="39"/>
      <c r="Q703" s="39"/>
      <c r="R703" s="39"/>
      <c r="S703" s="39"/>
      <c r="T703" s="39"/>
      <c r="U703" s="39"/>
      <c r="V703" s="39"/>
      <c r="W703" s="39"/>
      <c r="X703" s="39"/>
      <c r="Y703" s="39"/>
      <c r="Z703" s="39"/>
      <c r="AA703" s="39"/>
      <c r="AB703" s="39"/>
    </row>
    <row r="704">
      <c r="A704" s="1"/>
      <c r="B704" s="36"/>
      <c r="C704" s="36"/>
      <c r="D704" s="36"/>
      <c r="E704" s="36"/>
      <c r="F704" s="36"/>
      <c r="G704" s="36"/>
      <c r="H704" s="37"/>
      <c r="I704" s="36"/>
      <c r="J704" s="38"/>
      <c r="K704" s="38"/>
      <c r="L704" s="39"/>
      <c r="M704" s="39"/>
      <c r="N704" s="39"/>
      <c r="O704" s="39"/>
      <c r="P704" s="39"/>
      <c r="Q704" s="39"/>
      <c r="R704" s="39"/>
      <c r="S704" s="39"/>
      <c r="T704" s="39"/>
      <c r="U704" s="39"/>
      <c r="V704" s="39"/>
      <c r="W704" s="39"/>
      <c r="X704" s="39"/>
      <c r="Y704" s="39"/>
      <c r="Z704" s="39"/>
      <c r="AA704" s="39"/>
      <c r="AB704" s="39"/>
    </row>
    <row r="705">
      <c r="A705" s="1"/>
      <c r="B705" s="36"/>
      <c r="C705" s="36"/>
      <c r="D705" s="36"/>
      <c r="E705" s="36"/>
      <c r="F705" s="36"/>
      <c r="G705" s="36"/>
      <c r="H705" s="37"/>
      <c r="I705" s="36"/>
      <c r="J705" s="38"/>
      <c r="K705" s="38"/>
      <c r="L705" s="39"/>
      <c r="M705" s="39"/>
      <c r="N705" s="39"/>
      <c r="O705" s="39"/>
      <c r="P705" s="39"/>
      <c r="Q705" s="39"/>
      <c r="R705" s="39"/>
      <c r="S705" s="39"/>
      <c r="T705" s="39"/>
      <c r="U705" s="39"/>
      <c r="V705" s="39"/>
      <c r="W705" s="39"/>
      <c r="X705" s="39"/>
      <c r="Y705" s="39"/>
      <c r="Z705" s="39"/>
      <c r="AA705" s="39"/>
      <c r="AB705" s="39"/>
    </row>
    <row r="706">
      <c r="A706" s="1"/>
      <c r="B706" s="36"/>
      <c r="C706" s="36"/>
      <c r="D706" s="36"/>
      <c r="E706" s="36"/>
      <c r="F706" s="36"/>
      <c r="G706" s="36"/>
      <c r="H706" s="37"/>
      <c r="I706" s="36"/>
      <c r="J706" s="38"/>
      <c r="K706" s="38"/>
      <c r="L706" s="39"/>
      <c r="M706" s="39"/>
      <c r="N706" s="39"/>
      <c r="O706" s="39"/>
      <c r="P706" s="39"/>
      <c r="Q706" s="39"/>
      <c r="R706" s="39"/>
      <c r="S706" s="39"/>
      <c r="T706" s="39"/>
      <c r="U706" s="39"/>
      <c r="V706" s="39"/>
      <c r="W706" s="39"/>
      <c r="X706" s="39"/>
      <c r="Y706" s="39"/>
      <c r="Z706" s="39"/>
      <c r="AA706" s="39"/>
      <c r="AB706" s="39"/>
    </row>
    <row r="707">
      <c r="A707" s="1"/>
      <c r="B707" s="36"/>
      <c r="C707" s="36"/>
      <c r="D707" s="36"/>
      <c r="E707" s="36"/>
      <c r="F707" s="36"/>
      <c r="G707" s="36"/>
      <c r="H707" s="37"/>
      <c r="I707" s="36"/>
      <c r="J707" s="38"/>
      <c r="K707" s="38"/>
      <c r="L707" s="39"/>
      <c r="M707" s="39"/>
      <c r="N707" s="39"/>
      <c r="O707" s="39"/>
      <c r="P707" s="39"/>
      <c r="Q707" s="39"/>
      <c r="R707" s="39"/>
      <c r="S707" s="39"/>
      <c r="T707" s="39"/>
      <c r="U707" s="39"/>
      <c r="V707" s="39"/>
      <c r="W707" s="39"/>
      <c r="X707" s="39"/>
      <c r="Y707" s="39"/>
      <c r="Z707" s="39"/>
      <c r="AA707" s="39"/>
      <c r="AB707" s="39"/>
    </row>
    <row r="708">
      <c r="A708" s="1"/>
      <c r="B708" s="36"/>
      <c r="C708" s="36"/>
      <c r="D708" s="36"/>
      <c r="E708" s="36"/>
      <c r="F708" s="36"/>
      <c r="G708" s="36"/>
      <c r="H708" s="37"/>
      <c r="I708" s="36"/>
      <c r="J708" s="38"/>
      <c r="K708" s="38"/>
      <c r="L708" s="39"/>
      <c r="M708" s="39"/>
      <c r="N708" s="39"/>
      <c r="O708" s="39"/>
      <c r="P708" s="39"/>
      <c r="Q708" s="39"/>
      <c r="R708" s="39"/>
      <c r="S708" s="39"/>
      <c r="T708" s="39"/>
      <c r="U708" s="39"/>
      <c r="V708" s="39"/>
      <c r="W708" s="39"/>
      <c r="X708" s="39"/>
      <c r="Y708" s="39"/>
      <c r="Z708" s="39"/>
      <c r="AA708" s="39"/>
      <c r="AB708" s="39"/>
    </row>
    <row r="709">
      <c r="A709" s="1"/>
      <c r="B709" s="36"/>
      <c r="C709" s="36"/>
      <c r="D709" s="36"/>
      <c r="E709" s="36"/>
      <c r="F709" s="36"/>
      <c r="G709" s="36"/>
      <c r="H709" s="37"/>
      <c r="I709" s="36"/>
      <c r="J709" s="38"/>
      <c r="K709" s="38"/>
      <c r="L709" s="39"/>
      <c r="M709" s="39"/>
      <c r="N709" s="39"/>
      <c r="O709" s="39"/>
      <c r="P709" s="39"/>
      <c r="Q709" s="39"/>
      <c r="R709" s="39"/>
      <c r="S709" s="39"/>
      <c r="T709" s="39"/>
      <c r="U709" s="39"/>
      <c r="V709" s="39"/>
      <c r="W709" s="39"/>
      <c r="X709" s="39"/>
      <c r="Y709" s="39"/>
      <c r="Z709" s="39"/>
      <c r="AA709" s="39"/>
      <c r="AB709" s="39"/>
    </row>
    <row r="710">
      <c r="A710" s="1"/>
      <c r="B710" s="36"/>
      <c r="C710" s="36"/>
      <c r="D710" s="36"/>
      <c r="E710" s="36"/>
      <c r="F710" s="36"/>
      <c r="G710" s="36"/>
      <c r="H710" s="37"/>
      <c r="I710" s="36"/>
      <c r="J710" s="38"/>
      <c r="K710" s="38"/>
      <c r="L710" s="39"/>
      <c r="M710" s="39"/>
      <c r="N710" s="39"/>
      <c r="O710" s="39"/>
      <c r="P710" s="39"/>
      <c r="Q710" s="39"/>
      <c r="R710" s="39"/>
      <c r="S710" s="39"/>
      <c r="T710" s="39"/>
      <c r="U710" s="39"/>
      <c r="V710" s="39"/>
      <c r="W710" s="39"/>
      <c r="X710" s="39"/>
      <c r="Y710" s="39"/>
      <c r="Z710" s="39"/>
      <c r="AA710" s="39"/>
      <c r="AB710" s="39"/>
    </row>
    <row r="711">
      <c r="A711" s="1"/>
      <c r="B711" s="36"/>
      <c r="C711" s="36"/>
      <c r="D711" s="36"/>
      <c r="E711" s="36"/>
      <c r="F711" s="36"/>
      <c r="G711" s="36"/>
      <c r="H711" s="37"/>
      <c r="I711" s="36"/>
      <c r="J711" s="38"/>
      <c r="K711" s="38"/>
      <c r="L711" s="39"/>
      <c r="M711" s="39"/>
      <c r="N711" s="39"/>
      <c r="O711" s="39"/>
      <c r="P711" s="39"/>
      <c r="Q711" s="39"/>
      <c r="R711" s="39"/>
      <c r="S711" s="39"/>
      <c r="T711" s="39"/>
      <c r="U711" s="39"/>
      <c r="V711" s="39"/>
      <c r="W711" s="39"/>
      <c r="X711" s="39"/>
      <c r="Y711" s="39"/>
      <c r="Z711" s="39"/>
      <c r="AA711" s="39"/>
      <c r="AB711" s="39"/>
    </row>
    <row r="712">
      <c r="A712" s="1"/>
      <c r="B712" s="36"/>
      <c r="C712" s="36"/>
      <c r="D712" s="36"/>
      <c r="E712" s="36"/>
      <c r="F712" s="36"/>
      <c r="G712" s="36"/>
      <c r="H712" s="37"/>
      <c r="I712" s="36"/>
      <c r="J712" s="38"/>
      <c r="K712" s="38"/>
      <c r="L712" s="39"/>
      <c r="M712" s="39"/>
      <c r="N712" s="39"/>
      <c r="O712" s="39"/>
      <c r="P712" s="39"/>
      <c r="Q712" s="39"/>
      <c r="R712" s="39"/>
      <c r="S712" s="39"/>
      <c r="T712" s="39"/>
      <c r="U712" s="39"/>
      <c r="V712" s="39"/>
      <c r="W712" s="39"/>
      <c r="X712" s="39"/>
      <c r="Y712" s="39"/>
      <c r="Z712" s="39"/>
      <c r="AA712" s="39"/>
      <c r="AB712" s="39"/>
    </row>
    <row r="713">
      <c r="A713" s="1"/>
      <c r="B713" s="36"/>
      <c r="C713" s="36"/>
      <c r="D713" s="36"/>
      <c r="E713" s="36"/>
      <c r="F713" s="36"/>
      <c r="G713" s="36"/>
      <c r="H713" s="37"/>
      <c r="I713" s="36"/>
      <c r="J713" s="38"/>
      <c r="K713" s="38"/>
      <c r="L713" s="39"/>
      <c r="M713" s="39"/>
      <c r="N713" s="39"/>
      <c r="O713" s="39"/>
      <c r="P713" s="39"/>
      <c r="Q713" s="39"/>
      <c r="R713" s="39"/>
      <c r="S713" s="39"/>
      <c r="T713" s="39"/>
      <c r="U713" s="39"/>
      <c r="V713" s="39"/>
      <c r="W713" s="39"/>
      <c r="X713" s="39"/>
      <c r="Y713" s="39"/>
      <c r="Z713" s="39"/>
      <c r="AA713" s="39"/>
      <c r="AB713" s="39"/>
    </row>
    <row r="714">
      <c r="A714" s="1"/>
      <c r="B714" s="36"/>
      <c r="C714" s="36"/>
      <c r="D714" s="36"/>
      <c r="E714" s="36"/>
      <c r="F714" s="36"/>
      <c r="G714" s="36"/>
      <c r="H714" s="37"/>
      <c r="I714" s="36"/>
      <c r="J714" s="38"/>
      <c r="K714" s="38"/>
      <c r="L714" s="39"/>
      <c r="M714" s="39"/>
      <c r="N714" s="39"/>
      <c r="O714" s="39"/>
      <c r="P714" s="39"/>
      <c r="Q714" s="39"/>
      <c r="R714" s="39"/>
      <c r="S714" s="39"/>
      <c r="T714" s="39"/>
      <c r="U714" s="39"/>
      <c r="V714" s="39"/>
      <c r="W714" s="39"/>
      <c r="X714" s="39"/>
      <c r="Y714" s="39"/>
      <c r="Z714" s="39"/>
      <c r="AA714" s="39"/>
      <c r="AB714" s="39"/>
    </row>
    <row r="715">
      <c r="A715" s="1"/>
      <c r="B715" s="36"/>
      <c r="C715" s="36"/>
      <c r="D715" s="36"/>
      <c r="E715" s="36"/>
      <c r="F715" s="36"/>
      <c r="G715" s="36"/>
      <c r="H715" s="37"/>
      <c r="I715" s="36"/>
      <c r="J715" s="38"/>
      <c r="K715" s="38"/>
      <c r="L715" s="39"/>
      <c r="M715" s="39"/>
      <c r="N715" s="39"/>
      <c r="O715" s="39"/>
      <c r="P715" s="39"/>
      <c r="Q715" s="39"/>
      <c r="R715" s="39"/>
      <c r="S715" s="39"/>
      <c r="T715" s="39"/>
      <c r="U715" s="39"/>
      <c r="V715" s="39"/>
      <c r="W715" s="39"/>
      <c r="X715" s="39"/>
      <c r="Y715" s="39"/>
      <c r="Z715" s="39"/>
      <c r="AA715" s="39"/>
      <c r="AB715" s="39"/>
    </row>
    <row r="716">
      <c r="A716" s="1"/>
      <c r="B716" s="36"/>
      <c r="C716" s="36"/>
      <c r="D716" s="36"/>
      <c r="E716" s="36"/>
      <c r="F716" s="36"/>
      <c r="G716" s="36"/>
      <c r="H716" s="37"/>
      <c r="I716" s="36"/>
      <c r="J716" s="38"/>
      <c r="K716" s="38"/>
      <c r="L716" s="39"/>
      <c r="M716" s="39"/>
      <c r="N716" s="39"/>
      <c r="O716" s="39"/>
      <c r="P716" s="39"/>
      <c r="Q716" s="39"/>
      <c r="R716" s="39"/>
      <c r="S716" s="39"/>
      <c r="T716" s="39"/>
      <c r="U716" s="39"/>
      <c r="V716" s="39"/>
      <c r="W716" s="39"/>
      <c r="X716" s="39"/>
      <c r="Y716" s="39"/>
      <c r="Z716" s="39"/>
      <c r="AA716" s="39"/>
      <c r="AB716" s="39"/>
    </row>
    <row r="717">
      <c r="A717" s="1"/>
      <c r="B717" s="36"/>
      <c r="C717" s="36"/>
      <c r="D717" s="36"/>
      <c r="E717" s="36"/>
      <c r="F717" s="36"/>
      <c r="G717" s="36"/>
      <c r="H717" s="37"/>
      <c r="I717" s="36"/>
      <c r="J717" s="38"/>
      <c r="K717" s="38"/>
      <c r="L717" s="39"/>
      <c r="M717" s="39"/>
      <c r="N717" s="39"/>
      <c r="O717" s="39"/>
      <c r="P717" s="39"/>
      <c r="Q717" s="39"/>
      <c r="R717" s="39"/>
      <c r="S717" s="39"/>
      <c r="T717" s="39"/>
      <c r="U717" s="39"/>
      <c r="V717" s="39"/>
      <c r="W717" s="39"/>
      <c r="X717" s="39"/>
      <c r="Y717" s="39"/>
      <c r="Z717" s="39"/>
      <c r="AA717" s="39"/>
      <c r="AB717" s="39"/>
    </row>
    <row r="718">
      <c r="A718" s="1"/>
      <c r="B718" s="36"/>
      <c r="C718" s="36"/>
      <c r="D718" s="36"/>
      <c r="E718" s="36"/>
      <c r="F718" s="36"/>
      <c r="G718" s="36"/>
      <c r="H718" s="37"/>
      <c r="I718" s="36"/>
      <c r="J718" s="38"/>
      <c r="K718" s="38"/>
      <c r="L718" s="39"/>
      <c r="M718" s="39"/>
      <c r="N718" s="39"/>
      <c r="O718" s="39"/>
      <c r="P718" s="39"/>
      <c r="Q718" s="39"/>
      <c r="R718" s="39"/>
      <c r="S718" s="39"/>
      <c r="T718" s="39"/>
      <c r="U718" s="39"/>
      <c r="V718" s="39"/>
      <c r="W718" s="39"/>
      <c r="X718" s="39"/>
      <c r="Y718" s="39"/>
      <c r="Z718" s="39"/>
      <c r="AA718" s="39"/>
      <c r="AB718" s="39"/>
    </row>
    <row r="719">
      <c r="A719" s="1"/>
      <c r="B719" s="36"/>
      <c r="C719" s="36"/>
      <c r="D719" s="36"/>
      <c r="E719" s="36"/>
      <c r="F719" s="36"/>
      <c r="G719" s="36"/>
      <c r="H719" s="37"/>
      <c r="I719" s="36"/>
      <c r="J719" s="38"/>
      <c r="K719" s="38"/>
      <c r="L719" s="39"/>
      <c r="M719" s="39"/>
      <c r="N719" s="39"/>
      <c r="O719" s="39"/>
      <c r="P719" s="39"/>
      <c r="Q719" s="39"/>
      <c r="R719" s="39"/>
      <c r="S719" s="39"/>
      <c r="T719" s="39"/>
      <c r="U719" s="39"/>
      <c r="V719" s="39"/>
      <c r="W719" s="39"/>
      <c r="X719" s="39"/>
      <c r="Y719" s="39"/>
      <c r="Z719" s="39"/>
      <c r="AA719" s="39"/>
      <c r="AB719" s="39"/>
    </row>
    <row r="720">
      <c r="A720" s="1"/>
      <c r="B720" s="36"/>
      <c r="C720" s="36"/>
      <c r="D720" s="36"/>
      <c r="E720" s="36"/>
      <c r="F720" s="36"/>
      <c r="G720" s="36"/>
      <c r="H720" s="37"/>
      <c r="I720" s="36"/>
      <c r="J720" s="38"/>
      <c r="K720" s="38"/>
      <c r="L720" s="39"/>
      <c r="M720" s="39"/>
      <c r="N720" s="39"/>
      <c r="O720" s="39"/>
      <c r="P720" s="39"/>
      <c r="Q720" s="39"/>
      <c r="R720" s="39"/>
      <c r="S720" s="39"/>
      <c r="T720" s="39"/>
      <c r="U720" s="39"/>
      <c r="V720" s="39"/>
      <c r="W720" s="39"/>
      <c r="X720" s="39"/>
      <c r="Y720" s="39"/>
      <c r="Z720" s="39"/>
      <c r="AA720" s="39"/>
      <c r="AB720" s="39"/>
    </row>
    <row r="721">
      <c r="A721" s="1"/>
      <c r="B721" s="36"/>
      <c r="C721" s="36"/>
      <c r="D721" s="36"/>
      <c r="E721" s="36"/>
      <c r="F721" s="36"/>
      <c r="G721" s="36"/>
      <c r="H721" s="37"/>
      <c r="I721" s="36"/>
      <c r="J721" s="38"/>
      <c r="K721" s="38"/>
      <c r="L721" s="39"/>
      <c r="M721" s="39"/>
      <c r="N721" s="39"/>
      <c r="O721" s="39"/>
      <c r="P721" s="39"/>
      <c r="Q721" s="39"/>
      <c r="R721" s="39"/>
      <c r="S721" s="39"/>
      <c r="T721" s="39"/>
      <c r="U721" s="39"/>
      <c r="V721" s="39"/>
      <c r="W721" s="39"/>
      <c r="X721" s="39"/>
      <c r="Y721" s="39"/>
      <c r="Z721" s="39"/>
      <c r="AA721" s="39"/>
      <c r="AB721" s="39"/>
    </row>
    <row r="722">
      <c r="A722" s="1"/>
      <c r="B722" s="36"/>
      <c r="C722" s="36"/>
      <c r="D722" s="36"/>
      <c r="E722" s="36"/>
      <c r="F722" s="36"/>
      <c r="G722" s="36"/>
      <c r="H722" s="37"/>
      <c r="I722" s="36"/>
      <c r="J722" s="38"/>
      <c r="K722" s="38"/>
      <c r="L722" s="39"/>
      <c r="M722" s="39"/>
      <c r="N722" s="39"/>
      <c r="O722" s="39"/>
      <c r="P722" s="39"/>
      <c r="Q722" s="39"/>
      <c r="R722" s="39"/>
      <c r="S722" s="39"/>
      <c r="T722" s="39"/>
      <c r="U722" s="39"/>
      <c r="V722" s="39"/>
      <c r="W722" s="39"/>
      <c r="X722" s="39"/>
      <c r="Y722" s="39"/>
      <c r="Z722" s="39"/>
      <c r="AA722" s="39"/>
      <c r="AB722" s="39"/>
    </row>
    <row r="723">
      <c r="A723" s="1"/>
      <c r="B723" s="36"/>
      <c r="C723" s="36"/>
      <c r="D723" s="36"/>
      <c r="E723" s="36"/>
      <c r="F723" s="36"/>
      <c r="G723" s="36"/>
      <c r="H723" s="37"/>
      <c r="I723" s="36"/>
      <c r="J723" s="38"/>
      <c r="K723" s="38"/>
      <c r="L723" s="39"/>
      <c r="M723" s="39"/>
      <c r="N723" s="39"/>
      <c r="O723" s="39"/>
      <c r="P723" s="39"/>
      <c r="Q723" s="39"/>
      <c r="R723" s="39"/>
      <c r="S723" s="39"/>
      <c r="T723" s="39"/>
      <c r="U723" s="39"/>
      <c r="V723" s="39"/>
      <c r="W723" s="39"/>
      <c r="X723" s="39"/>
      <c r="Y723" s="39"/>
      <c r="Z723" s="39"/>
      <c r="AA723" s="39"/>
      <c r="AB723" s="39"/>
    </row>
    <row r="724">
      <c r="A724" s="1"/>
      <c r="B724" s="36"/>
      <c r="C724" s="36"/>
      <c r="D724" s="36"/>
      <c r="E724" s="36"/>
      <c r="F724" s="36"/>
      <c r="G724" s="36"/>
      <c r="H724" s="37"/>
      <c r="I724" s="36"/>
      <c r="J724" s="38"/>
      <c r="K724" s="38"/>
      <c r="L724" s="39"/>
      <c r="M724" s="39"/>
      <c r="N724" s="39"/>
      <c r="O724" s="39"/>
      <c r="P724" s="39"/>
      <c r="Q724" s="39"/>
      <c r="R724" s="39"/>
      <c r="S724" s="39"/>
      <c r="T724" s="39"/>
      <c r="U724" s="39"/>
      <c r="V724" s="39"/>
      <c r="W724" s="39"/>
      <c r="X724" s="39"/>
      <c r="Y724" s="39"/>
      <c r="Z724" s="39"/>
      <c r="AA724" s="39"/>
      <c r="AB724" s="39"/>
    </row>
    <row r="725">
      <c r="A725" s="1"/>
      <c r="B725" s="36"/>
      <c r="C725" s="36"/>
      <c r="D725" s="36"/>
      <c r="E725" s="36"/>
      <c r="F725" s="36"/>
      <c r="G725" s="36"/>
      <c r="H725" s="37"/>
      <c r="I725" s="36"/>
      <c r="J725" s="38"/>
      <c r="K725" s="38"/>
      <c r="L725" s="39"/>
      <c r="M725" s="39"/>
      <c r="N725" s="39"/>
      <c r="O725" s="39"/>
      <c r="P725" s="39"/>
      <c r="Q725" s="39"/>
      <c r="R725" s="39"/>
      <c r="S725" s="39"/>
      <c r="T725" s="39"/>
      <c r="U725" s="39"/>
      <c r="V725" s="39"/>
      <c r="W725" s="39"/>
      <c r="X725" s="39"/>
      <c r="Y725" s="39"/>
      <c r="Z725" s="39"/>
      <c r="AA725" s="39"/>
      <c r="AB725" s="39"/>
    </row>
    <row r="726">
      <c r="A726" s="1"/>
      <c r="B726" s="36"/>
      <c r="C726" s="36"/>
      <c r="D726" s="36"/>
      <c r="E726" s="36"/>
      <c r="F726" s="36"/>
      <c r="G726" s="36"/>
      <c r="H726" s="37"/>
      <c r="I726" s="36"/>
      <c r="J726" s="38"/>
      <c r="K726" s="38"/>
      <c r="L726" s="39"/>
      <c r="M726" s="39"/>
      <c r="N726" s="39"/>
      <c r="O726" s="39"/>
      <c r="P726" s="39"/>
      <c r="Q726" s="39"/>
      <c r="R726" s="39"/>
      <c r="S726" s="39"/>
      <c r="T726" s="39"/>
      <c r="U726" s="39"/>
      <c r="V726" s="39"/>
      <c r="W726" s="39"/>
      <c r="X726" s="39"/>
      <c r="Y726" s="39"/>
      <c r="Z726" s="39"/>
      <c r="AA726" s="39"/>
      <c r="AB726" s="39"/>
    </row>
    <row r="727">
      <c r="A727" s="1"/>
      <c r="B727" s="36"/>
      <c r="C727" s="36"/>
      <c r="D727" s="36"/>
      <c r="E727" s="36"/>
      <c r="F727" s="36"/>
      <c r="G727" s="36"/>
      <c r="H727" s="37"/>
      <c r="I727" s="36"/>
      <c r="J727" s="38"/>
      <c r="K727" s="38"/>
      <c r="L727" s="39"/>
      <c r="M727" s="39"/>
      <c r="N727" s="39"/>
      <c r="O727" s="39"/>
      <c r="P727" s="39"/>
      <c r="Q727" s="39"/>
      <c r="R727" s="39"/>
      <c r="S727" s="39"/>
      <c r="T727" s="39"/>
      <c r="U727" s="39"/>
      <c r="V727" s="39"/>
      <c r="W727" s="39"/>
      <c r="X727" s="39"/>
      <c r="Y727" s="39"/>
      <c r="Z727" s="39"/>
      <c r="AA727" s="39"/>
      <c r="AB727" s="39"/>
    </row>
    <row r="728">
      <c r="A728" s="1"/>
      <c r="B728" s="36"/>
      <c r="C728" s="36"/>
      <c r="D728" s="36"/>
      <c r="E728" s="36"/>
      <c r="F728" s="36"/>
      <c r="G728" s="36"/>
      <c r="H728" s="37"/>
      <c r="I728" s="36"/>
      <c r="J728" s="38"/>
      <c r="K728" s="38"/>
      <c r="L728" s="39"/>
      <c r="M728" s="39"/>
      <c r="N728" s="39"/>
      <c r="O728" s="39"/>
      <c r="P728" s="39"/>
      <c r="Q728" s="39"/>
      <c r="R728" s="39"/>
      <c r="S728" s="39"/>
      <c r="T728" s="39"/>
      <c r="U728" s="39"/>
      <c r="V728" s="39"/>
      <c r="W728" s="39"/>
      <c r="X728" s="39"/>
      <c r="Y728" s="39"/>
      <c r="Z728" s="39"/>
      <c r="AA728" s="39"/>
      <c r="AB728" s="39"/>
    </row>
    <row r="729">
      <c r="A729" s="1"/>
      <c r="B729" s="36"/>
      <c r="C729" s="36"/>
      <c r="D729" s="36"/>
      <c r="E729" s="36"/>
      <c r="F729" s="36"/>
      <c r="G729" s="36"/>
      <c r="H729" s="37"/>
      <c r="I729" s="36"/>
      <c r="J729" s="38"/>
      <c r="K729" s="38"/>
      <c r="L729" s="39"/>
      <c r="M729" s="39"/>
      <c r="N729" s="39"/>
      <c r="O729" s="39"/>
      <c r="P729" s="39"/>
      <c r="Q729" s="39"/>
      <c r="R729" s="39"/>
      <c r="S729" s="39"/>
      <c r="T729" s="39"/>
      <c r="U729" s="39"/>
      <c r="V729" s="39"/>
      <c r="W729" s="39"/>
      <c r="X729" s="39"/>
      <c r="Y729" s="39"/>
      <c r="Z729" s="39"/>
      <c r="AA729" s="39"/>
      <c r="AB729" s="39"/>
    </row>
    <row r="730">
      <c r="A730" s="1"/>
      <c r="B730" s="36"/>
      <c r="C730" s="36"/>
      <c r="D730" s="36"/>
      <c r="E730" s="36"/>
      <c r="F730" s="36"/>
      <c r="G730" s="36"/>
      <c r="H730" s="37"/>
      <c r="I730" s="36"/>
      <c r="J730" s="38"/>
      <c r="K730" s="38"/>
      <c r="L730" s="39"/>
      <c r="M730" s="39"/>
      <c r="N730" s="39"/>
      <c r="O730" s="39"/>
      <c r="P730" s="39"/>
      <c r="Q730" s="39"/>
      <c r="R730" s="39"/>
      <c r="S730" s="39"/>
      <c r="T730" s="39"/>
      <c r="U730" s="39"/>
      <c r="V730" s="39"/>
      <c r="W730" s="39"/>
      <c r="X730" s="39"/>
      <c r="Y730" s="39"/>
      <c r="Z730" s="39"/>
      <c r="AA730" s="39"/>
      <c r="AB730" s="39"/>
    </row>
    <row r="731">
      <c r="A731" s="1"/>
      <c r="B731" s="36"/>
      <c r="C731" s="36"/>
      <c r="D731" s="36"/>
      <c r="E731" s="36"/>
      <c r="F731" s="36"/>
      <c r="G731" s="36"/>
      <c r="H731" s="37"/>
      <c r="I731" s="36"/>
      <c r="J731" s="38"/>
      <c r="K731" s="38"/>
      <c r="L731" s="39"/>
      <c r="M731" s="39"/>
      <c r="N731" s="39"/>
      <c r="O731" s="39"/>
      <c r="P731" s="39"/>
      <c r="Q731" s="39"/>
      <c r="R731" s="39"/>
      <c r="S731" s="39"/>
      <c r="T731" s="39"/>
      <c r="U731" s="39"/>
      <c r="V731" s="39"/>
      <c r="W731" s="39"/>
      <c r="X731" s="39"/>
      <c r="Y731" s="39"/>
      <c r="Z731" s="39"/>
      <c r="AA731" s="39"/>
      <c r="AB731" s="39"/>
    </row>
    <row r="732">
      <c r="A732" s="1"/>
      <c r="B732" s="36"/>
      <c r="C732" s="36"/>
      <c r="D732" s="36"/>
      <c r="E732" s="36"/>
      <c r="F732" s="36"/>
      <c r="G732" s="36"/>
      <c r="H732" s="37"/>
      <c r="I732" s="36"/>
      <c r="J732" s="38"/>
      <c r="K732" s="38"/>
      <c r="L732" s="39"/>
      <c r="M732" s="39"/>
      <c r="N732" s="39"/>
      <c r="O732" s="39"/>
      <c r="P732" s="39"/>
      <c r="Q732" s="39"/>
      <c r="R732" s="39"/>
      <c r="S732" s="39"/>
      <c r="T732" s="39"/>
      <c r="U732" s="39"/>
      <c r="V732" s="39"/>
      <c r="W732" s="39"/>
      <c r="X732" s="39"/>
      <c r="Y732" s="39"/>
      <c r="Z732" s="39"/>
      <c r="AA732" s="39"/>
      <c r="AB732" s="39"/>
    </row>
    <row r="733">
      <c r="A733" s="1"/>
      <c r="B733" s="36"/>
      <c r="C733" s="36"/>
      <c r="D733" s="36"/>
      <c r="E733" s="36"/>
      <c r="F733" s="36"/>
      <c r="G733" s="36"/>
      <c r="H733" s="37"/>
      <c r="I733" s="36"/>
      <c r="J733" s="38"/>
      <c r="K733" s="38"/>
      <c r="L733" s="39"/>
      <c r="M733" s="39"/>
      <c r="N733" s="39"/>
      <c r="O733" s="39"/>
      <c r="P733" s="39"/>
      <c r="Q733" s="39"/>
      <c r="R733" s="39"/>
      <c r="S733" s="39"/>
      <c r="T733" s="39"/>
      <c r="U733" s="39"/>
      <c r="V733" s="39"/>
      <c r="W733" s="39"/>
      <c r="X733" s="39"/>
      <c r="Y733" s="39"/>
      <c r="Z733" s="39"/>
      <c r="AA733" s="39"/>
      <c r="AB733" s="39"/>
    </row>
    <row r="734">
      <c r="A734" s="1"/>
      <c r="B734" s="36"/>
      <c r="C734" s="36"/>
      <c r="D734" s="36"/>
      <c r="E734" s="36"/>
      <c r="F734" s="36"/>
      <c r="G734" s="36"/>
      <c r="H734" s="37"/>
      <c r="I734" s="36"/>
      <c r="J734" s="38"/>
      <c r="K734" s="38"/>
      <c r="L734" s="39"/>
      <c r="M734" s="39"/>
      <c r="N734" s="39"/>
      <c r="O734" s="39"/>
      <c r="P734" s="39"/>
      <c r="Q734" s="39"/>
      <c r="R734" s="39"/>
      <c r="S734" s="39"/>
      <c r="T734" s="39"/>
      <c r="U734" s="39"/>
      <c r="V734" s="39"/>
      <c r="W734" s="39"/>
      <c r="X734" s="39"/>
      <c r="Y734" s="39"/>
      <c r="Z734" s="39"/>
      <c r="AA734" s="39"/>
      <c r="AB734" s="39"/>
    </row>
    <row r="735">
      <c r="A735" s="1"/>
      <c r="B735" s="36"/>
      <c r="C735" s="36"/>
      <c r="D735" s="36"/>
      <c r="E735" s="36"/>
      <c r="F735" s="36"/>
      <c r="G735" s="36"/>
      <c r="H735" s="37"/>
      <c r="I735" s="36"/>
      <c r="J735" s="38"/>
      <c r="K735" s="38"/>
      <c r="L735" s="39"/>
      <c r="M735" s="39"/>
      <c r="N735" s="39"/>
      <c r="O735" s="39"/>
      <c r="P735" s="39"/>
      <c r="Q735" s="39"/>
      <c r="R735" s="39"/>
      <c r="S735" s="39"/>
      <c r="T735" s="39"/>
      <c r="U735" s="39"/>
      <c r="V735" s="39"/>
      <c r="W735" s="39"/>
      <c r="X735" s="39"/>
      <c r="Y735" s="39"/>
      <c r="Z735" s="39"/>
      <c r="AA735" s="39"/>
      <c r="AB735" s="39"/>
    </row>
    <row r="736">
      <c r="A736" s="1"/>
      <c r="B736" s="36"/>
      <c r="C736" s="36"/>
      <c r="D736" s="36"/>
      <c r="E736" s="36"/>
      <c r="F736" s="36"/>
      <c r="G736" s="36"/>
      <c r="H736" s="37"/>
      <c r="I736" s="36"/>
      <c r="J736" s="38"/>
      <c r="K736" s="38"/>
      <c r="L736" s="39"/>
      <c r="M736" s="39"/>
      <c r="N736" s="39"/>
      <c r="O736" s="39"/>
      <c r="P736" s="39"/>
      <c r="Q736" s="39"/>
      <c r="R736" s="39"/>
      <c r="S736" s="39"/>
      <c r="T736" s="39"/>
      <c r="U736" s="39"/>
      <c r="V736" s="39"/>
      <c r="W736" s="39"/>
      <c r="X736" s="39"/>
      <c r="Y736" s="39"/>
      <c r="Z736" s="39"/>
      <c r="AA736" s="39"/>
      <c r="AB736" s="39"/>
    </row>
    <row r="737">
      <c r="A737" s="1"/>
      <c r="B737" s="36"/>
      <c r="C737" s="36"/>
      <c r="D737" s="36"/>
      <c r="E737" s="36"/>
      <c r="F737" s="36"/>
      <c r="G737" s="36"/>
      <c r="H737" s="37"/>
      <c r="I737" s="36"/>
      <c r="J737" s="38"/>
      <c r="K737" s="38"/>
      <c r="L737" s="39"/>
      <c r="M737" s="39"/>
      <c r="N737" s="39"/>
      <c r="O737" s="39"/>
      <c r="P737" s="39"/>
      <c r="Q737" s="39"/>
      <c r="R737" s="39"/>
      <c r="S737" s="39"/>
      <c r="T737" s="39"/>
      <c r="U737" s="39"/>
      <c r="V737" s="39"/>
      <c r="W737" s="39"/>
      <c r="X737" s="39"/>
      <c r="Y737" s="39"/>
      <c r="Z737" s="39"/>
      <c r="AA737" s="39"/>
      <c r="AB737" s="39"/>
    </row>
    <row r="738">
      <c r="A738" s="1"/>
      <c r="B738" s="36"/>
      <c r="C738" s="36"/>
      <c r="D738" s="36"/>
      <c r="E738" s="36"/>
      <c r="F738" s="36"/>
      <c r="G738" s="36"/>
      <c r="H738" s="37"/>
      <c r="I738" s="36"/>
      <c r="J738" s="38"/>
      <c r="K738" s="38"/>
      <c r="L738" s="39"/>
      <c r="M738" s="39"/>
      <c r="N738" s="39"/>
      <c r="O738" s="39"/>
      <c r="P738" s="39"/>
      <c r="Q738" s="39"/>
      <c r="R738" s="39"/>
      <c r="S738" s="39"/>
      <c r="T738" s="39"/>
      <c r="U738" s="39"/>
      <c r="V738" s="39"/>
      <c r="W738" s="39"/>
      <c r="X738" s="39"/>
      <c r="Y738" s="39"/>
      <c r="Z738" s="39"/>
      <c r="AA738" s="39"/>
      <c r="AB738" s="39"/>
    </row>
    <row r="739">
      <c r="A739" s="1"/>
      <c r="B739" s="36"/>
      <c r="C739" s="36"/>
      <c r="D739" s="36"/>
      <c r="E739" s="36"/>
      <c r="F739" s="36"/>
      <c r="G739" s="36"/>
      <c r="H739" s="37"/>
      <c r="I739" s="36"/>
      <c r="J739" s="38"/>
      <c r="K739" s="38"/>
      <c r="L739" s="39"/>
      <c r="M739" s="39"/>
      <c r="N739" s="39"/>
      <c r="O739" s="39"/>
      <c r="P739" s="39"/>
      <c r="Q739" s="39"/>
      <c r="R739" s="39"/>
      <c r="S739" s="39"/>
      <c r="T739" s="39"/>
      <c r="U739" s="39"/>
      <c r="V739" s="39"/>
      <c r="W739" s="39"/>
      <c r="X739" s="39"/>
      <c r="Y739" s="39"/>
      <c r="Z739" s="39"/>
      <c r="AA739" s="39"/>
      <c r="AB739" s="39"/>
    </row>
    <row r="740">
      <c r="A740" s="1"/>
      <c r="B740" s="36"/>
      <c r="C740" s="36"/>
      <c r="D740" s="36"/>
      <c r="E740" s="36"/>
      <c r="F740" s="36"/>
      <c r="G740" s="36"/>
      <c r="H740" s="37"/>
      <c r="I740" s="36"/>
      <c r="J740" s="38"/>
      <c r="K740" s="38"/>
      <c r="L740" s="39"/>
      <c r="M740" s="39"/>
      <c r="N740" s="39"/>
      <c r="O740" s="39"/>
      <c r="P740" s="39"/>
      <c r="Q740" s="39"/>
      <c r="R740" s="39"/>
      <c r="S740" s="39"/>
      <c r="T740" s="39"/>
      <c r="U740" s="39"/>
      <c r="V740" s="39"/>
      <c r="W740" s="39"/>
      <c r="X740" s="39"/>
      <c r="Y740" s="39"/>
      <c r="Z740" s="39"/>
      <c r="AA740" s="39"/>
      <c r="AB740" s="39"/>
    </row>
    <row r="741">
      <c r="A741" s="1"/>
      <c r="B741" s="36"/>
      <c r="C741" s="36"/>
      <c r="D741" s="36"/>
      <c r="E741" s="36"/>
      <c r="F741" s="36"/>
      <c r="G741" s="36"/>
      <c r="H741" s="37"/>
      <c r="I741" s="36"/>
      <c r="J741" s="38"/>
      <c r="K741" s="38"/>
      <c r="L741" s="39"/>
      <c r="M741" s="39"/>
      <c r="N741" s="39"/>
      <c r="O741" s="39"/>
      <c r="P741" s="39"/>
      <c r="Q741" s="39"/>
      <c r="R741" s="39"/>
      <c r="S741" s="39"/>
      <c r="T741" s="39"/>
      <c r="U741" s="39"/>
      <c r="V741" s="39"/>
      <c r="W741" s="39"/>
      <c r="X741" s="39"/>
      <c r="Y741" s="39"/>
      <c r="Z741" s="39"/>
      <c r="AA741" s="39"/>
      <c r="AB741" s="39"/>
    </row>
    <row r="742">
      <c r="A742" s="1"/>
      <c r="B742" s="36"/>
      <c r="C742" s="36"/>
      <c r="D742" s="36"/>
      <c r="E742" s="36"/>
      <c r="F742" s="36"/>
      <c r="G742" s="36"/>
      <c r="H742" s="37"/>
      <c r="I742" s="36"/>
      <c r="J742" s="38"/>
      <c r="K742" s="38"/>
      <c r="L742" s="39"/>
      <c r="M742" s="39"/>
      <c r="N742" s="39"/>
      <c r="O742" s="39"/>
      <c r="P742" s="39"/>
      <c r="Q742" s="39"/>
      <c r="R742" s="39"/>
      <c r="S742" s="39"/>
      <c r="T742" s="39"/>
      <c r="U742" s="39"/>
      <c r="V742" s="39"/>
      <c r="W742" s="39"/>
      <c r="X742" s="39"/>
      <c r="Y742" s="39"/>
      <c r="Z742" s="39"/>
      <c r="AA742" s="39"/>
      <c r="AB742" s="39"/>
    </row>
    <row r="743">
      <c r="A743" s="1"/>
      <c r="B743" s="36"/>
      <c r="C743" s="36"/>
      <c r="D743" s="36"/>
      <c r="E743" s="36"/>
      <c r="F743" s="36"/>
      <c r="G743" s="36"/>
      <c r="H743" s="37"/>
      <c r="I743" s="36"/>
      <c r="J743" s="38"/>
      <c r="K743" s="38"/>
      <c r="L743" s="39"/>
      <c r="M743" s="39"/>
      <c r="N743" s="39"/>
      <c r="O743" s="39"/>
      <c r="P743" s="39"/>
      <c r="Q743" s="39"/>
      <c r="R743" s="39"/>
      <c r="S743" s="39"/>
      <c r="T743" s="39"/>
      <c r="U743" s="39"/>
      <c r="V743" s="39"/>
      <c r="W743" s="39"/>
      <c r="X743" s="39"/>
      <c r="Y743" s="39"/>
      <c r="Z743" s="39"/>
      <c r="AA743" s="39"/>
      <c r="AB743" s="39"/>
    </row>
    <row r="744">
      <c r="A744" s="1"/>
      <c r="B744" s="36"/>
      <c r="C744" s="36"/>
      <c r="D744" s="36"/>
      <c r="E744" s="36"/>
      <c r="F744" s="36"/>
      <c r="G744" s="36"/>
      <c r="H744" s="37"/>
      <c r="I744" s="36"/>
      <c r="J744" s="38"/>
      <c r="K744" s="38"/>
      <c r="L744" s="39"/>
      <c r="M744" s="39"/>
      <c r="N744" s="39"/>
      <c r="O744" s="39"/>
      <c r="P744" s="39"/>
      <c r="Q744" s="39"/>
      <c r="R744" s="39"/>
      <c r="S744" s="39"/>
      <c r="T744" s="39"/>
      <c r="U744" s="39"/>
      <c r="V744" s="39"/>
      <c r="W744" s="39"/>
      <c r="X744" s="39"/>
      <c r="Y744" s="39"/>
      <c r="Z744" s="39"/>
      <c r="AA744" s="39"/>
      <c r="AB744" s="39"/>
    </row>
    <row r="745">
      <c r="A745" s="1"/>
      <c r="B745" s="36"/>
      <c r="C745" s="36"/>
      <c r="D745" s="36"/>
      <c r="E745" s="36"/>
      <c r="F745" s="36"/>
      <c r="G745" s="36"/>
      <c r="H745" s="37"/>
      <c r="I745" s="36"/>
      <c r="J745" s="38"/>
      <c r="K745" s="38"/>
      <c r="L745" s="39"/>
      <c r="M745" s="39"/>
      <c r="N745" s="39"/>
      <c r="O745" s="39"/>
      <c r="P745" s="39"/>
      <c r="Q745" s="39"/>
      <c r="R745" s="39"/>
      <c r="S745" s="39"/>
      <c r="T745" s="39"/>
      <c r="U745" s="39"/>
      <c r="V745" s="39"/>
      <c r="W745" s="39"/>
      <c r="X745" s="39"/>
      <c r="Y745" s="39"/>
      <c r="Z745" s="39"/>
      <c r="AA745" s="39"/>
      <c r="AB745" s="39"/>
    </row>
    <row r="746">
      <c r="A746" s="1"/>
      <c r="B746" s="36"/>
      <c r="C746" s="36"/>
      <c r="D746" s="36"/>
      <c r="E746" s="36"/>
      <c r="F746" s="36"/>
      <c r="G746" s="36"/>
      <c r="H746" s="37"/>
      <c r="I746" s="36"/>
      <c r="J746" s="38"/>
      <c r="K746" s="38"/>
      <c r="L746" s="39"/>
      <c r="M746" s="39"/>
      <c r="N746" s="39"/>
      <c r="O746" s="39"/>
      <c r="P746" s="39"/>
      <c r="Q746" s="39"/>
      <c r="R746" s="39"/>
      <c r="S746" s="39"/>
      <c r="T746" s="39"/>
      <c r="U746" s="39"/>
      <c r="V746" s="39"/>
      <c r="W746" s="39"/>
      <c r="X746" s="39"/>
      <c r="Y746" s="39"/>
      <c r="Z746" s="39"/>
      <c r="AA746" s="39"/>
      <c r="AB746" s="39"/>
    </row>
    <row r="747">
      <c r="A747" s="1"/>
      <c r="B747" s="36"/>
      <c r="C747" s="36"/>
      <c r="D747" s="36"/>
      <c r="E747" s="36"/>
      <c r="F747" s="36"/>
      <c r="G747" s="36"/>
      <c r="H747" s="37"/>
      <c r="I747" s="36"/>
      <c r="J747" s="38"/>
      <c r="K747" s="38"/>
      <c r="L747" s="39"/>
      <c r="M747" s="39"/>
      <c r="N747" s="39"/>
      <c r="O747" s="39"/>
      <c r="P747" s="39"/>
      <c r="Q747" s="39"/>
      <c r="R747" s="39"/>
      <c r="S747" s="39"/>
      <c r="T747" s="39"/>
      <c r="U747" s="39"/>
      <c r="V747" s="39"/>
      <c r="W747" s="39"/>
      <c r="X747" s="39"/>
      <c r="Y747" s="39"/>
      <c r="Z747" s="39"/>
      <c r="AA747" s="39"/>
      <c r="AB747" s="39"/>
    </row>
    <row r="748">
      <c r="A748" s="1"/>
      <c r="B748" s="36"/>
      <c r="C748" s="36"/>
      <c r="D748" s="36"/>
      <c r="E748" s="36"/>
      <c r="F748" s="36"/>
      <c r="G748" s="36"/>
      <c r="H748" s="37"/>
      <c r="I748" s="36"/>
      <c r="J748" s="38"/>
      <c r="K748" s="38"/>
      <c r="L748" s="39"/>
      <c r="M748" s="39"/>
      <c r="N748" s="39"/>
      <c r="O748" s="39"/>
      <c r="P748" s="39"/>
      <c r="Q748" s="39"/>
      <c r="R748" s="39"/>
      <c r="S748" s="39"/>
      <c r="T748" s="39"/>
      <c r="U748" s="39"/>
      <c r="V748" s="39"/>
      <c r="W748" s="39"/>
      <c r="X748" s="39"/>
      <c r="Y748" s="39"/>
      <c r="Z748" s="39"/>
      <c r="AA748" s="39"/>
      <c r="AB748" s="39"/>
    </row>
    <row r="749">
      <c r="A749" s="1"/>
      <c r="B749" s="36"/>
      <c r="C749" s="36"/>
      <c r="D749" s="36"/>
      <c r="E749" s="36"/>
      <c r="F749" s="36"/>
      <c r="G749" s="36"/>
      <c r="H749" s="37"/>
      <c r="I749" s="36"/>
      <c r="J749" s="38"/>
      <c r="K749" s="38"/>
      <c r="L749" s="39"/>
      <c r="M749" s="39"/>
      <c r="N749" s="39"/>
      <c r="O749" s="39"/>
      <c r="P749" s="39"/>
      <c r="Q749" s="39"/>
      <c r="R749" s="39"/>
      <c r="S749" s="39"/>
      <c r="T749" s="39"/>
      <c r="U749" s="39"/>
      <c r="V749" s="39"/>
      <c r="W749" s="39"/>
      <c r="X749" s="39"/>
      <c r="Y749" s="39"/>
      <c r="Z749" s="39"/>
      <c r="AA749" s="39"/>
      <c r="AB749" s="39"/>
    </row>
    <row r="750">
      <c r="A750" s="1"/>
      <c r="B750" s="36"/>
      <c r="C750" s="36"/>
      <c r="D750" s="36"/>
      <c r="E750" s="36"/>
      <c r="F750" s="36"/>
      <c r="G750" s="36"/>
      <c r="H750" s="37"/>
      <c r="I750" s="36"/>
      <c r="J750" s="38"/>
      <c r="K750" s="38"/>
      <c r="L750" s="39"/>
      <c r="M750" s="39"/>
      <c r="N750" s="39"/>
      <c r="O750" s="39"/>
      <c r="P750" s="39"/>
      <c r="Q750" s="39"/>
      <c r="R750" s="39"/>
      <c r="S750" s="39"/>
      <c r="T750" s="39"/>
      <c r="U750" s="39"/>
      <c r="V750" s="39"/>
      <c r="W750" s="39"/>
      <c r="X750" s="39"/>
      <c r="Y750" s="39"/>
      <c r="Z750" s="39"/>
      <c r="AA750" s="39"/>
      <c r="AB750" s="39"/>
    </row>
    <row r="751">
      <c r="A751" s="1"/>
      <c r="B751" s="36"/>
      <c r="C751" s="36"/>
      <c r="D751" s="36"/>
      <c r="E751" s="36"/>
      <c r="F751" s="36"/>
      <c r="G751" s="36"/>
      <c r="H751" s="37"/>
      <c r="I751" s="36"/>
      <c r="J751" s="38"/>
      <c r="K751" s="38"/>
      <c r="L751" s="39"/>
      <c r="M751" s="39"/>
      <c r="N751" s="39"/>
      <c r="O751" s="39"/>
      <c r="P751" s="39"/>
      <c r="Q751" s="39"/>
      <c r="R751" s="39"/>
      <c r="S751" s="39"/>
      <c r="T751" s="39"/>
      <c r="U751" s="39"/>
      <c r="V751" s="39"/>
      <c r="W751" s="39"/>
      <c r="X751" s="39"/>
      <c r="Y751" s="39"/>
      <c r="Z751" s="39"/>
      <c r="AA751" s="39"/>
      <c r="AB751" s="39"/>
    </row>
    <row r="752">
      <c r="A752" s="1"/>
      <c r="B752" s="36"/>
      <c r="C752" s="36"/>
      <c r="D752" s="36"/>
      <c r="E752" s="36"/>
      <c r="F752" s="36"/>
      <c r="G752" s="36"/>
      <c r="H752" s="37"/>
      <c r="I752" s="36"/>
      <c r="J752" s="38"/>
      <c r="K752" s="38"/>
      <c r="L752" s="39"/>
      <c r="M752" s="39"/>
      <c r="N752" s="39"/>
      <c r="O752" s="39"/>
      <c r="P752" s="39"/>
      <c r="Q752" s="39"/>
      <c r="R752" s="39"/>
      <c r="S752" s="39"/>
      <c r="T752" s="39"/>
      <c r="U752" s="39"/>
      <c r="V752" s="39"/>
      <c r="W752" s="39"/>
      <c r="X752" s="39"/>
      <c r="Y752" s="39"/>
      <c r="Z752" s="39"/>
      <c r="AA752" s="39"/>
      <c r="AB752" s="39"/>
    </row>
    <row r="753">
      <c r="A753" s="1"/>
      <c r="B753" s="36"/>
      <c r="C753" s="36"/>
      <c r="D753" s="36"/>
      <c r="E753" s="36"/>
      <c r="F753" s="36"/>
      <c r="G753" s="36"/>
      <c r="H753" s="37"/>
      <c r="I753" s="36"/>
      <c r="J753" s="38"/>
      <c r="K753" s="38"/>
      <c r="L753" s="39"/>
      <c r="M753" s="39"/>
      <c r="N753" s="39"/>
      <c r="O753" s="39"/>
      <c r="P753" s="39"/>
      <c r="Q753" s="39"/>
      <c r="R753" s="39"/>
      <c r="S753" s="39"/>
      <c r="T753" s="39"/>
      <c r="U753" s="39"/>
      <c r="V753" s="39"/>
      <c r="W753" s="39"/>
      <c r="X753" s="39"/>
      <c r="Y753" s="39"/>
      <c r="Z753" s="39"/>
      <c r="AA753" s="39"/>
      <c r="AB753" s="39"/>
    </row>
    <row r="754">
      <c r="A754" s="1"/>
      <c r="B754" s="36"/>
      <c r="C754" s="36"/>
      <c r="D754" s="36"/>
      <c r="E754" s="36"/>
      <c r="F754" s="36"/>
      <c r="G754" s="36"/>
      <c r="H754" s="37"/>
      <c r="I754" s="36"/>
      <c r="J754" s="38"/>
      <c r="K754" s="38"/>
      <c r="L754" s="39"/>
      <c r="M754" s="39"/>
      <c r="N754" s="39"/>
      <c r="O754" s="39"/>
      <c r="P754" s="39"/>
      <c r="Q754" s="39"/>
      <c r="R754" s="39"/>
      <c r="S754" s="39"/>
      <c r="T754" s="39"/>
      <c r="U754" s="39"/>
      <c r="V754" s="39"/>
      <c r="W754" s="39"/>
      <c r="X754" s="39"/>
      <c r="Y754" s="39"/>
      <c r="Z754" s="39"/>
      <c r="AA754" s="39"/>
      <c r="AB754" s="39"/>
    </row>
    <row r="755">
      <c r="A755" s="1"/>
      <c r="B755" s="36"/>
      <c r="C755" s="36"/>
      <c r="D755" s="36"/>
      <c r="E755" s="36"/>
      <c r="F755" s="36"/>
      <c r="G755" s="36"/>
      <c r="H755" s="37"/>
      <c r="I755" s="36"/>
      <c r="J755" s="38"/>
      <c r="K755" s="38"/>
      <c r="L755" s="39"/>
      <c r="M755" s="39"/>
      <c r="N755" s="39"/>
      <c r="O755" s="39"/>
      <c r="P755" s="39"/>
      <c r="Q755" s="39"/>
      <c r="R755" s="39"/>
      <c r="S755" s="39"/>
      <c r="T755" s="39"/>
      <c r="U755" s="39"/>
      <c r="V755" s="39"/>
      <c r="W755" s="39"/>
      <c r="X755" s="39"/>
      <c r="Y755" s="39"/>
      <c r="Z755" s="39"/>
      <c r="AA755" s="39"/>
      <c r="AB755" s="39"/>
    </row>
    <row r="756">
      <c r="A756" s="1"/>
      <c r="B756" s="36"/>
      <c r="C756" s="36"/>
      <c r="D756" s="36"/>
      <c r="E756" s="36"/>
      <c r="F756" s="36"/>
      <c r="G756" s="36"/>
      <c r="H756" s="37"/>
      <c r="I756" s="36"/>
      <c r="J756" s="38"/>
      <c r="K756" s="38"/>
      <c r="L756" s="39"/>
      <c r="M756" s="39"/>
      <c r="N756" s="39"/>
      <c r="O756" s="39"/>
      <c r="P756" s="39"/>
      <c r="Q756" s="39"/>
      <c r="R756" s="39"/>
      <c r="S756" s="39"/>
      <c r="T756" s="39"/>
      <c r="U756" s="39"/>
      <c r="V756" s="39"/>
      <c r="W756" s="39"/>
      <c r="X756" s="39"/>
      <c r="Y756" s="39"/>
      <c r="Z756" s="39"/>
      <c r="AA756" s="39"/>
      <c r="AB756" s="39"/>
    </row>
    <row r="757">
      <c r="A757" s="1"/>
      <c r="B757" s="36"/>
      <c r="C757" s="36"/>
      <c r="D757" s="36"/>
      <c r="E757" s="36"/>
      <c r="F757" s="36"/>
      <c r="G757" s="36"/>
      <c r="H757" s="37"/>
      <c r="I757" s="36"/>
      <c r="J757" s="38"/>
      <c r="K757" s="38"/>
      <c r="L757" s="39"/>
      <c r="M757" s="39"/>
      <c r="N757" s="39"/>
      <c r="O757" s="39"/>
      <c r="P757" s="39"/>
      <c r="Q757" s="39"/>
      <c r="R757" s="39"/>
      <c r="S757" s="39"/>
      <c r="T757" s="39"/>
      <c r="U757" s="39"/>
      <c r="V757" s="39"/>
      <c r="W757" s="39"/>
      <c r="X757" s="39"/>
      <c r="Y757" s="39"/>
      <c r="Z757" s="39"/>
      <c r="AA757" s="39"/>
      <c r="AB757" s="39"/>
    </row>
    <row r="758">
      <c r="A758" s="1"/>
      <c r="B758" s="36"/>
      <c r="C758" s="36"/>
      <c r="D758" s="36"/>
      <c r="E758" s="36"/>
      <c r="F758" s="36"/>
      <c r="G758" s="36"/>
      <c r="H758" s="37"/>
      <c r="I758" s="36"/>
      <c r="J758" s="38"/>
      <c r="K758" s="38"/>
      <c r="L758" s="39"/>
      <c r="M758" s="39"/>
      <c r="N758" s="39"/>
      <c r="O758" s="39"/>
      <c r="P758" s="39"/>
      <c r="Q758" s="39"/>
      <c r="R758" s="39"/>
      <c r="S758" s="39"/>
      <c r="T758" s="39"/>
      <c r="U758" s="39"/>
      <c r="V758" s="39"/>
      <c r="W758" s="39"/>
      <c r="X758" s="39"/>
      <c r="Y758" s="39"/>
      <c r="Z758" s="39"/>
      <c r="AA758" s="39"/>
      <c r="AB758" s="39"/>
    </row>
    <row r="759">
      <c r="A759" s="1"/>
      <c r="B759" s="36"/>
      <c r="C759" s="36"/>
      <c r="D759" s="36"/>
      <c r="E759" s="36"/>
      <c r="F759" s="36"/>
      <c r="G759" s="36"/>
      <c r="H759" s="37"/>
      <c r="I759" s="36"/>
      <c r="J759" s="38"/>
      <c r="K759" s="38"/>
      <c r="L759" s="39"/>
      <c r="M759" s="39"/>
      <c r="N759" s="39"/>
      <c r="O759" s="39"/>
      <c r="P759" s="39"/>
      <c r="Q759" s="39"/>
      <c r="R759" s="39"/>
      <c r="S759" s="39"/>
      <c r="T759" s="39"/>
      <c r="U759" s="39"/>
      <c r="V759" s="39"/>
      <c r="W759" s="39"/>
      <c r="X759" s="39"/>
      <c r="Y759" s="39"/>
      <c r="Z759" s="39"/>
      <c r="AA759" s="39"/>
      <c r="AB759" s="39"/>
    </row>
    <row r="760">
      <c r="A760" s="1"/>
      <c r="B760" s="36"/>
      <c r="C760" s="36"/>
      <c r="D760" s="36"/>
      <c r="E760" s="36"/>
      <c r="F760" s="36"/>
      <c r="G760" s="36"/>
      <c r="H760" s="37"/>
      <c r="I760" s="36"/>
      <c r="J760" s="38"/>
      <c r="K760" s="38"/>
      <c r="L760" s="39"/>
      <c r="M760" s="39"/>
      <c r="N760" s="39"/>
      <c r="O760" s="39"/>
      <c r="P760" s="39"/>
      <c r="Q760" s="39"/>
      <c r="R760" s="39"/>
      <c r="S760" s="39"/>
      <c r="T760" s="39"/>
      <c r="U760" s="39"/>
      <c r="V760" s="39"/>
      <c r="W760" s="39"/>
      <c r="X760" s="39"/>
      <c r="Y760" s="39"/>
      <c r="Z760" s="39"/>
      <c r="AA760" s="39"/>
      <c r="AB760" s="39"/>
    </row>
    <row r="761">
      <c r="A761" s="1"/>
      <c r="B761" s="36"/>
      <c r="C761" s="36"/>
      <c r="D761" s="36"/>
      <c r="E761" s="36"/>
      <c r="F761" s="36"/>
      <c r="G761" s="36"/>
      <c r="H761" s="37"/>
      <c r="I761" s="36"/>
      <c r="J761" s="38"/>
      <c r="K761" s="38"/>
      <c r="L761" s="39"/>
      <c r="M761" s="39"/>
      <c r="N761" s="39"/>
      <c r="O761" s="39"/>
      <c r="P761" s="39"/>
      <c r="Q761" s="39"/>
      <c r="R761" s="39"/>
      <c r="S761" s="39"/>
      <c r="T761" s="39"/>
      <c r="U761" s="39"/>
      <c r="V761" s="39"/>
      <c r="W761" s="39"/>
      <c r="X761" s="39"/>
      <c r="Y761" s="39"/>
      <c r="Z761" s="39"/>
      <c r="AA761" s="39"/>
      <c r="AB761" s="39"/>
    </row>
    <row r="762">
      <c r="A762" s="1"/>
      <c r="B762" s="36"/>
      <c r="C762" s="36"/>
      <c r="D762" s="36"/>
      <c r="E762" s="36"/>
      <c r="F762" s="36"/>
      <c r="G762" s="36"/>
      <c r="H762" s="37"/>
      <c r="I762" s="36"/>
      <c r="J762" s="38"/>
      <c r="K762" s="38"/>
      <c r="L762" s="39"/>
      <c r="M762" s="39"/>
      <c r="N762" s="39"/>
      <c r="O762" s="39"/>
      <c r="P762" s="39"/>
      <c r="Q762" s="39"/>
      <c r="R762" s="39"/>
      <c r="S762" s="39"/>
      <c r="T762" s="39"/>
      <c r="U762" s="39"/>
      <c r="V762" s="39"/>
      <c r="W762" s="39"/>
      <c r="X762" s="39"/>
      <c r="Y762" s="39"/>
      <c r="Z762" s="39"/>
      <c r="AA762" s="39"/>
      <c r="AB762" s="39"/>
    </row>
    <row r="763">
      <c r="A763" s="1"/>
      <c r="B763" s="36"/>
      <c r="C763" s="36"/>
      <c r="D763" s="36"/>
      <c r="E763" s="36"/>
      <c r="F763" s="36"/>
      <c r="G763" s="36"/>
      <c r="H763" s="37"/>
      <c r="I763" s="36"/>
      <c r="J763" s="38"/>
      <c r="K763" s="38"/>
      <c r="L763" s="39"/>
      <c r="M763" s="39"/>
      <c r="N763" s="39"/>
      <c r="O763" s="39"/>
      <c r="P763" s="39"/>
      <c r="Q763" s="39"/>
      <c r="R763" s="39"/>
      <c r="S763" s="39"/>
      <c r="T763" s="39"/>
      <c r="U763" s="39"/>
      <c r="V763" s="39"/>
      <c r="W763" s="39"/>
      <c r="X763" s="39"/>
      <c r="Y763" s="39"/>
      <c r="Z763" s="39"/>
      <c r="AA763" s="39"/>
      <c r="AB763" s="39"/>
    </row>
    <row r="764">
      <c r="A764" s="1"/>
      <c r="B764" s="36"/>
      <c r="C764" s="36"/>
      <c r="D764" s="36"/>
      <c r="E764" s="36"/>
      <c r="F764" s="36"/>
      <c r="G764" s="36"/>
      <c r="H764" s="37"/>
      <c r="I764" s="36"/>
      <c r="J764" s="38"/>
      <c r="K764" s="38"/>
      <c r="L764" s="39"/>
      <c r="M764" s="39"/>
      <c r="N764" s="39"/>
      <c r="O764" s="39"/>
      <c r="P764" s="39"/>
      <c r="Q764" s="39"/>
      <c r="R764" s="39"/>
      <c r="S764" s="39"/>
      <c r="T764" s="39"/>
      <c r="U764" s="39"/>
      <c r="V764" s="39"/>
      <c r="W764" s="39"/>
      <c r="X764" s="39"/>
      <c r="Y764" s="39"/>
      <c r="Z764" s="39"/>
      <c r="AA764" s="39"/>
      <c r="AB764" s="39"/>
    </row>
    <row r="765">
      <c r="A765" s="1"/>
      <c r="B765" s="36"/>
      <c r="C765" s="36"/>
      <c r="D765" s="36"/>
      <c r="E765" s="36"/>
      <c r="F765" s="36"/>
      <c r="G765" s="36"/>
      <c r="H765" s="37"/>
      <c r="I765" s="36"/>
      <c r="J765" s="38"/>
      <c r="K765" s="38"/>
      <c r="L765" s="39"/>
      <c r="M765" s="39"/>
      <c r="N765" s="39"/>
      <c r="O765" s="39"/>
      <c r="P765" s="39"/>
      <c r="Q765" s="39"/>
      <c r="R765" s="39"/>
      <c r="S765" s="39"/>
      <c r="T765" s="39"/>
      <c r="U765" s="39"/>
      <c r="V765" s="39"/>
      <c r="W765" s="39"/>
      <c r="X765" s="39"/>
      <c r="Y765" s="39"/>
      <c r="Z765" s="39"/>
      <c r="AA765" s="39"/>
      <c r="AB765" s="39"/>
    </row>
    <row r="766">
      <c r="A766" s="1"/>
      <c r="B766" s="36"/>
      <c r="C766" s="36"/>
      <c r="D766" s="36"/>
      <c r="E766" s="36"/>
      <c r="F766" s="36"/>
      <c r="G766" s="36"/>
      <c r="H766" s="37"/>
      <c r="I766" s="36"/>
      <c r="J766" s="38"/>
      <c r="K766" s="38"/>
      <c r="L766" s="39"/>
      <c r="M766" s="39"/>
      <c r="N766" s="39"/>
      <c r="O766" s="39"/>
      <c r="P766" s="39"/>
      <c r="Q766" s="39"/>
      <c r="R766" s="39"/>
      <c r="S766" s="39"/>
      <c r="T766" s="39"/>
      <c r="U766" s="39"/>
      <c r="V766" s="39"/>
      <c r="W766" s="39"/>
      <c r="X766" s="39"/>
      <c r="Y766" s="39"/>
      <c r="Z766" s="39"/>
      <c r="AA766" s="39"/>
      <c r="AB766" s="39"/>
    </row>
    <row r="767">
      <c r="A767" s="1"/>
      <c r="B767" s="36"/>
      <c r="C767" s="36"/>
      <c r="D767" s="36"/>
      <c r="E767" s="36"/>
      <c r="F767" s="36"/>
      <c r="G767" s="36"/>
      <c r="H767" s="37"/>
      <c r="I767" s="36"/>
      <c r="J767" s="38"/>
      <c r="K767" s="38"/>
      <c r="L767" s="39"/>
      <c r="M767" s="39"/>
      <c r="N767" s="39"/>
      <c r="O767" s="39"/>
      <c r="P767" s="39"/>
      <c r="Q767" s="39"/>
      <c r="R767" s="39"/>
      <c r="S767" s="39"/>
      <c r="T767" s="39"/>
      <c r="U767" s="39"/>
      <c r="V767" s="39"/>
      <c r="W767" s="39"/>
      <c r="X767" s="39"/>
      <c r="Y767" s="39"/>
      <c r="Z767" s="39"/>
      <c r="AA767" s="39"/>
      <c r="AB767" s="39"/>
    </row>
    <row r="768">
      <c r="A768" s="1"/>
      <c r="B768" s="36"/>
      <c r="C768" s="36"/>
      <c r="D768" s="36"/>
      <c r="E768" s="36"/>
      <c r="F768" s="36"/>
      <c r="G768" s="36"/>
      <c r="H768" s="37"/>
      <c r="I768" s="36"/>
      <c r="J768" s="38"/>
      <c r="K768" s="38"/>
      <c r="L768" s="39"/>
      <c r="M768" s="39"/>
      <c r="N768" s="39"/>
      <c r="O768" s="39"/>
      <c r="P768" s="39"/>
      <c r="Q768" s="39"/>
      <c r="R768" s="39"/>
      <c r="S768" s="39"/>
      <c r="T768" s="39"/>
      <c r="U768" s="39"/>
      <c r="V768" s="39"/>
      <c r="W768" s="39"/>
      <c r="X768" s="39"/>
      <c r="Y768" s="39"/>
      <c r="Z768" s="39"/>
      <c r="AA768" s="39"/>
      <c r="AB768" s="39"/>
    </row>
    <row r="769">
      <c r="A769" s="1"/>
      <c r="B769" s="36"/>
      <c r="C769" s="36"/>
      <c r="D769" s="36"/>
      <c r="E769" s="36"/>
      <c r="F769" s="36"/>
      <c r="G769" s="36"/>
      <c r="H769" s="37"/>
      <c r="I769" s="36"/>
      <c r="J769" s="38"/>
      <c r="K769" s="38"/>
      <c r="L769" s="39"/>
      <c r="M769" s="39"/>
      <c r="N769" s="39"/>
      <c r="O769" s="39"/>
      <c r="P769" s="39"/>
      <c r="Q769" s="39"/>
      <c r="R769" s="39"/>
      <c r="S769" s="39"/>
      <c r="T769" s="39"/>
      <c r="U769" s="39"/>
      <c r="V769" s="39"/>
      <c r="W769" s="39"/>
      <c r="X769" s="39"/>
      <c r="Y769" s="39"/>
      <c r="Z769" s="39"/>
      <c r="AA769" s="39"/>
      <c r="AB769" s="39"/>
    </row>
    <row r="770">
      <c r="A770" s="1"/>
      <c r="B770" s="36"/>
      <c r="C770" s="36"/>
      <c r="D770" s="36"/>
      <c r="E770" s="36"/>
      <c r="F770" s="36"/>
      <c r="G770" s="36"/>
      <c r="H770" s="37"/>
      <c r="I770" s="36"/>
      <c r="J770" s="38"/>
      <c r="K770" s="38"/>
      <c r="L770" s="39"/>
      <c r="M770" s="39"/>
      <c r="N770" s="39"/>
      <c r="O770" s="39"/>
      <c r="P770" s="39"/>
      <c r="Q770" s="39"/>
      <c r="R770" s="39"/>
      <c r="S770" s="39"/>
      <c r="T770" s="39"/>
      <c r="U770" s="39"/>
      <c r="V770" s="39"/>
      <c r="W770" s="39"/>
      <c r="X770" s="39"/>
      <c r="Y770" s="39"/>
      <c r="Z770" s="39"/>
      <c r="AA770" s="39"/>
      <c r="AB770" s="39"/>
    </row>
    <row r="771">
      <c r="A771" s="1"/>
      <c r="B771" s="36"/>
      <c r="C771" s="36"/>
      <c r="D771" s="36"/>
      <c r="E771" s="36"/>
      <c r="F771" s="36"/>
      <c r="G771" s="36"/>
      <c r="H771" s="37"/>
      <c r="I771" s="36"/>
      <c r="J771" s="38"/>
      <c r="K771" s="38"/>
      <c r="L771" s="39"/>
      <c r="M771" s="39"/>
      <c r="N771" s="39"/>
      <c r="O771" s="39"/>
      <c r="P771" s="39"/>
      <c r="Q771" s="39"/>
      <c r="R771" s="39"/>
      <c r="S771" s="39"/>
      <c r="T771" s="39"/>
      <c r="U771" s="39"/>
      <c r="V771" s="39"/>
      <c r="W771" s="39"/>
      <c r="X771" s="39"/>
      <c r="Y771" s="39"/>
      <c r="Z771" s="39"/>
      <c r="AA771" s="39"/>
      <c r="AB771" s="39"/>
    </row>
    <row r="772">
      <c r="A772" s="1"/>
      <c r="B772" s="36"/>
      <c r="C772" s="36"/>
      <c r="D772" s="36"/>
      <c r="E772" s="36"/>
      <c r="F772" s="36"/>
      <c r="G772" s="36"/>
      <c r="H772" s="37"/>
      <c r="I772" s="36"/>
      <c r="J772" s="38"/>
      <c r="K772" s="38"/>
      <c r="L772" s="39"/>
      <c r="M772" s="39"/>
      <c r="N772" s="39"/>
      <c r="O772" s="39"/>
      <c r="P772" s="39"/>
      <c r="Q772" s="39"/>
      <c r="R772" s="39"/>
      <c r="S772" s="39"/>
      <c r="T772" s="39"/>
      <c r="U772" s="39"/>
      <c r="V772" s="39"/>
      <c r="W772" s="39"/>
      <c r="X772" s="39"/>
      <c r="Y772" s="39"/>
      <c r="Z772" s="39"/>
      <c r="AA772" s="39"/>
      <c r="AB772" s="39"/>
    </row>
    <row r="773">
      <c r="A773" s="1"/>
      <c r="B773" s="36"/>
      <c r="C773" s="36"/>
      <c r="D773" s="36"/>
      <c r="E773" s="36"/>
      <c r="F773" s="36"/>
      <c r="G773" s="36"/>
      <c r="H773" s="37"/>
      <c r="I773" s="36"/>
      <c r="J773" s="38"/>
      <c r="K773" s="38"/>
      <c r="L773" s="39"/>
      <c r="M773" s="39"/>
      <c r="N773" s="39"/>
      <c r="O773" s="39"/>
      <c r="P773" s="39"/>
      <c r="Q773" s="39"/>
      <c r="R773" s="39"/>
      <c r="S773" s="39"/>
      <c r="T773" s="39"/>
      <c r="U773" s="39"/>
      <c r="V773" s="39"/>
      <c r="W773" s="39"/>
      <c r="X773" s="39"/>
      <c r="Y773" s="39"/>
      <c r="Z773" s="39"/>
      <c r="AA773" s="39"/>
      <c r="AB773" s="39"/>
    </row>
    <row r="774">
      <c r="A774" s="1"/>
      <c r="B774" s="36"/>
      <c r="C774" s="36"/>
      <c r="D774" s="36"/>
      <c r="E774" s="36"/>
      <c r="F774" s="36"/>
      <c r="G774" s="36"/>
      <c r="H774" s="37"/>
      <c r="I774" s="36"/>
      <c r="J774" s="38"/>
      <c r="K774" s="38"/>
      <c r="L774" s="39"/>
      <c r="M774" s="39"/>
      <c r="N774" s="39"/>
      <c r="O774" s="39"/>
      <c r="P774" s="39"/>
      <c r="Q774" s="39"/>
      <c r="R774" s="39"/>
      <c r="S774" s="39"/>
      <c r="T774" s="39"/>
      <c r="U774" s="39"/>
      <c r="V774" s="39"/>
      <c r="W774" s="39"/>
      <c r="X774" s="39"/>
      <c r="Y774" s="39"/>
      <c r="Z774" s="39"/>
      <c r="AA774" s="39"/>
      <c r="AB774" s="39"/>
    </row>
    <row r="775">
      <c r="A775" s="1"/>
      <c r="B775" s="36"/>
      <c r="C775" s="36"/>
      <c r="D775" s="36"/>
      <c r="E775" s="36"/>
      <c r="F775" s="36"/>
      <c r="G775" s="36"/>
      <c r="H775" s="37"/>
      <c r="I775" s="36"/>
      <c r="J775" s="38"/>
      <c r="K775" s="38"/>
      <c r="L775" s="39"/>
      <c r="M775" s="39"/>
      <c r="N775" s="39"/>
      <c r="O775" s="39"/>
      <c r="P775" s="39"/>
      <c r="Q775" s="39"/>
      <c r="R775" s="39"/>
      <c r="S775" s="39"/>
      <c r="T775" s="39"/>
      <c r="U775" s="39"/>
      <c r="V775" s="39"/>
      <c r="W775" s="39"/>
      <c r="X775" s="39"/>
      <c r="Y775" s="39"/>
      <c r="Z775" s="39"/>
      <c r="AA775" s="39"/>
      <c r="AB775" s="39"/>
    </row>
    <row r="776">
      <c r="A776" s="1"/>
      <c r="B776" s="36"/>
      <c r="C776" s="36"/>
      <c r="D776" s="36"/>
      <c r="E776" s="36"/>
      <c r="F776" s="36"/>
      <c r="G776" s="36"/>
      <c r="H776" s="37"/>
      <c r="I776" s="36"/>
      <c r="J776" s="38"/>
      <c r="K776" s="38"/>
      <c r="L776" s="39"/>
      <c r="M776" s="39"/>
      <c r="N776" s="39"/>
      <c r="O776" s="39"/>
      <c r="P776" s="39"/>
      <c r="Q776" s="39"/>
      <c r="R776" s="39"/>
      <c r="S776" s="39"/>
      <c r="T776" s="39"/>
      <c r="U776" s="39"/>
      <c r="V776" s="39"/>
      <c r="W776" s="39"/>
      <c r="X776" s="39"/>
      <c r="Y776" s="39"/>
      <c r="Z776" s="39"/>
      <c r="AA776" s="39"/>
      <c r="AB776" s="39"/>
    </row>
    <row r="777">
      <c r="A777" s="1"/>
      <c r="B777" s="36"/>
      <c r="C777" s="36"/>
      <c r="D777" s="36"/>
      <c r="E777" s="36"/>
      <c r="F777" s="36"/>
      <c r="G777" s="36"/>
      <c r="H777" s="37"/>
      <c r="I777" s="36"/>
      <c r="J777" s="38"/>
      <c r="K777" s="38"/>
      <c r="L777" s="39"/>
      <c r="M777" s="39"/>
      <c r="N777" s="39"/>
      <c r="O777" s="39"/>
      <c r="P777" s="39"/>
      <c r="Q777" s="39"/>
      <c r="R777" s="39"/>
      <c r="S777" s="39"/>
      <c r="T777" s="39"/>
      <c r="U777" s="39"/>
      <c r="V777" s="39"/>
      <c r="W777" s="39"/>
      <c r="X777" s="39"/>
      <c r="Y777" s="39"/>
      <c r="Z777" s="39"/>
      <c r="AA777" s="39"/>
      <c r="AB777" s="39"/>
    </row>
    <row r="778">
      <c r="A778" s="1"/>
      <c r="B778" s="36"/>
      <c r="C778" s="36"/>
      <c r="D778" s="36"/>
      <c r="E778" s="36"/>
      <c r="F778" s="36"/>
      <c r="G778" s="36"/>
      <c r="H778" s="37"/>
      <c r="I778" s="36"/>
      <c r="J778" s="38"/>
      <c r="K778" s="38"/>
      <c r="L778" s="39"/>
      <c r="M778" s="39"/>
      <c r="N778" s="39"/>
      <c r="O778" s="39"/>
      <c r="P778" s="39"/>
      <c r="Q778" s="39"/>
      <c r="R778" s="39"/>
      <c r="S778" s="39"/>
      <c r="T778" s="39"/>
      <c r="U778" s="39"/>
      <c r="V778" s="39"/>
      <c r="W778" s="39"/>
      <c r="X778" s="39"/>
      <c r="Y778" s="39"/>
      <c r="Z778" s="39"/>
      <c r="AA778" s="39"/>
      <c r="AB778" s="39"/>
    </row>
    <row r="779">
      <c r="A779" s="1"/>
      <c r="B779" s="36"/>
      <c r="C779" s="36"/>
      <c r="D779" s="36"/>
      <c r="E779" s="36"/>
      <c r="F779" s="36"/>
      <c r="G779" s="36"/>
      <c r="H779" s="37"/>
      <c r="I779" s="36"/>
      <c r="J779" s="38"/>
      <c r="K779" s="38"/>
      <c r="L779" s="39"/>
      <c r="M779" s="39"/>
      <c r="N779" s="39"/>
      <c r="O779" s="39"/>
      <c r="P779" s="39"/>
      <c r="Q779" s="39"/>
      <c r="R779" s="39"/>
      <c r="S779" s="39"/>
      <c r="T779" s="39"/>
      <c r="U779" s="39"/>
      <c r="V779" s="39"/>
      <c r="W779" s="39"/>
      <c r="X779" s="39"/>
      <c r="Y779" s="39"/>
      <c r="Z779" s="39"/>
      <c r="AA779" s="39"/>
      <c r="AB779" s="39"/>
    </row>
    <row r="780">
      <c r="A780" s="1"/>
      <c r="B780" s="36"/>
      <c r="C780" s="36"/>
      <c r="D780" s="36"/>
      <c r="E780" s="36"/>
      <c r="F780" s="36"/>
      <c r="G780" s="36"/>
      <c r="H780" s="37"/>
      <c r="I780" s="36"/>
      <c r="J780" s="38"/>
      <c r="K780" s="38"/>
      <c r="L780" s="39"/>
      <c r="M780" s="39"/>
      <c r="N780" s="39"/>
      <c r="O780" s="39"/>
      <c r="P780" s="39"/>
      <c r="Q780" s="39"/>
      <c r="R780" s="39"/>
      <c r="S780" s="39"/>
      <c r="T780" s="39"/>
      <c r="U780" s="39"/>
      <c r="V780" s="39"/>
      <c r="W780" s="39"/>
      <c r="X780" s="39"/>
      <c r="Y780" s="39"/>
      <c r="Z780" s="39"/>
      <c r="AA780" s="39"/>
      <c r="AB780" s="39"/>
    </row>
    <row r="781">
      <c r="A781" s="1"/>
      <c r="B781" s="36"/>
      <c r="C781" s="36"/>
      <c r="D781" s="36"/>
      <c r="E781" s="36"/>
      <c r="F781" s="36"/>
      <c r="G781" s="36"/>
      <c r="H781" s="37"/>
      <c r="I781" s="36"/>
      <c r="J781" s="38"/>
      <c r="K781" s="38"/>
      <c r="L781" s="39"/>
      <c r="M781" s="39"/>
      <c r="N781" s="39"/>
      <c r="O781" s="39"/>
      <c r="P781" s="39"/>
      <c r="Q781" s="39"/>
      <c r="R781" s="39"/>
      <c r="S781" s="39"/>
      <c r="T781" s="39"/>
      <c r="U781" s="39"/>
      <c r="V781" s="39"/>
      <c r="W781" s="39"/>
      <c r="X781" s="39"/>
      <c r="Y781" s="39"/>
      <c r="Z781" s="39"/>
      <c r="AA781" s="39"/>
      <c r="AB781" s="39"/>
    </row>
    <row r="782">
      <c r="A782" s="1"/>
      <c r="B782" s="36"/>
      <c r="C782" s="36"/>
      <c r="D782" s="36"/>
      <c r="E782" s="36"/>
      <c r="F782" s="36"/>
      <c r="G782" s="36"/>
      <c r="H782" s="37"/>
      <c r="I782" s="36"/>
      <c r="J782" s="38"/>
      <c r="K782" s="38"/>
      <c r="L782" s="39"/>
      <c r="M782" s="39"/>
      <c r="N782" s="39"/>
      <c r="O782" s="39"/>
      <c r="P782" s="39"/>
      <c r="Q782" s="39"/>
      <c r="R782" s="39"/>
      <c r="S782" s="39"/>
      <c r="T782" s="39"/>
      <c r="U782" s="39"/>
      <c r="V782" s="39"/>
      <c r="W782" s="39"/>
      <c r="X782" s="39"/>
      <c r="Y782" s="39"/>
      <c r="Z782" s="39"/>
      <c r="AA782" s="39"/>
      <c r="AB782" s="39"/>
    </row>
    <row r="783">
      <c r="A783" s="1"/>
      <c r="B783" s="36"/>
      <c r="C783" s="36"/>
      <c r="D783" s="36"/>
      <c r="E783" s="36"/>
      <c r="F783" s="36"/>
      <c r="G783" s="36"/>
      <c r="H783" s="37"/>
      <c r="I783" s="36"/>
      <c r="J783" s="38"/>
      <c r="K783" s="38"/>
      <c r="L783" s="39"/>
      <c r="M783" s="39"/>
      <c r="N783" s="39"/>
      <c r="O783" s="39"/>
      <c r="P783" s="39"/>
      <c r="Q783" s="39"/>
      <c r="R783" s="39"/>
      <c r="S783" s="39"/>
      <c r="T783" s="39"/>
      <c r="U783" s="39"/>
      <c r="V783" s="39"/>
      <c r="W783" s="39"/>
      <c r="X783" s="39"/>
      <c r="Y783" s="39"/>
      <c r="Z783" s="39"/>
      <c r="AA783" s="39"/>
      <c r="AB783" s="39"/>
    </row>
    <row r="784">
      <c r="A784" s="1"/>
      <c r="B784" s="36"/>
      <c r="C784" s="36"/>
      <c r="D784" s="36"/>
      <c r="E784" s="36"/>
      <c r="F784" s="36"/>
      <c r="G784" s="36"/>
      <c r="H784" s="37"/>
      <c r="I784" s="36"/>
      <c r="J784" s="38"/>
      <c r="K784" s="38"/>
      <c r="L784" s="39"/>
      <c r="M784" s="39"/>
      <c r="N784" s="39"/>
      <c r="O784" s="39"/>
      <c r="P784" s="39"/>
      <c r="Q784" s="39"/>
      <c r="R784" s="39"/>
      <c r="S784" s="39"/>
      <c r="T784" s="39"/>
      <c r="U784" s="39"/>
      <c r="V784" s="39"/>
      <c r="W784" s="39"/>
      <c r="X784" s="39"/>
      <c r="Y784" s="39"/>
      <c r="Z784" s="39"/>
      <c r="AA784" s="39"/>
      <c r="AB784" s="39"/>
    </row>
    <row r="785">
      <c r="A785" s="1"/>
      <c r="B785" s="36"/>
      <c r="C785" s="36"/>
      <c r="D785" s="36"/>
      <c r="E785" s="36"/>
      <c r="F785" s="36"/>
      <c r="G785" s="36"/>
      <c r="H785" s="37"/>
      <c r="I785" s="36"/>
      <c r="J785" s="38"/>
      <c r="K785" s="38"/>
      <c r="L785" s="39"/>
      <c r="M785" s="39"/>
      <c r="N785" s="39"/>
      <c r="O785" s="39"/>
      <c r="P785" s="39"/>
      <c r="Q785" s="39"/>
      <c r="R785" s="39"/>
      <c r="S785" s="39"/>
      <c r="T785" s="39"/>
      <c r="U785" s="39"/>
      <c r="V785" s="39"/>
      <c r="W785" s="39"/>
      <c r="X785" s="39"/>
      <c r="Y785" s="39"/>
      <c r="Z785" s="39"/>
      <c r="AA785" s="39"/>
      <c r="AB785" s="39"/>
    </row>
    <row r="786">
      <c r="A786" s="1"/>
      <c r="B786" s="36"/>
      <c r="C786" s="36"/>
      <c r="D786" s="36"/>
      <c r="E786" s="36"/>
      <c r="F786" s="36"/>
      <c r="G786" s="36"/>
      <c r="H786" s="37"/>
      <c r="I786" s="36"/>
      <c r="J786" s="38"/>
      <c r="K786" s="38"/>
      <c r="L786" s="39"/>
      <c r="M786" s="39"/>
      <c r="N786" s="39"/>
      <c r="O786" s="39"/>
      <c r="P786" s="39"/>
      <c r="Q786" s="39"/>
      <c r="R786" s="39"/>
      <c r="S786" s="39"/>
      <c r="T786" s="39"/>
      <c r="U786" s="39"/>
      <c r="V786" s="39"/>
      <c r="W786" s="39"/>
      <c r="X786" s="39"/>
      <c r="Y786" s="39"/>
      <c r="Z786" s="39"/>
      <c r="AA786" s="39"/>
      <c r="AB786" s="39"/>
    </row>
    <row r="787">
      <c r="A787" s="1"/>
      <c r="B787" s="36"/>
      <c r="C787" s="36"/>
      <c r="D787" s="36"/>
      <c r="E787" s="36"/>
      <c r="F787" s="36"/>
      <c r="G787" s="36"/>
      <c r="H787" s="37"/>
      <c r="I787" s="36"/>
      <c r="J787" s="38"/>
      <c r="K787" s="38"/>
      <c r="L787" s="39"/>
      <c r="M787" s="39"/>
      <c r="N787" s="39"/>
      <c r="O787" s="39"/>
      <c r="P787" s="39"/>
      <c r="Q787" s="39"/>
      <c r="R787" s="39"/>
      <c r="S787" s="39"/>
      <c r="T787" s="39"/>
      <c r="U787" s="39"/>
      <c r="V787" s="39"/>
      <c r="W787" s="39"/>
      <c r="X787" s="39"/>
      <c r="Y787" s="39"/>
      <c r="Z787" s="39"/>
      <c r="AA787" s="39"/>
      <c r="AB787" s="39"/>
    </row>
    <row r="788">
      <c r="A788" s="1"/>
      <c r="B788" s="36"/>
      <c r="C788" s="36"/>
      <c r="D788" s="36"/>
      <c r="E788" s="36"/>
      <c r="F788" s="36"/>
      <c r="G788" s="36"/>
      <c r="H788" s="37"/>
      <c r="I788" s="36"/>
      <c r="J788" s="38"/>
      <c r="K788" s="38"/>
      <c r="L788" s="39"/>
      <c r="M788" s="39"/>
      <c r="N788" s="39"/>
      <c r="O788" s="39"/>
      <c r="P788" s="39"/>
      <c r="Q788" s="39"/>
      <c r="R788" s="39"/>
      <c r="S788" s="39"/>
      <c r="T788" s="39"/>
      <c r="U788" s="39"/>
      <c r="V788" s="39"/>
      <c r="W788" s="39"/>
      <c r="X788" s="39"/>
      <c r="Y788" s="39"/>
      <c r="Z788" s="39"/>
      <c r="AA788" s="39"/>
      <c r="AB788" s="39"/>
    </row>
    <row r="789">
      <c r="A789" s="1"/>
      <c r="B789" s="36"/>
      <c r="C789" s="36"/>
      <c r="D789" s="36"/>
      <c r="E789" s="36"/>
      <c r="F789" s="36"/>
      <c r="G789" s="36"/>
      <c r="H789" s="37"/>
      <c r="I789" s="36"/>
      <c r="J789" s="38"/>
      <c r="K789" s="38"/>
      <c r="L789" s="39"/>
      <c r="M789" s="39"/>
      <c r="N789" s="39"/>
      <c r="O789" s="39"/>
      <c r="P789" s="39"/>
      <c r="Q789" s="39"/>
      <c r="R789" s="39"/>
      <c r="S789" s="39"/>
      <c r="T789" s="39"/>
      <c r="U789" s="39"/>
      <c r="V789" s="39"/>
      <c r="W789" s="39"/>
      <c r="X789" s="39"/>
      <c r="Y789" s="39"/>
      <c r="Z789" s="39"/>
      <c r="AA789" s="39"/>
      <c r="AB789" s="39"/>
    </row>
    <row r="790">
      <c r="A790" s="1"/>
      <c r="B790" s="36"/>
      <c r="C790" s="36"/>
      <c r="D790" s="36"/>
      <c r="E790" s="36"/>
      <c r="F790" s="36"/>
      <c r="G790" s="36"/>
      <c r="H790" s="37"/>
      <c r="I790" s="36"/>
      <c r="J790" s="38"/>
      <c r="K790" s="38"/>
      <c r="L790" s="39"/>
      <c r="M790" s="39"/>
      <c r="N790" s="39"/>
      <c r="O790" s="39"/>
      <c r="P790" s="39"/>
      <c r="Q790" s="39"/>
      <c r="R790" s="39"/>
      <c r="S790" s="39"/>
      <c r="T790" s="39"/>
      <c r="U790" s="39"/>
      <c r="V790" s="39"/>
      <c r="W790" s="39"/>
      <c r="X790" s="39"/>
      <c r="Y790" s="39"/>
      <c r="Z790" s="39"/>
      <c r="AA790" s="39"/>
      <c r="AB790" s="39"/>
    </row>
    <row r="791">
      <c r="A791" s="1"/>
      <c r="B791" s="36"/>
      <c r="C791" s="36"/>
      <c r="D791" s="36"/>
      <c r="E791" s="36"/>
      <c r="F791" s="36"/>
      <c r="G791" s="36"/>
      <c r="H791" s="37"/>
      <c r="I791" s="36"/>
      <c r="J791" s="38"/>
      <c r="K791" s="38"/>
      <c r="L791" s="39"/>
      <c r="M791" s="39"/>
      <c r="N791" s="39"/>
      <c r="O791" s="39"/>
      <c r="P791" s="39"/>
      <c r="Q791" s="39"/>
      <c r="R791" s="39"/>
      <c r="S791" s="39"/>
      <c r="T791" s="39"/>
      <c r="U791" s="39"/>
      <c r="V791" s="39"/>
      <c r="W791" s="39"/>
      <c r="X791" s="39"/>
      <c r="Y791" s="39"/>
      <c r="Z791" s="39"/>
      <c r="AA791" s="39"/>
      <c r="AB791" s="39"/>
    </row>
    <row r="792">
      <c r="A792" s="1"/>
      <c r="B792" s="36"/>
      <c r="C792" s="36"/>
      <c r="D792" s="36"/>
      <c r="E792" s="36"/>
      <c r="F792" s="36"/>
      <c r="G792" s="36"/>
      <c r="H792" s="37"/>
      <c r="I792" s="36"/>
      <c r="J792" s="38"/>
      <c r="K792" s="38"/>
      <c r="L792" s="39"/>
      <c r="M792" s="39"/>
      <c r="N792" s="39"/>
      <c r="O792" s="39"/>
      <c r="P792" s="39"/>
      <c r="Q792" s="39"/>
      <c r="R792" s="39"/>
      <c r="S792" s="39"/>
      <c r="T792" s="39"/>
      <c r="U792" s="39"/>
      <c r="V792" s="39"/>
      <c r="W792" s="39"/>
      <c r="X792" s="39"/>
      <c r="Y792" s="39"/>
      <c r="Z792" s="39"/>
      <c r="AA792" s="39"/>
      <c r="AB792" s="39"/>
    </row>
    <row r="793">
      <c r="A793" s="1"/>
      <c r="B793" s="36"/>
      <c r="C793" s="36"/>
      <c r="D793" s="36"/>
      <c r="E793" s="36"/>
      <c r="F793" s="36"/>
      <c r="G793" s="36"/>
      <c r="H793" s="37"/>
      <c r="I793" s="36"/>
      <c r="J793" s="38"/>
      <c r="K793" s="38"/>
      <c r="L793" s="39"/>
      <c r="M793" s="39"/>
      <c r="N793" s="39"/>
      <c r="O793" s="39"/>
      <c r="P793" s="39"/>
      <c r="Q793" s="39"/>
      <c r="R793" s="39"/>
      <c r="S793" s="39"/>
      <c r="T793" s="39"/>
      <c r="U793" s="39"/>
      <c r="V793" s="39"/>
      <c r="W793" s="39"/>
      <c r="X793" s="39"/>
      <c r="Y793" s="39"/>
      <c r="Z793" s="39"/>
      <c r="AA793" s="39"/>
      <c r="AB793" s="39"/>
    </row>
    <row r="794">
      <c r="A794" s="1"/>
      <c r="B794" s="36"/>
      <c r="C794" s="36"/>
      <c r="D794" s="36"/>
      <c r="E794" s="36"/>
      <c r="F794" s="36"/>
      <c r="G794" s="36"/>
      <c r="H794" s="37"/>
      <c r="I794" s="36"/>
      <c r="J794" s="38"/>
      <c r="K794" s="38"/>
      <c r="L794" s="39"/>
      <c r="M794" s="39"/>
      <c r="N794" s="39"/>
      <c r="O794" s="39"/>
      <c r="P794" s="39"/>
      <c r="Q794" s="39"/>
      <c r="R794" s="39"/>
      <c r="S794" s="39"/>
      <c r="T794" s="39"/>
      <c r="U794" s="39"/>
      <c r="V794" s="39"/>
      <c r="W794" s="39"/>
      <c r="X794" s="39"/>
      <c r="Y794" s="39"/>
      <c r="Z794" s="39"/>
      <c r="AA794" s="39"/>
      <c r="AB794" s="39"/>
    </row>
    <row r="795">
      <c r="A795" s="1"/>
      <c r="B795" s="36"/>
      <c r="C795" s="36"/>
      <c r="D795" s="36"/>
      <c r="E795" s="36"/>
      <c r="F795" s="36"/>
      <c r="G795" s="36"/>
      <c r="H795" s="37"/>
      <c r="I795" s="36"/>
      <c r="J795" s="38"/>
      <c r="K795" s="38"/>
      <c r="L795" s="39"/>
      <c r="M795" s="39"/>
      <c r="N795" s="39"/>
      <c r="O795" s="39"/>
      <c r="P795" s="39"/>
      <c r="Q795" s="39"/>
      <c r="R795" s="39"/>
      <c r="S795" s="39"/>
      <c r="T795" s="39"/>
      <c r="U795" s="39"/>
      <c r="V795" s="39"/>
      <c r="W795" s="39"/>
      <c r="X795" s="39"/>
      <c r="Y795" s="39"/>
      <c r="Z795" s="39"/>
      <c r="AA795" s="39"/>
      <c r="AB795" s="39"/>
    </row>
    <row r="796">
      <c r="A796" s="1"/>
      <c r="B796" s="36"/>
      <c r="C796" s="36"/>
      <c r="D796" s="36"/>
      <c r="E796" s="36"/>
      <c r="F796" s="36"/>
      <c r="G796" s="36"/>
      <c r="H796" s="37"/>
      <c r="I796" s="36"/>
      <c r="J796" s="38"/>
      <c r="K796" s="38"/>
      <c r="L796" s="39"/>
      <c r="M796" s="39"/>
      <c r="N796" s="39"/>
      <c r="O796" s="39"/>
      <c r="P796" s="39"/>
      <c r="Q796" s="39"/>
      <c r="R796" s="39"/>
      <c r="S796" s="39"/>
      <c r="T796" s="39"/>
      <c r="U796" s="39"/>
      <c r="V796" s="39"/>
      <c r="W796" s="39"/>
      <c r="X796" s="39"/>
      <c r="Y796" s="39"/>
      <c r="Z796" s="39"/>
      <c r="AA796" s="39"/>
      <c r="AB796" s="39"/>
    </row>
    <row r="797">
      <c r="A797" s="1"/>
      <c r="B797" s="36"/>
      <c r="C797" s="36"/>
      <c r="D797" s="36"/>
      <c r="E797" s="36"/>
      <c r="F797" s="36"/>
      <c r="G797" s="36"/>
      <c r="H797" s="37"/>
      <c r="I797" s="36"/>
      <c r="J797" s="38"/>
      <c r="K797" s="38"/>
      <c r="L797" s="39"/>
      <c r="M797" s="39"/>
      <c r="N797" s="39"/>
      <c r="O797" s="39"/>
      <c r="P797" s="39"/>
      <c r="Q797" s="39"/>
      <c r="R797" s="39"/>
      <c r="S797" s="39"/>
      <c r="T797" s="39"/>
      <c r="U797" s="39"/>
      <c r="V797" s="39"/>
      <c r="W797" s="39"/>
      <c r="X797" s="39"/>
      <c r="Y797" s="39"/>
      <c r="Z797" s="39"/>
      <c r="AA797" s="39"/>
      <c r="AB797" s="39"/>
    </row>
    <row r="798">
      <c r="A798" s="1"/>
      <c r="B798" s="36"/>
      <c r="C798" s="36"/>
      <c r="D798" s="36"/>
      <c r="E798" s="36"/>
      <c r="F798" s="36"/>
      <c r="G798" s="36"/>
      <c r="H798" s="37"/>
      <c r="I798" s="36"/>
      <c r="J798" s="38"/>
      <c r="K798" s="38"/>
      <c r="L798" s="39"/>
      <c r="M798" s="39"/>
      <c r="N798" s="39"/>
      <c r="O798" s="39"/>
      <c r="P798" s="39"/>
      <c r="Q798" s="39"/>
      <c r="R798" s="39"/>
      <c r="S798" s="39"/>
      <c r="T798" s="39"/>
      <c r="U798" s="39"/>
      <c r="V798" s="39"/>
      <c r="W798" s="39"/>
      <c r="X798" s="39"/>
      <c r="Y798" s="39"/>
      <c r="Z798" s="39"/>
      <c r="AA798" s="39"/>
      <c r="AB798" s="39"/>
    </row>
    <row r="799">
      <c r="A799" s="1"/>
      <c r="B799" s="36"/>
      <c r="C799" s="36"/>
      <c r="D799" s="36"/>
      <c r="E799" s="36"/>
      <c r="F799" s="36"/>
      <c r="G799" s="36"/>
      <c r="H799" s="37"/>
      <c r="I799" s="36"/>
      <c r="J799" s="38"/>
      <c r="K799" s="38"/>
      <c r="L799" s="39"/>
      <c r="M799" s="39"/>
      <c r="N799" s="39"/>
      <c r="O799" s="39"/>
      <c r="P799" s="39"/>
      <c r="Q799" s="39"/>
      <c r="R799" s="39"/>
      <c r="S799" s="39"/>
      <c r="T799" s="39"/>
      <c r="U799" s="39"/>
      <c r="V799" s="39"/>
      <c r="W799" s="39"/>
      <c r="X799" s="39"/>
      <c r="Y799" s="39"/>
      <c r="Z799" s="39"/>
      <c r="AA799" s="39"/>
      <c r="AB799" s="39"/>
    </row>
    <row r="800">
      <c r="A800" s="1"/>
      <c r="B800" s="36"/>
      <c r="C800" s="36"/>
      <c r="D800" s="36"/>
      <c r="E800" s="36"/>
      <c r="F800" s="36"/>
      <c r="G800" s="36"/>
      <c r="H800" s="37"/>
      <c r="I800" s="36"/>
      <c r="J800" s="38"/>
      <c r="K800" s="38"/>
      <c r="L800" s="39"/>
      <c r="M800" s="39"/>
      <c r="N800" s="39"/>
      <c r="O800" s="39"/>
      <c r="P800" s="39"/>
      <c r="Q800" s="39"/>
      <c r="R800" s="39"/>
      <c r="S800" s="39"/>
      <c r="T800" s="39"/>
      <c r="U800" s="39"/>
      <c r="V800" s="39"/>
      <c r="W800" s="39"/>
      <c r="X800" s="39"/>
      <c r="Y800" s="39"/>
      <c r="Z800" s="39"/>
      <c r="AA800" s="39"/>
      <c r="AB800" s="39"/>
    </row>
    <row r="801">
      <c r="A801" s="1"/>
      <c r="B801" s="36"/>
      <c r="C801" s="36"/>
      <c r="D801" s="36"/>
      <c r="E801" s="36"/>
      <c r="F801" s="36"/>
      <c r="G801" s="36"/>
      <c r="H801" s="37"/>
      <c r="I801" s="36"/>
      <c r="J801" s="38"/>
      <c r="K801" s="38"/>
      <c r="L801" s="39"/>
      <c r="M801" s="39"/>
      <c r="N801" s="39"/>
      <c r="O801" s="39"/>
      <c r="P801" s="39"/>
      <c r="Q801" s="39"/>
      <c r="R801" s="39"/>
      <c r="S801" s="39"/>
      <c r="T801" s="39"/>
      <c r="U801" s="39"/>
      <c r="V801" s="39"/>
      <c r="W801" s="39"/>
      <c r="X801" s="39"/>
      <c r="Y801" s="39"/>
      <c r="Z801" s="39"/>
      <c r="AA801" s="39"/>
      <c r="AB801" s="39"/>
    </row>
    <row r="802">
      <c r="A802" s="1"/>
      <c r="B802" s="36"/>
      <c r="C802" s="36"/>
      <c r="D802" s="36"/>
      <c r="E802" s="36"/>
      <c r="F802" s="36"/>
      <c r="G802" s="36"/>
      <c r="H802" s="37"/>
      <c r="I802" s="36"/>
      <c r="J802" s="38"/>
      <c r="K802" s="38"/>
      <c r="L802" s="39"/>
      <c r="M802" s="39"/>
      <c r="N802" s="39"/>
      <c r="O802" s="39"/>
      <c r="P802" s="39"/>
      <c r="Q802" s="39"/>
      <c r="R802" s="39"/>
      <c r="S802" s="39"/>
      <c r="T802" s="39"/>
      <c r="U802" s="39"/>
      <c r="V802" s="39"/>
      <c r="W802" s="39"/>
      <c r="X802" s="39"/>
      <c r="Y802" s="39"/>
      <c r="Z802" s="39"/>
      <c r="AA802" s="39"/>
      <c r="AB802" s="39"/>
    </row>
    <row r="803">
      <c r="A803" s="1"/>
      <c r="B803" s="36"/>
      <c r="C803" s="36"/>
      <c r="D803" s="36"/>
      <c r="E803" s="36"/>
      <c r="F803" s="36"/>
      <c r="G803" s="36"/>
      <c r="H803" s="37"/>
      <c r="I803" s="36"/>
      <c r="J803" s="38"/>
      <c r="K803" s="38"/>
      <c r="L803" s="39"/>
      <c r="M803" s="39"/>
      <c r="N803" s="39"/>
      <c r="O803" s="39"/>
      <c r="P803" s="39"/>
      <c r="Q803" s="39"/>
      <c r="R803" s="39"/>
      <c r="S803" s="39"/>
      <c r="T803" s="39"/>
      <c r="U803" s="39"/>
      <c r="V803" s="39"/>
      <c r="W803" s="39"/>
      <c r="X803" s="39"/>
      <c r="Y803" s="39"/>
      <c r="Z803" s="39"/>
      <c r="AA803" s="39"/>
      <c r="AB803" s="39"/>
    </row>
    <row r="804">
      <c r="A804" s="1"/>
      <c r="B804" s="36"/>
      <c r="C804" s="36"/>
      <c r="D804" s="36"/>
      <c r="E804" s="36"/>
      <c r="F804" s="36"/>
      <c r="G804" s="36"/>
      <c r="H804" s="37"/>
      <c r="I804" s="36"/>
      <c r="J804" s="38"/>
      <c r="K804" s="38"/>
      <c r="L804" s="39"/>
      <c r="M804" s="39"/>
      <c r="N804" s="39"/>
      <c r="O804" s="39"/>
      <c r="P804" s="39"/>
      <c r="Q804" s="39"/>
      <c r="R804" s="39"/>
      <c r="S804" s="39"/>
      <c r="T804" s="39"/>
      <c r="U804" s="39"/>
      <c r="V804" s="39"/>
      <c r="W804" s="39"/>
      <c r="X804" s="39"/>
      <c r="Y804" s="39"/>
      <c r="Z804" s="39"/>
      <c r="AA804" s="39"/>
      <c r="AB804" s="39"/>
    </row>
    <row r="805">
      <c r="A805" s="1"/>
      <c r="B805" s="36"/>
      <c r="C805" s="36"/>
      <c r="D805" s="36"/>
      <c r="E805" s="36"/>
      <c r="F805" s="36"/>
      <c r="G805" s="36"/>
      <c r="H805" s="37"/>
      <c r="I805" s="36"/>
      <c r="J805" s="38"/>
      <c r="K805" s="38"/>
      <c r="L805" s="39"/>
      <c r="M805" s="39"/>
      <c r="N805" s="39"/>
      <c r="O805" s="39"/>
      <c r="P805" s="39"/>
      <c r="Q805" s="39"/>
      <c r="R805" s="39"/>
      <c r="S805" s="39"/>
      <c r="T805" s="39"/>
      <c r="U805" s="39"/>
      <c r="V805" s="39"/>
      <c r="W805" s="39"/>
      <c r="X805" s="39"/>
      <c r="Y805" s="39"/>
      <c r="Z805" s="39"/>
      <c r="AA805" s="39"/>
      <c r="AB805" s="39"/>
    </row>
    <row r="806">
      <c r="A806" s="1"/>
      <c r="B806" s="36"/>
      <c r="C806" s="36"/>
      <c r="D806" s="36"/>
      <c r="E806" s="36"/>
      <c r="F806" s="36"/>
      <c r="G806" s="36"/>
      <c r="H806" s="37"/>
      <c r="I806" s="36"/>
      <c r="J806" s="38"/>
      <c r="K806" s="38"/>
      <c r="L806" s="39"/>
      <c r="M806" s="39"/>
      <c r="N806" s="39"/>
      <c r="O806" s="39"/>
      <c r="P806" s="39"/>
      <c r="Q806" s="39"/>
      <c r="R806" s="39"/>
      <c r="S806" s="39"/>
      <c r="T806" s="39"/>
      <c r="U806" s="39"/>
      <c r="V806" s="39"/>
      <c r="W806" s="39"/>
      <c r="X806" s="39"/>
      <c r="Y806" s="39"/>
      <c r="Z806" s="39"/>
      <c r="AA806" s="39"/>
      <c r="AB806" s="39"/>
    </row>
    <row r="807">
      <c r="A807" s="1"/>
      <c r="B807" s="36"/>
      <c r="C807" s="36"/>
      <c r="D807" s="36"/>
      <c r="E807" s="36"/>
      <c r="F807" s="36"/>
      <c r="G807" s="36"/>
      <c r="H807" s="37"/>
      <c r="I807" s="36"/>
      <c r="J807" s="38"/>
      <c r="K807" s="38"/>
      <c r="L807" s="39"/>
      <c r="M807" s="39"/>
      <c r="N807" s="39"/>
      <c r="O807" s="39"/>
      <c r="P807" s="39"/>
      <c r="Q807" s="39"/>
      <c r="R807" s="39"/>
      <c r="S807" s="39"/>
      <c r="T807" s="39"/>
      <c r="U807" s="39"/>
      <c r="V807" s="39"/>
      <c r="W807" s="39"/>
      <c r="X807" s="39"/>
      <c r="Y807" s="39"/>
      <c r="Z807" s="39"/>
      <c r="AA807" s="39"/>
      <c r="AB807" s="39"/>
    </row>
    <row r="808">
      <c r="A808" s="1"/>
      <c r="B808" s="36"/>
      <c r="C808" s="36"/>
      <c r="D808" s="36"/>
      <c r="E808" s="36"/>
      <c r="F808" s="36"/>
      <c r="G808" s="36"/>
      <c r="H808" s="37"/>
      <c r="I808" s="36"/>
      <c r="J808" s="38"/>
      <c r="K808" s="38"/>
      <c r="L808" s="39"/>
      <c r="M808" s="39"/>
      <c r="N808" s="39"/>
      <c r="O808" s="39"/>
      <c r="P808" s="39"/>
      <c r="Q808" s="39"/>
      <c r="R808" s="39"/>
      <c r="S808" s="39"/>
      <c r="T808" s="39"/>
      <c r="U808" s="39"/>
      <c r="V808" s="39"/>
      <c r="W808" s="39"/>
      <c r="X808" s="39"/>
      <c r="Y808" s="39"/>
      <c r="Z808" s="39"/>
      <c r="AA808" s="39"/>
      <c r="AB808" s="39"/>
    </row>
    <row r="809">
      <c r="A809" s="1"/>
      <c r="B809" s="36"/>
      <c r="C809" s="36"/>
      <c r="D809" s="36"/>
      <c r="E809" s="36"/>
      <c r="F809" s="36"/>
      <c r="G809" s="36"/>
      <c r="H809" s="37"/>
      <c r="I809" s="36"/>
      <c r="J809" s="38"/>
      <c r="K809" s="38"/>
      <c r="L809" s="39"/>
      <c r="M809" s="39"/>
      <c r="N809" s="39"/>
      <c r="O809" s="39"/>
      <c r="P809" s="39"/>
      <c r="Q809" s="39"/>
      <c r="R809" s="39"/>
      <c r="S809" s="39"/>
      <c r="T809" s="39"/>
      <c r="U809" s="39"/>
      <c r="V809" s="39"/>
      <c r="W809" s="39"/>
      <c r="X809" s="39"/>
      <c r="Y809" s="39"/>
      <c r="Z809" s="39"/>
      <c r="AA809" s="39"/>
      <c r="AB809" s="39"/>
    </row>
    <row r="810">
      <c r="A810" s="1"/>
      <c r="B810" s="36"/>
      <c r="C810" s="36"/>
      <c r="D810" s="36"/>
      <c r="E810" s="36"/>
      <c r="F810" s="36"/>
      <c r="G810" s="36"/>
      <c r="H810" s="37"/>
      <c r="I810" s="36"/>
      <c r="J810" s="38"/>
      <c r="K810" s="38"/>
      <c r="L810" s="39"/>
      <c r="M810" s="39"/>
      <c r="N810" s="39"/>
      <c r="O810" s="39"/>
      <c r="P810" s="39"/>
      <c r="Q810" s="39"/>
      <c r="R810" s="39"/>
      <c r="S810" s="39"/>
      <c r="T810" s="39"/>
      <c r="U810" s="39"/>
      <c r="V810" s="39"/>
      <c r="W810" s="39"/>
      <c r="X810" s="39"/>
      <c r="Y810" s="39"/>
      <c r="Z810" s="39"/>
      <c r="AA810" s="39"/>
      <c r="AB810" s="39"/>
    </row>
    <row r="811">
      <c r="A811" s="1"/>
      <c r="B811" s="36"/>
      <c r="C811" s="36"/>
      <c r="D811" s="36"/>
      <c r="E811" s="36"/>
      <c r="F811" s="36"/>
      <c r="G811" s="36"/>
      <c r="H811" s="37"/>
      <c r="I811" s="36"/>
      <c r="J811" s="38"/>
      <c r="K811" s="38"/>
      <c r="L811" s="39"/>
      <c r="M811" s="39"/>
      <c r="N811" s="39"/>
      <c r="O811" s="39"/>
      <c r="P811" s="39"/>
      <c r="Q811" s="39"/>
      <c r="R811" s="39"/>
      <c r="S811" s="39"/>
      <c r="T811" s="39"/>
      <c r="U811" s="39"/>
      <c r="V811" s="39"/>
      <c r="W811" s="39"/>
      <c r="X811" s="39"/>
      <c r="Y811" s="39"/>
      <c r="Z811" s="39"/>
      <c r="AA811" s="39"/>
      <c r="AB811" s="39"/>
    </row>
    <row r="812">
      <c r="A812" s="1"/>
      <c r="B812" s="36"/>
      <c r="C812" s="36"/>
      <c r="D812" s="36"/>
      <c r="E812" s="36"/>
      <c r="F812" s="36"/>
      <c r="G812" s="36"/>
      <c r="H812" s="37"/>
      <c r="I812" s="36"/>
      <c r="J812" s="38"/>
      <c r="K812" s="38"/>
      <c r="L812" s="39"/>
      <c r="M812" s="39"/>
      <c r="N812" s="39"/>
      <c r="O812" s="39"/>
      <c r="P812" s="39"/>
      <c r="Q812" s="39"/>
      <c r="R812" s="39"/>
      <c r="S812" s="39"/>
      <c r="T812" s="39"/>
      <c r="U812" s="39"/>
      <c r="V812" s="39"/>
      <c r="W812" s="39"/>
      <c r="X812" s="39"/>
      <c r="Y812" s="39"/>
      <c r="Z812" s="39"/>
      <c r="AA812" s="39"/>
      <c r="AB812" s="39"/>
    </row>
    <row r="813">
      <c r="A813" s="1"/>
      <c r="B813" s="36"/>
      <c r="C813" s="36"/>
      <c r="D813" s="36"/>
      <c r="E813" s="36"/>
      <c r="F813" s="36"/>
      <c r="G813" s="36"/>
      <c r="H813" s="37"/>
      <c r="I813" s="36"/>
      <c r="J813" s="38"/>
      <c r="K813" s="38"/>
      <c r="L813" s="39"/>
      <c r="M813" s="39"/>
      <c r="N813" s="39"/>
      <c r="O813" s="39"/>
      <c r="P813" s="39"/>
      <c r="Q813" s="39"/>
      <c r="R813" s="39"/>
      <c r="S813" s="39"/>
      <c r="T813" s="39"/>
      <c r="U813" s="39"/>
      <c r="V813" s="39"/>
      <c r="W813" s="39"/>
      <c r="X813" s="39"/>
      <c r="Y813" s="39"/>
      <c r="Z813" s="39"/>
      <c r="AA813" s="39"/>
      <c r="AB813" s="39"/>
    </row>
    <row r="814">
      <c r="A814" s="1"/>
      <c r="B814" s="36"/>
      <c r="C814" s="36"/>
      <c r="D814" s="36"/>
      <c r="E814" s="36"/>
      <c r="F814" s="36"/>
      <c r="G814" s="36"/>
      <c r="H814" s="37"/>
      <c r="I814" s="36"/>
      <c r="J814" s="38"/>
      <c r="K814" s="38"/>
      <c r="L814" s="39"/>
      <c r="M814" s="39"/>
      <c r="N814" s="39"/>
      <c r="O814" s="39"/>
      <c r="P814" s="39"/>
      <c r="Q814" s="39"/>
      <c r="R814" s="39"/>
      <c r="S814" s="39"/>
      <c r="T814" s="39"/>
      <c r="U814" s="39"/>
      <c r="V814" s="39"/>
      <c r="W814" s="39"/>
      <c r="X814" s="39"/>
      <c r="Y814" s="39"/>
      <c r="Z814" s="39"/>
      <c r="AA814" s="39"/>
      <c r="AB814" s="39"/>
    </row>
    <row r="815">
      <c r="A815" s="1"/>
      <c r="B815" s="36"/>
      <c r="C815" s="36"/>
      <c r="D815" s="36"/>
      <c r="E815" s="36"/>
      <c r="F815" s="36"/>
      <c r="G815" s="36"/>
      <c r="H815" s="37"/>
      <c r="I815" s="36"/>
      <c r="J815" s="38"/>
      <c r="K815" s="38"/>
      <c r="L815" s="39"/>
      <c r="M815" s="39"/>
      <c r="N815" s="39"/>
      <c r="O815" s="39"/>
      <c r="P815" s="39"/>
      <c r="Q815" s="39"/>
      <c r="R815" s="39"/>
      <c r="S815" s="39"/>
      <c r="T815" s="39"/>
      <c r="U815" s="39"/>
      <c r="V815" s="39"/>
      <c r="W815" s="39"/>
      <c r="X815" s="39"/>
      <c r="Y815" s="39"/>
      <c r="Z815" s="39"/>
      <c r="AA815" s="39"/>
      <c r="AB815" s="39"/>
    </row>
    <row r="816">
      <c r="A816" s="1"/>
      <c r="B816" s="36"/>
      <c r="C816" s="36"/>
      <c r="D816" s="36"/>
      <c r="E816" s="36"/>
      <c r="F816" s="36"/>
      <c r="G816" s="36"/>
      <c r="H816" s="37"/>
      <c r="I816" s="36"/>
      <c r="J816" s="38"/>
      <c r="K816" s="38"/>
      <c r="L816" s="39"/>
      <c r="M816" s="39"/>
      <c r="N816" s="39"/>
      <c r="O816" s="39"/>
      <c r="P816" s="39"/>
      <c r="Q816" s="39"/>
      <c r="R816" s="39"/>
      <c r="S816" s="39"/>
      <c r="T816" s="39"/>
      <c r="U816" s="39"/>
      <c r="V816" s="39"/>
      <c r="W816" s="39"/>
      <c r="X816" s="39"/>
      <c r="Y816" s="39"/>
      <c r="Z816" s="39"/>
      <c r="AA816" s="39"/>
      <c r="AB816" s="39"/>
    </row>
    <row r="817">
      <c r="A817" s="1"/>
      <c r="B817" s="36"/>
      <c r="C817" s="36"/>
      <c r="D817" s="36"/>
      <c r="E817" s="36"/>
      <c r="F817" s="36"/>
      <c r="G817" s="36"/>
      <c r="H817" s="37"/>
      <c r="I817" s="36"/>
      <c r="J817" s="38"/>
      <c r="K817" s="38"/>
      <c r="L817" s="39"/>
      <c r="M817" s="39"/>
      <c r="N817" s="39"/>
      <c r="O817" s="39"/>
      <c r="P817" s="39"/>
      <c r="Q817" s="39"/>
      <c r="R817" s="39"/>
      <c r="S817" s="39"/>
      <c r="T817" s="39"/>
      <c r="U817" s="39"/>
      <c r="V817" s="39"/>
      <c r="W817" s="39"/>
      <c r="X817" s="39"/>
      <c r="Y817" s="39"/>
      <c r="Z817" s="39"/>
      <c r="AA817" s="39"/>
      <c r="AB817" s="39"/>
    </row>
    <row r="818">
      <c r="A818" s="1"/>
      <c r="B818" s="36"/>
      <c r="C818" s="36"/>
      <c r="D818" s="36"/>
      <c r="E818" s="36"/>
      <c r="F818" s="36"/>
      <c r="G818" s="36"/>
      <c r="H818" s="37"/>
      <c r="I818" s="36"/>
      <c r="J818" s="38"/>
      <c r="K818" s="38"/>
      <c r="L818" s="39"/>
      <c r="M818" s="39"/>
      <c r="N818" s="39"/>
      <c r="O818" s="39"/>
      <c r="P818" s="39"/>
      <c r="Q818" s="39"/>
      <c r="R818" s="39"/>
      <c r="S818" s="39"/>
      <c r="T818" s="39"/>
      <c r="U818" s="39"/>
      <c r="V818" s="39"/>
      <c r="W818" s="39"/>
      <c r="X818" s="39"/>
      <c r="Y818" s="39"/>
      <c r="Z818" s="39"/>
      <c r="AA818" s="39"/>
      <c r="AB818" s="39"/>
    </row>
    <row r="819">
      <c r="A819" s="1"/>
      <c r="B819" s="36"/>
      <c r="C819" s="36"/>
      <c r="D819" s="36"/>
      <c r="E819" s="36"/>
      <c r="F819" s="36"/>
      <c r="G819" s="36"/>
      <c r="H819" s="37"/>
      <c r="I819" s="36"/>
      <c r="J819" s="38"/>
      <c r="K819" s="38"/>
      <c r="L819" s="39"/>
      <c r="M819" s="39"/>
      <c r="N819" s="39"/>
      <c r="O819" s="39"/>
      <c r="P819" s="39"/>
      <c r="Q819" s="39"/>
      <c r="R819" s="39"/>
      <c r="S819" s="39"/>
      <c r="T819" s="39"/>
      <c r="U819" s="39"/>
      <c r="V819" s="39"/>
      <c r="W819" s="39"/>
      <c r="X819" s="39"/>
      <c r="Y819" s="39"/>
      <c r="Z819" s="39"/>
      <c r="AA819" s="39"/>
      <c r="AB819" s="39"/>
    </row>
    <row r="820">
      <c r="A820" s="1"/>
      <c r="B820" s="36"/>
      <c r="C820" s="36"/>
      <c r="D820" s="36"/>
      <c r="E820" s="36"/>
      <c r="F820" s="36"/>
      <c r="G820" s="36"/>
      <c r="H820" s="37"/>
      <c r="I820" s="36"/>
      <c r="J820" s="38"/>
      <c r="K820" s="38"/>
      <c r="L820" s="39"/>
      <c r="M820" s="39"/>
      <c r="N820" s="39"/>
      <c r="O820" s="39"/>
      <c r="P820" s="39"/>
      <c r="Q820" s="39"/>
      <c r="R820" s="39"/>
      <c r="S820" s="39"/>
      <c r="T820" s="39"/>
      <c r="U820" s="39"/>
      <c r="V820" s="39"/>
      <c r="W820" s="39"/>
      <c r="X820" s="39"/>
      <c r="Y820" s="39"/>
      <c r="Z820" s="39"/>
      <c r="AA820" s="39"/>
      <c r="AB820" s="39"/>
    </row>
    <row r="821">
      <c r="A821" s="1"/>
      <c r="B821" s="36"/>
      <c r="C821" s="36"/>
      <c r="D821" s="36"/>
      <c r="E821" s="36"/>
      <c r="F821" s="36"/>
      <c r="G821" s="36"/>
      <c r="H821" s="37"/>
      <c r="I821" s="36"/>
      <c r="J821" s="38"/>
      <c r="K821" s="38"/>
      <c r="L821" s="39"/>
      <c r="M821" s="39"/>
      <c r="N821" s="39"/>
      <c r="O821" s="39"/>
      <c r="P821" s="39"/>
      <c r="Q821" s="39"/>
      <c r="R821" s="39"/>
      <c r="S821" s="39"/>
      <c r="T821" s="39"/>
      <c r="U821" s="39"/>
      <c r="V821" s="39"/>
      <c r="W821" s="39"/>
      <c r="X821" s="39"/>
      <c r="Y821" s="39"/>
      <c r="Z821" s="39"/>
      <c r="AA821" s="39"/>
      <c r="AB821" s="39"/>
    </row>
    <row r="822">
      <c r="A822" s="1"/>
      <c r="B822" s="36"/>
      <c r="C822" s="36"/>
      <c r="D822" s="36"/>
      <c r="E822" s="36"/>
      <c r="F822" s="36"/>
      <c r="G822" s="36"/>
      <c r="H822" s="37"/>
      <c r="I822" s="36"/>
      <c r="J822" s="38"/>
      <c r="K822" s="38"/>
      <c r="L822" s="39"/>
      <c r="M822" s="39"/>
      <c r="N822" s="39"/>
      <c r="O822" s="39"/>
      <c r="P822" s="39"/>
      <c r="Q822" s="39"/>
      <c r="R822" s="39"/>
      <c r="S822" s="39"/>
      <c r="T822" s="39"/>
      <c r="U822" s="39"/>
      <c r="V822" s="39"/>
      <c r="W822" s="39"/>
      <c r="X822" s="39"/>
      <c r="Y822" s="39"/>
      <c r="Z822" s="39"/>
      <c r="AA822" s="39"/>
      <c r="AB822" s="39"/>
    </row>
    <row r="823">
      <c r="A823" s="1"/>
      <c r="B823" s="36"/>
      <c r="C823" s="36"/>
      <c r="D823" s="36"/>
      <c r="E823" s="36"/>
      <c r="F823" s="36"/>
      <c r="G823" s="36"/>
      <c r="H823" s="37"/>
      <c r="I823" s="36"/>
      <c r="J823" s="38"/>
      <c r="K823" s="38"/>
      <c r="L823" s="39"/>
      <c r="M823" s="39"/>
      <c r="N823" s="39"/>
      <c r="O823" s="39"/>
      <c r="P823" s="39"/>
      <c r="Q823" s="39"/>
      <c r="R823" s="39"/>
      <c r="S823" s="39"/>
      <c r="T823" s="39"/>
      <c r="U823" s="39"/>
      <c r="V823" s="39"/>
      <c r="W823" s="39"/>
      <c r="X823" s="39"/>
      <c r="Y823" s="39"/>
      <c r="Z823" s="39"/>
      <c r="AA823" s="39"/>
      <c r="AB823" s="39"/>
    </row>
    <row r="824">
      <c r="A824" s="1"/>
      <c r="B824" s="36"/>
      <c r="C824" s="36"/>
      <c r="D824" s="36"/>
      <c r="E824" s="36"/>
      <c r="F824" s="36"/>
      <c r="G824" s="36"/>
      <c r="H824" s="37"/>
      <c r="I824" s="36"/>
      <c r="J824" s="38"/>
      <c r="K824" s="38"/>
      <c r="L824" s="39"/>
      <c r="M824" s="39"/>
      <c r="N824" s="39"/>
      <c r="O824" s="39"/>
      <c r="P824" s="39"/>
      <c r="Q824" s="39"/>
      <c r="R824" s="39"/>
      <c r="S824" s="39"/>
      <c r="T824" s="39"/>
      <c r="U824" s="39"/>
      <c r="V824" s="39"/>
      <c r="W824" s="39"/>
      <c r="X824" s="39"/>
      <c r="Y824" s="39"/>
      <c r="Z824" s="39"/>
      <c r="AA824" s="39"/>
      <c r="AB824" s="39"/>
    </row>
    <row r="825">
      <c r="A825" s="1"/>
      <c r="B825" s="36"/>
      <c r="C825" s="36"/>
      <c r="D825" s="36"/>
      <c r="E825" s="36"/>
      <c r="F825" s="36"/>
      <c r="G825" s="36"/>
      <c r="H825" s="37"/>
      <c r="I825" s="36"/>
      <c r="J825" s="38"/>
      <c r="K825" s="38"/>
      <c r="L825" s="39"/>
      <c r="M825" s="39"/>
      <c r="N825" s="39"/>
      <c r="O825" s="39"/>
      <c r="P825" s="39"/>
      <c r="Q825" s="39"/>
      <c r="R825" s="39"/>
      <c r="S825" s="39"/>
      <c r="T825" s="39"/>
      <c r="U825" s="39"/>
      <c r="V825" s="39"/>
      <c r="W825" s="39"/>
      <c r="X825" s="39"/>
      <c r="Y825" s="39"/>
      <c r="Z825" s="39"/>
      <c r="AA825" s="39"/>
      <c r="AB825" s="39"/>
    </row>
    <row r="826">
      <c r="A826" s="1"/>
      <c r="B826" s="36"/>
      <c r="C826" s="36"/>
      <c r="D826" s="36"/>
      <c r="E826" s="36"/>
      <c r="F826" s="36"/>
      <c r="G826" s="36"/>
      <c r="H826" s="37"/>
      <c r="I826" s="36"/>
      <c r="J826" s="38"/>
      <c r="K826" s="38"/>
      <c r="L826" s="39"/>
      <c r="M826" s="39"/>
      <c r="N826" s="39"/>
      <c r="O826" s="39"/>
      <c r="P826" s="39"/>
      <c r="Q826" s="39"/>
      <c r="R826" s="39"/>
      <c r="S826" s="39"/>
      <c r="T826" s="39"/>
      <c r="U826" s="39"/>
      <c r="V826" s="39"/>
      <c r="W826" s="39"/>
      <c r="X826" s="39"/>
      <c r="Y826" s="39"/>
      <c r="Z826" s="39"/>
      <c r="AA826" s="39"/>
      <c r="AB826" s="39"/>
    </row>
    <row r="827">
      <c r="A827" s="1"/>
      <c r="B827" s="36"/>
      <c r="C827" s="36"/>
      <c r="D827" s="36"/>
      <c r="E827" s="36"/>
      <c r="F827" s="36"/>
      <c r="G827" s="36"/>
      <c r="H827" s="37"/>
      <c r="I827" s="36"/>
      <c r="J827" s="38"/>
      <c r="K827" s="38"/>
      <c r="L827" s="39"/>
      <c r="M827" s="39"/>
      <c r="N827" s="39"/>
      <c r="O827" s="39"/>
      <c r="P827" s="39"/>
      <c r="Q827" s="39"/>
      <c r="R827" s="39"/>
      <c r="S827" s="39"/>
      <c r="T827" s="39"/>
      <c r="U827" s="39"/>
      <c r="V827" s="39"/>
      <c r="W827" s="39"/>
      <c r="X827" s="39"/>
      <c r="Y827" s="39"/>
      <c r="Z827" s="39"/>
      <c r="AA827" s="39"/>
      <c r="AB827" s="39"/>
    </row>
    <row r="828">
      <c r="A828" s="1"/>
      <c r="B828" s="36"/>
      <c r="C828" s="36"/>
      <c r="D828" s="36"/>
      <c r="E828" s="36"/>
      <c r="F828" s="36"/>
      <c r="G828" s="36"/>
      <c r="H828" s="37"/>
      <c r="I828" s="36"/>
      <c r="J828" s="38"/>
      <c r="K828" s="38"/>
      <c r="L828" s="39"/>
      <c r="M828" s="39"/>
      <c r="N828" s="39"/>
      <c r="O828" s="39"/>
      <c r="P828" s="39"/>
      <c r="Q828" s="39"/>
      <c r="R828" s="39"/>
      <c r="S828" s="39"/>
      <c r="T828" s="39"/>
      <c r="U828" s="39"/>
      <c r="V828" s="39"/>
      <c r="W828" s="39"/>
      <c r="X828" s="39"/>
      <c r="Y828" s="39"/>
      <c r="Z828" s="39"/>
      <c r="AA828" s="39"/>
      <c r="AB828" s="39"/>
    </row>
    <row r="829">
      <c r="A829" s="1"/>
      <c r="B829" s="36"/>
      <c r="C829" s="36"/>
      <c r="D829" s="36"/>
      <c r="E829" s="36"/>
      <c r="F829" s="36"/>
      <c r="G829" s="36"/>
      <c r="H829" s="37"/>
      <c r="I829" s="36"/>
      <c r="J829" s="38"/>
      <c r="K829" s="38"/>
      <c r="L829" s="39"/>
      <c r="M829" s="39"/>
      <c r="N829" s="39"/>
      <c r="O829" s="39"/>
      <c r="P829" s="39"/>
      <c r="Q829" s="39"/>
      <c r="R829" s="39"/>
      <c r="S829" s="39"/>
      <c r="T829" s="39"/>
      <c r="U829" s="39"/>
      <c r="V829" s="39"/>
      <c r="W829" s="39"/>
      <c r="X829" s="39"/>
      <c r="Y829" s="39"/>
      <c r="Z829" s="39"/>
      <c r="AA829" s="39"/>
      <c r="AB829" s="39"/>
    </row>
    <row r="830">
      <c r="A830" s="1"/>
      <c r="B830" s="36"/>
      <c r="C830" s="36"/>
      <c r="D830" s="36"/>
      <c r="E830" s="36"/>
      <c r="F830" s="36"/>
      <c r="G830" s="36"/>
      <c r="H830" s="37"/>
      <c r="I830" s="36"/>
      <c r="J830" s="38"/>
      <c r="K830" s="38"/>
      <c r="L830" s="39"/>
      <c r="M830" s="39"/>
      <c r="N830" s="39"/>
      <c r="O830" s="39"/>
      <c r="P830" s="39"/>
      <c r="Q830" s="39"/>
      <c r="R830" s="39"/>
      <c r="S830" s="39"/>
      <c r="T830" s="39"/>
      <c r="U830" s="39"/>
      <c r="V830" s="39"/>
      <c r="W830" s="39"/>
      <c r="X830" s="39"/>
      <c r="Y830" s="39"/>
      <c r="Z830" s="39"/>
      <c r="AA830" s="39"/>
      <c r="AB830" s="39"/>
    </row>
    <row r="831">
      <c r="A831" s="1"/>
      <c r="B831" s="36"/>
      <c r="C831" s="36"/>
      <c r="D831" s="36"/>
      <c r="E831" s="36"/>
      <c r="F831" s="36"/>
      <c r="G831" s="36"/>
      <c r="H831" s="37"/>
      <c r="I831" s="36"/>
      <c r="J831" s="38"/>
      <c r="K831" s="38"/>
      <c r="L831" s="39"/>
      <c r="M831" s="39"/>
      <c r="N831" s="39"/>
      <c r="O831" s="39"/>
      <c r="P831" s="39"/>
      <c r="Q831" s="39"/>
      <c r="R831" s="39"/>
      <c r="S831" s="39"/>
      <c r="T831" s="39"/>
      <c r="U831" s="39"/>
      <c r="V831" s="39"/>
      <c r="W831" s="39"/>
      <c r="X831" s="39"/>
      <c r="Y831" s="39"/>
      <c r="Z831" s="39"/>
      <c r="AA831" s="39"/>
      <c r="AB831" s="39"/>
    </row>
    <row r="832">
      <c r="A832" s="1"/>
      <c r="B832" s="36"/>
      <c r="C832" s="36"/>
      <c r="D832" s="36"/>
      <c r="E832" s="36"/>
      <c r="F832" s="36"/>
      <c r="G832" s="36"/>
      <c r="H832" s="37"/>
      <c r="I832" s="36"/>
      <c r="J832" s="38"/>
      <c r="K832" s="38"/>
      <c r="L832" s="39"/>
      <c r="M832" s="39"/>
      <c r="N832" s="39"/>
      <c r="O832" s="39"/>
      <c r="P832" s="39"/>
      <c r="Q832" s="39"/>
      <c r="R832" s="39"/>
      <c r="S832" s="39"/>
      <c r="T832" s="39"/>
      <c r="U832" s="39"/>
      <c r="V832" s="39"/>
      <c r="W832" s="39"/>
      <c r="X832" s="39"/>
      <c r="Y832" s="39"/>
      <c r="Z832" s="39"/>
      <c r="AA832" s="39"/>
      <c r="AB832" s="39"/>
    </row>
    <row r="833">
      <c r="A833" s="1"/>
      <c r="B833" s="36"/>
      <c r="C833" s="36"/>
      <c r="D833" s="36"/>
      <c r="E833" s="36"/>
      <c r="F833" s="36"/>
      <c r="G833" s="36"/>
      <c r="H833" s="37"/>
      <c r="I833" s="36"/>
      <c r="J833" s="38"/>
      <c r="K833" s="38"/>
      <c r="L833" s="39"/>
      <c r="M833" s="39"/>
      <c r="N833" s="39"/>
      <c r="O833" s="39"/>
      <c r="P833" s="39"/>
      <c r="Q833" s="39"/>
      <c r="R833" s="39"/>
      <c r="S833" s="39"/>
      <c r="T833" s="39"/>
      <c r="U833" s="39"/>
      <c r="V833" s="39"/>
      <c r="W833" s="39"/>
      <c r="X833" s="39"/>
      <c r="Y833" s="39"/>
      <c r="Z833" s="39"/>
      <c r="AA833" s="39"/>
      <c r="AB833" s="39"/>
    </row>
    <row r="834">
      <c r="A834" s="1"/>
      <c r="B834" s="36"/>
      <c r="C834" s="36"/>
      <c r="D834" s="36"/>
      <c r="E834" s="36"/>
      <c r="F834" s="36"/>
      <c r="G834" s="36"/>
      <c r="H834" s="37"/>
      <c r="I834" s="36"/>
      <c r="J834" s="38"/>
      <c r="K834" s="38"/>
      <c r="L834" s="39"/>
      <c r="M834" s="39"/>
      <c r="N834" s="39"/>
      <c r="O834" s="39"/>
      <c r="P834" s="39"/>
      <c r="Q834" s="39"/>
      <c r="R834" s="39"/>
      <c r="S834" s="39"/>
      <c r="T834" s="39"/>
      <c r="U834" s="39"/>
      <c r="V834" s="39"/>
      <c r="W834" s="39"/>
      <c r="X834" s="39"/>
      <c r="Y834" s="39"/>
      <c r="Z834" s="39"/>
      <c r="AA834" s="39"/>
      <c r="AB834" s="39"/>
    </row>
    <row r="835">
      <c r="A835" s="1"/>
      <c r="B835" s="36"/>
      <c r="C835" s="36"/>
      <c r="D835" s="36"/>
      <c r="E835" s="36"/>
      <c r="F835" s="36"/>
      <c r="G835" s="36"/>
      <c r="H835" s="37"/>
      <c r="I835" s="36"/>
      <c r="J835" s="38"/>
      <c r="K835" s="38"/>
      <c r="L835" s="39"/>
      <c r="M835" s="39"/>
      <c r="N835" s="39"/>
      <c r="O835" s="39"/>
      <c r="P835" s="39"/>
      <c r="Q835" s="39"/>
      <c r="R835" s="39"/>
      <c r="S835" s="39"/>
      <c r="T835" s="39"/>
      <c r="U835" s="39"/>
      <c r="V835" s="39"/>
      <c r="W835" s="39"/>
      <c r="X835" s="39"/>
      <c r="Y835" s="39"/>
      <c r="Z835" s="39"/>
      <c r="AA835" s="39"/>
      <c r="AB835" s="39"/>
    </row>
    <row r="836">
      <c r="A836" s="1"/>
      <c r="B836" s="36"/>
      <c r="C836" s="36"/>
      <c r="D836" s="36"/>
      <c r="E836" s="36"/>
      <c r="F836" s="36"/>
      <c r="G836" s="36"/>
      <c r="H836" s="37"/>
      <c r="I836" s="36"/>
      <c r="J836" s="38"/>
      <c r="K836" s="38"/>
      <c r="L836" s="39"/>
      <c r="M836" s="39"/>
      <c r="N836" s="39"/>
      <c r="O836" s="39"/>
      <c r="P836" s="39"/>
      <c r="Q836" s="39"/>
      <c r="R836" s="39"/>
      <c r="S836" s="39"/>
      <c r="T836" s="39"/>
      <c r="U836" s="39"/>
      <c r="V836" s="39"/>
      <c r="W836" s="39"/>
      <c r="X836" s="39"/>
      <c r="Y836" s="39"/>
      <c r="Z836" s="39"/>
      <c r="AA836" s="39"/>
      <c r="AB836" s="39"/>
    </row>
    <row r="837">
      <c r="A837" s="1"/>
      <c r="B837" s="36"/>
      <c r="C837" s="36"/>
      <c r="D837" s="36"/>
      <c r="E837" s="36"/>
      <c r="F837" s="36"/>
      <c r="G837" s="36"/>
      <c r="H837" s="37"/>
      <c r="I837" s="36"/>
      <c r="J837" s="38"/>
      <c r="K837" s="38"/>
      <c r="L837" s="39"/>
      <c r="M837" s="39"/>
      <c r="N837" s="39"/>
      <c r="O837" s="39"/>
      <c r="P837" s="39"/>
      <c r="Q837" s="39"/>
      <c r="R837" s="39"/>
      <c r="S837" s="39"/>
      <c r="T837" s="39"/>
      <c r="U837" s="39"/>
      <c r="V837" s="39"/>
      <c r="W837" s="39"/>
      <c r="X837" s="39"/>
      <c r="Y837" s="39"/>
      <c r="Z837" s="39"/>
      <c r="AA837" s="39"/>
      <c r="AB837" s="39"/>
    </row>
    <row r="838">
      <c r="A838" s="1"/>
      <c r="B838" s="36"/>
      <c r="C838" s="36"/>
      <c r="D838" s="36"/>
      <c r="E838" s="36"/>
      <c r="F838" s="36"/>
      <c r="G838" s="36"/>
      <c r="H838" s="37"/>
      <c r="I838" s="36"/>
      <c r="J838" s="38"/>
      <c r="K838" s="38"/>
      <c r="L838" s="39"/>
      <c r="M838" s="39"/>
      <c r="N838" s="39"/>
      <c r="O838" s="39"/>
      <c r="P838" s="39"/>
      <c r="Q838" s="39"/>
      <c r="R838" s="39"/>
      <c r="S838" s="39"/>
      <c r="T838" s="39"/>
      <c r="U838" s="39"/>
      <c r="V838" s="39"/>
      <c r="W838" s="39"/>
      <c r="X838" s="39"/>
      <c r="Y838" s="39"/>
      <c r="Z838" s="39"/>
      <c r="AA838" s="39"/>
      <c r="AB838" s="39"/>
    </row>
    <row r="839">
      <c r="A839" s="1"/>
      <c r="B839" s="36"/>
      <c r="C839" s="36"/>
      <c r="D839" s="36"/>
      <c r="E839" s="36"/>
      <c r="F839" s="36"/>
      <c r="G839" s="36"/>
      <c r="H839" s="37"/>
      <c r="I839" s="36"/>
      <c r="J839" s="38"/>
      <c r="K839" s="38"/>
      <c r="L839" s="39"/>
      <c r="M839" s="39"/>
      <c r="N839" s="39"/>
      <c r="O839" s="39"/>
      <c r="P839" s="39"/>
      <c r="Q839" s="39"/>
      <c r="R839" s="39"/>
      <c r="S839" s="39"/>
      <c r="T839" s="39"/>
      <c r="U839" s="39"/>
      <c r="V839" s="39"/>
      <c r="W839" s="39"/>
      <c r="X839" s="39"/>
      <c r="Y839" s="39"/>
      <c r="Z839" s="39"/>
      <c r="AA839" s="39"/>
      <c r="AB839" s="39"/>
    </row>
    <row r="840">
      <c r="A840" s="1"/>
      <c r="B840" s="36"/>
      <c r="C840" s="36"/>
      <c r="D840" s="36"/>
      <c r="E840" s="36"/>
      <c r="F840" s="36"/>
      <c r="G840" s="36"/>
      <c r="H840" s="37"/>
      <c r="I840" s="36"/>
      <c r="J840" s="38"/>
      <c r="K840" s="38"/>
      <c r="L840" s="39"/>
      <c r="M840" s="39"/>
      <c r="N840" s="39"/>
      <c r="O840" s="39"/>
      <c r="P840" s="39"/>
      <c r="Q840" s="39"/>
      <c r="R840" s="39"/>
      <c r="S840" s="39"/>
      <c r="T840" s="39"/>
      <c r="U840" s="39"/>
      <c r="V840" s="39"/>
      <c r="W840" s="39"/>
      <c r="X840" s="39"/>
      <c r="Y840" s="39"/>
      <c r="Z840" s="39"/>
      <c r="AA840" s="39"/>
      <c r="AB840" s="39"/>
    </row>
    <row r="841">
      <c r="A841" s="1"/>
      <c r="B841" s="36"/>
      <c r="C841" s="36"/>
      <c r="D841" s="36"/>
      <c r="E841" s="36"/>
      <c r="F841" s="36"/>
      <c r="G841" s="36"/>
      <c r="H841" s="37"/>
      <c r="I841" s="36"/>
      <c r="J841" s="38"/>
      <c r="K841" s="38"/>
      <c r="L841" s="39"/>
      <c r="M841" s="39"/>
      <c r="N841" s="39"/>
      <c r="O841" s="39"/>
      <c r="P841" s="39"/>
      <c r="Q841" s="39"/>
      <c r="R841" s="39"/>
      <c r="S841" s="39"/>
      <c r="T841" s="39"/>
      <c r="U841" s="39"/>
      <c r="V841" s="39"/>
      <c r="W841" s="39"/>
      <c r="X841" s="39"/>
      <c r="Y841" s="39"/>
      <c r="Z841" s="39"/>
      <c r="AA841" s="39"/>
      <c r="AB841" s="39"/>
    </row>
    <row r="842">
      <c r="A842" s="1"/>
      <c r="B842" s="36"/>
      <c r="C842" s="36"/>
      <c r="D842" s="36"/>
      <c r="E842" s="36"/>
      <c r="F842" s="36"/>
      <c r="G842" s="36"/>
      <c r="H842" s="37"/>
      <c r="I842" s="36"/>
      <c r="J842" s="38"/>
      <c r="K842" s="38"/>
      <c r="L842" s="39"/>
      <c r="M842" s="39"/>
      <c r="N842" s="39"/>
      <c r="O842" s="39"/>
      <c r="P842" s="39"/>
      <c r="Q842" s="39"/>
      <c r="R842" s="39"/>
      <c r="S842" s="39"/>
      <c r="T842" s="39"/>
      <c r="U842" s="39"/>
      <c r="V842" s="39"/>
      <c r="W842" s="39"/>
      <c r="X842" s="39"/>
      <c r="Y842" s="39"/>
      <c r="Z842" s="39"/>
      <c r="AA842" s="39"/>
      <c r="AB842" s="39"/>
    </row>
    <row r="843">
      <c r="A843" s="1"/>
      <c r="B843" s="36"/>
      <c r="C843" s="36"/>
      <c r="D843" s="36"/>
      <c r="E843" s="36"/>
      <c r="F843" s="36"/>
      <c r="G843" s="36"/>
      <c r="H843" s="37"/>
      <c r="I843" s="36"/>
      <c r="J843" s="38"/>
      <c r="K843" s="38"/>
      <c r="L843" s="39"/>
      <c r="M843" s="39"/>
      <c r="N843" s="39"/>
      <c r="O843" s="39"/>
      <c r="P843" s="39"/>
      <c r="Q843" s="39"/>
      <c r="R843" s="39"/>
      <c r="S843" s="39"/>
      <c r="T843" s="39"/>
      <c r="U843" s="39"/>
      <c r="V843" s="39"/>
      <c r="W843" s="39"/>
      <c r="X843" s="39"/>
      <c r="Y843" s="39"/>
      <c r="Z843" s="39"/>
      <c r="AA843" s="39"/>
      <c r="AB843" s="39"/>
    </row>
    <row r="844">
      <c r="A844" s="1"/>
      <c r="B844" s="36"/>
      <c r="C844" s="36"/>
      <c r="D844" s="36"/>
      <c r="E844" s="36"/>
      <c r="F844" s="36"/>
      <c r="G844" s="36"/>
      <c r="H844" s="37"/>
      <c r="I844" s="36"/>
      <c r="J844" s="38"/>
      <c r="K844" s="38"/>
      <c r="L844" s="39"/>
      <c r="M844" s="39"/>
      <c r="N844" s="39"/>
      <c r="O844" s="39"/>
      <c r="P844" s="39"/>
      <c r="Q844" s="39"/>
      <c r="R844" s="39"/>
      <c r="S844" s="39"/>
      <c r="T844" s="39"/>
      <c r="U844" s="39"/>
      <c r="V844" s="39"/>
      <c r="W844" s="39"/>
      <c r="X844" s="39"/>
      <c r="Y844" s="39"/>
      <c r="Z844" s="39"/>
      <c r="AA844" s="39"/>
      <c r="AB844" s="39"/>
    </row>
    <row r="845">
      <c r="A845" s="1"/>
      <c r="B845" s="36"/>
      <c r="C845" s="36"/>
      <c r="D845" s="36"/>
      <c r="E845" s="36"/>
      <c r="F845" s="36"/>
      <c r="G845" s="36"/>
      <c r="H845" s="37"/>
      <c r="I845" s="36"/>
      <c r="J845" s="38"/>
      <c r="K845" s="38"/>
      <c r="L845" s="39"/>
      <c r="M845" s="39"/>
      <c r="N845" s="39"/>
      <c r="O845" s="39"/>
      <c r="P845" s="39"/>
      <c r="Q845" s="39"/>
      <c r="R845" s="39"/>
      <c r="S845" s="39"/>
      <c r="T845" s="39"/>
      <c r="U845" s="39"/>
      <c r="V845" s="39"/>
      <c r="W845" s="39"/>
      <c r="X845" s="39"/>
      <c r="Y845" s="39"/>
      <c r="Z845" s="39"/>
      <c r="AA845" s="39"/>
      <c r="AB845" s="39"/>
    </row>
    <row r="846">
      <c r="A846" s="1"/>
      <c r="B846" s="36"/>
      <c r="C846" s="36"/>
      <c r="D846" s="36"/>
      <c r="E846" s="36"/>
      <c r="F846" s="36"/>
      <c r="G846" s="36"/>
      <c r="H846" s="37"/>
      <c r="I846" s="36"/>
      <c r="J846" s="38"/>
      <c r="K846" s="38"/>
      <c r="L846" s="39"/>
      <c r="M846" s="39"/>
      <c r="N846" s="39"/>
      <c r="O846" s="39"/>
      <c r="P846" s="39"/>
      <c r="Q846" s="39"/>
      <c r="R846" s="39"/>
      <c r="S846" s="39"/>
      <c r="T846" s="39"/>
      <c r="U846" s="39"/>
      <c r="V846" s="39"/>
      <c r="W846" s="39"/>
      <c r="X846" s="39"/>
      <c r="Y846" s="39"/>
      <c r="Z846" s="39"/>
      <c r="AA846" s="39"/>
      <c r="AB846" s="39"/>
    </row>
    <row r="847">
      <c r="A847" s="1"/>
      <c r="B847" s="36"/>
      <c r="C847" s="36"/>
      <c r="D847" s="36"/>
      <c r="E847" s="36"/>
      <c r="F847" s="36"/>
      <c r="G847" s="36"/>
      <c r="H847" s="37"/>
      <c r="I847" s="36"/>
      <c r="J847" s="38"/>
      <c r="K847" s="38"/>
      <c r="L847" s="39"/>
      <c r="M847" s="39"/>
      <c r="N847" s="39"/>
      <c r="O847" s="39"/>
      <c r="P847" s="39"/>
      <c r="Q847" s="39"/>
      <c r="R847" s="39"/>
      <c r="S847" s="39"/>
      <c r="T847" s="39"/>
      <c r="U847" s="39"/>
      <c r="V847" s="39"/>
      <c r="W847" s="39"/>
      <c r="X847" s="39"/>
      <c r="Y847" s="39"/>
      <c r="Z847" s="39"/>
      <c r="AA847" s="39"/>
      <c r="AB847" s="39"/>
    </row>
    <row r="848">
      <c r="A848" s="1"/>
      <c r="B848" s="36"/>
      <c r="C848" s="36"/>
      <c r="D848" s="36"/>
      <c r="E848" s="36"/>
      <c r="F848" s="36"/>
      <c r="G848" s="36"/>
      <c r="H848" s="37"/>
      <c r="I848" s="36"/>
      <c r="J848" s="38"/>
      <c r="K848" s="38"/>
      <c r="L848" s="39"/>
      <c r="M848" s="39"/>
      <c r="N848" s="39"/>
      <c r="O848" s="39"/>
      <c r="P848" s="39"/>
      <c r="Q848" s="39"/>
      <c r="R848" s="39"/>
      <c r="S848" s="39"/>
      <c r="T848" s="39"/>
      <c r="U848" s="39"/>
      <c r="V848" s="39"/>
      <c r="W848" s="39"/>
      <c r="X848" s="39"/>
      <c r="Y848" s="39"/>
      <c r="Z848" s="39"/>
      <c r="AA848" s="39"/>
      <c r="AB848" s="39"/>
    </row>
    <row r="849">
      <c r="A849" s="1"/>
      <c r="B849" s="36"/>
      <c r="C849" s="36"/>
      <c r="D849" s="36"/>
      <c r="E849" s="36"/>
      <c r="F849" s="36"/>
      <c r="G849" s="36"/>
      <c r="H849" s="37"/>
      <c r="I849" s="36"/>
      <c r="J849" s="38"/>
      <c r="K849" s="38"/>
      <c r="L849" s="39"/>
      <c r="M849" s="39"/>
      <c r="N849" s="39"/>
      <c r="O849" s="39"/>
      <c r="P849" s="39"/>
      <c r="Q849" s="39"/>
      <c r="R849" s="39"/>
      <c r="S849" s="39"/>
      <c r="T849" s="39"/>
      <c r="U849" s="39"/>
      <c r="V849" s="39"/>
      <c r="W849" s="39"/>
      <c r="X849" s="39"/>
      <c r="Y849" s="39"/>
      <c r="Z849" s="39"/>
      <c r="AA849" s="39"/>
      <c r="AB849" s="39"/>
    </row>
    <row r="850">
      <c r="A850" s="1"/>
      <c r="B850" s="36"/>
      <c r="C850" s="36"/>
      <c r="D850" s="36"/>
      <c r="E850" s="36"/>
      <c r="F850" s="36"/>
      <c r="G850" s="36"/>
      <c r="H850" s="37"/>
      <c r="I850" s="36"/>
      <c r="J850" s="38"/>
      <c r="K850" s="38"/>
      <c r="L850" s="39"/>
      <c r="M850" s="39"/>
      <c r="N850" s="39"/>
      <c r="O850" s="39"/>
      <c r="P850" s="39"/>
      <c r="Q850" s="39"/>
      <c r="R850" s="39"/>
      <c r="S850" s="39"/>
      <c r="T850" s="39"/>
      <c r="U850" s="39"/>
      <c r="V850" s="39"/>
      <c r="W850" s="39"/>
      <c r="X850" s="39"/>
      <c r="Y850" s="39"/>
      <c r="Z850" s="39"/>
      <c r="AA850" s="39"/>
      <c r="AB850" s="39"/>
    </row>
    <row r="851">
      <c r="A851" s="1"/>
      <c r="B851" s="36"/>
      <c r="C851" s="36"/>
      <c r="D851" s="36"/>
      <c r="E851" s="36"/>
      <c r="F851" s="36"/>
      <c r="G851" s="36"/>
      <c r="H851" s="37"/>
      <c r="I851" s="36"/>
      <c r="J851" s="38"/>
      <c r="K851" s="38"/>
      <c r="L851" s="39"/>
      <c r="M851" s="39"/>
      <c r="N851" s="39"/>
      <c r="O851" s="39"/>
      <c r="P851" s="39"/>
      <c r="Q851" s="39"/>
      <c r="R851" s="39"/>
      <c r="S851" s="39"/>
      <c r="T851" s="39"/>
      <c r="U851" s="39"/>
      <c r="V851" s="39"/>
      <c r="W851" s="39"/>
      <c r="X851" s="39"/>
      <c r="Y851" s="39"/>
      <c r="Z851" s="39"/>
      <c r="AA851" s="39"/>
      <c r="AB851" s="39"/>
    </row>
    <row r="852">
      <c r="A852" s="1"/>
      <c r="B852" s="36"/>
      <c r="C852" s="36"/>
      <c r="D852" s="36"/>
      <c r="E852" s="36"/>
      <c r="F852" s="36"/>
      <c r="G852" s="36"/>
      <c r="H852" s="37"/>
      <c r="I852" s="36"/>
      <c r="J852" s="38"/>
      <c r="K852" s="38"/>
      <c r="L852" s="39"/>
      <c r="M852" s="39"/>
      <c r="N852" s="39"/>
      <c r="O852" s="39"/>
      <c r="P852" s="39"/>
      <c r="Q852" s="39"/>
      <c r="R852" s="39"/>
      <c r="S852" s="39"/>
      <c r="T852" s="39"/>
      <c r="U852" s="39"/>
      <c r="V852" s="39"/>
      <c r="W852" s="39"/>
      <c r="X852" s="39"/>
      <c r="Y852" s="39"/>
      <c r="Z852" s="39"/>
      <c r="AA852" s="39"/>
      <c r="AB852" s="39"/>
    </row>
    <row r="853">
      <c r="A853" s="1"/>
      <c r="B853" s="36"/>
      <c r="C853" s="36"/>
      <c r="D853" s="36"/>
      <c r="E853" s="36"/>
      <c r="F853" s="36"/>
      <c r="G853" s="36"/>
      <c r="H853" s="37"/>
      <c r="I853" s="36"/>
      <c r="J853" s="38"/>
      <c r="K853" s="38"/>
      <c r="L853" s="39"/>
      <c r="M853" s="39"/>
      <c r="N853" s="39"/>
      <c r="O853" s="39"/>
      <c r="P853" s="39"/>
      <c r="Q853" s="39"/>
      <c r="R853" s="39"/>
      <c r="S853" s="39"/>
      <c r="T853" s="39"/>
      <c r="U853" s="39"/>
      <c r="V853" s="39"/>
      <c r="W853" s="39"/>
      <c r="X853" s="39"/>
      <c r="Y853" s="39"/>
      <c r="Z853" s="39"/>
      <c r="AA853" s="39"/>
      <c r="AB853" s="39"/>
    </row>
    <row r="854">
      <c r="A854" s="1"/>
      <c r="B854" s="36"/>
      <c r="C854" s="36"/>
      <c r="D854" s="36"/>
      <c r="E854" s="36"/>
      <c r="F854" s="36"/>
      <c r="G854" s="36"/>
      <c r="H854" s="37"/>
      <c r="I854" s="36"/>
      <c r="J854" s="38"/>
      <c r="K854" s="38"/>
      <c r="L854" s="39"/>
      <c r="M854" s="39"/>
      <c r="N854" s="39"/>
      <c r="O854" s="39"/>
      <c r="P854" s="39"/>
      <c r="Q854" s="39"/>
      <c r="R854" s="39"/>
      <c r="S854" s="39"/>
      <c r="T854" s="39"/>
      <c r="U854" s="39"/>
      <c r="V854" s="39"/>
      <c r="W854" s="39"/>
      <c r="X854" s="39"/>
      <c r="Y854" s="39"/>
      <c r="Z854" s="39"/>
      <c r="AA854" s="39"/>
      <c r="AB854" s="39"/>
    </row>
    <row r="855">
      <c r="A855" s="1"/>
      <c r="B855" s="36"/>
      <c r="C855" s="36"/>
      <c r="D855" s="36"/>
      <c r="E855" s="36"/>
      <c r="F855" s="36"/>
      <c r="G855" s="36"/>
      <c r="H855" s="37"/>
      <c r="I855" s="36"/>
      <c r="J855" s="38"/>
      <c r="K855" s="38"/>
      <c r="L855" s="39"/>
      <c r="M855" s="39"/>
      <c r="N855" s="39"/>
      <c r="O855" s="39"/>
      <c r="P855" s="39"/>
      <c r="Q855" s="39"/>
      <c r="R855" s="39"/>
      <c r="S855" s="39"/>
      <c r="T855" s="39"/>
      <c r="U855" s="39"/>
      <c r="V855" s="39"/>
      <c r="W855" s="39"/>
      <c r="X855" s="39"/>
      <c r="Y855" s="39"/>
      <c r="Z855" s="39"/>
      <c r="AA855" s="39"/>
      <c r="AB855" s="39"/>
    </row>
    <row r="856">
      <c r="A856" s="1"/>
      <c r="B856" s="36"/>
      <c r="C856" s="36"/>
      <c r="D856" s="36"/>
      <c r="E856" s="36"/>
      <c r="F856" s="36"/>
      <c r="G856" s="36"/>
      <c r="H856" s="37"/>
      <c r="I856" s="36"/>
      <c r="J856" s="38"/>
      <c r="K856" s="38"/>
      <c r="L856" s="39"/>
      <c r="M856" s="39"/>
      <c r="N856" s="39"/>
      <c r="O856" s="39"/>
      <c r="P856" s="39"/>
      <c r="Q856" s="39"/>
      <c r="R856" s="39"/>
      <c r="S856" s="39"/>
      <c r="T856" s="39"/>
      <c r="U856" s="39"/>
      <c r="V856" s="39"/>
      <c r="W856" s="39"/>
      <c r="X856" s="39"/>
      <c r="Y856" s="39"/>
      <c r="Z856" s="39"/>
      <c r="AA856" s="39"/>
      <c r="AB856" s="39"/>
    </row>
    <row r="857">
      <c r="A857" s="1"/>
      <c r="B857" s="36"/>
      <c r="C857" s="36"/>
      <c r="D857" s="36"/>
      <c r="E857" s="36"/>
      <c r="F857" s="36"/>
      <c r="G857" s="36"/>
      <c r="H857" s="37"/>
      <c r="I857" s="36"/>
      <c r="J857" s="38"/>
      <c r="K857" s="38"/>
      <c r="L857" s="39"/>
      <c r="M857" s="39"/>
      <c r="N857" s="39"/>
      <c r="O857" s="39"/>
      <c r="P857" s="39"/>
      <c r="Q857" s="39"/>
      <c r="R857" s="39"/>
      <c r="S857" s="39"/>
      <c r="T857" s="39"/>
      <c r="U857" s="39"/>
      <c r="V857" s="39"/>
      <c r="W857" s="39"/>
      <c r="X857" s="39"/>
      <c r="Y857" s="39"/>
      <c r="Z857" s="39"/>
      <c r="AA857" s="39"/>
      <c r="AB857" s="39"/>
    </row>
    <row r="858">
      <c r="A858" s="1"/>
      <c r="B858" s="36"/>
      <c r="C858" s="36"/>
      <c r="D858" s="36"/>
      <c r="E858" s="36"/>
      <c r="F858" s="36"/>
      <c r="G858" s="36"/>
      <c r="H858" s="37"/>
      <c r="I858" s="36"/>
      <c r="J858" s="38"/>
      <c r="K858" s="38"/>
      <c r="L858" s="39"/>
      <c r="M858" s="39"/>
      <c r="N858" s="39"/>
      <c r="O858" s="39"/>
      <c r="P858" s="39"/>
      <c r="Q858" s="39"/>
      <c r="R858" s="39"/>
      <c r="S858" s="39"/>
      <c r="T858" s="39"/>
      <c r="U858" s="39"/>
      <c r="V858" s="39"/>
      <c r="W858" s="39"/>
      <c r="X858" s="39"/>
      <c r="Y858" s="39"/>
      <c r="Z858" s="39"/>
      <c r="AA858" s="39"/>
      <c r="AB858" s="39"/>
    </row>
    <row r="859">
      <c r="A859" s="1"/>
      <c r="B859" s="36"/>
      <c r="C859" s="36"/>
      <c r="D859" s="36"/>
      <c r="E859" s="36"/>
      <c r="F859" s="36"/>
      <c r="G859" s="36"/>
      <c r="H859" s="37"/>
      <c r="I859" s="36"/>
      <c r="J859" s="38"/>
      <c r="K859" s="38"/>
      <c r="L859" s="39"/>
      <c r="M859" s="39"/>
      <c r="N859" s="39"/>
      <c r="O859" s="39"/>
      <c r="P859" s="39"/>
      <c r="Q859" s="39"/>
      <c r="R859" s="39"/>
      <c r="S859" s="39"/>
      <c r="T859" s="39"/>
      <c r="U859" s="39"/>
      <c r="V859" s="39"/>
      <c r="W859" s="39"/>
      <c r="X859" s="39"/>
      <c r="Y859" s="39"/>
      <c r="Z859" s="39"/>
      <c r="AA859" s="39"/>
      <c r="AB859" s="39"/>
    </row>
    <row r="860">
      <c r="A860" s="1"/>
      <c r="B860" s="36"/>
      <c r="C860" s="36"/>
      <c r="D860" s="36"/>
      <c r="E860" s="36"/>
      <c r="F860" s="36"/>
      <c r="G860" s="36"/>
      <c r="H860" s="37"/>
      <c r="I860" s="36"/>
      <c r="J860" s="38"/>
      <c r="K860" s="38"/>
      <c r="L860" s="39"/>
      <c r="M860" s="39"/>
      <c r="N860" s="39"/>
      <c r="O860" s="39"/>
      <c r="P860" s="39"/>
      <c r="Q860" s="39"/>
      <c r="R860" s="39"/>
      <c r="S860" s="39"/>
      <c r="T860" s="39"/>
      <c r="U860" s="39"/>
      <c r="V860" s="39"/>
      <c r="W860" s="39"/>
      <c r="X860" s="39"/>
      <c r="Y860" s="39"/>
      <c r="Z860" s="39"/>
      <c r="AA860" s="39"/>
      <c r="AB860" s="39"/>
    </row>
    <row r="861">
      <c r="A861" s="1"/>
      <c r="B861" s="36"/>
      <c r="C861" s="36"/>
      <c r="D861" s="36"/>
      <c r="E861" s="36"/>
      <c r="F861" s="36"/>
      <c r="G861" s="36"/>
      <c r="H861" s="37"/>
      <c r="I861" s="36"/>
      <c r="J861" s="38"/>
      <c r="K861" s="38"/>
      <c r="L861" s="39"/>
      <c r="M861" s="39"/>
      <c r="N861" s="39"/>
      <c r="O861" s="39"/>
      <c r="P861" s="39"/>
      <c r="Q861" s="39"/>
      <c r="R861" s="39"/>
      <c r="S861" s="39"/>
      <c r="T861" s="39"/>
      <c r="U861" s="39"/>
      <c r="V861" s="39"/>
      <c r="W861" s="39"/>
      <c r="X861" s="39"/>
      <c r="Y861" s="39"/>
      <c r="Z861" s="39"/>
      <c r="AA861" s="39"/>
      <c r="AB861" s="39"/>
    </row>
    <row r="862">
      <c r="A862" s="1"/>
      <c r="B862" s="36"/>
      <c r="C862" s="36"/>
      <c r="D862" s="36"/>
      <c r="E862" s="36"/>
      <c r="F862" s="36"/>
      <c r="G862" s="36"/>
      <c r="H862" s="37"/>
      <c r="I862" s="36"/>
      <c r="J862" s="38"/>
      <c r="K862" s="38"/>
      <c r="L862" s="39"/>
      <c r="M862" s="39"/>
      <c r="N862" s="39"/>
      <c r="O862" s="39"/>
      <c r="P862" s="39"/>
      <c r="Q862" s="39"/>
      <c r="R862" s="39"/>
      <c r="S862" s="39"/>
      <c r="T862" s="39"/>
      <c r="U862" s="39"/>
      <c r="V862" s="39"/>
      <c r="W862" s="39"/>
      <c r="X862" s="39"/>
      <c r="Y862" s="39"/>
      <c r="Z862" s="39"/>
      <c r="AA862" s="39"/>
      <c r="AB862" s="39"/>
    </row>
    <row r="863">
      <c r="A863" s="1"/>
      <c r="B863" s="36"/>
      <c r="C863" s="36"/>
      <c r="D863" s="36"/>
      <c r="E863" s="36"/>
      <c r="F863" s="36"/>
      <c r="G863" s="36"/>
      <c r="H863" s="37"/>
      <c r="I863" s="36"/>
      <c r="J863" s="38"/>
      <c r="K863" s="38"/>
      <c r="L863" s="39"/>
      <c r="M863" s="39"/>
      <c r="N863" s="39"/>
      <c r="O863" s="39"/>
      <c r="P863" s="39"/>
      <c r="Q863" s="39"/>
      <c r="R863" s="39"/>
      <c r="S863" s="39"/>
      <c r="T863" s="39"/>
      <c r="U863" s="39"/>
      <c r="V863" s="39"/>
      <c r="W863" s="39"/>
      <c r="X863" s="39"/>
      <c r="Y863" s="39"/>
      <c r="Z863" s="39"/>
      <c r="AA863" s="39"/>
      <c r="AB863" s="39"/>
    </row>
    <row r="864">
      <c r="A864" s="1"/>
      <c r="B864" s="36"/>
      <c r="C864" s="36"/>
      <c r="D864" s="36"/>
      <c r="E864" s="36"/>
      <c r="F864" s="36"/>
      <c r="G864" s="36"/>
      <c r="H864" s="37"/>
      <c r="I864" s="36"/>
      <c r="J864" s="38"/>
      <c r="K864" s="38"/>
      <c r="L864" s="39"/>
      <c r="M864" s="39"/>
      <c r="N864" s="39"/>
      <c r="O864" s="39"/>
      <c r="P864" s="39"/>
      <c r="Q864" s="39"/>
      <c r="R864" s="39"/>
      <c r="S864" s="39"/>
      <c r="T864" s="39"/>
      <c r="U864" s="39"/>
      <c r="V864" s="39"/>
      <c r="W864" s="39"/>
      <c r="X864" s="39"/>
      <c r="Y864" s="39"/>
      <c r="Z864" s="39"/>
      <c r="AA864" s="39"/>
      <c r="AB864" s="39"/>
    </row>
    <row r="865">
      <c r="A865" s="1"/>
      <c r="B865" s="36"/>
      <c r="C865" s="36"/>
      <c r="D865" s="36"/>
      <c r="E865" s="36"/>
      <c r="F865" s="36"/>
      <c r="G865" s="36"/>
      <c r="H865" s="37"/>
      <c r="I865" s="36"/>
      <c r="J865" s="38"/>
      <c r="K865" s="38"/>
      <c r="L865" s="39"/>
      <c r="M865" s="39"/>
      <c r="N865" s="39"/>
      <c r="O865" s="39"/>
      <c r="P865" s="39"/>
      <c r="Q865" s="39"/>
      <c r="R865" s="39"/>
      <c r="S865" s="39"/>
      <c r="T865" s="39"/>
      <c r="U865" s="39"/>
      <c r="V865" s="39"/>
      <c r="W865" s="39"/>
      <c r="X865" s="39"/>
      <c r="Y865" s="39"/>
      <c r="Z865" s="39"/>
      <c r="AA865" s="39"/>
      <c r="AB865" s="39"/>
    </row>
    <row r="866">
      <c r="A866" s="1"/>
      <c r="B866" s="36"/>
      <c r="C866" s="36"/>
      <c r="D866" s="36"/>
      <c r="E866" s="36"/>
      <c r="F866" s="36"/>
      <c r="G866" s="36"/>
      <c r="H866" s="37"/>
      <c r="I866" s="36"/>
      <c r="J866" s="38"/>
      <c r="K866" s="38"/>
      <c r="L866" s="39"/>
      <c r="M866" s="39"/>
      <c r="N866" s="39"/>
      <c r="O866" s="39"/>
      <c r="P866" s="39"/>
      <c r="Q866" s="39"/>
      <c r="R866" s="39"/>
      <c r="S866" s="39"/>
      <c r="T866" s="39"/>
      <c r="U866" s="39"/>
      <c r="V866" s="39"/>
      <c r="W866" s="39"/>
      <c r="X866" s="39"/>
      <c r="Y866" s="39"/>
      <c r="Z866" s="39"/>
      <c r="AA866" s="39"/>
      <c r="AB866" s="39"/>
    </row>
    <row r="867">
      <c r="A867" s="1"/>
      <c r="B867" s="36"/>
      <c r="C867" s="36"/>
      <c r="D867" s="36"/>
      <c r="E867" s="36"/>
      <c r="F867" s="36"/>
      <c r="G867" s="36"/>
      <c r="H867" s="37"/>
      <c r="I867" s="36"/>
      <c r="J867" s="38"/>
      <c r="K867" s="38"/>
      <c r="L867" s="39"/>
      <c r="M867" s="39"/>
      <c r="N867" s="39"/>
      <c r="O867" s="39"/>
      <c r="P867" s="39"/>
      <c r="Q867" s="39"/>
      <c r="R867" s="39"/>
      <c r="S867" s="39"/>
      <c r="T867" s="39"/>
      <c r="U867" s="39"/>
      <c r="V867" s="39"/>
      <c r="W867" s="39"/>
      <c r="X867" s="39"/>
      <c r="Y867" s="39"/>
      <c r="Z867" s="39"/>
      <c r="AA867" s="39"/>
      <c r="AB867" s="39"/>
    </row>
    <row r="868">
      <c r="A868" s="1"/>
      <c r="B868" s="36"/>
      <c r="C868" s="36"/>
      <c r="D868" s="36"/>
      <c r="E868" s="36"/>
      <c r="F868" s="36"/>
      <c r="G868" s="36"/>
      <c r="H868" s="37"/>
      <c r="I868" s="36"/>
      <c r="J868" s="38"/>
      <c r="K868" s="38"/>
      <c r="L868" s="39"/>
      <c r="M868" s="39"/>
      <c r="N868" s="39"/>
      <c r="O868" s="39"/>
      <c r="P868" s="39"/>
      <c r="Q868" s="39"/>
      <c r="R868" s="39"/>
      <c r="S868" s="39"/>
      <c r="T868" s="39"/>
      <c r="U868" s="39"/>
      <c r="V868" s="39"/>
      <c r="W868" s="39"/>
      <c r="X868" s="39"/>
      <c r="Y868" s="39"/>
      <c r="Z868" s="39"/>
      <c r="AA868" s="39"/>
      <c r="AB868" s="39"/>
    </row>
    <row r="869">
      <c r="A869" s="1"/>
      <c r="B869" s="36"/>
      <c r="C869" s="36"/>
      <c r="D869" s="36"/>
      <c r="E869" s="36"/>
      <c r="F869" s="36"/>
      <c r="G869" s="36"/>
      <c r="H869" s="37"/>
      <c r="I869" s="36"/>
      <c r="J869" s="38"/>
      <c r="K869" s="38"/>
      <c r="L869" s="39"/>
      <c r="M869" s="39"/>
      <c r="N869" s="39"/>
      <c r="O869" s="39"/>
      <c r="P869" s="39"/>
      <c r="Q869" s="39"/>
      <c r="R869" s="39"/>
      <c r="S869" s="39"/>
      <c r="T869" s="39"/>
      <c r="U869" s="39"/>
      <c r="V869" s="39"/>
      <c r="W869" s="39"/>
      <c r="X869" s="39"/>
      <c r="Y869" s="39"/>
      <c r="Z869" s="39"/>
      <c r="AA869" s="39"/>
      <c r="AB869" s="39"/>
    </row>
    <row r="870">
      <c r="A870" s="1"/>
      <c r="B870" s="36"/>
      <c r="C870" s="36"/>
      <c r="D870" s="36"/>
      <c r="E870" s="36"/>
      <c r="F870" s="36"/>
      <c r="G870" s="36"/>
      <c r="H870" s="37"/>
      <c r="I870" s="36"/>
      <c r="J870" s="38"/>
      <c r="K870" s="38"/>
      <c r="L870" s="39"/>
      <c r="M870" s="39"/>
      <c r="N870" s="39"/>
      <c r="O870" s="39"/>
      <c r="P870" s="39"/>
      <c r="Q870" s="39"/>
      <c r="R870" s="39"/>
      <c r="S870" s="39"/>
      <c r="T870" s="39"/>
      <c r="U870" s="39"/>
      <c r="V870" s="39"/>
      <c r="W870" s="39"/>
      <c r="X870" s="39"/>
      <c r="Y870" s="39"/>
      <c r="Z870" s="39"/>
      <c r="AA870" s="39"/>
      <c r="AB870" s="39"/>
    </row>
    <row r="871">
      <c r="A871" s="1"/>
      <c r="B871" s="36"/>
      <c r="C871" s="36"/>
      <c r="D871" s="36"/>
      <c r="E871" s="36"/>
      <c r="F871" s="36"/>
      <c r="G871" s="36"/>
      <c r="H871" s="37"/>
      <c r="I871" s="36"/>
      <c r="J871" s="38"/>
      <c r="K871" s="38"/>
      <c r="L871" s="39"/>
      <c r="M871" s="39"/>
      <c r="N871" s="39"/>
      <c r="O871" s="39"/>
      <c r="P871" s="39"/>
      <c r="Q871" s="39"/>
      <c r="R871" s="39"/>
      <c r="S871" s="39"/>
      <c r="T871" s="39"/>
      <c r="U871" s="39"/>
      <c r="V871" s="39"/>
      <c r="W871" s="39"/>
      <c r="X871" s="39"/>
      <c r="Y871" s="39"/>
      <c r="Z871" s="39"/>
      <c r="AA871" s="39"/>
      <c r="AB871" s="39"/>
    </row>
    <row r="872">
      <c r="A872" s="1"/>
      <c r="B872" s="36"/>
      <c r="C872" s="36"/>
      <c r="D872" s="36"/>
      <c r="E872" s="36"/>
      <c r="F872" s="36"/>
      <c r="G872" s="36"/>
      <c r="H872" s="37"/>
      <c r="I872" s="36"/>
      <c r="J872" s="38"/>
      <c r="K872" s="38"/>
      <c r="L872" s="39"/>
      <c r="M872" s="39"/>
      <c r="N872" s="39"/>
      <c r="O872" s="39"/>
      <c r="P872" s="39"/>
      <c r="Q872" s="39"/>
      <c r="R872" s="39"/>
      <c r="S872" s="39"/>
      <c r="T872" s="39"/>
      <c r="U872" s="39"/>
      <c r="V872" s="39"/>
      <c r="W872" s="39"/>
      <c r="X872" s="39"/>
      <c r="Y872" s="39"/>
      <c r="Z872" s="39"/>
      <c r="AA872" s="39"/>
      <c r="AB872" s="39"/>
    </row>
    <row r="873">
      <c r="A873" s="1"/>
      <c r="B873" s="36"/>
      <c r="C873" s="36"/>
      <c r="D873" s="36"/>
      <c r="E873" s="36"/>
      <c r="F873" s="36"/>
      <c r="G873" s="36"/>
      <c r="H873" s="37"/>
      <c r="I873" s="36"/>
      <c r="J873" s="38"/>
      <c r="K873" s="38"/>
      <c r="L873" s="39"/>
      <c r="M873" s="39"/>
      <c r="N873" s="39"/>
      <c r="O873" s="39"/>
      <c r="P873" s="39"/>
      <c r="Q873" s="39"/>
      <c r="R873" s="39"/>
      <c r="S873" s="39"/>
      <c r="T873" s="39"/>
      <c r="U873" s="39"/>
      <c r="V873" s="39"/>
      <c r="W873" s="39"/>
      <c r="X873" s="39"/>
      <c r="Y873" s="39"/>
      <c r="Z873" s="39"/>
      <c r="AA873" s="39"/>
      <c r="AB873" s="39"/>
    </row>
    <row r="874">
      <c r="A874" s="1"/>
      <c r="B874" s="36"/>
      <c r="C874" s="36"/>
      <c r="D874" s="36"/>
      <c r="E874" s="36"/>
      <c r="F874" s="36"/>
      <c r="G874" s="36"/>
      <c r="H874" s="37"/>
      <c r="I874" s="36"/>
      <c r="J874" s="38"/>
      <c r="K874" s="38"/>
      <c r="L874" s="39"/>
      <c r="M874" s="39"/>
      <c r="N874" s="39"/>
      <c r="O874" s="39"/>
      <c r="P874" s="39"/>
      <c r="Q874" s="39"/>
      <c r="R874" s="39"/>
      <c r="S874" s="39"/>
      <c r="T874" s="39"/>
      <c r="U874" s="39"/>
      <c r="V874" s="39"/>
      <c r="W874" s="39"/>
      <c r="X874" s="39"/>
      <c r="Y874" s="39"/>
      <c r="Z874" s="39"/>
      <c r="AA874" s="39"/>
      <c r="AB874" s="39"/>
    </row>
    <row r="875">
      <c r="A875" s="1"/>
      <c r="B875" s="36"/>
      <c r="C875" s="36"/>
      <c r="D875" s="36"/>
      <c r="E875" s="36"/>
      <c r="F875" s="36"/>
      <c r="G875" s="36"/>
      <c r="H875" s="37"/>
      <c r="I875" s="36"/>
      <c r="J875" s="38"/>
      <c r="K875" s="38"/>
      <c r="L875" s="39"/>
      <c r="M875" s="39"/>
      <c r="N875" s="39"/>
      <c r="O875" s="39"/>
      <c r="P875" s="39"/>
      <c r="Q875" s="39"/>
      <c r="R875" s="39"/>
      <c r="S875" s="39"/>
      <c r="T875" s="39"/>
      <c r="U875" s="39"/>
      <c r="V875" s="39"/>
      <c r="W875" s="39"/>
      <c r="X875" s="39"/>
      <c r="Y875" s="39"/>
      <c r="Z875" s="39"/>
      <c r="AA875" s="39"/>
      <c r="AB875" s="39"/>
    </row>
    <row r="876">
      <c r="A876" s="1"/>
      <c r="B876" s="36"/>
      <c r="C876" s="36"/>
      <c r="D876" s="36"/>
      <c r="E876" s="36"/>
      <c r="F876" s="36"/>
      <c r="G876" s="36"/>
      <c r="H876" s="37"/>
      <c r="I876" s="36"/>
      <c r="J876" s="38"/>
      <c r="K876" s="38"/>
      <c r="L876" s="39"/>
      <c r="M876" s="39"/>
      <c r="N876" s="39"/>
      <c r="O876" s="39"/>
      <c r="P876" s="39"/>
      <c r="Q876" s="39"/>
      <c r="R876" s="39"/>
      <c r="S876" s="39"/>
      <c r="T876" s="39"/>
      <c r="U876" s="39"/>
      <c r="V876" s="39"/>
      <c r="W876" s="39"/>
      <c r="X876" s="39"/>
      <c r="Y876" s="39"/>
      <c r="Z876" s="39"/>
      <c r="AA876" s="39"/>
      <c r="AB876" s="39"/>
    </row>
    <row r="877">
      <c r="A877" s="1"/>
      <c r="B877" s="36"/>
      <c r="C877" s="36"/>
      <c r="D877" s="36"/>
      <c r="E877" s="36"/>
      <c r="F877" s="36"/>
      <c r="G877" s="36"/>
      <c r="H877" s="37"/>
      <c r="I877" s="36"/>
      <c r="J877" s="38"/>
      <c r="K877" s="38"/>
      <c r="L877" s="39"/>
      <c r="M877" s="39"/>
      <c r="N877" s="39"/>
      <c r="O877" s="39"/>
      <c r="P877" s="39"/>
      <c r="Q877" s="39"/>
      <c r="R877" s="39"/>
      <c r="S877" s="39"/>
      <c r="T877" s="39"/>
      <c r="U877" s="39"/>
      <c r="V877" s="39"/>
      <c r="W877" s="39"/>
      <c r="X877" s="39"/>
      <c r="Y877" s="39"/>
      <c r="Z877" s="39"/>
      <c r="AA877" s="39"/>
      <c r="AB877" s="39"/>
    </row>
    <row r="878">
      <c r="A878" s="1"/>
      <c r="B878" s="36"/>
      <c r="C878" s="36"/>
      <c r="D878" s="36"/>
      <c r="E878" s="36"/>
      <c r="F878" s="36"/>
      <c r="G878" s="36"/>
      <c r="H878" s="37"/>
      <c r="I878" s="36"/>
      <c r="J878" s="38"/>
      <c r="K878" s="38"/>
      <c r="L878" s="39"/>
      <c r="M878" s="39"/>
      <c r="N878" s="39"/>
      <c r="O878" s="39"/>
      <c r="P878" s="39"/>
      <c r="Q878" s="39"/>
      <c r="R878" s="39"/>
      <c r="S878" s="39"/>
      <c r="T878" s="39"/>
      <c r="U878" s="39"/>
      <c r="V878" s="39"/>
      <c r="W878" s="39"/>
      <c r="X878" s="39"/>
      <c r="Y878" s="39"/>
      <c r="Z878" s="39"/>
      <c r="AA878" s="39"/>
      <c r="AB878" s="39"/>
    </row>
    <row r="879">
      <c r="A879" s="1"/>
      <c r="B879" s="36"/>
      <c r="C879" s="36"/>
      <c r="D879" s="36"/>
      <c r="E879" s="36"/>
      <c r="F879" s="36"/>
      <c r="G879" s="36"/>
      <c r="H879" s="37"/>
      <c r="I879" s="36"/>
      <c r="J879" s="38"/>
      <c r="K879" s="38"/>
      <c r="L879" s="39"/>
      <c r="M879" s="39"/>
      <c r="N879" s="39"/>
      <c r="O879" s="39"/>
      <c r="P879" s="39"/>
      <c r="Q879" s="39"/>
      <c r="R879" s="39"/>
      <c r="S879" s="39"/>
      <c r="T879" s="39"/>
      <c r="U879" s="39"/>
      <c r="V879" s="39"/>
      <c r="W879" s="39"/>
      <c r="X879" s="39"/>
      <c r="Y879" s="39"/>
      <c r="Z879" s="39"/>
      <c r="AA879" s="39"/>
      <c r="AB879" s="39"/>
    </row>
    <row r="880">
      <c r="A880" s="1"/>
      <c r="B880" s="36"/>
      <c r="C880" s="36"/>
      <c r="D880" s="36"/>
      <c r="E880" s="36"/>
      <c r="F880" s="36"/>
      <c r="G880" s="36"/>
      <c r="H880" s="37"/>
      <c r="I880" s="36"/>
      <c r="J880" s="38"/>
      <c r="K880" s="38"/>
      <c r="L880" s="39"/>
      <c r="M880" s="39"/>
      <c r="N880" s="39"/>
      <c r="O880" s="39"/>
      <c r="P880" s="39"/>
      <c r="Q880" s="39"/>
      <c r="R880" s="39"/>
      <c r="S880" s="39"/>
      <c r="T880" s="39"/>
      <c r="U880" s="39"/>
      <c r="V880" s="39"/>
      <c r="W880" s="39"/>
      <c r="X880" s="39"/>
      <c r="Y880" s="39"/>
      <c r="Z880" s="39"/>
      <c r="AA880" s="39"/>
      <c r="AB880" s="39"/>
    </row>
    <row r="881">
      <c r="A881" s="1"/>
      <c r="B881" s="36"/>
      <c r="C881" s="36"/>
      <c r="D881" s="36"/>
      <c r="E881" s="36"/>
      <c r="F881" s="36"/>
      <c r="G881" s="36"/>
      <c r="H881" s="37"/>
      <c r="I881" s="36"/>
      <c r="J881" s="38"/>
      <c r="K881" s="38"/>
      <c r="L881" s="39"/>
      <c r="M881" s="39"/>
      <c r="N881" s="39"/>
      <c r="O881" s="39"/>
      <c r="P881" s="39"/>
      <c r="Q881" s="39"/>
      <c r="R881" s="39"/>
      <c r="S881" s="39"/>
      <c r="T881" s="39"/>
      <c r="U881" s="39"/>
      <c r="V881" s="39"/>
      <c r="W881" s="39"/>
      <c r="X881" s="39"/>
      <c r="Y881" s="39"/>
      <c r="Z881" s="39"/>
      <c r="AA881" s="39"/>
      <c r="AB881" s="39"/>
    </row>
    <row r="882">
      <c r="A882" s="1"/>
      <c r="B882" s="36"/>
      <c r="C882" s="36"/>
      <c r="D882" s="36"/>
      <c r="E882" s="36"/>
      <c r="F882" s="36"/>
      <c r="G882" s="36"/>
      <c r="H882" s="37"/>
      <c r="I882" s="36"/>
      <c r="J882" s="38"/>
      <c r="K882" s="38"/>
      <c r="L882" s="39"/>
      <c r="M882" s="39"/>
      <c r="N882" s="39"/>
      <c r="O882" s="39"/>
      <c r="P882" s="39"/>
      <c r="Q882" s="39"/>
      <c r="R882" s="39"/>
      <c r="S882" s="39"/>
      <c r="T882" s="39"/>
      <c r="U882" s="39"/>
      <c r="V882" s="39"/>
      <c r="W882" s="39"/>
      <c r="X882" s="39"/>
      <c r="Y882" s="39"/>
      <c r="Z882" s="39"/>
      <c r="AA882" s="39"/>
      <c r="AB882" s="39"/>
    </row>
    <row r="883">
      <c r="A883" s="1"/>
      <c r="B883" s="36"/>
      <c r="C883" s="36"/>
      <c r="D883" s="36"/>
      <c r="E883" s="36"/>
      <c r="F883" s="36"/>
      <c r="G883" s="36"/>
      <c r="H883" s="37"/>
      <c r="I883" s="36"/>
      <c r="J883" s="38"/>
      <c r="K883" s="38"/>
      <c r="L883" s="39"/>
      <c r="M883" s="39"/>
      <c r="N883" s="39"/>
      <c r="O883" s="39"/>
      <c r="P883" s="39"/>
      <c r="Q883" s="39"/>
      <c r="R883" s="39"/>
      <c r="S883" s="39"/>
      <c r="T883" s="39"/>
      <c r="U883" s="39"/>
      <c r="V883" s="39"/>
      <c r="W883" s="39"/>
      <c r="X883" s="39"/>
      <c r="Y883" s="39"/>
      <c r="Z883" s="39"/>
      <c r="AA883" s="39"/>
      <c r="AB883" s="39"/>
    </row>
    <row r="884">
      <c r="A884" s="1"/>
      <c r="B884" s="36"/>
      <c r="C884" s="36"/>
      <c r="D884" s="36"/>
      <c r="E884" s="36"/>
      <c r="F884" s="36"/>
      <c r="G884" s="36"/>
      <c r="H884" s="37"/>
      <c r="I884" s="36"/>
      <c r="J884" s="38"/>
      <c r="K884" s="38"/>
      <c r="L884" s="39"/>
      <c r="M884" s="39"/>
      <c r="N884" s="39"/>
      <c r="O884" s="39"/>
      <c r="P884" s="39"/>
      <c r="Q884" s="39"/>
      <c r="R884" s="39"/>
      <c r="S884" s="39"/>
      <c r="T884" s="39"/>
      <c r="U884" s="39"/>
      <c r="V884" s="39"/>
      <c r="W884" s="39"/>
      <c r="X884" s="39"/>
      <c r="Y884" s="39"/>
      <c r="Z884" s="39"/>
      <c r="AA884" s="39"/>
      <c r="AB884" s="39"/>
    </row>
    <row r="885">
      <c r="A885" s="1"/>
      <c r="B885" s="36"/>
      <c r="C885" s="36"/>
      <c r="D885" s="36"/>
      <c r="E885" s="36"/>
      <c r="F885" s="36"/>
      <c r="G885" s="36"/>
      <c r="H885" s="37"/>
      <c r="I885" s="36"/>
      <c r="J885" s="38"/>
      <c r="K885" s="38"/>
      <c r="L885" s="39"/>
      <c r="M885" s="39"/>
      <c r="N885" s="39"/>
      <c r="O885" s="39"/>
      <c r="P885" s="39"/>
      <c r="Q885" s="39"/>
      <c r="R885" s="39"/>
      <c r="S885" s="39"/>
      <c r="T885" s="39"/>
      <c r="U885" s="39"/>
      <c r="V885" s="39"/>
      <c r="W885" s="39"/>
      <c r="X885" s="39"/>
      <c r="Y885" s="39"/>
      <c r="Z885" s="39"/>
      <c r="AA885" s="39"/>
      <c r="AB885" s="39"/>
    </row>
    <row r="886">
      <c r="A886" s="1"/>
      <c r="B886" s="36"/>
      <c r="C886" s="36"/>
      <c r="D886" s="36"/>
      <c r="E886" s="36"/>
      <c r="F886" s="36"/>
      <c r="G886" s="36"/>
      <c r="H886" s="37"/>
      <c r="I886" s="36"/>
      <c r="J886" s="38"/>
      <c r="K886" s="38"/>
      <c r="L886" s="39"/>
      <c r="M886" s="39"/>
      <c r="N886" s="39"/>
      <c r="O886" s="39"/>
      <c r="P886" s="39"/>
      <c r="Q886" s="39"/>
      <c r="R886" s="39"/>
      <c r="S886" s="39"/>
      <c r="T886" s="39"/>
      <c r="U886" s="39"/>
      <c r="V886" s="39"/>
      <c r="W886" s="39"/>
      <c r="X886" s="39"/>
      <c r="Y886" s="39"/>
      <c r="Z886" s="39"/>
      <c r="AA886" s="39"/>
      <c r="AB886" s="39"/>
    </row>
    <row r="887">
      <c r="A887" s="1"/>
      <c r="B887" s="36"/>
      <c r="C887" s="36"/>
      <c r="D887" s="36"/>
      <c r="E887" s="36"/>
      <c r="F887" s="36"/>
      <c r="G887" s="36"/>
      <c r="H887" s="37"/>
      <c r="I887" s="36"/>
      <c r="J887" s="38"/>
      <c r="K887" s="38"/>
      <c r="L887" s="39"/>
      <c r="M887" s="39"/>
      <c r="N887" s="39"/>
      <c r="O887" s="39"/>
      <c r="P887" s="39"/>
      <c r="Q887" s="39"/>
      <c r="R887" s="39"/>
      <c r="S887" s="39"/>
      <c r="T887" s="39"/>
      <c r="U887" s="39"/>
      <c r="V887" s="39"/>
      <c r="W887" s="39"/>
      <c r="X887" s="39"/>
      <c r="Y887" s="39"/>
      <c r="Z887" s="39"/>
      <c r="AA887" s="39"/>
      <c r="AB887" s="39"/>
    </row>
    <row r="888">
      <c r="A888" s="1"/>
      <c r="B888" s="36"/>
      <c r="C888" s="36"/>
      <c r="D888" s="36"/>
      <c r="E888" s="36"/>
      <c r="F888" s="36"/>
      <c r="G888" s="36"/>
      <c r="H888" s="37"/>
      <c r="I888" s="36"/>
      <c r="J888" s="38"/>
      <c r="K888" s="38"/>
      <c r="L888" s="39"/>
      <c r="M888" s="39"/>
      <c r="N888" s="39"/>
      <c r="O888" s="39"/>
      <c r="P888" s="39"/>
      <c r="Q888" s="39"/>
      <c r="R888" s="39"/>
      <c r="S888" s="39"/>
      <c r="T888" s="39"/>
      <c r="U888" s="39"/>
      <c r="V888" s="39"/>
      <c r="W888" s="39"/>
      <c r="X888" s="39"/>
      <c r="Y888" s="39"/>
      <c r="Z888" s="39"/>
      <c r="AA888" s="39"/>
      <c r="AB888" s="39"/>
    </row>
    <row r="889">
      <c r="A889" s="1"/>
      <c r="B889" s="36"/>
      <c r="C889" s="36"/>
      <c r="D889" s="36"/>
      <c r="E889" s="36"/>
      <c r="F889" s="36"/>
      <c r="G889" s="36"/>
      <c r="H889" s="37"/>
      <c r="I889" s="36"/>
      <c r="J889" s="38"/>
      <c r="K889" s="38"/>
      <c r="L889" s="39"/>
      <c r="M889" s="39"/>
      <c r="N889" s="39"/>
      <c r="O889" s="39"/>
      <c r="P889" s="39"/>
      <c r="Q889" s="39"/>
      <c r="R889" s="39"/>
      <c r="S889" s="39"/>
      <c r="T889" s="39"/>
      <c r="U889" s="39"/>
      <c r="V889" s="39"/>
      <c r="W889" s="39"/>
      <c r="X889" s="39"/>
      <c r="Y889" s="39"/>
      <c r="Z889" s="39"/>
      <c r="AA889" s="39"/>
      <c r="AB889" s="39"/>
    </row>
    <row r="890">
      <c r="A890" s="1"/>
      <c r="B890" s="36"/>
      <c r="C890" s="36"/>
      <c r="D890" s="36"/>
      <c r="E890" s="36"/>
      <c r="F890" s="36"/>
      <c r="G890" s="36"/>
      <c r="H890" s="37"/>
      <c r="I890" s="36"/>
      <c r="J890" s="38"/>
      <c r="K890" s="38"/>
      <c r="L890" s="39"/>
      <c r="M890" s="39"/>
      <c r="N890" s="39"/>
      <c r="O890" s="39"/>
      <c r="P890" s="39"/>
      <c r="Q890" s="39"/>
      <c r="R890" s="39"/>
      <c r="S890" s="39"/>
      <c r="T890" s="39"/>
      <c r="U890" s="39"/>
      <c r="V890" s="39"/>
      <c r="W890" s="39"/>
      <c r="X890" s="39"/>
      <c r="Y890" s="39"/>
      <c r="Z890" s="39"/>
      <c r="AA890" s="39"/>
      <c r="AB890" s="39"/>
    </row>
    <row r="891">
      <c r="A891" s="1"/>
      <c r="B891" s="36"/>
      <c r="C891" s="36"/>
      <c r="D891" s="36"/>
      <c r="E891" s="36"/>
      <c r="F891" s="36"/>
      <c r="G891" s="36"/>
      <c r="H891" s="37"/>
      <c r="I891" s="36"/>
      <c r="J891" s="38"/>
      <c r="K891" s="38"/>
      <c r="L891" s="39"/>
      <c r="M891" s="39"/>
      <c r="N891" s="39"/>
      <c r="O891" s="39"/>
      <c r="P891" s="39"/>
      <c r="Q891" s="39"/>
      <c r="R891" s="39"/>
      <c r="S891" s="39"/>
      <c r="T891" s="39"/>
      <c r="U891" s="39"/>
      <c r="V891" s="39"/>
      <c r="W891" s="39"/>
      <c r="X891" s="39"/>
      <c r="Y891" s="39"/>
      <c r="Z891" s="39"/>
      <c r="AA891" s="39"/>
      <c r="AB891" s="39"/>
    </row>
    <row r="892">
      <c r="A892" s="1"/>
      <c r="B892" s="36"/>
      <c r="C892" s="36"/>
      <c r="D892" s="36"/>
      <c r="E892" s="36"/>
      <c r="F892" s="36"/>
      <c r="G892" s="36"/>
      <c r="H892" s="37"/>
      <c r="I892" s="36"/>
      <c r="J892" s="38"/>
      <c r="K892" s="38"/>
      <c r="L892" s="39"/>
      <c r="M892" s="39"/>
      <c r="N892" s="39"/>
      <c r="O892" s="39"/>
      <c r="P892" s="39"/>
      <c r="Q892" s="39"/>
      <c r="R892" s="39"/>
      <c r="S892" s="39"/>
      <c r="T892" s="39"/>
      <c r="U892" s="39"/>
      <c r="V892" s="39"/>
      <c r="W892" s="39"/>
      <c r="X892" s="39"/>
      <c r="Y892" s="39"/>
      <c r="Z892" s="39"/>
      <c r="AA892" s="39"/>
      <c r="AB892" s="39"/>
    </row>
    <row r="893">
      <c r="A893" s="1"/>
      <c r="B893" s="36"/>
      <c r="C893" s="36"/>
      <c r="D893" s="36"/>
      <c r="E893" s="36"/>
      <c r="F893" s="36"/>
      <c r="G893" s="36"/>
      <c r="H893" s="37"/>
      <c r="I893" s="36"/>
      <c r="J893" s="38"/>
      <c r="K893" s="38"/>
      <c r="L893" s="39"/>
      <c r="M893" s="39"/>
      <c r="N893" s="39"/>
      <c r="O893" s="39"/>
      <c r="P893" s="39"/>
      <c r="Q893" s="39"/>
      <c r="R893" s="39"/>
      <c r="S893" s="39"/>
      <c r="T893" s="39"/>
      <c r="U893" s="39"/>
      <c r="V893" s="39"/>
      <c r="W893" s="39"/>
      <c r="X893" s="39"/>
      <c r="Y893" s="39"/>
      <c r="Z893" s="39"/>
      <c r="AA893" s="39"/>
      <c r="AB893" s="39"/>
    </row>
    <row r="894">
      <c r="A894" s="1"/>
      <c r="B894" s="36"/>
      <c r="C894" s="36"/>
      <c r="D894" s="36"/>
      <c r="E894" s="36"/>
      <c r="F894" s="36"/>
      <c r="G894" s="36"/>
      <c r="H894" s="37"/>
      <c r="I894" s="36"/>
      <c r="J894" s="38"/>
      <c r="K894" s="38"/>
      <c r="L894" s="39"/>
      <c r="M894" s="39"/>
      <c r="N894" s="39"/>
      <c r="O894" s="39"/>
      <c r="P894" s="39"/>
      <c r="Q894" s="39"/>
      <c r="R894" s="39"/>
      <c r="S894" s="39"/>
      <c r="T894" s="39"/>
      <c r="U894" s="39"/>
      <c r="V894" s="39"/>
      <c r="W894" s="39"/>
      <c r="X894" s="39"/>
      <c r="Y894" s="39"/>
      <c r="Z894" s="39"/>
      <c r="AA894" s="39"/>
      <c r="AB894" s="39"/>
    </row>
    <row r="895">
      <c r="A895" s="1"/>
      <c r="B895" s="36"/>
      <c r="C895" s="36"/>
      <c r="D895" s="36"/>
      <c r="E895" s="36"/>
      <c r="F895" s="36"/>
      <c r="G895" s="36"/>
      <c r="H895" s="37"/>
      <c r="I895" s="36"/>
      <c r="J895" s="38"/>
      <c r="K895" s="38"/>
      <c r="L895" s="39"/>
      <c r="M895" s="39"/>
      <c r="N895" s="39"/>
      <c r="O895" s="39"/>
      <c r="P895" s="39"/>
      <c r="Q895" s="39"/>
      <c r="R895" s="39"/>
      <c r="S895" s="39"/>
      <c r="T895" s="39"/>
      <c r="U895" s="39"/>
      <c r="V895" s="39"/>
      <c r="W895" s="39"/>
      <c r="X895" s="39"/>
      <c r="Y895" s="39"/>
      <c r="Z895" s="39"/>
      <c r="AA895" s="39"/>
      <c r="AB895" s="39"/>
    </row>
    <row r="896">
      <c r="A896" s="1"/>
      <c r="B896" s="36"/>
      <c r="C896" s="36"/>
      <c r="D896" s="36"/>
      <c r="E896" s="36"/>
      <c r="F896" s="36"/>
      <c r="G896" s="36"/>
      <c r="H896" s="37"/>
      <c r="I896" s="36"/>
      <c r="J896" s="38"/>
      <c r="K896" s="38"/>
      <c r="L896" s="39"/>
      <c r="M896" s="39"/>
      <c r="N896" s="39"/>
      <c r="O896" s="39"/>
      <c r="P896" s="39"/>
      <c r="Q896" s="39"/>
      <c r="R896" s="39"/>
      <c r="S896" s="39"/>
      <c r="T896" s="39"/>
      <c r="U896" s="39"/>
      <c r="V896" s="39"/>
      <c r="W896" s="39"/>
      <c r="X896" s="39"/>
      <c r="Y896" s="39"/>
      <c r="Z896" s="39"/>
      <c r="AA896" s="39"/>
      <c r="AB896" s="39"/>
    </row>
    <row r="897">
      <c r="A897" s="1"/>
      <c r="B897" s="36"/>
      <c r="C897" s="36"/>
      <c r="D897" s="36"/>
      <c r="E897" s="36"/>
      <c r="F897" s="36"/>
      <c r="G897" s="36"/>
      <c r="H897" s="37"/>
      <c r="I897" s="36"/>
      <c r="J897" s="38"/>
      <c r="K897" s="38"/>
      <c r="L897" s="39"/>
      <c r="M897" s="39"/>
      <c r="N897" s="39"/>
      <c r="O897" s="39"/>
      <c r="P897" s="39"/>
      <c r="Q897" s="39"/>
      <c r="R897" s="39"/>
      <c r="S897" s="39"/>
      <c r="T897" s="39"/>
      <c r="U897" s="39"/>
      <c r="V897" s="39"/>
      <c r="W897" s="39"/>
      <c r="X897" s="39"/>
      <c r="Y897" s="39"/>
      <c r="Z897" s="39"/>
      <c r="AA897" s="39"/>
      <c r="AB897" s="39"/>
    </row>
    <row r="898">
      <c r="A898" s="1"/>
      <c r="B898" s="36"/>
      <c r="C898" s="36"/>
      <c r="D898" s="36"/>
      <c r="E898" s="36"/>
      <c r="F898" s="36"/>
      <c r="G898" s="36"/>
      <c r="H898" s="37"/>
      <c r="I898" s="36"/>
      <c r="J898" s="38"/>
      <c r="K898" s="38"/>
      <c r="L898" s="39"/>
      <c r="M898" s="39"/>
      <c r="N898" s="39"/>
      <c r="O898" s="39"/>
      <c r="P898" s="39"/>
      <c r="Q898" s="39"/>
      <c r="R898" s="39"/>
      <c r="S898" s="39"/>
      <c r="T898" s="39"/>
      <c r="U898" s="39"/>
      <c r="V898" s="39"/>
      <c r="W898" s="39"/>
      <c r="X898" s="39"/>
      <c r="Y898" s="39"/>
      <c r="Z898" s="39"/>
      <c r="AA898" s="39"/>
      <c r="AB898" s="39"/>
    </row>
    <row r="899">
      <c r="A899" s="1"/>
      <c r="B899" s="36"/>
      <c r="C899" s="36"/>
      <c r="D899" s="36"/>
      <c r="E899" s="36"/>
      <c r="F899" s="36"/>
      <c r="G899" s="36"/>
      <c r="H899" s="37"/>
      <c r="I899" s="36"/>
      <c r="J899" s="38"/>
      <c r="K899" s="38"/>
      <c r="L899" s="39"/>
      <c r="M899" s="39"/>
      <c r="N899" s="39"/>
      <c r="O899" s="39"/>
      <c r="P899" s="39"/>
      <c r="Q899" s="39"/>
      <c r="R899" s="39"/>
      <c r="S899" s="39"/>
      <c r="T899" s="39"/>
      <c r="U899" s="39"/>
      <c r="V899" s="39"/>
      <c r="W899" s="39"/>
      <c r="X899" s="39"/>
      <c r="Y899" s="39"/>
      <c r="Z899" s="39"/>
      <c r="AA899" s="39"/>
      <c r="AB899" s="39"/>
    </row>
    <row r="900">
      <c r="A900" s="1"/>
      <c r="B900" s="36"/>
      <c r="C900" s="36"/>
      <c r="D900" s="36"/>
      <c r="E900" s="36"/>
      <c r="F900" s="36"/>
      <c r="G900" s="36"/>
      <c r="H900" s="37"/>
      <c r="I900" s="36"/>
      <c r="J900" s="38"/>
      <c r="K900" s="38"/>
      <c r="L900" s="39"/>
      <c r="M900" s="39"/>
      <c r="N900" s="39"/>
      <c r="O900" s="39"/>
      <c r="P900" s="39"/>
      <c r="Q900" s="39"/>
      <c r="R900" s="39"/>
      <c r="S900" s="39"/>
      <c r="T900" s="39"/>
      <c r="U900" s="39"/>
      <c r="V900" s="39"/>
      <c r="W900" s="39"/>
      <c r="X900" s="39"/>
      <c r="Y900" s="39"/>
      <c r="Z900" s="39"/>
      <c r="AA900" s="39"/>
      <c r="AB900" s="39"/>
    </row>
    <row r="901">
      <c r="A901" s="1"/>
      <c r="B901" s="36"/>
      <c r="C901" s="36"/>
      <c r="D901" s="36"/>
      <c r="E901" s="36"/>
      <c r="F901" s="36"/>
      <c r="G901" s="36"/>
      <c r="H901" s="37"/>
      <c r="I901" s="36"/>
      <c r="J901" s="38"/>
      <c r="K901" s="38"/>
      <c r="L901" s="39"/>
      <c r="M901" s="39"/>
      <c r="N901" s="39"/>
      <c r="O901" s="39"/>
      <c r="P901" s="39"/>
      <c r="Q901" s="39"/>
      <c r="R901" s="39"/>
      <c r="S901" s="39"/>
      <c r="T901" s="39"/>
      <c r="U901" s="39"/>
      <c r="V901" s="39"/>
      <c r="W901" s="39"/>
      <c r="X901" s="39"/>
      <c r="Y901" s="39"/>
      <c r="Z901" s="39"/>
      <c r="AA901" s="39"/>
      <c r="AB901" s="39"/>
    </row>
    <row r="902">
      <c r="A902" s="1"/>
      <c r="B902" s="36"/>
      <c r="C902" s="36"/>
      <c r="D902" s="36"/>
      <c r="E902" s="36"/>
      <c r="F902" s="36"/>
      <c r="G902" s="36"/>
      <c r="H902" s="37"/>
      <c r="I902" s="36"/>
      <c r="J902" s="38"/>
      <c r="K902" s="38"/>
      <c r="L902" s="39"/>
      <c r="M902" s="39"/>
      <c r="N902" s="39"/>
      <c r="O902" s="39"/>
      <c r="P902" s="39"/>
      <c r="Q902" s="39"/>
      <c r="R902" s="39"/>
      <c r="S902" s="39"/>
      <c r="T902" s="39"/>
      <c r="U902" s="39"/>
      <c r="V902" s="39"/>
      <c r="W902" s="39"/>
      <c r="X902" s="39"/>
      <c r="Y902" s="39"/>
      <c r="Z902" s="39"/>
      <c r="AA902" s="39"/>
      <c r="AB902" s="39"/>
    </row>
    <row r="903">
      <c r="A903" s="1"/>
      <c r="B903" s="36"/>
      <c r="C903" s="36"/>
      <c r="D903" s="36"/>
      <c r="E903" s="36"/>
      <c r="F903" s="36"/>
      <c r="G903" s="36"/>
      <c r="H903" s="37"/>
      <c r="I903" s="36"/>
      <c r="J903" s="38"/>
      <c r="K903" s="38"/>
      <c r="L903" s="39"/>
      <c r="M903" s="39"/>
      <c r="N903" s="39"/>
      <c r="O903" s="39"/>
      <c r="P903" s="39"/>
      <c r="Q903" s="39"/>
      <c r="R903" s="39"/>
      <c r="S903" s="39"/>
      <c r="T903" s="39"/>
      <c r="U903" s="39"/>
      <c r="V903" s="39"/>
      <c r="W903" s="39"/>
      <c r="X903" s="39"/>
      <c r="Y903" s="39"/>
      <c r="Z903" s="39"/>
      <c r="AA903" s="39"/>
      <c r="AB903" s="39"/>
    </row>
    <row r="904">
      <c r="A904" s="1"/>
      <c r="B904" s="36"/>
      <c r="C904" s="36"/>
      <c r="D904" s="36"/>
      <c r="E904" s="36"/>
      <c r="F904" s="36"/>
      <c r="G904" s="36"/>
      <c r="H904" s="37"/>
      <c r="I904" s="36"/>
      <c r="J904" s="38"/>
      <c r="K904" s="38"/>
      <c r="L904" s="39"/>
      <c r="M904" s="39"/>
      <c r="N904" s="39"/>
      <c r="O904" s="39"/>
      <c r="P904" s="39"/>
      <c r="Q904" s="39"/>
      <c r="R904" s="39"/>
      <c r="S904" s="39"/>
      <c r="T904" s="39"/>
      <c r="U904" s="39"/>
      <c r="V904" s="39"/>
      <c r="W904" s="39"/>
      <c r="X904" s="39"/>
      <c r="Y904" s="39"/>
      <c r="Z904" s="39"/>
      <c r="AA904" s="39"/>
      <c r="AB904" s="39"/>
    </row>
    <row r="905">
      <c r="A905" s="1"/>
      <c r="B905" s="36"/>
      <c r="C905" s="36"/>
      <c r="D905" s="36"/>
      <c r="E905" s="36"/>
      <c r="F905" s="36"/>
      <c r="G905" s="36"/>
      <c r="H905" s="37"/>
      <c r="I905" s="36"/>
      <c r="J905" s="38"/>
      <c r="K905" s="38"/>
      <c r="L905" s="39"/>
      <c r="M905" s="39"/>
      <c r="N905" s="39"/>
      <c r="O905" s="39"/>
      <c r="P905" s="39"/>
      <c r="Q905" s="39"/>
      <c r="R905" s="39"/>
      <c r="S905" s="39"/>
      <c r="T905" s="39"/>
      <c r="U905" s="39"/>
      <c r="V905" s="39"/>
      <c r="W905" s="39"/>
      <c r="X905" s="39"/>
      <c r="Y905" s="39"/>
      <c r="Z905" s="39"/>
      <c r="AA905" s="39"/>
      <c r="AB905" s="39"/>
    </row>
    <row r="906">
      <c r="A906" s="1"/>
      <c r="B906" s="36"/>
      <c r="C906" s="36"/>
      <c r="D906" s="36"/>
      <c r="E906" s="36"/>
      <c r="F906" s="36"/>
      <c r="G906" s="36"/>
      <c r="H906" s="37"/>
      <c r="I906" s="36"/>
      <c r="J906" s="38"/>
      <c r="K906" s="38"/>
      <c r="L906" s="39"/>
      <c r="M906" s="39"/>
      <c r="N906" s="39"/>
      <c r="O906" s="39"/>
      <c r="P906" s="39"/>
      <c r="Q906" s="39"/>
      <c r="R906" s="39"/>
      <c r="S906" s="39"/>
      <c r="T906" s="39"/>
      <c r="U906" s="39"/>
      <c r="V906" s="39"/>
      <c r="W906" s="39"/>
      <c r="X906" s="39"/>
      <c r="Y906" s="39"/>
      <c r="Z906" s="39"/>
      <c r="AA906" s="39"/>
      <c r="AB906" s="39"/>
    </row>
    <row r="907">
      <c r="A907" s="1"/>
      <c r="B907" s="36"/>
      <c r="C907" s="36"/>
      <c r="D907" s="36"/>
      <c r="E907" s="36"/>
      <c r="F907" s="36"/>
      <c r="G907" s="36"/>
      <c r="H907" s="37"/>
      <c r="I907" s="36"/>
      <c r="J907" s="38"/>
      <c r="K907" s="38"/>
      <c r="L907" s="39"/>
      <c r="M907" s="39"/>
      <c r="N907" s="39"/>
      <c r="O907" s="39"/>
      <c r="P907" s="39"/>
      <c r="Q907" s="39"/>
      <c r="R907" s="39"/>
      <c r="S907" s="39"/>
      <c r="T907" s="39"/>
      <c r="U907" s="39"/>
      <c r="V907" s="39"/>
      <c r="W907" s="39"/>
      <c r="X907" s="39"/>
      <c r="Y907" s="39"/>
      <c r="Z907" s="39"/>
      <c r="AA907" s="39"/>
      <c r="AB907" s="39"/>
    </row>
    <row r="908">
      <c r="A908" s="1"/>
      <c r="B908" s="36"/>
      <c r="C908" s="36"/>
      <c r="D908" s="36"/>
      <c r="E908" s="36"/>
      <c r="F908" s="36"/>
      <c r="G908" s="36"/>
      <c r="H908" s="37"/>
      <c r="I908" s="36"/>
      <c r="J908" s="38"/>
      <c r="K908" s="38"/>
      <c r="L908" s="39"/>
      <c r="M908" s="39"/>
      <c r="N908" s="39"/>
      <c r="O908" s="39"/>
      <c r="P908" s="39"/>
      <c r="Q908" s="39"/>
      <c r="R908" s="39"/>
      <c r="S908" s="39"/>
      <c r="T908" s="39"/>
      <c r="U908" s="39"/>
      <c r="V908" s="39"/>
      <c r="W908" s="39"/>
      <c r="X908" s="39"/>
      <c r="Y908" s="39"/>
      <c r="Z908" s="39"/>
      <c r="AA908" s="39"/>
      <c r="AB908" s="39"/>
    </row>
    <row r="909">
      <c r="A909" s="1"/>
      <c r="B909" s="36"/>
      <c r="C909" s="36"/>
      <c r="D909" s="36"/>
      <c r="E909" s="36"/>
      <c r="F909" s="36"/>
      <c r="G909" s="36"/>
      <c r="H909" s="37"/>
      <c r="I909" s="36"/>
      <c r="J909" s="38"/>
      <c r="K909" s="38"/>
      <c r="L909" s="39"/>
      <c r="M909" s="39"/>
      <c r="N909" s="39"/>
      <c r="O909" s="39"/>
      <c r="P909" s="39"/>
      <c r="Q909" s="39"/>
      <c r="R909" s="39"/>
      <c r="S909" s="39"/>
      <c r="T909" s="39"/>
      <c r="U909" s="39"/>
      <c r="V909" s="39"/>
      <c r="W909" s="39"/>
      <c r="X909" s="39"/>
      <c r="Y909" s="39"/>
      <c r="Z909" s="39"/>
      <c r="AA909" s="39"/>
      <c r="AB909" s="39"/>
    </row>
    <row r="910">
      <c r="A910" s="1"/>
      <c r="B910" s="36"/>
      <c r="C910" s="36"/>
      <c r="D910" s="36"/>
      <c r="E910" s="36"/>
      <c r="F910" s="36"/>
      <c r="G910" s="36"/>
      <c r="H910" s="37"/>
      <c r="I910" s="36"/>
      <c r="J910" s="38"/>
      <c r="K910" s="38"/>
      <c r="L910" s="39"/>
      <c r="M910" s="39"/>
      <c r="N910" s="39"/>
      <c r="O910" s="39"/>
      <c r="P910" s="39"/>
      <c r="Q910" s="39"/>
      <c r="R910" s="39"/>
      <c r="S910" s="39"/>
      <c r="T910" s="39"/>
      <c r="U910" s="39"/>
      <c r="V910" s="39"/>
      <c r="W910" s="39"/>
      <c r="X910" s="39"/>
      <c r="Y910" s="39"/>
      <c r="Z910" s="39"/>
      <c r="AA910" s="39"/>
      <c r="AB910" s="39"/>
    </row>
    <row r="911">
      <c r="A911" s="1"/>
      <c r="B911" s="36"/>
      <c r="C911" s="36"/>
      <c r="D911" s="36"/>
      <c r="E911" s="36"/>
      <c r="F911" s="36"/>
      <c r="G911" s="36"/>
      <c r="H911" s="37"/>
      <c r="I911" s="36"/>
      <c r="J911" s="38"/>
      <c r="K911" s="38"/>
      <c r="L911" s="39"/>
      <c r="M911" s="39"/>
      <c r="N911" s="39"/>
      <c r="O911" s="39"/>
      <c r="P911" s="39"/>
      <c r="Q911" s="39"/>
      <c r="R911" s="39"/>
      <c r="S911" s="39"/>
      <c r="T911" s="39"/>
      <c r="U911" s="39"/>
      <c r="V911" s="39"/>
      <c r="W911" s="39"/>
      <c r="X911" s="39"/>
      <c r="Y911" s="39"/>
      <c r="Z911" s="39"/>
      <c r="AA911" s="39"/>
      <c r="AB911" s="39"/>
    </row>
    <row r="912">
      <c r="A912" s="1"/>
      <c r="B912" s="36"/>
      <c r="C912" s="36"/>
      <c r="D912" s="36"/>
      <c r="E912" s="36"/>
      <c r="F912" s="36"/>
      <c r="G912" s="36"/>
      <c r="H912" s="37"/>
      <c r="I912" s="36"/>
      <c r="J912" s="38"/>
      <c r="K912" s="38"/>
      <c r="L912" s="39"/>
      <c r="M912" s="39"/>
      <c r="N912" s="39"/>
      <c r="O912" s="39"/>
      <c r="P912" s="39"/>
      <c r="Q912" s="39"/>
      <c r="R912" s="39"/>
      <c r="S912" s="39"/>
      <c r="T912" s="39"/>
      <c r="U912" s="39"/>
      <c r="V912" s="39"/>
      <c r="W912" s="39"/>
      <c r="X912" s="39"/>
      <c r="Y912" s="39"/>
      <c r="Z912" s="39"/>
      <c r="AA912" s="39"/>
      <c r="AB912" s="39"/>
    </row>
    <row r="913">
      <c r="A913" s="1"/>
      <c r="B913" s="36"/>
      <c r="C913" s="36"/>
      <c r="D913" s="36"/>
      <c r="E913" s="36"/>
      <c r="F913" s="36"/>
      <c r="G913" s="36"/>
      <c r="H913" s="37"/>
      <c r="I913" s="36"/>
      <c r="J913" s="38"/>
      <c r="K913" s="38"/>
      <c r="L913" s="39"/>
      <c r="M913" s="39"/>
      <c r="N913" s="39"/>
      <c r="O913" s="39"/>
      <c r="P913" s="39"/>
      <c r="Q913" s="39"/>
      <c r="R913" s="39"/>
      <c r="S913" s="39"/>
      <c r="T913" s="39"/>
      <c r="U913" s="39"/>
      <c r="V913" s="39"/>
      <c r="W913" s="39"/>
      <c r="X913" s="39"/>
      <c r="Y913" s="39"/>
      <c r="Z913" s="39"/>
      <c r="AA913" s="39"/>
      <c r="AB913" s="39"/>
    </row>
    <row r="914">
      <c r="A914" s="1"/>
      <c r="B914" s="36"/>
      <c r="C914" s="36"/>
      <c r="D914" s="36"/>
      <c r="E914" s="36"/>
      <c r="F914" s="36"/>
      <c r="G914" s="36"/>
      <c r="H914" s="37"/>
      <c r="I914" s="36"/>
      <c r="J914" s="38"/>
      <c r="K914" s="38"/>
      <c r="L914" s="39"/>
      <c r="M914" s="39"/>
      <c r="N914" s="39"/>
      <c r="O914" s="39"/>
      <c r="P914" s="39"/>
      <c r="Q914" s="39"/>
      <c r="R914" s="39"/>
      <c r="S914" s="39"/>
      <c r="T914" s="39"/>
      <c r="U914" s="39"/>
      <c r="V914" s="39"/>
      <c r="W914" s="39"/>
      <c r="X914" s="39"/>
      <c r="Y914" s="39"/>
      <c r="Z914" s="39"/>
      <c r="AA914" s="39"/>
      <c r="AB914" s="39"/>
    </row>
    <row r="915">
      <c r="A915" s="1"/>
      <c r="B915" s="36"/>
      <c r="C915" s="36"/>
      <c r="D915" s="36"/>
      <c r="E915" s="36"/>
      <c r="F915" s="36"/>
      <c r="G915" s="36"/>
      <c r="H915" s="37"/>
      <c r="I915" s="36"/>
      <c r="J915" s="38"/>
      <c r="K915" s="38"/>
      <c r="L915" s="39"/>
      <c r="M915" s="39"/>
      <c r="N915" s="39"/>
      <c r="O915" s="39"/>
      <c r="P915" s="39"/>
      <c r="Q915" s="39"/>
      <c r="R915" s="39"/>
      <c r="S915" s="39"/>
      <c r="T915" s="39"/>
      <c r="U915" s="39"/>
      <c r="V915" s="39"/>
      <c r="W915" s="39"/>
      <c r="X915" s="39"/>
      <c r="Y915" s="39"/>
      <c r="Z915" s="39"/>
      <c r="AA915" s="39"/>
      <c r="AB915" s="39"/>
    </row>
    <row r="916">
      <c r="A916" s="1"/>
      <c r="B916" s="36"/>
      <c r="C916" s="36"/>
      <c r="D916" s="36"/>
      <c r="E916" s="36"/>
      <c r="F916" s="36"/>
      <c r="G916" s="36"/>
      <c r="H916" s="37"/>
      <c r="I916" s="36"/>
      <c r="J916" s="38"/>
      <c r="K916" s="38"/>
      <c r="L916" s="39"/>
      <c r="M916" s="39"/>
      <c r="N916" s="39"/>
      <c r="O916" s="39"/>
      <c r="P916" s="39"/>
      <c r="Q916" s="39"/>
      <c r="R916" s="39"/>
      <c r="S916" s="39"/>
      <c r="T916" s="39"/>
      <c r="U916" s="39"/>
      <c r="V916" s="39"/>
      <c r="W916" s="39"/>
      <c r="X916" s="39"/>
      <c r="Y916" s="39"/>
      <c r="Z916" s="39"/>
      <c r="AA916" s="39"/>
      <c r="AB916" s="39"/>
    </row>
    <row r="917">
      <c r="A917" s="1"/>
      <c r="B917" s="36"/>
      <c r="C917" s="36"/>
      <c r="D917" s="36"/>
      <c r="E917" s="36"/>
      <c r="F917" s="36"/>
      <c r="G917" s="36"/>
      <c r="H917" s="37"/>
      <c r="I917" s="36"/>
      <c r="J917" s="38"/>
      <c r="K917" s="38"/>
      <c r="L917" s="39"/>
      <c r="M917" s="39"/>
      <c r="N917" s="39"/>
      <c r="O917" s="39"/>
      <c r="P917" s="39"/>
      <c r="Q917" s="39"/>
      <c r="R917" s="39"/>
      <c r="S917" s="39"/>
      <c r="T917" s="39"/>
      <c r="U917" s="39"/>
      <c r="V917" s="39"/>
      <c r="W917" s="39"/>
      <c r="X917" s="39"/>
      <c r="Y917" s="39"/>
      <c r="Z917" s="39"/>
      <c r="AA917" s="39"/>
      <c r="AB917" s="39"/>
    </row>
    <row r="918">
      <c r="A918" s="1"/>
      <c r="B918" s="36"/>
      <c r="C918" s="36"/>
      <c r="D918" s="36"/>
      <c r="E918" s="36"/>
      <c r="F918" s="36"/>
      <c r="G918" s="36"/>
      <c r="H918" s="37"/>
      <c r="I918" s="36"/>
      <c r="J918" s="38"/>
      <c r="K918" s="38"/>
      <c r="L918" s="39"/>
      <c r="M918" s="39"/>
      <c r="N918" s="39"/>
      <c r="O918" s="39"/>
      <c r="P918" s="39"/>
      <c r="Q918" s="39"/>
      <c r="R918" s="39"/>
      <c r="S918" s="39"/>
      <c r="T918" s="39"/>
      <c r="U918" s="39"/>
      <c r="V918" s="39"/>
      <c r="W918" s="39"/>
      <c r="X918" s="39"/>
      <c r="Y918" s="39"/>
      <c r="Z918" s="39"/>
      <c r="AA918" s="39"/>
      <c r="AB918" s="39"/>
    </row>
    <row r="919">
      <c r="A919" s="1"/>
      <c r="B919" s="36"/>
      <c r="C919" s="36"/>
      <c r="D919" s="36"/>
      <c r="E919" s="36"/>
      <c r="F919" s="36"/>
      <c r="G919" s="36"/>
      <c r="H919" s="37"/>
      <c r="I919" s="36"/>
      <c r="J919" s="38"/>
      <c r="K919" s="38"/>
      <c r="L919" s="39"/>
      <c r="M919" s="39"/>
      <c r="N919" s="39"/>
      <c r="O919" s="39"/>
      <c r="P919" s="39"/>
      <c r="Q919" s="39"/>
      <c r="R919" s="39"/>
      <c r="S919" s="39"/>
      <c r="T919" s="39"/>
      <c r="U919" s="39"/>
      <c r="V919" s="39"/>
      <c r="W919" s="39"/>
      <c r="X919" s="39"/>
      <c r="Y919" s="39"/>
      <c r="Z919" s="39"/>
      <c r="AA919" s="39"/>
      <c r="AB919" s="39"/>
    </row>
    <row r="920">
      <c r="A920" s="1"/>
      <c r="B920" s="36"/>
      <c r="C920" s="36"/>
      <c r="D920" s="36"/>
      <c r="E920" s="36"/>
      <c r="F920" s="36"/>
      <c r="G920" s="36"/>
      <c r="H920" s="37"/>
      <c r="I920" s="36"/>
      <c r="J920" s="38"/>
      <c r="K920" s="38"/>
      <c r="L920" s="39"/>
      <c r="M920" s="39"/>
      <c r="N920" s="39"/>
      <c r="O920" s="39"/>
      <c r="P920" s="39"/>
      <c r="Q920" s="39"/>
      <c r="R920" s="39"/>
      <c r="S920" s="39"/>
      <c r="T920" s="39"/>
      <c r="U920" s="39"/>
      <c r="V920" s="39"/>
      <c r="W920" s="39"/>
      <c r="X920" s="39"/>
      <c r="Y920" s="39"/>
      <c r="Z920" s="39"/>
      <c r="AA920" s="39"/>
      <c r="AB920" s="39"/>
    </row>
    <row r="921">
      <c r="A921" s="1"/>
      <c r="B921" s="36"/>
      <c r="C921" s="36"/>
      <c r="D921" s="36"/>
      <c r="E921" s="36"/>
      <c r="F921" s="36"/>
      <c r="G921" s="36"/>
      <c r="H921" s="37"/>
      <c r="I921" s="36"/>
      <c r="J921" s="38"/>
      <c r="K921" s="38"/>
      <c r="L921" s="39"/>
      <c r="M921" s="39"/>
      <c r="N921" s="39"/>
      <c r="O921" s="39"/>
      <c r="P921" s="39"/>
      <c r="Q921" s="39"/>
      <c r="R921" s="39"/>
      <c r="S921" s="39"/>
      <c r="T921" s="39"/>
      <c r="U921" s="39"/>
      <c r="V921" s="39"/>
      <c r="W921" s="39"/>
      <c r="X921" s="39"/>
      <c r="Y921" s="39"/>
      <c r="Z921" s="39"/>
      <c r="AA921" s="39"/>
      <c r="AB921" s="39"/>
    </row>
    <row r="922">
      <c r="A922" s="1"/>
      <c r="B922" s="36"/>
      <c r="C922" s="36"/>
      <c r="D922" s="36"/>
      <c r="E922" s="36"/>
      <c r="F922" s="36"/>
      <c r="G922" s="36"/>
      <c r="H922" s="37"/>
      <c r="I922" s="36"/>
      <c r="J922" s="38"/>
      <c r="K922" s="38"/>
      <c r="L922" s="39"/>
      <c r="M922" s="39"/>
      <c r="N922" s="39"/>
      <c r="O922" s="39"/>
      <c r="P922" s="39"/>
      <c r="Q922" s="39"/>
      <c r="R922" s="39"/>
      <c r="S922" s="39"/>
      <c r="T922" s="39"/>
      <c r="U922" s="39"/>
      <c r="V922" s="39"/>
      <c r="W922" s="39"/>
      <c r="X922" s="39"/>
      <c r="Y922" s="39"/>
      <c r="Z922" s="39"/>
      <c r="AA922" s="39"/>
      <c r="AB922" s="39"/>
    </row>
    <row r="923">
      <c r="A923" s="1"/>
      <c r="B923" s="36"/>
      <c r="C923" s="36"/>
      <c r="D923" s="36"/>
      <c r="E923" s="36"/>
      <c r="F923" s="36"/>
      <c r="G923" s="36"/>
      <c r="H923" s="37"/>
      <c r="I923" s="36"/>
      <c r="J923" s="38"/>
      <c r="K923" s="38"/>
      <c r="L923" s="39"/>
      <c r="M923" s="39"/>
      <c r="N923" s="39"/>
      <c r="O923" s="39"/>
      <c r="P923" s="39"/>
      <c r="Q923" s="39"/>
      <c r="R923" s="39"/>
      <c r="S923" s="39"/>
      <c r="T923" s="39"/>
      <c r="U923" s="39"/>
      <c r="V923" s="39"/>
      <c r="W923" s="39"/>
      <c r="X923" s="39"/>
      <c r="Y923" s="39"/>
      <c r="Z923" s="39"/>
      <c r="AA923" s="39"/>
      <c r="AB923" s="39"/>
    </row>
    <row r="924">
      <c r="A924" s="1"/>
      <c r="B924" s="36"/>
      <c r="C924" s="36"/>
      <c r="D924" s="36"/>
      <c r="E924" s="36"/>
      <c r="F924" s="36"/>
      <c r="G924" s="36"/>
      <c r="H924" s="37"/>
      <c r="I924" s="36"/>
      <c r="J924" s="38"/>
      <c r="K924" s="38"/>
      <c r="L924" s="39"/>
      <c r="M924" s="39"/>
      <c r="N924" s="39"/>
      <c r="O924" s="39"/>
      <c r="P924" s="39"/>
      <c r="Q924" s="39"/>
      <c r="R924" s="39"/>
      <c r="S924" s="39"/>
      <c r="T924" s="39"/>
      <c r="U924" s="39"/>
      <c r="V924" s="39"/>
      <c r="W924" s="39"/>
      <c r="X924" s="39"/>
      <c r="Y924" s="39"/>
      <c r="Z924" s="39"/>
      <c r="AA924" s="39"/>
      <c r="AB924" s="39"/>
    </row>
    <row r="925">
      <c r="A925" s="1"/>
      <c r="B925" s="36"/>
      <c r="C925" s="36"/>
      <c r="D925" s="36"/>
      <c r="E925" s="36"/>
      <c r="F925" s="36"/>
      <c r="G925" s="36"/>
      <c r="H925" s="37"/>
      <c r="I925" s="36"/>
      <c r="J925" s="38"/>
      <c r="K925" s="38"/>
      <c r="L925" s="39"/>
      <c r="M925" s="39"/>
      <c r="N925" s="39"/>
      <c r="O925" s="39"/>
      <c r="P925" s="39"/>
      <c r="Q925" s="39"/>
      <c r="R925" s="39"/>
      <c r="S925" s="39"/>
      <c r="T925" s="39"/>
      <c r="U925" s="39"/>
      <c r="V925" s="39"/>
      <c r="W925" s="39"/>
      <c r="X925" s="39"/>
      <c r="Y925" s="39"/>
      <c r="Z925" s="39"/>
      <c r="AA925" s="39"/>
      <c r="AB925" s="39"/>
    </row>
    <row r="926">
      <c r="A926" s="1"/>
      <c r="B926" s="36"/>
      <c r="C926" s="36"/>
      <c r="D926" s="36"/>
      <c r="E926" s="36"/>
      <c r="F926" s="36"/>
      <c r="G926" s="36"/>
      <c r="H926" s="37"/>
      <c r="I926" s="36"/>
      <c r="J926" s="38"/>
      <c r="K926" s="38"/>
      <c r="L926" s="39"/>
      <c r="M926" s="39"/>
      <c r="N926" s="39"/>
      <c r="O926" s="39"/>
      <c r="P926" s="39"/>
      <c r="Q926" s="39"/>
      <c r="R926" s="39"/>
      <c r="S926" s="39"/>
      <c r="T926" s="39"/>
      <c r="U926" s="39"/>
      <c r="V926" s="39"/>
      <c r="W926" s="39"/>
      <c r="X926" s="39"/>
      <c r="Y926" s="39"/>
      <c r="Z926" s="39"/>
      <c r="AA926" s="39"/>
      <c r="AB926" s="39"/>
    </row>
    <row r="927">
      <c r="A927" s="1"/>
      <c r="B927" s="36"/>
      <c r="C927" s="36"/>
      <c r="D927" s="36"/>
      <c r="E927" s="36"/>
      <c r="F927" s="36"/>
      <c r="G927" s="36"/>
      <c r="H927" s="37"/>
      <c r="I927" s="36"/>
      <c r="J927" s="38"/>
      <c r="K927" s="38"/>
      <c r="L927" s="39"/>
      <c r="M927" s="39"/>
      <c r="N927" s="39"/>
      <c r="O927" s="39"/>
      <c r="P927" s="39"/>
      <c r="Q927" s="39"/>
      <c r="R927" s="39"/>
      <c r="S927" s="39"/>
      <c r="T927" s="39"/>
      <c r="U927" s="39"/>
      <c r="V927" s="39"/>
      <c r="W927" s="39"/>
      <c r="X927" s="39"/>
      <c r="Y927" s="39"/>
      <c r="Z927" s="39"/>
      <c r="AA927" s="39"/>
      <c r="AB927" s="39"/>
    </row>
    <row r="928">
      <c r="A928" s="1"/>
      <c r="B928" s="36"/>
      <c r="C928" s="36"/>
      <c r="D928" s="36"/>
      <c r="E928" s="36"/>
      <c r="F928" s="36"/>
      <c r="G928" s="36"/>
      <c r="H928" s="37"/>
      <c r="I928" s="36"/>
      <c r="J928" s="38"/>
      <c r="K928" s="38"/>
      <c r="L928" s="39"/>
      <c r="M928" s="39"/>
      <c r="N928" s="39"/>
      <c r="O928" s="39"/>
      <c r="P928" s="39"/>
      <c r="Q928" s="39"/>
      <c r="R928" s="39"/>
      <c r="S928" s="39"/>
      <c r="T928" s="39"/>
      <c r="U928" s="39"/>
      <c r="V928" s="39"/>
      <c r="W928" s="39"/>
      <c r="X928" s="39"/>
      <c r="Y928" s="39"/>
      <c r="Z928" s="39"/>
      <c r="AA928" s="39"/>
      <c r="AB928" s="39"/>
    </row>
    <row r="929">
      <c r="A929" s="1"/>
      <c r="B929" s="36"/>
      <c r="C929" s="36"/>
      <c r="D929" s="36"/>
      <c r="E929" s="36"/>
      <c r="F929" s="36"/>
      <c r="G929" s="36"/>
      <c r="H929" s="37"/>
      <c r="I929" s="36"/>
      <c r="J929" s="38"/>
      <c r="K929" s="38"/>
      <c r="L929" s="39"/>
      <c r="M929" s="39"/>
      <c r="N929" s="39"/>
      <c r="O929" s="39"/>
      <c r="P929" s="39"/>
      <c r="Q929" s="39"/>
      <c r="R929" s="39"/>
      <c r="S929" s="39"/>
      <c r="T929" s="39"/>
      <c r="U929" s="39"/>
      <c r="V929" s="39"/>
      <c r="W929" s="39"/>
      <c r="X929" s="39"/>
      <c r="Y929" s="39"/>
      <c r="Z929" s="39"/>
      <c r="AA929" s="39"/>
      <c r="AB929" s="39"/>
    </row>
    <row r="930">
      <c r="A930" s="1"/>
      <c r="B930" s="36"/>
      <c r="C930" s="36"/>
      <c r="D930" s="36"/>
      <c r="E930" s="36"/>
      <c r="F930" s="36"/>
      <c r="G930" s="36"/>
      <c r="H930" s="37"/>
      <c r="I930" s="36"/>
      <c r="J930" s="38"/>
      <c r="K930" s="38"/>
      <c r="L930" s="39"/>
      <c r="M930" s="39"/>
      <c r="N930" s="39"/>
      <c r="O930" s="39"/>
      <c r="P930" s="39"/>
      <c r="Q930" s="39"/>
      <c r="R930" s="39"/>
      <c r="S930" s="39"/>
      <c r="T930" s="39"/>
      <c r="U930" s="39"/>
      <c r="V930" s="39"/>
      <c r="W930" s="39"/>
      <c r="X930" s="39"/>
      <c r="Y930" s="39"/>
      <c r="Z930" s="39"/>
      <c r="AA930" s="39"/>
      <c r="AB930" s="39"/>
    </row>
    <row r="931">
      <c r="A931" s="1"/>
      <c r="B931" s="36"/>
      <c r="C931" s="36"/>
      <c r="D931" s="36"/>
      <c r="E931" s="36"/>
      <c r="F931" s="36"/>
      <c r="G931" s="36"/>
      <c r="H931" s="37"/>
      <c r="I931" s="36"/>
      <c r="J931" s="38"/>
      <c r="K931" s="38"/>
      <c r="L931" s="39"/>
      <c r="M931" s="39"/>
      <c r="N931" s="39"/>
      <c r="O931" s="39"/>
      <c r="P931" s="39"/>
      <c r="Q931" s="39"/>
      <c r="R931" s="39"/>
      <c r="S931" s="39"/>
      <c r="T931" s="39"/>
      <c r="U931" s="39"/>
      <c r="V931" s="39"/>
      <c r="W931" s="39"/>
      <c r="X931" s="39"/>
      <c r="Y931" s="39"/>
      <c r="Z931" s="39"/>
      <c r="AA931" s="39"/>
      <c r="AB931" s="39"/>
    </row>
    <row r="932">
      <c r="A932" s="1"/>
      <c r="B932" s="36"/>
      <c r="C932" s="36"/>
      <c r="D932" s="36"/>
      <c r="E932" s="36"/>
      <c r="F932" s="36"/>
      <c r="G932" s="36"/>
      <c r="H932" s="37"/>
      <c r="I932" s="36"/>
      <c r="J932" s="38"/>
      <c r="K932" s="38"/>
      <c r="L932" s="39"/>
      <c r="M932" s="39"/>
      <c r="N932" s="39"/>
      <c r="O932" s="39"/>
      <c r="P932" s="39"/>
      <c r="Q932" s="39"/>
      <c r="R932" s="39"/>
      <c r="S932" s="39"/>
      <c r="T932" s="39"/>
      <c r="U932" s="39"/>
      <c r="V932" s="39"/>
      <c r="W932" s="39"/>
      <c r="X932" s="39"/>
      <c r="Y932" s="39"/>
      <c r="Z932" s="39"/>
      <c r="AA932" s="39"/>
      <c r="AB932" s="39"/>
    </row>
    <row r="933">
      <c r="A933" s="1"/>
      <c r="B933" s="36"/>
      <c r="C933" s="36"/>
      <c r="D933" s="36"/>
      <c r="E933" s="36"/>
      <c r="F933" s="36"/>
      <c r="G933" s="36"/>
      <c r="H933" s="37"/>
      <c r="I933" s="36"/>
      <c r="J933" s="38"/>
      <c r="K933" s="38"/>
      <c r="L933" s="39"/>
      <c r="M933" s="39"/>
      <c r="N933" s="39"/>
      <c r="O933" s="39"/>
      <c r="P933" s="39"/>
      <c r="Q933" s="39"/>
      <c r="R933" s="39"/>
      <c r="S933" s="39"/>
      <c r="T933" s="39"/>
      <c r="U933" s="39"/>
      <c r="V933" s="39"/>
      <c r="W933" s="39"/>
      <c r="X933" s="39"/>
      <c r="Y933" s="39"/>
      <c r="Z933" s="39"/>
      <c r="AA933" s="39"/>
      <c r="AB933" s="39"/>
    </row>
    <row r="934">
      <c r="A934" s="1"/>
      <c r="B934" s="36"/>
      <c r="C934" s="36"/>
      <c r="D934" s="36"/>
      <c r="E934" s="36"/>
      <c r="F934" s="36"/>
      <c r="G934" s="36"/>
      <c r="H934" s="37"/>
      <c r="I934" s="36"/>
      <c r="J934" s="38"/>
      <c r="K934" s="38"/>
      <c r="L934" s="39"/>
      <c r="M934" s="39"/>
      <c r="N934" s="39"/>
      <c r="O934" s="39"/>
      <c r="P934" s="39"/>
      <c r="Q934" s="39"/>
      <c r="R934" s="39"/>
      <c r="S934" s="39"/>
      <c r="T934" s="39"/>
      <c r="U934" s="39"/>
      <c r="V934" s="39"/>
      <c r="W934" s="39"/>
      <c r="X934" s="39"/>
      <c r="Y934" s="39"/>
      <c r="Z934" s="39"/>
      <c r="AA934" s="39"/>
      <c r="AB934" s="39"/>
    </row>
    <row r="935">
      <c r="A935" s="1"/>
      <c r="B935" s="36"/>
      <c r="C935" s="36"/>
      <c r="D935" s="36"/>
      <c r="E935" s="36"/>
      <c r="F935" s="36"/>
      <c r="G935" s="36"/>
      <c r="H935" s="37"/>
      <c r="I935" s="36"/>
      <c r="J935" s="38"/>
      <c r="K935" s="38"/>
      <c r="L935" s="39"/>
      <c r="M935" s="39"/>
      <c r="N935" s="39"/>
      <c r="O935" s="39"/>
      <c r="P935" s="39"/>
      <c r="Q935" s="39"/>
      <c r="R935" s="39"/>
      <c r="S935" s="39"/>
      <c r="T935" s="39"/>
      <c r="U935" s="39"/>
      <c r="V935" s="39"/>
      <c r="W935" s="39"/>
      <c r="X935" s="39"/>
      <c r="Y935" s="39"/>
      <c r="Z935" s="39"/>
      <c r="AA935" s="39"/>
      <c r="AB935" s="39"/>
    </row>
    <row r="936">
      <c r="A936" s="1"/>
      <c r="B936" s="36"/>
      <c r="C936" s="36"/>
      <c r="D936" s="36"/>
      <c r="E936" s="36"/>
      <c r="F936" s="36"/>
      <c r="G936" s="36"/>
      <c r="H936" s="37"/>
      <c r="I936" s="36"/>
      <c r="J936" s="38"/>
      <c r="K936" s="38"/>
      <c r="L936" s="39"/>
      <c r="M936" s="39"/>
      <c r="N936" s="39"/>
      <c r="O936" s="39"/>
      <c r="P936" s="39"/>
      <c r="Q936" s="39"/>
      <c r="R936" s="39"/>
      <c r="S936" s="39"/>
      <c r="T936" s="39"/>
      <c r="U936" s="39"/>
      <c r="V936" s="39"/>
      <c r="W936" s="39"/>
      <c r="X936" s="39"/>
      <c r="Y936" s="39"/>
      <c r="Z936" s="39"/>
      <c r="AA936" s="39"/>
      <c r="AB936" s="39"/>
    </row>
    <row r="937">
      <c r="A937" s="1"/>
      <c r="B937" s="36"/>
      <c r="C937" s="36"/>
      <c r="D937" s="36"/>
      <c r="E937" s="36"/>
      <c r="F937" s="36"/>
      <c r="G937" s="36"/>
      <c r="H937" s="37"/>
      <c r="I937" s="36"/>
      <c r="J937" s="38"/>
      <c r="K937" s="38"/>
      <c r="L937" s="39"/>
      <c r="M937" s="39"/>
      <c r="N937" s="39"/>
      <c r="O937" s="39"/>
      <c r="P937" s="39"/>
      <c r="Q937" s="39"/>
      <c r="R937" s="39"/>
      <c r="S937" s="39"/>
      <c r="T937" s="39"/>
      <c r="U937" s="39"/>
      <c r="V937" s="39"/>
      <c r="W937" s="39"/>
      <c r="X937" s="39"/>
      <c r="Y937" s="39"/>
      <c r="Z937" s="39"/>
      <c r="AA937" s="39"/>
      <c r="AB937" s="39"/>
    </row>
    <row r="938">
      <c r="A938" s="1"/>
      <c r="B938" s="36"/>
      <c r="C938" s="36"/>
      <c r="D938" s="36"/>
      <c r="E938" s="36"/>
      <c r="F938" s="36"/>
      <c r="G938" s="36"/>
      <c r="H938" s="37"/>
      <c r="I938" s="36"/>
      <c r="J938" s="38"/>
      <c r="K938" s="38"/>
      <c r="L938" s="39"/>
      <c r="M938" s="39"/>
      <c r="N938" s="39"/>
      <c r="O938" s="39"/>
      <c r="P938" s="39"/>
      <c r="Q938" s="39"/>
      <c r="R938" s="39"/>
      <c r="S938" s="39"/>
      <c r="T938" s="39"/>
      <c r="U938" s="39"/>
      <c r="V938" s="39"/>
      <c r="W938" s="39"/>
      <c r="X938" s="39"/>
      <c r="Y938" s="39"/>
      <c r="Z938" s="39"/>
      <c r="AA938" s="39"/>
      <c r="AB938" s="39"/>
    </row>
    <row r="939">
      <c r="A939" s="1"/>
      <c r="B939" s="36"/>
      <c r="C939" s="36"/>
      <c r="D939" s="36"/>
      <c r="E939" s="36"/>
      <c r="F939" s="36"/>
      <c r="G939" s="36"/>
      <c r="H939" s="37"/>
      <c r="I939" s="36"/>
      <c r="J939" s="38"/>
      <c r="K939" s="38"/>
      <c r="L939" s="39"/>
      <c r="M939" s="39"/>
      <c r="N939" s="39"/>
      <c r="O939" s="39"/>
      <c r="P939" s="39"/>
      <c r="Q939" s="39"/>
      <c r="R939" s="39"/>
      <c r="S939" s="39"/>
      <c r="T939" s="39"/>
      <c r="U939" s="39"/>
      <c r="V939" s="39"/>
      <c r="W939" s="39"/>
      <c r="X939" s="39"/>
      <c r="Y939" s="39"/>
      <c r="Z939" s="39"/>
      <c r="AA939" s="39"/>
      <c r="AB939" s="39"/>
    </row>
    <row r="940">
      <c r="A940" s="1"/>
      <c r="B940" s="36"/>
      <c r="C940" s="36"/>
      <c r="D940" s="36"/>
      <c r="E940" s="36"/>
      <c r="F940" s="36"/>
      <c r="G940" s="36"/>
      <c r="H940" s="37"/>
      <c r="I940" s="36"/>
      <c r="J940" s="38"/>
      <c r="K940" s="38"/>
      <c r="L940" s="39"/>
      <c r="M940" s="39"/>
      <c r="N940" s="39"/>
      <c r="O940" s="39"/>
      <c r="P940" s="39"/>
      <c r="Q940" s="39"/>
      <c r="R940" s="39"/>
      <c r="S940" s="39"/>
      <c r="T940" s="39"/>
      <c r="U940" s="39"/>
      <c r="V940" s="39"/>
      <c r="W940" s="39"/>
      <c r="X940" s="39"/>
      <c r="Y940" s="39"/>
      <c r="Z940" s="39"/>
      <c r="AA940" s="39"/>
      <c r="AB940" s="39"/>
    </row>
    <row r="941">
      <c r="A941" s="1"/>
      <c r="B941" s="36"/>
      <c r="C941" s="36"/>
      <c r="D941" s="36"/>
      <c r="E941" s="36"/>
      <c r="F941" s="36"/>
      <c r="G941" s="36"/>
      <c r="H941" s="37"/>
      <c r="I941" s="36"/>
      <c r="J941" s="38"/>
      <c r="K941" s="38"/>
      <c r="L941" s="39"/>
      <c r="M941" s="39"/>
      <c r="N941" s="39"/>
      <c r="O941" s="39"/>
      <c r="P941" s="39"/>
      <c r="Q941" s="39"/>
      <c r="R941" s="39"/>
      <c r="S941" s="39"/>
      <c r="T941" s="39"/>
      <c r="U941" s="39"/>
      <c r="V941" s="39"/>
      <c r="W941" s="39"/>
      <c r="X941" s="39"/>
      <c r="Y941" s="39"/>
      <c r="Z941" s="39"/>
      <c r="AA941" s="39"/>
      <c r="AB941" s="39"/>
    </row>
    <row r="942">
      <c r="A942" s="1"/>
      <c r="B942" s="36"/>
      <c r="C942" s="36"/>
      <c r="D942" s="36"/>
      <c r="E942" s="36"/>
      <c r="F942" s="36"/>
      <c r="G942" s="36"/>
      <c r="H942" s="37"/>
      <c r="I942" s="36"/>
      <c r="J942" s="38"/>
      <c r="K942" s="38"/>
      <c r="L942" s="39"/>
      <c r="M942" s="39"/>
      <c r="N942" s="39"/>
      <c r="O942" s="39"/>
      <c r="P942" s="39"/>
      <c r="Q942" s="39"/>
      <c r="R942" s="39"/>
      <c r="S942" s="39"/>
      <c r="T942" s="39"/>
      <c r="U942" s="39"/>
      <c r="V942" s="39"/>
      <c r="W942" s="39"/>
      <c r="X942" s="39"/>
      <c r="Y942" s="39"/>
      <c r="Z942" s="39"/>
      <c r="AA942" s="39"/>
      <c r="AB942" s="39"/>
    </row>
    <row r="943">
      <c r="A943" s="1"/>
      <c r="B943" s="36"/>
      <c r="C943" s="36"/>
      <c r="D943" s="36"/>
      <c r="E943" s="36"/>
      <c r="F943" s="36"/>
      <c r="G943" s="36"/>
      <c r="H943" s="37"/>
      <c r="I943" s="36"/>
      <c r="J943" s="38"/>
      <c r="K943" s="38"/>
      <c r="L943" s="39"/>
      <c r="M943" s="39"/>
      <c r="N943" s="39"/>
      <c r="O943" s="39"/>
      <c r="P943" s="39"/>
      <c r="Q943" s="39"/>
      <c r="R943" s="39"/>
      <c r="S943" s="39"/>
      <c r="T943" s="39"/>
      <c r="U943" s="39"/>
      <c r="V943" s="39"/>
      <c r="W943" s="39"/>
      <c r="X943" s="39"/>
      <c r="Y943" s="39"/>
      <c r="Z943" s="39"/>
      <c r="AA943" s="39"/>
      <c r="AB943" s="39"/>
    </row>
    <row r="944">
      <c r="A944" s="1"/>
      <c r="B944" s="36"/>
      <c r="C944" s="36"/>
      <c r="D944" s="36"/>
      <c r="E944" s="36"/>
      <c r="F944" s="36"/>
      <c r="G944" s="36"/>
      <c r="H944" s="37"/>
      <c r="I944" s="36"/>
      <c r="J944" s="38"/>
      <c r="K944" s="38"/>
      <c r="L944" s="39"/>
      <c r="M944" s="39"/>
      <c r="N944" s="39"/>
      <c r="O944" s="39"/>
      <c r="P944" s="39"/>
      <c r="Q944" s="39"/>
      <c r="R944" s="39"/>
      <c r="S944" s="39"/>
      <c r="T944" s="39"/>
      <c r="U944" s="39"/>
      <c r="V944" s="39"/>
      <c r="W944" s="39"/>
      <c r="X944" s="39"/>
      <c r="Y944" s="39"/>
      <c r="Z944" s="39"/>
      <c r="AA944" s="39"/>
      <c r="AB944" s="39"/>
    </row>
    <row r="945">
      <c r="A945" s="1"/>
      <c r="B945" s="36"/>
      <c r="C945" s="36"/>
      <c r="D945" s="36"/>
      <c r="E945" s="36"/>
      <c r="F945" s="36"/>
      <c r="G945" s="36"/>
      <c r="H945" s="37"/>
      <c r="I945" s="36"/>
      <c r="J945" s="38"/>
      <c r="K945" s="38"/>
      <c r="L945" s="39"/>
      <c r="M945" s="39"/>
      <c r="N945" s="39"/>
      <c r="O945" s="39"/>
      <c r="P945" s="39"/>
      <c r="Q945" s="39"/>
      <c r="R945" s="39"/>
      <c r="S945" s="39"/>
      <c r="T945" s="39"/>
      <c r="U945" s="39"/>
      <c r="V945" s="39"/>
      <c r="W945" s="39"/>
      <c r="X945" s="39"/>
      <c r="Y945" s="39"/>
      <c r="Z945" s="39"/>
      <c r="AA945" s="39"/>
      <c r="AB945" s="39"/>
    </row>
    <row r="946">
      <c r="A946" s="1"/>
      <c r="B946" s="36"/>
      <c r="C946" s="36"/>
      <c r="D946" s="36"/>
      <c r="E946" s="36"/>
      <c r="F946" s="36"/>
      <c r="G946" s="36"/>
      <c r="H946" s="37"/>
      <c r="I946" s="36"/>
      <c r="J946" s="38"/>
      <c r="K946" s="38"/>
      <c r="L946" s="39"/>
      <c r="M946" s="39"/>
      <c r="N946" s="39"/>
      <c r="O946" s="39"/>
      <c r="P946" s="39"/>
      <c r="Q946" s="39"/>
      <c r="R946" s="39"/>
      <c r="S946" s="39"/>
      <c r="T946" s="39"/>
      <c r="U946" s="39"/>
      <c r="V946" s="39"/>
      <c r="W946" s="39"/>
      <c r="X946" s="39"/>
      <c r="Y946" s="39"/>
      <c r="Z946" s="39"/>
      <c r="AA946" s="39"/>
      <c r="AB946" s="39"/>
    </row>
    <row r="947">
      <c r="A947" s="1"/>
      <c r="B947" s="36"/>
      <c r="C947" s="36"/>
      <c r="D947" s="36"/>
      <c r="E947" s="36"/>
      <c r="F947" s="36"/>
      <c r="G947" s="36"/>
      <c r="H947" s="37"/>
      <c r="I947" s="36"/>
      <c r="J947" s="38"/>
      <c r="K947" s="38"/>
      <c r="L947" s="39"/>
      <c r="M947" s="39"/>
      <c r="N947" s="39"/>
      <c r="O947" s="39"/>
      <c r="P947" s="39"/>
      <c r="Q947" s="39"/>
      <c r="R947" s="39"/>
      <c r="S947" s="39"/>
      <c r="T947" s="39"/>
      <c r="U947" s="39"/>
      <c r="V947" s="39"/>
      <c r="W947" s="39"/>
      <c r="X947" s="39"/>
      <c r="Y947" s="39"/>
      <c r="Z947" s="39"/>
      <c r="AA947" s="39"/>
      <c r="AB947" s="39"/>
    </row>
    <row r="948">
      <c r="A948" s="1"/>
      <c r="B948" s="36"/>
      <c r="C948" s="36"/>
      <c r="D948" s="36"/>
      <c r="E948" s="36"/>
      <c r="F948" s="36"/>
      <c r="G948" s="36"/>
      <c r="H948" s="37"/>
      <c r="I948" s="36"/>
      <c r="J948" s="38"/>
      <c r="K948" s="38"/>
      <c r="L948" s="39"/>
      <c r="M948" s="39"/>
      <c r="N948" s="39"/>
      <c r="O948" s="39"/>
      <c r="P948" s="39"/>
      <c r="Q948" s="39"/>
      <c r="R948" s="39"/>
      <c r="S948" s="39"/>
      <c r="T948" s="39"/>
      <c r="U948" s="39"/>
      <c r="V948" s="39"/>
      <c r="W948" s="39"/>
      <c r="X948" s="39"/>
      <c r="Y948" s="39"/>
      <c r="Z948" s="39"/>
      <c r="AA948" s="39"/>
      <c r="AB948" s="39"/>
    </row>
    <row r="949">
      <c r="A949" s="1"/>
      <c r="B949" s="36"/>
      <c r="C949" s="36"/>
      <c r="D949" s="36"/>
      <c r="E949" s="36"/>
      <c r="F949" s="36"/>
      <c r="G949" s="36"/>
      <c r="H949" s="37"/>
      <c r="I949" s="36"/>
      <c r="J949" s="38"/>
      <c r="K949" s="38"/>
      <c r="L949" s="39"/>
      <c r="M949" s="39"/>
      <c r="N949" s="39"/>
      <c r="O949" s="39"/>
      <c r="P949" s="39"/>
      <c r="Q949" s="39"/>
      <c r="R949" s="39"/>
      <c r="S949" s="39"/>
      <c r="T949" s="39"/>
      <c r="U949" s="39"/>
      <c r="V949" s="39"/>
      <c r="W949" s="39"/>
      <c r="X949" s="39"/>
      <c r="Y949" s="39"/>
      <c r="Z949" s="39"/>
      <c r="AA949" s="39"/>
      <c r="AB949" s="39"/>
    </row>
    <row r="950">
      <c r="A950" s="1"/>
      <c r="B950" s="36"/>
      <c r="C950" s="36"/>
      <c r="D950" s="36"/>
      <c r="E950" s="36"/>
      <c r="F950" s="36"/>
      <c r="G950" s="36"/>
      <c r="H950" s="37"/>
      <c r="I950" s="36"/>
      <c r="J950" s="38"/>
      <c r="K950" s="38"/>
      <c r="L950" s="39"/>
      <c r="M950" s="39"/>
      <c r="N950" s="39"/>
      <c r="O950" s="39"/>
      <c r="P950" s="39"/>
      <c r="Q950" s="39"/>
      <c r="R950" s="39"/>
      <c r="S950" s="39"/>
      <c r="T950" s="39"/>
      <c r="U950" s="39"/>
      <c r="V950" s="39"/>
      <c r="W950" s="39"/>
      <c r="X950" s="39"/>
      <c r="Y950" s="39"/>
      <c r="Z950" s="39"/>
      <c r="AA950" s="39"/>
      <c r="AB950" s="39"/>
    </row>
    <row r="951">
      <c r="A951" s="1"/>
      <c r="B951" s="36"/>
      <c r="C951" s="36"/>
      <c r="D951" s="36"/>
      <c r="E951" s="36"/>
      <c r="F951" s="36"/>
      <c r="G951" s="36"/>
      <c r="H951" s="37"/>
      <c r="I951" s="36"/>
      <c r="J951" s="38"/>
      <c r="K951" s="38"/>
      <c r="L951" s="39"/>
      <c r="M951" s="39"/>
      <c r="N951" s="39"/>
      <c r="O951" s="39"/>
      <c r="P951" s="39"/>
      <c r="Q951" s="39"/>
      <c r="R951" s="39"/>
      <c r="S951" s="39"/>
      <c r="T951" s="39"/>
      <c r="U951" s="39"/>
      <c r="V951" s="39"/>
      <c r="W951" s="39"/>
      <c r="X951" s="39"/>
      <c r="Y951" s="39"/>
      <c r="Z951" s="39"/>
      <c r="AA951" s="39"/>
      <c r="AB951" s="39"/>
    </row>
    <row r="952">
      <c r="A952" s="1"/>
      <c r="B952" s="36"/>
      <c r="C952" s="36"/>
      <c r="D952" s="36"/>
      <c r="E952" s="36"/>
      <c r="F952" s="36"/>
      <c r="G952" s="36"/>
      <c r="H952" s="37"/>
      <c r="I952" s="36"/>
      <c r="J952" s="38"/>
      <c r="K952" s="38"/>
      <c r="L952" s="39"/>
      <c r="M952" s="39"/>
      <c r="N952" s="39"/>
      <c r="O952" s="39"/>
      <c r="P952" s="39"/>
      <c r="Q952" s="39"/>
      <c r="R952" s="39"/>
      <c r="S952" s="39"/>
      <c r="T952" s="39"/>
      <c r="U952" s="39"/>
      <c r="V952" s="39"/>
      <c r="W952" s="39"/>
      <c r="X952" s="39"/>
      <c r="Y952" s="39"/>
      <c r="Z952" s="39"/>
      <c r="AA952" s="39"/>
      <c r="AB952" s="39"/>
    </row>
    <row r="953">
      <c r="A953" s="1"/>
      <c r="B953" s="36"/>
      <c r="C953" s="36"/>
      <c r="D953" s="36"/>
      <c r="E953" s="36"/>
      <c r="F953" s="36"/>
      <c r="G953" s="36"/>
      <c r="H953" s="37"/>
      <c r="I953" s="36"/>
      <c r="J953" s="38"/>
      <c r="K953" s="38"/>
      <c r="L953" s="39"/>
      <c r="M953" s="39"/>
      <c r="N953" s="39"/>
      <c r="O953" s="39"/>
      <c r="P953" s="39"/>
      <c r="Q953" s="39"/>
      <c r="R953" s="39"/>
      <c r="S953" s="39"/>
      <c r="T953" s="39"/>
      <c r="U953" s="39"/>
      <c r="V953" s="39"/>
      <c r="W953" s="39"/>
      <c r="X953" s="39"/>
      <c r="Y953" s="39"/>
      <c r="Z953" s="39"/>
      <c r="AA953" s="39"/>
      <c r="AB953" s="39"/>
    </row>
    <row r="954">
      <c r="A954" s="1"/>
      <c r="B954" s="36"/>
      <c r="C954" s="36"/>
      <c r="D954" s="36"/>
      <c r="E954" s="36"/>
      <c r="F954" s="36"/>
      <c r="G954" s="36"/>
      <c r="H954" s="37"/>
      <c r="I954" s="36"/>
      <c r="J954" s="38"/>
      <c r="K954" s="38"/>
      <c r="L954" s="39"/>
      <c r="M954" s="39"/>
      <c r="N954" s="39"/>
      <c r="O954" s="39"/>
      <c r="P954" s="39"/>
      <c r="Q954" s="39"/>
      <c r="R954" s="39"/>
      <c r="S954" s="39"/>
      <c r="T954" s="39"/>
      <c r="U954" s="39"/>
      <c r="V954" s="39"/>
      <c r="W954" s="39"/>
      <c r="X954" s="39"/>
      <c r="Y954" s="39"/>
      <c r="Z954" s="39"/>
      <c r="AA954" s="39"/>
      <c r="AB954" s="39"/>
    </row>
    <row r="955">
      <c r="A955" s="1"/>
      <c r="B955" s="36"/>
      <c r="C955" s="36"/>
      <c r="D955" s="36"/>
      <c r="E955" s="36"/>
      <c r="F955" s="36"/>
      <c r="G955" s="36"/>
      <c r="H955" s="37"/>
      <c r="I955" s="36"/>
      <c r="J955" s="38"/>
      <c r="K955" s="38"/>
      <c r="L955" s="39"/>
      <c r="M955" s="39"/>
      <c r="N955" s="39"/>
      <c r="O955" s="39"/>
      <c r="P955" s="39"/>
      <c r="Q955" s="39"/>
      <c r="R955" s="39"/>
      <c r="S955" s="39"/>
      <c r="T955" s="39"/>
      <c r="U955" s="39"/>
      <c r="V955" s="39"/>
      <c r="W955" s="39"/>
      <c r="X955" s="39"/>
      <c r="Y955" s="39"/>
      <c r="Z955" s="39"/>
      <c r="AA955" s="39"/>
      <c r="AB955" s="39"/>
    </row>
    <row r="956">
      <c r="A956" s="1"/>
      <c r="B956" s="36"/>
      <c r="C956" s="36"/>
      <c r="D956" s="36"/>
      <c r="E956" s="36"/>
      <c r="F956" s="36"/>
      <c r="G956" s="36"/>
      <c r="H956" s="37"/>
      <c r="I956" s="36"/>
      <c r="J956" s="38"/>
      <c r="K956" s="38"/>
      <c r="L956" s="39"/>
      <c r="M956" s="39"/>
      <c r="N956" s="39"/>
      <c r="O956" s="39"/>
      <c r="P956" s="39"/>
      <c r="Q956" s="39"/>
      <c r="R956" s="39"/>
      <c r="S956" s="39"/>
      <c r="T956" s="39"/>
      <c r="U956" s="39"/>
      <c r="V956" s="39"/>
      <c r="W956" s="39"/>
      <c r="X956" s="39"/>
      <c r="Y956" s="39"/>
      <c r="Z956" s="39"/>
      <c r="AA956" s="39"/>
      <c r="AB956" s="39"/>
    </row>
    <row r="957">
      <c r="A957" s="1"/>
      <c r="B957" s="36"/>
      <c r="C957" s="36"/>
      <c r="D957" s="36"/>
      <c r="E957" s="36"/>
      <c r="F957" s="36"/>
      <c r="G957" s="36"/>
      <c r="H957" s="37"/>
      <c r="I957" s="36"/>
      <c r="J957" s="38"/>
      <c r="K957" s="38"/>
      <c r="L957" s="39"/>
      <c r="M957" s="39"/>
      <c r="N957" s="39"/>
      <c r="O957" s="39"/>
      <c r="P957" s="39"/>
      <c r="Q957" s="39"/>
      <c r="R957" s="39"/>
      <c r="S957" s="39"/>
      <c r="T957" s="39"/>
      <c r="U957" s="39"/>
      <c r="V957" s="39"/>
      <c r="W957" s="39"/>
      <c r="X957" s="39"/>
      <c r="Y957" s="39"/>
      <c r="Z957" s="39"/>
      <c r="AA957" s="39"/>
      <c r="AB957" s="39"/>
    </row>
    <row r="958">
      <c r="A958" s="1"/>
      <c r="B958" s="36"/>
      <c r="C958" s="36"/>
      <c r="D958" s="36"/>
      <c r="E958" s="36"/>
      <c r="F958" s="36"/>
      <c r="G958" s="36"/>
      <c r="H958" s="37"/>
      <c r="I958" s="36"/>
      <c r="J958" s="38"/>
      <c r="K958" s="38"/>
      <c r="L958" s="39"/>
      <c r="M958" s="39"/>
      <c r="N958" s="39"/>
      <c r="O958" s="39"/>
      <c r="P958" s="39"/>
      <c r="Q958" s="39"/>
      <c r="R958" s="39"/>
      <c r="S958" s="39"/>
      <c r="T958" s="39"/>
      <c r="U958" s="39"/>
      <c r="V958" s="39"/>
      <c r="W958" s="39"/>
      <c r="X958" s="39"/>
      <c r="Y958" s="39"/>
      <c r="Z958" s="39"/>
      <c r="AA958" s="39"/>
      <c r="AB958" s="39"/>
    </row>
    <row r="959">
      <c r="A959" s="1"/>
      <c r="B959" s="36"/>
      <c r="C959" s="36"/>
      <c r="D959" s="36"/>
      <c r="E959" s="36"/>
      <c r="F959" s="36"/>
      <c r="G959" s="36"/>
      <c r="H959" s="37"/>
      <c r="I959" s="36"/>
      <c r="J959" s="38"/>
      <c r="K959" s="38"/>
      <c r="L959" s="39"/>
      <c r="M959" s="39"/>
      <c r="N959" s="39"/>
      <c r="O959" s="39"/>
      <c r="P959" s="39"/>
      <c r="Q959" s="39"/>
      <c r="R959" s="39"/>
      <c r="S959" s="39"/>
      <c r="T959" s="39"/>
      <c r="U959" s="39"/>
      <c r="V959" s="39"/>
      <c r="W959" s="39"/>
      <c r="X959" s="39"/>
      <c r="Y959" s="39"/>
      <c r="Z959" s="39"/>
      <c r="AA959" s="39"/>
      <c r="AB959" s="39"/>
    </row>
    <row r="960">
      <c r="A960" s="1"/>
      <c r="B960" s="36"/>
      <c r="C960" s="36"/>
      <c r="D960" s="36"/>
      <c r="E960" s="36"/>
      <c r="F960" s="36"/>
      <c r="G960" s="36"/>
      <c r="H960" s="37"/>
      <c r="I960" s="36"/>
      <c r="J960" s="38"/>
      <c r="K960" s="38"/>
      <c r="L960" s="39"/>
      <c r="M960" s="39"/>
      <c r="N960" s="39"/>
      <c r="O960" s="39"/>
      <c r="P960" s="39"/>
      <c r="Q960" s="39"/>
      <c r="R960" s="39"/>
      <c r="S960" s="39"/>
      <c r="T960" s="39"/>
      <c r="U960" s="39"/>
      <c r="V960" s="39"/>
      <c r="W960" s="39"/>
      <c r="X960" s="39"/>
      <c r="Y960" s="39"/>
      <c r="Z960" s="39"/>
      <c r="AA960" s="39"/>
      <c r="AB960" s="39"/>
    </row>
    <row r="961">
      <c r="A961" s="1"/>
      <c r="B961" s="36"/>
      <c r="C961" s="36"/>
      <c r="D961" s="36"/>
      <c r="E961" s="36"/>
      <c r="F961" s="36"/>
      <c r="G961" s="36"/>
      <c r="H961" s="37"/>
      <c r="I961" s="36"/>
      <c r="J961" s="38"/>
      <c r="K961" s="38"/>
      <c r="L961" s="39"/>
      <c r="M961" s="39"/>
      <c r="N961" s="39"/>
      <c r="O961" s="39"/>
      <c r="P961" s="39"/>
      <c r="Q961" s="39"/>
      <c r="R961" s="39"/>
      <c r="S961" s="39"/>
      <c r="T961" s="39"/>
      <c r="U961" s="39"/>
      <c r="V961" s="39"/>
      <c r="W961" s="39"/>
      <c r="X961" s="39"/>
      <c r="Y961" s="39"/>
      <c r="Z961" s="39"/>
      <c r="AA961" s="39"/>
      <c r="AB961" s="39"/>
    </row>
    <row r="962">
      <c r="A962" s="1"/>
      <c r="B962" s="36"/>
      <c r="C962" s="36"/>
      <c r="D962" s="36"/>
      <c r="E962" s="36"/>
      <c r="F962" s="36"/>
      <c r="G962" s="36"/>
      <c r="H962" s="37"/>
      <c r="I962" s="36"/>
      <c r="J962" s="38"/>
      <c r="K962" s="38"/>
      <c r="L962" s="39"/>
      <c r="M962" s="39"/>
      <c r="N962" s="39"/>
      <c r="O962" s="39"/>
      <c r="P962" s="39"/>
      <c r="Q962" s="39"/>
      <c r="R962" s="39"/>
      <c r="S962" s="39"/>
      <c r="T962" s="39"/>
      <c r="U962" s="39"/>
      <c r="V962" s="39"/>
      <c r="W962" s="39"/>
      <c r="X962" s="39"/>
      <c r="Y962" s="39"/>
      <c r="Z962" s="39"/>
      <c r="AA962" s="39"/>
      <c r="AB962" s="39"/>
    </row>
    <row r="963">
      <c r="A963" s="1"/>
      <c r="B963" s="36"/>
      <c r="C963" s="36"/>
      <c r="D963" s="36"/>
      <c r="E963" s="36"/>
      <c r="F963" s="36"/>
      <c r="G963" s="36"/>
      <c r="H963" s="37"/>
      <c r="I963" s="36"/>
      <c r="J963" s="38"/>
      <c r="K963" s="38"/>
      <c r="L963" s="39"/>
      <c r="M963" s="39"/>
      <c r="N963" s="39"/>
      <c r="O963" s="39"/>
      <c r="P963" s="39"/>
      <c r="Q963" s="39"/>
      <c r="R963" s="39"/>
      <c r="S963" s="39"/>
      <c r="T963" s="39"/>
      <c r="U963" s="39"/>
      <c r="V963" s="39"/>
      <c r="W963" s="39"/>
      <c r="X963" s="39"/>
      <c r="Y963" s="39"/>
      <c r="Z963" s="39"/>
      <c r="AA963" s="39"/>
      <c r="AB963" s="39"/>
    </row>
    <row r="964">
      <c r="A964" s="1"/>
      <c r="B964" s="36"/>
      <c r="C964" s="36"/>
      <c r="D964" s="36"/>
      <c r="E964" s="36"/>
      <c r="F964" s="36"/>
      <c r="G964" s="36"/>
      <c r="H964" s="37"/>
      <c r="I964" s="36"/>
      <c r="J964" s="38"/>
      <c r="K964" s="38"/>
      <c r="L964" s="39"/>
      <c r="M964" s="39"/>
      <c r="N964" s="39"/>
      <c r="O964" s="39"/>
      <c r="P964" s="39"/>
      <c r="Q964" s="39"/>
      <c r="R964" s="39"/>
      <c r="S964" s="39"/>
      <c r="T964" s="39"/>
      <c r="U964" s="39"/>
      <c r="V964" s="39"/>
      <c r="W964" s="39"/>
      <c r="X964" s="39"/>
      <c r="Y964" s="39"/>
      <c r="Z964" s="39"/>
      <c r="AA964" s="39"/>
      <c r="AB964" s="39"/>
    </row>
    <row r="965">
      <c r="A965" s="1"/>
      <c r="B965" s="36"/>
      <c r="C965" s="36"/>
      <c r="D965" s="36"/>
      <c r="E965" s="36"/>
      <c r="F965" s="36"/>
      <c r="G965" s="36"/>
      <c r="H965" s="37"/>
      <c r="I965" s="36"/>
      <c r="J965" s="38"/>
      <c r="K965" s="38"/>
      <c r="L965" s="39"/>
      <c r="M965" s="39"/>
      <c r="N965" s="39"/>
      <c r="O965" s="39"/>
      <c r="P965" s="39"/>
      <c r="Q965" s="39"/>
      <c r="R965" s="39"/>
      <c r="S965" s="39"/>
      <c r="T965" s="39"/>
      <c r="U965" s="39"/>
      <c r="V965" s="39"/>
      <c r="W965" s="39"/>
      <c r="X965" s="39"/>
      <c r="Y965" s="39"/>
      <c r="Z965" s="39"/>
      <c r="AA965" s="39"/>
      <c r="AB965" s="39"/>
    </row>
    <row r="966">
      <c r="A966" s="1"/>
      <c r="B966" s="36"/>
      <c r="C966" s="36"/>
      <c r="D966" s="36"/>
      <c r="E966" s="36"/>
      <c r="F966" s="36"/>
      <c r="G966" s="36"/>
      <c r="H966" s="37"/>
      <c r="I966" s="36"/>
      <c r="J966" s="38"/>
      <c r="K966" s="38"/>
      <c r="L966" s="39"/>
      <c r="M966" s="39"/>
      <c r="N966" s="39"/>
      <c r="O966" s="39"/>
      <c r="P966" s="39"/>
      <c r="Q966" s="39"/>
      <c r="R966" s="39"/>
      <c r="S966" s="39"/>
      <c r="T966" s="39"/>
      <c r="U966" s="39"/>
      <c r="V966" s="39"/>
      <c r="W966" s="39"/>
      <c r="X966" s="39"/>
      <c r="Y966" s="39"/>
      <c r="Z966" s="39"/>
      <c r="AA966" s="39"/>
      <c r="AB966" s="39"/>
    </row>
    <row r="967">
      <c r="A967" s="1"/>
      <c r="B967" s="36"/>
      <c r="C967" s="36"/>
      <c r="D967" s="36"/>
      <c r="E967" s="36"/>
      <c r="F967" s="36"/>
      <c r="G967" s="36"/>
      <c r="H967" s="37"/>
      <c r="I967" s="36"/>
      <c r="J967" s="38"/>
      <c r="K967" s="38"/>
      <c r="L967" s="39"/>
      <c r="M967" s="39"/>
      <c r="N967" s="39"/>
      <c r="O967" s="39"/>
      <c r="P967" s="39"/>
      <c r="Q967" s="39"/>
      <c r="R967" s="39"/>
      <c r="S967" s="39"/>
      <c r="T967" s="39"/>
      <c r="U967" s="39"/>
      <c r="V967" s="39"/>
      <c r="W967" s="39"/>
      <c r="X967" s="39"/>
      <c r="Y967" s="39"/>
      <c r="Z967" s="39"/>
      <c r="AA967" s="39"/>
      <c r="AB967" s="39"/>
    </row>
    <row r="968">
      <c r="A968" s="1"/>
      <c r="B968" s="36"/>
      <c r="C968" s="36"/>
      <c r="D968" s="36"/>
      <c r="E968" s="36"/>
      <c r="F968" s="36"/>
      <c r="G968" s="36"/>
      <c r="H968" s="37"/>
      <c r="I968" s="36"/>
      <c r="J968" s="38"/>
      <c r="K968" s="38"/>
      <c r="L968" s="39"/>
      <c r="M968" s="39"/>
      <c r="N968" s="39"/>
      <c r="O968" s="39"/>
      <c r="P968" s="39"/>
      <c r="Q968" s="39"/>
      <c r="R968" s="39"/>
      <c r="S968" s="39"/>
      <c r="T968" s="39"/>
      <c r="U968" s="39"/>
      <c r="V968" s="39"/>
      <c r="W968" s="39"/>
      <c r="X968" s="39"/>
      <c r="Y968" s="39"/>
      <c r="Z968" s="39"/>
      <c r="AA968" s="39"/>
      <c r="AB968" s="39"/>
    </row>
    <row r="969">
      <c r="A969" s="1"/>
      <c r="B969" s="36"/>
      <c r="C969" s="36"/>
      <c r="D969" s="36"/>
      <c r="E969" s="36"/>
      <c r="F969" s="36"/>
      <c r="G969" s="36"/>
      <c r="H969" s="37"/>
      <c r="I969" s="36"/>
      <c r="J969" s="38"/>
      <c r="K969" s="38"/>
      <c r="L969" s="39"/>
      <c r="M969" s="39"/>
      <c r="N969" s="39"/>
      <c r="O969" s="39"/>
      <c r="P969" s="39"/>
      <c r="Q969" s="39"/>
      <c r="R969" s="39"/>
      <c r="S969" s="39"/>
      <c r="T969" s="39"/>
      <c r="U969" s="39"/>
      <c r="V969" s="39"/>
      <c r="W969" s="39"/>
      <c r="X969" s="39"/>
      <c r="Y969" s="39"/>
      <c r="Z969" s="39"/>
      <c r="AA969" s="39"/>
      <c r="AB969" s="39"/>
    </row>
    <row r="970">
      <c r="A970" s="1"/>
      <c r="B970" s="36"/>
      <c r="C970" s="36"/>
      <c r="D970" s="36"/>
      <c r="E970" s="36"/>
      <c r="F970" s="36"/>
      <c r="G970" s="36"/>
      <c r="H970" s="37"/>
      <c r="I970" s="36"/>
      <c r="J970" s="38"/>
      <c r="K970" s="38"/>
      <c r="L970" s="39"/>
      <c r="M970" s="39"/>
      <c r="N970" s="39"/>
      <c r="O970" s="39"/>
      <c r="P970" s="39"/>
      <c r="Q970" s="39"/>
      <c r="R970" s="39"/>
      <c r="S970" s="39"/>
      <c r="T970" s="39"/>
      <c r="U970" s="39"/>
      <c r="V970" s="39"/>
      <c r="W970" s="39"/>
      <c r="X970" s="39"/>
      <c r="Y970" s="39"/>
      <c r="Z970" s="39"/>
      <c r="AA970" s="39"/>
      <c r="AB970" s="39"/>
    </row>
    <row r="971">
      <c r="A971" s="1"/>
      <c r="B971" s="36"/>
      <c r="C971" s="36"/>
      <c r="D971" s="36"/>
      <c r="E971" s="36"/>
      <c r="F971" s="36"/>
      <c r="G971" s="36"/>
      <c r="H971" s="37"/>
      <c r="I971" s="36"/>
      <c r="J971" s="38"/>
      <c r="K971" s="38"/>
      <c r="L971" s="39"/>
      <c r="M971" s="39"/>
      <c r="N971" s="39"/>
      <c r="O971" s="39"/>
      <c r="P971" s="39"/>
      <c r="Q971" s="39"/>
      <c r="R971" s="39"/>
      <c r="S971" s="39"/>
      <c r="T971" s="39"/>
      <c r="U971" s="39"/>
      <c r="V971" s="39"/>
      <c r="W971" s="39"/>
      <c r="X971" s="39"/>
      <c r="Y971" s="39"/>
      <c r="Z971" s="39"/>
      <c r="AA971" s="39"/>
      <c r="AB971" s="39"/>
    </row>
    <row r="972">
      <c r="A972" s="1"/>
      <c r="B972" s="36"/>
      <c r="C972" s="36"/>
      <c r="D972" s="36"/>
      <c r="E972" s="36"/>
      <c r="F972" s="36"/>
      <c r="G972" s="36"/>
      <c r="H972" s="37"/>
      <c r="I972" s="36"/>
      <c r="J972" s="38"/>
      <c r="K972" s="38"/>
      <c r="L972" s="39"/>
      <c r="M972" s="39"/>
      <c r="N972" s="39"/>
      <c r="O972" s="39"/>
      <c r="P972" s="39"/>
      <c r="Q972" s="39"/>
      <c r="R972" s="39"/>
      <c r="S972" s="39"/>
      <c r="T972" s="39"/>
      <c r="U972" s="39"/>
      <c r="V972" s="39"/>
      <c r="W972" s="39"/>
      <c r="X972" s="39"/>
      <c r="Y972" s="39"/>
      <c r="Z972" s="39"/>
      <c r="AA972" s="39"/>
      <c r="AB972" s="39"/>
    </row>
    <row r="973">
      <c r="A973" s="1"/>
      <c r="B973" s="36"/>
      <c r="C973" s="36"/>
      <c r="D973" s="36"/>
      <c r="E973" s="36"/>
      <c r="F973" s="36"/>
      <c r="G973" s="36"/>
      <c r="H973" s="37"/>
      <c r="I973" s="36"/>
      <c r="J973" s="38"/>
      <c r="K973" s="38"/>
      <c r="L973" s="39"/>
      <c r="M973" s="39"/>
      <c r="N973" s="39"/>
      <c r="O973" s="39"/>
      <c r="P973" s="39"/>
      <c r="Q973" s="39"/>
      <c r="R973" s="39"/>
      <c r="S973" s="39"/>
      <c r="T973" s="39"/>
      <c r="U973" s="39"/>
      <c r="V973" s="39"/>
      <c r="W973" s="39"/>
      <c r="X973" s="39"/>
      <c r="Y973" s="39"/>
      <c r="Z973" s="39"/>
      <c r="AA973" s="39"/>
      <c r="AB973" s="39"/>
    </row>
    <row r="974">
      <c r="A974" s="1"/>
      <c r="B974" s="36"/>
      <c r="C974" s="36"/>
      <c r="D974" s="36"/>
      <c r="E974" s="36"/>
      <c r="F974" s="36"/>
      <c r="G974" s="36"/>
      <c r="H974" s="37"/>
      <c r="I974" s="36"/>
      <c r="J974" s="38"/>
      <c r="K974" s="38"/>
      <c r="L974" s="39"/>
      <c r="M974" s="39"/>
      <c r="N974" s="39"/>
      <c r="O974" s="39"/>
      <c r="P974" s="39"/>
      <c r="Q974" s="39"/>
      <c r="R974" s="39"/>
      <c r="S974" s="39"/>
      <c r="T974" s="39"/>
      <c r="U974" s="39"/>
      <c r="V974" s="39"/>
      <c r="W974" s="39"/>
      <c r="X974" s="39"/>
      <c r="Y974" s="39"/>
      <c r="Z974" s="39"/>
      <c r="AA974" s="39"/>
      <c r="AB974" s="39"/>
    </row>
    <row r="975">
      <c r="A975" s="1"/>
      <c r="B975" s="36"/>
      <c r="C975" s="36"/>
      <c r="D975" s="36"/>
      <c r="E975" s="36"/>
      <c r="F975" s="36"/>
      <c r="G975" s="36"/>
      <c r="H975" s="37"/>
      <c r="I975" s="36"/>
      <c r="J975" s="38"/>
      <c r="K975" s="38"/>
      <c r="L975" s="39"/>
      <c r="M975" s="39"/>
      <c r="N975" s="39"/>
      <c r="O975" s="39"/>
      <c r="P975" s="39"/>
      <c r="Q975" s="39"/>
      <c r="R975" s="39"/>
      <c r="S975" s="39"/>
      <c r="T975" s="39"/>
      <c r="U975" s="39"/>
      <c r="V975" s="39"/>
      <c r="W975" s="39"/>
      <c r="X975" s="39"/>
      <c r="Y975" s="39"/>
      <c r="Z975" s="39"/>
      <c r="AA975" s="39"/>
      <c r="AB975" s="39"/>
    </row>
    <row r="976">
      <c r="A976" s="1"/>
      <c r="B976" s="36"/>
      <c r="C976" s="36"/>
      <c r="D976" s="36"/>
      <c r="E976" s="36"/>
      <c r="F976" s="36"/>
      <c r="G976" s="36"/>
      <c r="H976" s="37"/>
      <c r="I976" s="36"/>
      <c r="J976" s="38"/>
      <c r="K976" s="38"/>
      <c r="L976" s="39"/>
      <c r="M976" s="39"/>
      <c r="N976" s="39"/>
      <c r="O976" s="39"/>
      <c r="P976" s="39"/>
      <c r="Q976" s="39"/>
      <c r="R976" s="39"/>
      <c r="S976" s="39"/>
      <c r="T976" s="39"/>
      <c r="U976" s="39"/>
      <c r="V976" s="39"/>
      <c r="W976" s="39"/>
      <c r="X976" s="39"/>
      <c r="Y976" s="39"/>
      <c r="Z976" s="39"/>
      <c r="AA976" s="39"/>
      <c r="AB976" s="39"/>
    </row>
    <row r="977">
      <c r="A977" s="1"/>
      <c r="B977" s="36"/>
      <c r="C977" s="36"/>
      <c r="D977" s="36"/>
      <c r="E977" s="36"/>
      <c r="F977" s="36"/>
      <c r="G977" s="36"/>
      <c r="H977" s="37"/>
      <c r="I977" s="36"/>
      <c r="J977" s="38"/>
      <c r="K977" s="38"/>
      <c r="L977" s="39"/>
      <c r="M977" s="39"/>
      <c r="N977" s="39"/>
      <c r="O977" s="39"/>
      <c r="P977" s="39"/>
      <c r="Q977" s="39"/>
      <c r="R977" s="39"/>
      <c r="S977" s="39"/>
      <c r="T977" s="39"/>
      <c r="U977" s="39"/>
      <c r="V977" s="39"/>
      <c r="W977" s="39"/>
      <c r="X977" s="39"/>
      <c r="Y977" s="39"/>
      <c r="Z977" s="39"/>
      <c r="AA977" s="39"/>
      <c r="AB977" s="39"/>
    </row>
    <row r="978">
      <c r="A978" s="1"/>
      <c r="B978" s="36"/>
      <c r="C978" s="36"/>
      <c r="D978" s="36"/>
      <c r="E978" s="36"/>
      <c r="F978" s="36"/>
      <c r="G978" s="36"/>
      <c r="H978" s="37"/>
      <c r="I978" s="36"/>
      <c r="J978" s="38"/>
      <c r="K978" s="38"/>
      <c r="L978" s="39"/>
      <c r="M978" s="39"/>
      <c r="N978" s="39"/>
      <c r="O978" s="39"/>
      <c r="P978" s="39"/>
      <c r="Q978" s="39"/>
      <c r="R978" s="39"/>
      <c r="S978" s="39"/>
      <c r="T978" s="39"/>
      <c r="U978" s="39"/>
      <c r="V978" s="39"/>
      <c r="W978" s="39"/>
      <c r="X978" s="39"/>
      <c r="Y978" s="39"/>
      <c r="Z978" s="39"/>
      <c r="AA978" s="39"/>
      <c r="AB978" s="39"/>
    </row>
    <row r="979">
      <c r="A979" s="1"/>
      <c r="B979" s="36"/>
      <c r="C979" s="36"/>
      <c r="D979" s="36"/>
      <c r="E979" s="36"/>
      <c r="F979" s="36"/>
      <c r="G979" s="36"/>
      <c r="H979" s="37"/>
      <c r="I979" s="36"/>
      <c r="J979" s="38"/>
      <c r="K979" s="38"/>
      <c r="L979" s="39"/>
      <c r="M979" s="39"/>
      <c r="N979" s="39"/>
      <c r="O979" s="39"/>
      <c r="P979" s="39"/>
      <c r="Q979" s="39"/>
      <c r="R979" s="39"/>
      <c r="S979" s="39"/>
      <c r="T979" s="39"/>
      <c r="U979" s="39"/>
      <c r="V979" s="39"/>
      <c r="W979" s="39"/>
      <c r="X979" s="39"/>
      <c r="Y979" s="39"/>
      <c r="Z979" s="39"/>
      <c r="AA979" s="39"/>
      <c r="AB979" s="39"/>
    </row>
    <row r="980">
      <c r="A980" s="1"/>
      <c r="B980" s="36"/>
      <c r="C980" s="36"/>
      <c r="D980" s="36"/>
      <c r="E980" s="36"/>
      <c r="F980" s="36"/>
      <c r="G980" s="36"/>
      <c r="H980" s="37"/>
      <c r="I980" s="36"/>
      <c r="J980" s="38"/>
      <c r="K980" s="38"/>
      <c r="L980" s="39"/>
      <c r="M980" s="39"/>
      <c r="N980" s="39"/>
      <c r="O980" s="39"/>
      <c r="P980" s="39"/>
      <c r="Q980" s="39"/>
      <c r="R980" s="39"/>
      <c r="S980" s="39"/>
      <c r="T980" s="39"/>
      <c r="U980" s="39"/>
      <c r="V980" s="39"/>
      <c r="W980" s="39"/>
      <c r="X980" s="39"/>
      <c r="Y980" s="39"/>
      <c r="Z980" s="39"/>
      <c r="AA980" s="39"/>
      <c r="AB980" s="39"/>
    </row>
    <row r="981">
      <c r="A981" s="1"/>
      <c r="B981" s="36"/>
      <c r="C981" s="36"/>
      <c r="D981" s="36"/>
      <c r="E981" s="36"/>
      <c r="F981" s="36"/>
      <c r="G981" s="36"/>
      <c r="H981" s="37"/>
      <c r="I981" s="36"/>
      <c r="J981" s="38"/>
      <c r="K981" s="38"/>
      <c r="L981" s="39"/>
      <c r="M981" s="39"/>
      <c r="N981" s="39"/>
      <c r="O981" s="39"/>
      <c r="P981" s="39"/>
      <c r="Q981" s="39"/>
      <c r="R981" s="39"/>
      <c r="S981" s="39"/>
      <c r="T981" s="39"/>
      <c r="U981" s="39"/>
      <c r="V981" s="39"/>
      <c r="W981" s="39"/>
      <c r="X981" s="39"/>
      <c r="Y981" s="39"/>
      <c r="Z981" s="39"/>
      <c r="AA981" s="39"/>
      <c r="AB981" s="39"/>
    </row>
    <row r="982">
      <c r="A982" s="1"/>
      <c r="B982" s="36"/>
      <c r="C982" s="36"/>
      <c r="D982" s="36"/>
      <c r="E982" s="36"/>
      <c r="F982" s="36"/>
      <c r="G982" s="36"/>
      <c r="H982" s="37"/>
      <c r="I982" s="36"/>
      <c r="J982" s="38"/>
      <c r="K982" s="38"/>
      <c r="L982" s="39"/>
      <c r="M982" s="39"/>
      <c r="N982" s="39"/>
      <c r="O982" s="39"/>
      <c r="P982" s="39"/>
      <c r="Q982" s="39"/>
      <c r="R982" s="39"/>
      <c r="S982" s="39"/>
      <c r="T982" s="39"/>
      <c r="U982" s="39"/>
      <c r="V982" s="39"/>
      <c r="W982" s="39"/>
      <c r="X982" s="39"/>
      <c r="Y982" s="39"/>
      <c r="Z982" s="39"/>
      <c r="AA982" s="39"/>
      <c r="AB982" s="39"/>
    </row>
    <row r="983">
      <c r="A983" s="1"/>
      <c r="B983" s="36"/>
      <c r="C983" s="36"/>
      <c r="D983" s="36"/>
      <c r="E983" s="36"/>
      <c r="F983" s="36"/>
      <c r="G983" s="36"/>
      <c r="H983" s="37"/>
      <c r="I983" s="36"/>
      <c r="J983" s="38"/>
      <c r="K983" s="38"/>
      <c r="L983" s="39"/>
      <c r="M983" s="39"/>
      <c r="N983" s="39"/>
      <c r="O983" s="39"/>
      <c r="P983" s="39"/>
      <c r="Q983" s="39"/>
      <c r="R983" s="39"/>
      <c r="S983" s="39"/>
      <c r="T983" s="39"/>
      <c r="U983" s="39"/>
      <c r="V983" s="39"/>
      <c r="W983" s="39"/>
      <c r="X983" s="39"/>
      <c r="Y983" s="39"/>
      <c r="Z983" s="39"/>
      <c r="AA983" s="39"/>
      <c r="AB983" s="39"/>
    </row>
    <row r="984">
      <c r="A984" s="1"/>
      <c r="B984" s="36"/>
      <c r="C984" s="36"/>
      <c r="D984" s="36"/>
      <c r="E984" s="36"/>
      <c r="F984" s="36"/>
      <c r="G984" s="36"/>
      <c r="H984" s="37"/>
      <c r="I984" s="36"/>
      <c r="J984" s="38"/>
      <c r="K984" s="38"/>
      <c r="L984" s="39"/>
      <c r="M984" s="39"/>
      <c r="N984" s="39"/>
      <c r="O984" s="39"/>
      <c r="P984" s="39"/>
      <c r="Q984" s="39"/>
      <c r="R984" s="39"/>
      <c r="S984" s="39"/>
      <c r="T984" s="39"/>
      <c r="U984" s="39"/>
      <c r="V984" s="39"/>
      <c r="W984" s="39"/>
      <c r="X984" s="39"/>
      <c r="Y984" s="39"/>
      <c r="Z984" s="39"/>
      <c r="AA984" s="39"/>
      <c r="AB984" s="39"/>
    </row>
    <row r="985">
      <c r="A985" s="1"/>
      <c r="B985" s="36"/>
      <c r="C985" s="36"/>
      <c r="D985" s="36"/>
      <c r="E985" s="36"/>
      <c r="F985" s="36"/>
      <c r="G985" s="36"/>
      <c r="H985" s="37"/>
      <c r="I985" s="36"/>
      <c r="J985" s="38"/>
      <c r="K985" s="38"/>
      <c r="L985" s="39"/>
      <c r="M985" s="39"/>
      <c r="N985" s="39"/>
      <c r="O985" s="39"/>
      <c r="P985" s="39"/>
      <c r="Q985" s="39"/>
      <c r="R985" s="39"/>
      <c r="S985" s="39"/>
      <c r="T985" s="39"/>
      <c r="U985" s="39"/>
      <c r="V985" s="39"/>
      <c r="W985" s="39"/>
      <c r="X985" s="39"/>
      <c r="Y985" s="39"/>
      <c r="Z985" s="39"/>
      <c r="AA985" s="39"/>
      <c r="AB985" s="39"/>
    </row>
    <row r="986">
      <c r="A986" s="1"/>
      <c r="B986" s="36"/>
      <c r="C986" s="36"/>
      <c r="D986" s="36"/>
      <c r="E986" s="36"/>
      <c r="F986" s="36"/>
      <c r="G986" s="36"/>
      <c r="H986" s="37"/>
      <c r="I986" s="36"/>
      <c r="J986" s="38"/>
      <c r="K986" s="38"/>
      <c r="L986" s="39"/>
      <c r="M986" s="39"/>
      <c r="N986" s="39"/>
      <c r="O986" s="39"/>
      <c r="P986" s="39"/>
      <c r="Q986" s="39"/>
      <c r="R986" s="39"/>
      <c r="S986" s="39"/>
      <c r="T986" s="39"/>
      <c r="U986" s="39"/>
      <c r="V986" s="39"/>
      <c r="W986" s="39"/>
      <c r="X986" s="39"/>
      <c r="Y986" s="39"/>
      <c r="Z986" s="39"/>
      <c r="AA986" s="39"/>
      <c r="AB986" s="39"/>
    </row>
    <row r="987">
      <c r="A987" s="1"/>
      <c r="B987" s="36"/>
      <c r="C987" s="36"/>
      <c r="D987" s="36"/>
      <c r="E987" s="36"/>
      <c r="F987" s="36"/>
      <c r="G987" s="36"/>
      <c r="H987" s="37"/>
      <c r="I987" s="36"/>
      <c r="J987" s="38"/>
      <c r="K987" s="38"/>
      <c r="L987" s="39"/>
      <c r="M987" s="39"/>
      <c r="N987" s="39"/>
      <c r="O987" s="39"/>
      <c r="P987" s="39"/>
      <c r="Q987" s="39"/>
      <c r="R987" s="39"/>
      <c r="S987" s="39"/>
      <c r="T987" s="39"/>
      <c r="U987" s="39"/>
      <c r="V987" s="39"/>
      <c r="W987" s="39"/>
      <c r="X987" s="39"/>
      <c r="Y987" s="39"/>
      <c r="Z987" s="39"/>
      <c r="AA987" s="39"/>
      <c r="AB987" s="39"/>
    </row>
    <row r="988">
      <c r="A988" s="1"/>
      <c r="B988" s="36"/>
      <c r="C988" s="36"/>
      <c r="D988" s="36"/>
      <c r="E988" s="36"/>
      <c r="F988" s="36"/>
      <c r="G988" s="36"/>
      <c r="H988" s="37"/>
      <c r="I988" s="36"/>
      <c r="J988" s="38"/>
      <c r="K988" s="38"/>
      <c r="L988" s="39"/>
      <c r="M988" s="39"/>
      <c r="N988" s="39"/>
      <c r="O988" s="39"/>
      <c r="P988" s="39"/>
      <c r="Q988" s="39"/>
      <c r="R988" s="39"/>
      <c r="S988" s="39"/>
      <c r="T988" s="39"/>
      <c r="U988" s="39"/>
      <c r="V988" s="39"/>
      <c r="W988" s="39"/>
      <c r="X988" s="39"/>
      <c r="Y988" s="39"/>
      <c r="Z988" s="39"/>
      <c r="AA988" s="39"/>
      <c r="AB988" s="39"/>
    </row>
    <row r="989">
      <c r="A989" s="1"/>
      <c r="B989" s="36"/>
      <c r="C989" s="36"/>
      <c r="D989" s="36"/>
      <c r="E989" s="36"/>
      <c r="F989" s="36"/>
      <c r="G989" s="36"/>
      <c r="H989" s="37"/>
      <c r="I989" s="36"/>
      <c r="J989" s="38"/>
      <c r="K989" s="38"/>
      <c r="L989" s="39"/>
      <c r="M989" s="39"/>
      <c r="N989" s="39"/>
      <c r="O989" s="39"/>
      <c r="P989" s="39"/>
      <c r="Q989" s="39"/>
      <c r="R989" s="39"/>
      <c r="S989" s="39"/>
      <c r="T989" s="39"/>
      <c r="U989" s="39"/>
      <c r="V989" s="39"/>
      <c r="W989" s="39"/>
      <c r="X989" s="39"/>
      <c r="Y989" s="39"/>
      <c r="Z989" s="39"/>
      <c r="AA989" s="39"/>
      <c r="AB989" s="39"/>
    </row>
    <row r="990">
      <c r="A990" s="1"/>
      <c r="B990" s="36"/>
      <c r="C990" s="36"/>
      <c r="D990" s="36"/>
      <c r="E990" s="36"/>
      <c r="F990" s="36"/>
      <c r="G990" s="36"/>
      <c r="H990" s="37"/>
      <c r="I990" s="36"/>
      <c r="J990" s="38"/>
      <c r="K990" s="38"/>
      <c r="L990" s="39"/>
      <c r="M990" s="39"/>
      <c r="N990" s="39"/>
      <c r="O990" s="39"/>
      <c r="P990" s="39"/>
      <c r="Q990" s="39"/>
      <c r="R990" s="39"/>
      <c r="S990" s="39"/>
      <c r="T990" s="39"/>
      <c r="U990" s="39"/>
      <c r="V990" s="39"/>
      <c r="W990" s="39"/>
      <c r="X990" s="39"/>
      <c r="Y990" s="39"/>
      <c r="Z990" s="39"/>
      <c r="AA990" s="39"/>
      <c r="AB990" s="39"/>
    </row>
    <row r="991">
      <c r="A991" s="1"/>
      <c r="B991" s="36"/>
      <c r="C991" s="36"/>
      <c r="D991" s="36"/>
      <c r="E991" s="36"/>
      <c r="F991" s="36"/>
      <c r="G991" s="36"/>
      <c r="H991" s="37"/>
      <c r="I991" s="36"/>
      <c r="J991" s="38"/>
      <c r="K991" s="38"/>
      <c r="L991" s="39"/>
      <c r="M991" s="39"/>
      <c r="N991" s="39"/>
      <c r="O991" s="39"/>
      <c r="P991" s="39"/>
      <c r="Q991" s="39"/>
      <c r="R991" s="39"/>
      <c r="S991" s="39"/>
      <c r="T991" s="39"/>
      <c r="U991" s="39"/>
      <c r="V991" s="39"/>
      <c r="W991" s="39"/>
      <c r="X991" s="39"/>
      <c r="Y991" s="39"/>
      <c r="Z991" s="39"/>
      <c r="AA991" s="39"/>
      <c r="AB991" s="39"/>
    </row>
    <row r="992">
      <c r="A992" s="1"/>
      <c r="B992" s="36"/>
      <c r="C992" s="36"/>
      <c r="D992" s="36"/>
      <c r="E992" s="36"/>
      <c r="F992" s="36"/>
      <c r="G992" s="36"/>
      <c r="H992" s="37"/>
      <c r="I992" s="36"/>
      <c r="J992" s="38"/>
      <c r="K992" s="38"/>
      <c r="L992" s="39"/>
      <c r="M992" s="39"/>
      <c r="N992" s="39"/>
      <c r="O992" s="39"/>
      <c r="P992" s="39"/>
      <c r="Q992" s="39"/>
      <c r="R992" s="39"/>
      <c r="S992" s="39"/>
      <c r="T992" s="39"/>
      <c r="U992" s="39"/>
      <c r="V992" s="39"/>
      <c r="W992" s="39"/>
      <c r="X992" s="39"/>
      <c r="Y992" s="39"/>
      <c r="Z992" s="39"/>
      <c r="AA992" s="39"/>
      <c r="AB992" s="39"/>
    </row>
    <row r="993">
      <c r="A993" s="1"/>
      <c r="B993" s="36"/>
      <c r="C993" s="36"/>
      <c r="D993" s="36"/>
      <c r="E993" s="36"/>
      <c r="F993" s="36"/>
      <c r="G993" s="36"/>
      <c r="H993" s="37"/>
      <c r="I993" s="36"/>
      <c r="J993" s="38"/>
      <c r="K993" s="38"/>
      <c r="L993" s="39"/>
      <c r="M993" s="39"/>
      <c r="N993" s="39"/>
      <c r="O993" s="39"/>
      <c r="P993" s="39"/>
      <c r="Q993" s="39"/>
      <c r="R993" s="39"/>
      <c r="S993" s="39"/>
      <c r="T993" s="39"/>
      <c r="U993" s="39"/>
      <c r="V993" s="39"/>
      <c r="W993" s="39"/>
      <c r="X993" s="39"/>
      <c r="Y993" s="39"/>
      <c r="Z993" s="39"/>
      <c r="AA993" s="39"/>
      <c r="AB993" s="39"/>
    </row>
    <row r="994">
      <c r="A994" s="1"/>
      <c r="B994" s="36"/>
      <c r="C994" s="36"/>
      <c r="D994" s="36"/>
      <c r="E994" s="36"/>
      <c r="F994" s="36"/>
      <c r="G994" s="36"/>
      <c r="H994" s="37"/>
      <c r="I994" s="36"/>
      <c r="J994" s="38"/>
      <c r="K994" s="38"/>
      <c r="L994" s="39"/>
      <c r="M994" s="39"/>
      <c r="N994" s="39"/>
      <c r="O994" s="39"/>
      <c r="P994" s="39"/>
      <c r="Q994" s="39"/>
      <c r="R994" s="39"/>
      <c r="S994" s="39"/>
      <c r="T994" s="39"/>
      <c r="U994" s="39"/>
      <c r="V994" s="39"/>
      <c r="W994" s="39"/>
      <c r="X994" s="39"/>
      <c r="Y994" s="39"/>
      <c r="Z994" s="39"/>
      <c r="AA994" s="39"/>
      <c r="AB994" s="39"/>
    </row>
    <row r="995">
      <c r="A995" s="1"/>
      <c r="B995" s="36"/>
      <c r="C995" s="36"/>
      <c r="D995" s="36"/>
      <c r="E995" s="36"/>
      <c r="F995" s="36"/>
      <c r="G995" s="36"/>
      <c r="H995" s="37"/>
      <c r="I995" s="36"/>
      <c r="J995" s="38"/>
      <c r="K995" s="38"/>
      <c r="L995" s="39"/>
      <c r="M995" s="39"/>
      <c r="N995" s="39"/>
      <c r="O995" s="39"/>
      <c r="P995" s="39"/>
      <c r="Q995" s="39"/>
      <c r="R995" s="39"/>
      <c r="S995" s="39"/>
      <c r="T995" s="39"/>
      <c r="U995" s="39"/>
      <c r="V995" s="39"/>
      <c r="W995" s="39"/>
      <c r="X995" s="39"/>
      <c r="Y995" s="39"/>
      <c r="Z995" s="39"/>
      <c r="AA995" s="39"/>
      <c r="AB995" s="39"/>
    </row>
    <row r="996">
      <c r="A996" s="1"/>
      <c r="B996" s="36"/>
      <c r="C996" s="36"/>
      <c r="D996" s="36"/>
      <c r="E996" s="36"/>
      <c r="F996" s="36"/>
      <c r="G996" s="36"/>
      <c r="H996" s="37"/>
      <c r="I996" s="36"/>
      <c r="J996" s="38"/>
      <c r="K996" s="38"/>
      <c r="L996" s="39"/>
      <c r="M996" s="39"/>
      <c r="N996" s="39"/>
      <c r="O996" s="39"/>
      <c r="P996" s="39"/>
      <c r="Q996" s="39"/>
      <c r="R996" s="39"/>
      <c r="S996" s="39"/>
      <c r="T996" s="39"/>
      <c r="U996" s="39"/>
      <c r="V996" s="39"/>
      <c r="W996" s="39"/>
      <c r="X996" s="39"/>
      <c r="Y996" s="39"/>
      <c r="Z996" s="39"/>
      <c r="AA996" s="39"/>
      <c r="AB996" s="39"/>
    </row>
    <row r="997">
      <c r="A997" s="1"/>
      <c r="B997" s="36"/>
      <c r="C997" s="36"/>
      <c r="D997" s="36"/>
      <c r="E997" s="36"/>
      <c r="F997" s="36"/>
      <c r="G997" s="36"/>
      <c r="H997" s="37"/>
      <c r="I997" s="36"/>
      <c r="J997" s="38"/>
      <c r="K997" s="38"/>
      <c r="L997" s="39"/>
      <c r="M997" s="39"/>
      <c r="N997" s="39"/>
      <c r="O997" s="39"/>
      <c r="P997" s="39"/>
      <c r="Q997" s="39"/>
      <c r="R997" s="39"/>
      <c r="S997" s="39"/>
      <c r="T997" s="39"/>
      <c r="U997" s="39"/>
      <c r="V997" s="39"/>
      <c r="W997" s="39"/>
      <c r="X997" s="39"/>
      <c r="Y997" s="39"/>
      <c r="Z997" s="39"/>
      <c r="AA997" s="39"/>
      <c r="AB997" s="39"/>
    </row>
    <row r="998">
      <c r="A998" s="1"/>
      <c r="B998" s="36"/>
      <c r="C998" s="36"/>
      <c r="D998" s="36"/>
      <c r="E998" s="36"/>
      <c r="F998" s="36"/>
      <c r="G998" s="36"/>
      <c r="H998" s="37"/>
      <c r="I998" s="36"/>
      <c r="J998" s="38"/>
      <c r="K998" s="38"/>
      <c r="L998" s="39"/>
      <c r="M998" s="39"/>
      <c r="N998" s="39"/>
      <c r="O998" s="39"/>
      <c r="P998" s="39"/>
      <c r="Q998" s="39"/>
      <c r="R998" s="39"/>
      <c r="S998" s="39"/>
      <c r="T998" s="39"/>
      <c r="U998" s="39"/>
      <c r="V998" s="39"/>
      <c r="W998" s="39"/>
      <c r="X998" s="39"/>
      <c r="Y998" s="39"/>
      <c r="Z998" s="39"/>
      <c r="AA998" s="39"/>
      <c r="AB998" s="39"/>
    </row>
    <row r="999">
      <c r="A999" s="1"/>
      <c r="B999" s="36"/>
      <c r="C999" s="36"/>
      <c r="D999" s="36"/>
      <c r="E999" s="36"/>
      <c r="F999" s="36"/>
      <c r="G999" s="36"/>
      <c r="H999" s="37"/>
      <c r="I999" s="36"/>
      <c r="J999" s="38"/>
      <c r="K999" s="38"/>
      <c r="L999" s="39"/>
      <c r="M999" s="39"/>
      <c r="N999" s="39"/>
      <c r="O999" s="39"/>
      <c r="P999" s="39"/>
      <c r="Q999" s="39"/>
      <c r="R999" s="39"/>
      <c r="S999" s="39"/>
      <c r="T999" s="39"/>
      <c r="U999" s="39"/>
      <c r="V999" s="39"/>
      <c r="W999" s="39"/>
      <c r="X999" s="39"/>
      <c r="Y999" s="39"/>
      <c r="Z999" s="39"/>
      <c r="AA999" s="39"/>
      <c r="AB999" s="39"/>
    </row>
    <row r="1000">
      <c r="A1000" s="1"/>
      <c r="B1000" s="36"/>
      <c r="C1000" s="36"/>
      <c r="D1000" s="36"/>
      <c r="E1000" s="36"/>
      <c r="F1000" s="36"/>
      <c r="G1000" s="36"/>
      <c r="H1000" s="37"/>
      <c r="I1000" s="36"/>
      <c r="J1000" s="38"/>
      <c r="K1000" s="38"/>
      <c r="L1000" s="39"/>
      <c r="M1000" s="39"/>
      <c r="N1000" s="39"/>
      <c r="O1000" s="39"/>
      <c r="P1000" s="39"/>
      <c r="Q1000" s="39"/>
      <c r="R1000" s="39"/>
      <c r="S1000" s="39"/>
      <c r="T1000" s="39"/>
      <c r="U1000" s="39"/>
      <c r="V1000" s="39"/>
      <c r="W1000" s="39"/>
      <c r="X1000" s="39"/>
      <c r="Y1000" s="39"/>
      <c r="Z1000" s="39"/>
      <c r="AA1000" s="39"/>
      <c r="AB1000" s="39"/>
    </row>
    <row r="1001">
      <c r="A1001" s="1"/>
      <c r="B1001" s="36"/>
      <c r="C1001" s="36"/>
      <c r="D1001" s="36"/>
      <c r="E1001" s="36"/>
      <c r="F1001" s="36"/>
      <c r="G1001" s="36"/>
      <c r="H1001" s="37"/>
      <c r="I1001" s="36"/>
      <c r="J1001" s="38"/>
      <c r="K1001" s="38"/>
      <c r="L1001" s="39"/>
      <c r="M1001" s="39"/>
      <c r="N1001" s="39"/>
      <c r="O1001" s="39"/>
      <c r="P1001" s="39"/>
      <c r="Q1001" s="39"/>
      <c r="R1001" s="39"/>
      <c r="S1001" s="39"/>
      <c r="T1001" s="39"/>
      <c r="U1001" s="39"/>
      <c r="V1001" s="39"/>
      <c r="W1001" s="39"/>
      <c r="X1001" s="39"/>
      <c r="Y1001" s="39"/>
      <c r="Z1001" s="39"/>
      <c r="AA1001" s="39"/>
      <c r="AB1001" s="39"/>
    </row>
    <row r="1002">
      <c r="A1002" s="1"/>
      <c r="B1002" s="36"/>
      <c r="C1002" s="36"/>
      <c r="D1002" s="36"/>
      <c r="E1002" s="36"/>
      <c r="F1002" s="36"/>
      <c r="G1002" s="36"/>
      <c r="H1002" s="37"/>
      <c r="I1002" s="36"/>
      <c r="J1002" s="38"/>
      <c r="K1002" s="38"/>
      <c r="L1002" s="39"/>
      <c r="M1002" s="39"/>
      <c r="N1002" s="39"/>
      <c r="O1002" s="39"/>
      <c r="P1002" s="39"/>
      <c r="Q1002" s="39"/>
      <c r="R1002" s="39"/>
      <c r="S1002" s="39"/>
      <c r="T1002" s="39"/>
      <c r="U1002" s="39"/>
      <c r="V1002" s="39"/>
      <c r="W1002" s="39"/>
      <c r="X1002" s="39"/>
      <c r="Y1002" s="39"/>
      <c r="Z1002" s="39"/>
      <c r="AA1002" s="39"/>
      <c r="AB1002" s="39"/>
    </row>
    <row r="1003">
      <c r="A1003" s="1"/>
      <c r="B1003" s="36"/>
      <c r="C1003" s="36"/>
      <c r="D1003" s="36"/>
      <c r="E1003" s="36"/>
      <c r="F1003" s="36"/>
      <c r="G1003" s="36"/>
      <c r="H1003" s="37"/>
      <c r="I1003" s="36"/>
      <c r="J1003" s="38"/>
      <c r="K1003" s="38"/>
      <c r="L1003" s="39"/>
      <c r="M1003" s="39"/>
      <c r="N1003" s="39"/>
      <c r="O1003" s="39"/>
      <c r="P1003" s="39"/>
      <c r="Q1003" s="39"/>
      <c r="R1003" s="39"/>
      <c r="S1003" s="39"/>
      <c r="T1003" s="39"/>
      <c r="U1003" s="39"/>
      <c r="V1003" s="39"/>
      <c r="W1003" s="39"/>
      <c r="X1003" s="39"/>
      <c r="Y1003" s="39"/>
      <c r="Z1003" s="39"/>
      <c r="AA1003" s="39"/>
      <c r="AB1003" s="39"/>
    </row>
    <row r="1004">
      <c r="A1004" s="1"/>
      <c r="B1004" s="36"/>
      <c r="C1004" s="36"/>
      <c r="D1004" s="36"/>
      <c r="E1004" s="36"/>
      <c r="F1004" s="36"/>
      <c r="G1004" s="36"/>
      <c r="H1004" s="37"/>
      <c r="I1004" s="36"/>
      <c r="J1004" s="38"/>
      <c r="K1004" s="38"/>
      <c r="L1004" s="39"/>
      <c r="M1004" s="39"/>
      <c r="N1004" s="39"/>
      <c r="O1004" s="39"/>
      <c r="P1004" s="39"/>
      <c r="Q1004" s="39"/>
      <c r="R1004" s="39"/>
      <c r="S1004" s="39"/>
      <c r="T1004" s="39"/>
      <c r="U1004" s="39"/>
      <c r="V1004" s="39"/>
      <c r="W1004" s="39"/>
      <c r="X1004" s="39"/>
      <c r="Y1004" s="39"/>
      <c r="Z1004" s="39"/>
      <c r="AA1004" s="39"/>
      <c r="AB1004" s="39"/>
    </row>
    <row r="1005">
      <c r="A1005" s="1"/>
      <c r="B1005" s="36"/>
      <c r="C1005" s="36"/>
      <c r="D1005" s="36"/>
      <c r="E1005" s="36"/>
      <c r="F1005" s="36"/>
      <c r="G1005" s="36"/>
      <c r="H1005" s="37"/>
      <c r="I1005" s="36"/>
      <c r="J1005" s="38"/>
      <c r="K1005" s="38"/>
      <c r="L1005" s="39"/>
      <c r="M1005" s="39"/>
      <c r="N1005" s="39"/>
      <c r="O1005" s="39"/>
      <c r="P1005" s="39"/>
      <c r="Q1005" s="39"/>
      <c r="R1005" s="39"/>
      <c r="S1005" s="39"/>
      <c r="T1005" s="39"/>
      <c r="U1005" s="39"/>
      <c r="V1005" s="39"/>
      <c r="W1005" s="39"/>
      <c r="X1005" s="39"/>
      <c r="Y1005" s="39"/>
      <c r="Z1005" s="39"/>
      <c r="AA1005" s="39"/>
      <c r="AB1005" s="39"/>
    </row>
    <row r="1006">
      <c r="A1006" s="1"/>
      <c r="B1006" s="36"/>
      <c r="C1006" s="36"/>
      <c r="D1006" s="36"/>
      <c r="E1006" s="36"/>
      <c r="F1006" s="36"/>
      <c r="G1006" s="36"/>
      <c r="H1006" s="37"/>
      <c r="I1006" s="36"/>
      <c r="J1006" s="38"/>
      <c r="K1006" s="38"/>
      <c r="L1006" s="39"/>
      <c r="M1006" s="39"/>
      <c r="N1006" s="39"/>
      <c r="O1006" s="39"/>
      <c r="P1006" s="39"/>
      <c r="Q1006" s="39"/>
      <c r="R1006" s="39"/>
      <c r="S1006" s="39"/>
      <c r="T1006" s="39"/>
      <c r="U1006" s="39"/>
      <c r="V1006" s="39"/>
      <c r="W1006" s="39"/>
      <c r="X1006" s="39"/>
      <c r="Y1006" s="39"/>
      <c r="Z1006" s="39"/>
      <c r="AA1006" s="39"/>
      <c r="AB1006" s="39"/>
    </row>
    <row r="1007">
      <c r="A1007" s="1"/>
      <c r="B1007" s="36"/>
      <c r="C1007" s="36"/>
      <c r="D1007" s="36"/>
      <c r="E1007" s="36"/>
      <c r="F1007" s="36"/>
      <c r="G1007" s="36"/>
      <c r="H1007" s="37"/>
      <c r="I1007" s="36"/>
      <c r="J1007" s="38"/>
      <c r="K1007" s="38"/>
      <c r="L1007" s="39"/>
      <c r="M1007" s="39"/>
      <c r="N1007" s="39"/>
      <c r="O1007" s="39"/>
      <c r="P1007" s="39"/>
      <c r="Q1007" s="39"/>
      <c r="R1007" s="39"/>
      <c r="S1007" s="39"/>
      <c r="T1007" s="39"/>
      <c r="U1007" s="39"/>
      <c r="V1007" s="39"/>
      <c r="W1007" s="39"/>
      <c r="X1007" s="39"/>
      <c r="Y1007" s="39"/>
      <c r="Z1007" s="39"/>
      <c r="AA1007" s="39"/>
      <c r="AB1007" s="39"/>
    </row>
    <row r="1008">
      <c r="A1008" s="1"/>
      <c r="B1008" s="36"/>
      <c r="C1008" s="36"/>
      <c r="D1008" s="36"/>
      <c r="E1008" s="36"/>
      <c r="F1008" s="36"/>
      <c r="G1008" s="36"/>
      <c r="H1008" s="37"/>
      <c r="I1008" s="36"/>
      <c r="J1008" s="38"/>
      <c r="K1008" s="38"/>
      <c r="L1008" s="39"/>
      <c r="M1008" s="39"/>
      <c r="N1008" s="39"/>
      <c r="O1008" s="39"/>
      <c r="P1008" s="39"/>
      <c r="Q1008" s="39"/>
      <c r="R1008" s="39"/>
      <c r="S1008" s="39"/>
      <c r="T1008" s="39"/>
      <c r="U1008" s="39"/>
      <c r="V1008" s="39"/>
      <c r="W1008" s="39"/>
      <c r="X1008" s="39"/>
      <c r="Y1008" s="39"/>
      <c r="Z1008" s="39"/>
      <c r="AA1008" s="39"/>
      <c r="AB1008" s="39"/>
    </row>
    <row r="1009">
      <c r="A1009" s="1"/>
      <c r="B1009" s="36"/>
      <c r="C1009" s="36"/>
      <c r="D1009" s="36"/>
      <c r="E1009" s="36"/>
      <c r="F1009" s="36"/>
      <c r="G1009" s="36"/>
      <c r="H1009" s="37"/>
      <c r="I1009" s="36"/>
      <c r="J1009" s="38"/>
      <c r="K1009" s="38"/>
      <c r="L1009" s="39"/>
      <c r="M1009" s="39"/>
      <c r="N1009" s="39"/>
      <c r="O1009" s="39"/>
      <c r="P1009" s="39"/>
      <c r="Q1009" s="39"/>
      <c r="R1009" s="39"/>
      <c r="S1009" s="39"/>
      <c r="T1009" s="39"/>
      <c r="U1009" s="39"/>
      <c r="V1009" s="39"/>
      <c r="W1009" s="39"/>
      <c r="X1009" s="39"/>
      <c r="Y1009" s="39"/>
      <c r="Z1009" s="39"/>
      <c r="AA1009" s="39"/>
      <c r="AB1009" s="39"/>
    </row>
    <row r="1010">
      <c r="A1010" s="1"/>
      <c r="B1010" s="36"/>
      <c r="C1010" s="36"/>
      <c r="D1010" s="36"/>
      <c r="E1010" s="36"/>
      <c r="F1010" s="36"/>
      <c r="G1010" s="36"/>
      <c r="H1010" s="37"/>
      <c r="I1010" s="36"/>
      <c r="J1010" s="38"/>
      <c r="K1010" s="38"/>
      <c r="L1010" s="39"/>
      <c r="M1010" s="39"/>
      <c r="N1010" s="39"/>
      <c r="O1010" s="39"/>
      <c r="P1010" s="39"/>
      <c r="Q1010" s="39"/>
      <c r="R1010" s="39"/>
      <c r="S1010" s="39"/>
      <c r="T1010" s="39"/>
      <c r="U1010" s="39"/>
      <c r="V1010" s="39"/>
      <c r="W1010" s="39"/>
      <c r="X1010" s="39"/>
      <c r="Y1010" s="39"/>
      <c r="Z1010" s="39"/>
      <c r="AA1010" s="39"/>
      <c r="AB1010" s="39"/>
    </row>
    <row r="1011">
      <c r="A1011" s="1"/>
      <c r="B1011" s="36"/>
      <c r="C1011" s="36"/>
      <c r="D1011" s="36"/>
      <c r="E1011" s="36"/>
      <c r="F1011" s="36"/>
      <c r="G1011" s="36"/>
      <c r="H1011" s="37"/>
      <c r="I1011" s="36"/>
      <c r="J1011" s="38"/>
      <c r="K1011" s="38"/>
      <c r="L1011" s="39"/>
      <c r="M1011" s="39"/>
      <c r="N1011" s="39"/>
      <c r="O1011" s="39"/>
      <c r="P1011" s="39"/>
      <c r="Q1011" s="39"/>
      <c r="R1011" s="39"/>
      <c r="S1011" s="39"/>
      <c r="T1011" s="39"/>
      <c r="U1011" s="39"/>
      <c r="V1011" s="39"/>
      <c r="W1011" s="39"/>
      <c r="X1011" s="39"/>
      <c r="Y1011" s="39"/>
      <c r="Z1011" s="39"/>
      <c r="AA1011" s="39"/>
      <c r="AB1011" s="39"/>
    </row>
    <row r="1012">
      <c r="A1012" s="1"/>
      <c r="B1012" s="36"/>
      <c r="C1012" s="36"/>
      <c r="D1012" s="36"/>
      <c r="E1012" s="36"/>
      <c r="F1012" s="36"/>
      <c r="G1012" s="36"/>
      <c r="H1012" s="37"/>
      <c r="I1012" s="36"/>
      <c r="J1012" s="38"/>
      <c r="K1012" s="38"/>
      <c r="L1012" s="39"/>
      <c r="M1012" s="39"/>
      <c r="N1012" s="39"/>
      <c r="O1012" s="39"/>
      <c r="P1012" s="39"/>
      <c r="Q1012" s="39"/>
      <c r="R1012" s="39"/>
      <c r="S1012" s="39"/>
      <c r="T1012" s="39"/>
      <c r="U1012" s="39"/>
      <c r="V1012" s="39"/>
      <c r="W1012" s="39"/>
      <c r="X1012" s="39"/>
      <c r="Y1012" s="39"/>
      <c r="Z1012" s="39"/>
      <c r="AA1012" s="39"/>
      <c r="AB1012" s="39"/>
    </row>
    <row r="1013">
      <c r="A1013" s="1"/>
      <c r="B1013" s="36"/>
      <c r="C1013" s="36"/>
      <c r="D1013" s="36"/>
      <c r="E1013" s="36"/>
      <c r="F1013" s="36"/>
      <c r="G1013" s="36"/>
      <c r="H1013" s="37"/>
      <c r="I1013" s="36"/>
      <c r="J1013" s="38"/>
      <c r="K1013" s="38"/>
      <c r="L1013" s="39"/>
      <c r="M1013" s="39"/>
      <c r="N1013" s="39"/>
      <c r="O1013" s="39"/>
      <c r="P1013" s="39"/>
      <c r="Q1013" s="39"/>
      <c r="R1013" s="39"/>
      <c r="S1013" s="39"/>
      <c r="T1013" s="39"/>
      <c r="U1013" s="39"/>
      <c r="V1013" s="39"/>
      <c r="W1013" s="39"/>
      <c r="X1013" s="39"/>
      <c r="Y1013" s="39"/>
      <c r="Z1013" s="39"/>
      <c r="AA1013" s="39"/>
      <c r="AB1013" s="39"/>
    </row>
  </sheetData>
  <drawing r:id="rId1"/>
</worksheet>
</file>