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<sst xmlns="http://schemas.openxmlformats.org/spreadsheetml/2006/main" count="1323" uniqueCount="1119">
  <si>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</si>
  <si>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</si>
  <si>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</si>
  <si>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</si>
  <si>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</si>
  <si>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</si>
  <si>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</si>
  <si>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</si>
  <si>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</si>
  <si>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</si>
  <si>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</si>
  <si>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</si>
  <si>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</si>
  <si>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</si>
  <si>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</si>
  <si>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</si>
  <si>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</si>
  <si>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</si>
  <si>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</si>
  <si>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</si>
  <si>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</si>
  <si>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</si>
  <si>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</si>
  <si>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</si>
  <si>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</si>
  <si>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</si>
  <si>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</si>
  <si>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</si>
  <si>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</si>
  <si>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</si>
  <si>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</si>
  <si>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</si>
  <si>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</si>
  <si>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</si>
  <si>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</si>
  <si>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</si>
  <si>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</si>
  <si>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</si>
  <si>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</si>
  <si>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</si>
  <si>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</si>
  <si>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</si>
  <si>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</si>
  <si>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</si>
  <si>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</si>
  <si>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</si>
  <si>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</si>
  <si>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</si>
  <si>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</si>
  <si>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</si>
  <si>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</si>
  <si>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</si>
  <si>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</si>
  <si>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</si>
  <si>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</si>
  <si>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</si>
  <si>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</si>
  <si>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</si>
  <si>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</si>
  <si>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</si>
  <si>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</si>
  <si>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</si>
  <si>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</si>
  <si>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</si>
  <si>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</si>
  <si>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</si>
  <si>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</si>
  <si>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</si>
  <si>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</si>
  <si>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</si>
  <si>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</si>
  <si>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</si>
  <si>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</si>
  <si>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</si>
  <si>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</si>
  <si>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</si>
  <si>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</si>
  <si>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</si>
  <si>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</si>
  <si>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</si>
  <si>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</si>
  <si>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</si>
  <si>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</si>
  <si>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</si>
  <si>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</si>
  <si>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</si>
  <si>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</si>
  <si>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</si>
  <si>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</si>
  <si>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</si>
  <si>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</si>
  <si>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</si>
  <si>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</si>
  <si>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</si>
  <si>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</si>
  <si>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</si>
  <si>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</si>
  <si>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</si>
  <si>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</si>
  <si>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</si>
  <si>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</si>
  <si>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</si>
  <si>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</si>
  <si>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</si>
  <si>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</si>
  <si>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</si>
  <si>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</si>
  <si>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</si>
  <si>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</si>
  <si>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</si>
  <si>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</si>
  <si>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</si>
  <si>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</si>
  <si>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</si>
  <si>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</si>
  <si>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</si>
  <si>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</si>
  <si>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</si>
  <si>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</si>
  <si>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</si>
  <si>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</si>
  <si>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</si>
  <si>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</si>
  <si>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</si>
  <si>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</si>
  <si>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</si>
  <si>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</si>
  <si>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</si>
  <si>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</si>
  <si>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</si>
  <si>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</si>
  <si>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</si>
  <si>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</si>
  <si>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</si>
  <si>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</si>
  <si>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</si>
  <si>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</si>
  <si>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</si>
  <si>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</si>
  <si>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</si>
  <si>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</si>
  <si>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</si>
  <si>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</si>
  <si>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</si>
  <si>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</si>
  <si>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</si>
  <si>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</si>
  <si>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</si>
  <si>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</si>
  <si>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</si>
  <si>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</si>
  <si>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</si>
  <si>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</si>
  <si>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</si>
  <si>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</si>
  <si>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</si>
  <si>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</si>
  <si>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</si>
  <si>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</si>
  <si>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</si>
  <si>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</si>
  <si>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</si>
  <si>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</si>
  <si>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</si>
  <si>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</si>
  <si>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</si>
  <si>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</si>
  <si>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</si>
  <si>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</si>
  <si>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</si>
  <si>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</si>
  <si>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</si>
  <si>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</si>
  <si>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</si>
  <si>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</si>
  <si>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</si>
  <si>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</si>
  <si>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</si>
  <si>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</si>
  <si>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</si>
  <si>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</si>
  <si>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</si>
  <si>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</si>
  <si>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</si>
  <si>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</si>
  <si>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</si>
  <si>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</si>
  <si>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</si>
  <si>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</si>
  <si>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</si>
  <si>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</si>
  <si>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</si>
  <si>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</si>
  <si>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</si>
  <si>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</si>
  <si>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</si>
  <si>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</si>
  <si>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</si>
  <si>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</si>
  <si>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</si>
  <si>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</si>
  <si>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</si>
  <si>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</si>
  <si>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</si>
  <si>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</si>
  <si>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</si>
  <si>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</si>
  <si>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</si>
  <si>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</si>
  <si>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</si>
  <si>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</si>
  <si>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</si>
  <si>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</si>
  <si>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</si>
  <si>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</si>
  <si>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</si>
  <si>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</si>
  <si>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</si>
  <si>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</si>
  <si>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</si>
  <si>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</si>
  <si>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</si>
  <si>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</si>
  <si>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</si>
  <si>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</si>
  <si>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</si>
  <si>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</si>
  <si>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</si>
  <si>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</si>
  <si>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</si>
  <si>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</si>
  <si>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</si>
  <si>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</si>
  <si>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</si>
  <si>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</si>
  <si>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</si>
  <si>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</si>
  <si>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</si>
  <si>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</si>
  <si>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</si>
  <si>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</si>
  <si>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</si>
  <si>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</si>
  <si>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</si>
  <si>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</si>
  <si>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</si>
  <si>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</si>
  <si>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</si>
  <si>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</si>
  <si>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</si>
  <si>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</si>
  <si>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</si>
  <si>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</si>
  <si>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</si>
  <si>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</si>
  <si>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</si>
  <si>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</si>
  <si>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</si>
  <si>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</si>
  <si>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</si>
  <si>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</si>
  <si>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</si>
  <si>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</si>
  <si>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</si>
  <si>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</si>
  <si>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</si>
  <si>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</si>
  <si>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</si>
  <si>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</si>
  <si>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</si>
  <si>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</si>
  <si>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</si>
  <si>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</si>
  <si>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</si>
  <si>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</si>
  <si>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</si>
  <si>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</si>
  <si>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</si>
  <si>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</si>
  <si>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</si>
  <si>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</si>
  <si>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</si>
  <si>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</si>
  <si>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</si>
  <si>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</si>
  <si>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</si>
  <si>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</si>
  <si>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</si>
  <si>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</si>
  <si>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</si>
  <si>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</si>
  <si>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</si>
  <si>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</si>
  <si>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</si>
  <si>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</si>
  <si>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</si>
  <si>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</si>
  <si>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</si>
  <si>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</si>
  <si>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</si>
  <si>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</si>
  <si>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</si>
  <si>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</si>
  <si>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</si>
  <si>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</si>
  <si>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</si>
  <si>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</si>
  <si>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</si>
  <si>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</si>
  <si>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</si>
  <si>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</si>
  <si>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</si>
  <si>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</si>
  <si>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</si>
  <si>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</si>
  <si>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</si>
  <si>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</si>
  <si>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</si>
  <si>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</si>
  <si>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</si>
  <si>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</si>
  <si>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</si>
  <si>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</si>
  <si>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</si>
  <si>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</si>
  <si>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</si>
  <si>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</si>
  <si>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</si>
  <si>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</si>
  <si>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</si>
  <si>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</si>
  <si>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</si>
  <si>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</si>
  <si>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</si>
  <si>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</si>
  <si>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</si>
  <si>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</si>
  <si>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</si>
  <si>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</si>
  <si>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</si>
  <si>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</si>
  <si>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</si>
  <si>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</si>
  <si>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</si>
  <si>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</si>
  <si>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</si>
  <si>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</si>
  <si>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</si>
  <si>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</si>
  <si>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</si>
  <si>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</si>
  <si>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</si>
  <si>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</si>
  <si>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</si>
  <si>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</si>
  <si>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</si>
  <si>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</si>
  <si>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</si>
  <si>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</si>
  <si>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</si>
  <si>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</si>
  <si>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</si>
  <si>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</si>
  <si>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</si>
  <si>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</si>
  <si>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</si>
  <si>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</si>
  <si>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</si>
  <si>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</si>
  <si>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</si>
  <si>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</si>
  <si>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</si>
  <si>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</si>
  <si>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</si>
  <si>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</si>
  <si>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</si>
  <si>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</si>
  <si>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</si>
  <si>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</si>
  <si>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</si>
  <si>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</si>
  <si>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</si>
  <si>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</si>
  <si>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</si>
  <si>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</si>
  <si>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</si>
  <si>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</si>
  <si>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</si>
  <si>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</si>
  <si>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</si>
  <si>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</si>
  <si>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</si>
  <si>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</si>
  <si>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</si>
  <si>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</si>
  <si>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</si>
  <si>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</si>
  <si>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</si>
  <si>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</si>
  <si>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</si>
  <si>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</si>
  <si>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</si>
  <si>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</si>
  <si>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</si>
  <si>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</si>
  <si>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</si>
  <si>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</si>
  <si>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</si>
  <si>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</si>
  <si>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</si>
  <si>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</si>
  <si>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</si>
  <si>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</si>
  <si>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</si>
  <si>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</si>
  <si>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</si>
  <si>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</si>
  <si>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</si>
  <si>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</si>
  <si>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</si>
  <si>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</si>
  <si>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</si>
  <si>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</si>
  <si>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</si>
  <si>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</si>
  <si>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</si>
  <si>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</si>
  <si>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</si>
  <si>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</si>
  <si>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</si>
  <si>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</si>
  <si>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</si>
  <si>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</si>
  <si>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</si>
  <si>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</si>
  <si>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</si>
  <si>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</si>
  <si>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</si>
  <si>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</si>
  <si>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</si>
  <si>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</si>
  <si>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</si>
  <si>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</si>
  <si>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</si>
  <si>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</si>
  <si>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</si>
  <si>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</si>
  <si>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</si>
  <si>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</si>
  <si>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</si>
  <si>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</si>
  <si>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</si>
  <si>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</si>
  <si>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</si>
  <si>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</si>
  <si>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</si>
  <si>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</si>
  <si>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</si>
  <si>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</si>
  <si>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</si>
  <si>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</si>
  <si>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</si>
  <si>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</si>
  <si>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</si>
  <si>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</si>
  <si>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</si>
  <si>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</si>
  <si>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</si>
  <si>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</si>
  <si>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</si>
  <si>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</si>
  <si>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</si>
  <si>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</si>
  <si>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</si>
  <si>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</si>
  <si>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</si>
  <si>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</si>
  <si>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</si>
  <si>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</si>
  <si>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</si>
  <si>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</si>
  <si>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</si>
  <si>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</si>
  <si>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</si>
  <si>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</si>
  <si>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</si>
  <si>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</si>
  <si>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</si>
  <si>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</si>
  <si>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</si>
  <si>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</si>
  <si>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</si>
  <si>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</si>
  <si>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</si>
  <si>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</si>
  <si>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</si>
  <si>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</si>
  <si>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</si>
  <si>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</si>
  <si>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</si>
  <si>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</si>
  <si>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</si>
  <si>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</si>
  <si>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</si>
  <si>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</si>
  <si>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</si>
  <si>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</si>
  <si>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</si>
  <si>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</si>
  <si>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</si>
  <si>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</si>
  <si>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</si>
  <si>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</si>
  <si>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</si>
  <si>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</si>
  <si>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</si>
  <si>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</si>
  <si>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</si>
  <si>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</si>
  <si>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</si>
  <si>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</si>
  <si>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</si>
  <si>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</si>
  <si>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</si>
  <si>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</si>
  <si>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</si>
  <si>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</si>
  <si>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</si>
  <si>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</si>
  <si>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</si>
  <si>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</si>
  <si>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</si>
  <si>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</si>
  <si>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</si>
  <si>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</si>
  <si>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</si>
  <si>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</si>
  <si>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</si>
  <si>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</si>
  <si>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</si>
  <si>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</si>
  <si>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</si>
  <si>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</si>
  <si>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</si>
  <si>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</si>
  <si>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</si>
  <si>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</si>
  <si>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</si>
  <si>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</si>
  <si>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</si>
  <si>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</si>
  <si>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</si>
  <si>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</si>
  <si>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</si>
  <si>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</si>
  <si>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</si>
  <si>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</si>
  <si>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</si>
  <si>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</si>
  <si>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</si>
  <si>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</si>
  <si>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</si>
  <si>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</si>
  <si>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</si>
  <si>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</si>
  <si>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</si>
  <si>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</si>
  <si>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</si>
  <si>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</si>
  <si>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</si>
  <si>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</si>
  <si>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</si>
  <si>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</si>
  <si>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</si>
  <si>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</si>
  <si>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</si>
  <si>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</si>
  <si>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</si>
  <si>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</si>
  <si>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</si>
  <si>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</si>
  <si>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</si>
  <si>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</si>
  <si>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</si>
  <si>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</si>
  <si>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</si>
  <si>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</si>
  <si>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</si>
  <si>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</si>
  <si>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</si>
  <si>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</si>
  <si>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</si>
  <si>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</si>
  <si>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</si>
  <si>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</si>
  <si>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</si>
  <si>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</si>
  <si>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</si>
  <si>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</si>
  <si>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</si>
  <si>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</si>
  <si>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</si>
  <si>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</si>
  <si>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</si>
  <si>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</si>
  <si>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</si>
  <si>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</si>
  <si>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</si>
  <si>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</si>
  <si>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</si>
  <si>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</si>
  <si>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</si>
  <si>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</si>
  <si>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</si>
  <si>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</si>
  <si>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</si>
  <si>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</si>
  <si>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</si>
  <si>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</si>
  <si>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</si>
  <si>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</si>
  <si>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</si>
  <si>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</si>
  <si>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</si>
  <si>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</si>
  <si>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</si>
  <si>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</si>
  <si>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</si>
  <si>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</si>
  <si>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</si>
  <si>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</si>
  <si>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</si>
  <si>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</si>
  <si>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</si>
  <si>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</si>
  <si>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</si>
  <si>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</si>
  <si>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</si>
  <si>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</si>
  <si>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</si>
  <si>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</si>
  <si>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</si>
  <si>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</si>
  <si>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</si>
  <si>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</si>
  <si>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</si>
  <si>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</si>
  <si>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</si>
  <si>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</si>
  <si>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</si>
  <si>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</si>
  <si>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</si>
  <si>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</si>
  <si>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</si>
  <si>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</si>
  <si>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</si>
  <si>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</si>
  <si>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</si>
  <si>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</si>
  <si>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</si>
  <si>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</si>
  <si>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</si>
  <si>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</si>
  <si>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</si>
  <si>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</si>
  <si>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</si>
  <si>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</si>
  <si>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</si>
  <si>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</si>
  <si>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</si>
  <si>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</si>
  <si>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</si>
  <si>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</si>
  <si>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Poison arrows</t>
  </si>
  <si>
    <t>Poison arrows</t>
  </si>
  <si>
    <t>Item description: Poison arrows</t>
  </si>
  <si>
    <t>Used as ammunition for a bow. Inflicts poison when it hits.</t>
  </si>
  <si>
    <t>Item name: Shuriken</t>
  </si>
  <si>
    <t>Shuriken</t>
  </si>
  <si>
    <t>Item description: Shuriken</t>
  </si>
  <si>
    <t>A fast moving medium ranged weapon.</t>
  </si>
  <si>
    <t>Item name: Trap</t>
  </si>
  <si>
    <t>Trap</t>
  </si>
  <si>
    <t>Item description: Trap</t>
  </si>
  <si>
    <t>Damages anything that steps on it.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</si>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</sst>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
        <v>37</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38</v>
      </c>
      <c r="B14" s="22" t="s">
        <v>38</v>
      </c>
      <c r="C14" s="23" t="str">
        <f>IFERROR(__xludf.DUMMYFUNCTION("GOOGLETRANSLATE(B14, ""en"", ""fr"")"),"Continuer")</f>
        <v>Continuer</v>
      </c>
      <c r="D14" s="23" t="str">
        <f>IFERROR(__xludf.DUMMYFUNCTION("GOOGLETRANSLATE(B14, ""en"", ""es"")"),"Continuar")</f>
        <v>Continuar</v>
      </c>
      <c r="E14" s="23" t="s">
        <v>39</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40</v>
      </c>
      <c r="B15" s="22" t="s">
        <v>41</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42</v>
      </c>
      <c r="B16" s="22" t="s">
        <v>43</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44</v>
      </c>
      <c r="B17" s="22" t="s">
        <v>45</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46</v>
      </c>
      <c r="B18" s="22" t="s">
        <v>47</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
        <v>48</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49</v>
      </c>
      <c r="B19" s="22" t="s">
        <v>50</v>
      </c>
      <c r="C19" s="23" t="str">
        <f>IFERROR(__xludf.DUMMYFUNCTION("GOOGLETRANSLATE(B19, ""en"", ""fr"")"),"Le jeu est plein.
WOW ...: O")</f>
        <v>Le jeu est plein.
WOW ...: O</v>
      </c>
      <c r="D19" s="23" t="str">
        <f>IFERROR(__xludf.DUMMYFUNCTION("GOOGLETRANSLATE(B19, ""en"", ""es"")"),"El juego está lleno.
Wow ...: o")</f>
        <v>El juego está lleno.
Wow ...: o</v>
      </c>
      <c r="E19" s="23" t="s">
        <v>51</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52</v>
      </c>
      <c r="B20" s="22" t="s">
        <v>53</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
        <v>54</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55</v>
      </c>
      <c r="B21" s="22" t="s">
        <v>56</v>
      </c>
      <c r="C21" s="23" t="str">
        <f>IFERROR(__xludf.DUMMYFUNCTION("GOOGLETRANSLATE(B21, ""en"", ""fr"")"),"Nom d'utilisateur (requis.")</f>
        <v>Nom d'utilisateur (requis.</v>
      </c>
      <c r="D21" s="23" t="str">
        <f>IFERROR(__xludf.DUMMYFUNCTION("GOOGLETRANSLATE(B21, ""en"", ""es"")"),"Nombre de usuario (requerido.")</f>
        <v>Nombre de usuario (requerido.</v>
      </c>
      <c r="E21" s="23" t="s">
        <v>57</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58</v>
      </c>
      <c r="B22" s="22" t="s">
        <v>59</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60</v>
      </c>
      <c r="B23" s="22" t="s">
        <v>61</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62</v>
      </c>
      <c r="B24" s="22" t="s">
        <v>63</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64</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65</v>
      </c>
      <c r="B25" s="22" t="s">
        <v>65</v>
      </c>
      <c r="C25" s="23" t="s">
        <v>66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67</v>
      </c>
      <c r="B26" s="22" t="s">
        <v>67</v>
      </c>
      <c r="C26" s="23" t="str">
        <f>IFERROR(__xludf.DUMMYFUNCTION("GOOGLETRANSLATE(B26, ""en"", ""fr"")"),"Crédits")</f>
        <v>Crédits</v>
      </c>
      <c r="D26" s="23" t="str">
        <f>IFERROR(__xludf.DUMMYFUNCTION("GOOGLETRANSLATE(B26, ""en"", ""es"")"),"Créditos")</f>
        <v>Créditos</v>
      </c>
      <c r="E26" s="23" t="s">
        <v>68</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c r="A28" s="21" t="s">
        <v>71</v>
      </c>
      <c r="B28" s="22" t="s">
        <v>71</v>
      </c>
      <c r="C28" s="23" t="str">
        <f>IFERROR(__xludf.DUMMYFUNCTION("GOOGLETRANSLATE(B28, ""en"", ""fr"")"),"Jouer")</f>
        <v>Jouer</v>
      </c>
      <c r="D28" s="23" t="str">
        <f>IFERROR(__xludf.DUMMYFUNCTION("GOOGLETRANSLATE(B28, ""en"", ""es"")"),"Jugar")</f>
        <v>Jugar</v>
      </c>
      <c r="E28" s="23" t="s">
        <v>72</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73</v>
      </c>
      <c r="B29" s="22" t="s">
        <v>73</v>
      </c>
      <c r="C29" s="23" t="s">
        <v>74</v>
      </c>
      <c r="D29" s="23" t="str">
        <f>IFERROR(__xludf.DUMMYFUNCTION("GOOGLETRANSLATE(B29, ""en"", ""es"")"),"Volver a conectar")</f>
        <v>Volver a conectar</v>
      </c>
      <c r="E29" s="23" t="s">
        <v>75</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76</v>
      </c>
      <c r="B30" s="22" t="s">
        <v>77</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78</v>
      </c>
      <c r="B31" s="22" t="s">
        <v>79</v>
      </c>
      <c r="C31" s="23" t="str">
        <f>IFERROR(__xludf.DUMMYFUNCTION("GOOGLETRANSLATE(B31, ""en"", ""fr"")"),"Joindre jeu World ...")</f>
        <v>Joindre jeu World ...</v>
      </c>
      <c r="D31" s="23" t="str">
        <f>IFERROR(__xludf.DUMMYFUNCTION("GOOGLETRANSLATE(B31, ""en"", ""es"")"),"Uniéndose al juego Mundo ...")</f>
        <v>Uniéndose al juego Mundo ...</v>
      </c>
      <c r="E31" s="23" t="s">
        <v>80</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81</v>
      </c>
      <c r="B32" s="22" t="s">
        <v>81</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82</v>
      </c>
      <c r="B33" s="22" t="s">
        <v>82</v>
      </c>
      <c r="C33" s="23" t="str">
        <f>IFERROR(__xludf.DUMMYFUNCTION("GOOGLETRANSLATE(B33, ""en"", ""fr"")"),"Jeu chargé")</f>
        <v>Jeu chargé</v>
      </c>
      <c r="D33" s="23" t="str">
        <f>IFERROR(__xludf.DUMMYFUNCTION("GOOGLETRANSLATE(B33, ""en"", ""es"")"),"Juego cargado")</f>
        <v>Juego cargado</v>
      </c>
      <c r="E33" s="23" t="s">
        <v>83</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84</v>
      </c>
      <c r="B34" s="22" t="s">
        <v>84</v>
      </c>
      <c r="C34" s="23" t="str">
        <f>IFERROR(__xludf.DUMMYFUNCTION("GOOGLETRANSLATE(B34, ""en"", ""fr"")"),"Suivant Astuce")</f>
        <v>Suivant Astuce</v>
      </c>
      <c r="D34" s="23" t="str">
        <f>IFERROR(__xludf.DUMMYFUNCTION("GOOGLETRANSLATE(B34, ""en"", ""es"")"),"Siguiente sugerencia")</f>
        <v>Siguiente sugerencia</v>
      </c>
      <c r="E34" s="23" t="s">
        <v>85</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86</v>
      </c>
      <c r="B35" s="22" t="s">
        <v>87</v>
      </c>
      <c r="C35" s="23" t="str">
        <f>IFERROR(__xludf.DUMMYFUNCTION("GOOGLETRANSLATE(B35, ""en"", ""fr"")"),"Dungeonz est open-source.")</f>
        <v>Dungeonz est open-source.</v>
      </c>
      <c r="D35" s="23" t="str">
        <f>IFERROR(__xludf.DUMMYFUNCTION("GOOGLETRANSLATE(B35, ""en"", ""es"")"),"Dungeonz es de código abierto.")</f>
        <v>Dungeonz es de código abierto.</v>
      </c>
      <c r="E35" s="23" t="s">
        <v>88</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89</v>
      </c>
      <c r="B36" s="22" t="s">
        <v>90</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91</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92</v>
      </c>
      <c r="B37" s="22" t="s">
        <v>93</v>
      </c>
      <c r="C37" s="23" t="s">
        <v>94</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95</v>
      </c>
      <c r="B38" s="22" t="s">
        <v>96</v>
      </c>
      <c r="C38" s="23" t="s">
        <v>97</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98</v>
      </c>
      <c r="B39" s="22" t="s">
        <v>99</v>
      </c>
      <c r="C39" s="23" t="s">
        <v>100</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101</v>
      </c>
      <c r="B40" s="22" t="s">
        <v>102</v>
      </c>
      <c r="C40" s="23" t="s">
        <v>103</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104</v>
      </c>
      <c r="B41" s="22" t="s">
        <v>105</v>
      </c>
      <c r="C41" s="23" t="s">
        <v>106</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107</v>
      </c>
      <c r="B42" s="22" t="s">
        <v>108</v>
      </c>
      <c r="C42" s="23" t="s">
        <v>109</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110</v>
      </c>
      <c r="B43" s="22" t="s">
        <v>111</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112</v>
      </c>
      <c r="B44" s="22" t="s">
        <v>113</v>
      </c>
      <c r="C44" s="23" t="s">
        <v>114</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115</v>
      </c>
      <c r="B45" s="22" t="s">
        <v>116</v>
      </c>
      <c r="C45" s="23" t="s">
        <v>117</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118</v>
      </c>
      <c r="B46" s="22" t="s">
        <v>118</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119</v>
      </c>
      <c r="B47" s="22" t="s">
        <v>119</v>
      </c>
      <c r="C47" s="23" t="s">
        <v>120</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121</v>
      </c>
      <c r="B48" s="22" t="s">
        <v>121</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122</v>
      </c>
      <c r="B49" s="22" t="s">
        <v>123</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124</v>
      </c>
      <c r="B50" s="22" t="s">
        <v>125</v>
      </c>
      <c r="C50" s="23" t="s">
        <v>126</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127</v>
      </c>
      <c r="B51" s="22" t="s">
        <v>128</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129</v>
      </c>
      <c r="B52" s="22" t="s">
        <v>130</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131</v>
      </c>
      <c r="B53" s="22" t="s">
        <v>132</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133</v>
      </c>
      <c r="B54" s="22" t="s">
        <v>134</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135</v>
      </c>
      <c r="B55" s="22" t="s">
        <v>136</v>
      </c>
      <c r="C55" s="23" t="s">
        <v>137</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138</v>
      </c>
      <c r="B56" s="22" t="s">
        <v>139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140</v>
      </c>
      <c r="B57" s="22" t="s">
        <v>141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142</v>
      </c>
      <c r="B58" s="22" t="s">
        <v>143</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144</v>
      </c>
      <c r="B59" s="22" t="s">
        <v>145</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146</v>
      </c>
      <c r="B60" s="22" t="s">
        <v>146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147</v>
      </c>
      <c r="B61" s="22" t="s">
        <v>148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149</v>
      </c>
      <c r="B62" s="22" t="s">
        <v>150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151</v>
      </c>
      <c r="B63" s="22" t="s">
        <v>152</v>
      </c>
      <c r="C63" s="23" t="s">
        <v>153</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154</v>
      </c>
      <c r="B64" s="22" t="s">
        <v>155</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156</v>
      </c>
      <c r="B65" s="22" t="s">
        <v>157</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158</v>
      </c>
      <c r="B66" s="22" t="s">
        <v>159</v>
      </c>
      <c r="C66" s="23" t="s">
        <v>160</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161</v>
      </c>
      <c r="B67" s="22" t="s">
        <v>162</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163</v>
      </c>
      <c r="B68" s="22" t="s">
        <v>164</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165</v>
      </c>
      <c r="B69" s="22" t="s">
        <v>166</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Quầy FPS")</f>
        <v>Hiển thị Quầy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167</v>
      </c>
      <c r="B70" s="22" t="s">
        <v>168</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169</v>
      </c>
      <c r="B71" s="22" t="s">
        <v>170</v>
      </c>
      <c r="C71" s="23" t="s">
        <v>171</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172</v>
      </c>
      <c r="B72" s="22" t="s">
        <v>173</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174</v>
      </c>
      <c r="B73" s="22" t="s">
        <v>175</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168</v>
      </c>
      <c r="B74" s="22" t="s">
        <v>168</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176</v>
      </c>
      <c r="B75" s="22" t="s">
        <v>176</v>
      </c>
      <c r="C75" s="23" t="s">
        <v>177</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178</v>
      </c>
      <c r="B76" s="22" t="s">
        <v>179</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180</v>
      </c>
      <c r="B77" s="22" t="s">
        <v>181</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182</v>
      </c>
      <c r="B78" s="22" t="s">
        <v>183</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184</v>
      </c>
      <c r="B79" s="22" t="s">
        <v>184</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185</v>
      </c>
      <c r="B80" s="22" t="s">
        <v>185</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186</v>
      </c>
      <c r="B81" s="22" t="s">
        <v>186</v>
      </c>
      <c r="C81" s="23" t="s">
        <v>187</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188</v>
      </c>
      <c r="B82" s="22" t="s">
        <v>188</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189</v>
      </c>
      <c r="B83" s="22" t="s">
        <v>189</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190</v>
      </c>
      <c r="B84" s="22" t="s">
        <v>190</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191</v>
      </c>
      <c r="B85" s="22" t="s">
        <v>192</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193</v>
      </c>
      <c r="B86" s="22" t="s">
        <v>194</v>
      </c>
      <c r="C86" s="23" t="s">
        <v>195</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196</v>
      </c>
      <c r="B87" s="22" t="s">
        <v>197</v>
      </c>
      <c r="C87" s="23" t="s">
        <v>198</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199</v>
      </c>
      <c r="B88" s="22" t="s">
        <v>200</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201</v>
      </c>
      <c r="B89" s="22" t="s">
        <v>202</v>
      </c>
      <c r="C89" s="23" t="s">
        <v>203</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204</v>
      </c>
      <c r="B90" s="22" t="s">
        <v>205</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206</v>
      </c>
      <c r="B91" s="22" t="s">
        <v>207</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208</v>
      </c>
      <c r="B92" s="22" t="s">
        <v>209</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210</v>
      </c>
      <c r="B93" s="22" t="s">
        <v>211</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212</v>
      </c>
      <c r="B94" s="22" t="s">
        <v>213</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214</v>
      </c>
      <c r="B95" s="22" t="s">
        <v>215</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216</v>
      </c>
      <c r="B96" s="22" t="s">
        <v>217</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218</v>
      </c>
      <c r="B97" s="22" t="s">
        <v>219</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220</v>
      </c>
      <c r="B98" s="22" t="s">
        <v>221</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222</v>
      </c>
      <c r="B99" s="22" t="s">
        <v>223</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224</v>
      </c>
      <c r="B100" s="22" t="s">
        <v>224</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225</v>
      </c>
      <c r="B101" s="22" t="s">
        <v>225</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226</v>
      </c>
      <c r="B102" s="22" t="s">
        <v>130</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227</v>
      </c>
      <c r="B103" s="22" t="s">
        <v>228</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229</v>
      </c>
      <c r="B104" s="22" t="s">
        <v>230</v>
      </c>
      <c r="C104" s="23" t="s">
        <v>231</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""de"")"),"Zerlegen Sie alle Inventarartikel")</f>
        <v>Zerlegen Sie alle Inventarartikel</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232</v>
      </c>
      <c r="B105" s="22" t="s">
        <v>233</v>
      </c>
      <c r="C105" s="23" t="s">
        <v>234</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235</v>
      </c>
      <c r="B106" s="22" t="s">
        <v>236</v>
      </c>
      <c r="C106" s="23" t="s">
        <v>237</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238</v>
      </c>
      <c r="B107" s="22" t="s">
        <v>238</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239</v>
      </c>
      <c r="B108" s="22" t="s">
        <v>239</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240</v>
      </c>
      <c r="B109" s="22" t="s">
        <v>241</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242</v>
      </c>
      <c r="B110" s="22" t="s">
        <v>243</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244</v>
      </c>
      <c r="B111" s="22" t="s">
        <v>244</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245</v>
      </c>
      <c r="B112" s="22" t="s">
        <v>229</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246</v>
      </c>
      <c r="B113" s="22" t="s">
        <v>246</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247</v>
      </c>
      <c r="B114" s="22" t="s">
        <v>248</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249</v>
      </c>
      <c r="B115" s="22" t="s">
        <v>249</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250</v>
      </c>
      <c r="B116" s="22" t="s">
        <v>141</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251</v>
      </c>
      <c r="B117" s="22" t="s">
        <v>252</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253</v>
      </c>
      <c r="B118" s="22" t="s">
        <v>254</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255</v>
      </c>
      <c r="B119" s="22" t="s">
        <v>256</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257</v>
      </c>
      <c r="B120" s="22" t="s">
        <v>257</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258</v>
      </c>
      <c r="B121" s="22" t="s">
        <v>258</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259</v>
      </c>
      <c r="B122" s="22" t="s">
        <v>259</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260</v>
      </c>
      <c r="B123" s="22" t="s">
        <v>260</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261</v>
      </c>
      <c r="B124" s="22" t="s">
        <v>261</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262</v>
      </c>
      <c r="B125" s="22" t="s">
        <v>262</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263</v>
      </c>
      <c r="B126" s="22" t="s">
        <v>264</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265</v>
      </c>
      <c r="B127" s="22" t="s">
        <v>265</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266</v>
      </c>
      <c r="B128" s="22" t="s">
        <v>266</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267</v>
      </c>
      <c r="B129" s="22" t="s">
        <v>268</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269</v>
      </c>
      <c r="B130" s="22" t="s">
        <v>270</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271</v>
      </c>
      <c r="B131" s="22" t="s">
        <v>271</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272</v>
      </c>
      <c r="B132" s="22" t="s">
        <v>272</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273</v>
      </c>
      <c r="B133" s="22" t="s">
        <v>273</v>
      </c>
      <c r="C133" s="23" t="s">
        <v>274</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132</v>
      </c>
      <c r="B134" s="22" t="s">
        <v>132</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275</v>
      </c>
      <c r="B135" s="22" t="s">
        <v>275</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276</v>
      </c>
      <c r="B136" s="22" t="s">
        <v>276</v>
      </c>
      <c r="C136" s="23" t="s">
        <v>277</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278</v>
      </c>
      <c r="B137" s="22" t="s">
        <v>278</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279</v>
      </c>
      <c r="B138" s="22" t="s">
        <v>279</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280</v>
      </c>
      <c r="B139" s="22" t="s">
        <v>280</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281</v>
      </c>
      <c r="B140" s="22" t="s">
        <v>282</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283</v>
      </c>
      <c r="B141" s="22" t="s">
        <v>284</v>
      </c>
      <c r="C141" s="23" t="s">
        <v>285</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286</v>
      </c>
      <c r="B142" s="22" t="s">
        <v>287</v>
      </c>
      <c r="C142" s="23" t="s">
        <v>288</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289</v>
      </c>
      <c r="B143" s="22" t="s">
        <v>290</v>
      </c>
      <c r="C143" s="23" t="s">
        <v>291</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292</v>
      </c>
      <c r="B144" s="22" t="s">
        <v>293</v>
      </c>
      <c r="C144" s="23" t="s">
        <v>294</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295</v>
      </c>
      <c r="B145" s="22" t="s">
        <v>295</v>
      </c>
      <c r="C145" s="23" t="s">
        <v>296</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297</v>
      </c>
      <c r="B146" s="22" t="s">
        <v>297</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298</v>
      </c>
      <c r="B147" s="22" t="s">
        <v>298</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299</v>
      </c>
      <c r="B148" s="22" t="s">
        <v>299</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300</v>
      </c>
      <c r="B149" s="22" t="s">
        <v>300</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301</v>
      </c>
      <c r="B150" s="22" t="s">
        <v>301</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302</v>
      </c>
      <c r="B151" s="22" t="s">
        <v>302</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303</v>
      </c>
      <c r="B152" s="22" t="s">
        <v>303</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304</v>
      </c>
      <c r="B153" s="22" t="s">
        <v>304</v>
      </c>
      <c r="C153" s="23" t="s">
        <v>305</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306</v>
      </c>
      <c r="B154" s="22" t="s">
        <v>306</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307</v>
      </c>
      <c r="B155" s="22" t="s">
        <v>307</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308</v>
      </c>
      <c r="B156" s="22" t="s">
        <v>308</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309</v>
      </c>
      <c r="B157" s="22" t="s">
        <v>309</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310</v>
      </c>
      <c r="B158" s="22" t="s">
        <v>310</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311</v>
      </c>
      <c r="B159" s="22" t="s">
        <v>311</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312</v>
      </c>
      <c r="B160" s="22" t="s">
        <v>303</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313</v>
      </c>
      <c r="B161" s="22" t="s">
        <v>313</v>
      </c>
      <c r="C161" s="23" t="s">
        <v>314</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315</v>
      </c>
      <c r="B162" s="22" t="s">
        <v>316</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317</v>
      </c>
      <c r="B163" s="22" t="s">
        <v>318</v>
      </c>
      <c r="C163" s="23" t="s">
        <v>319</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320</v>
      </c>
      <c r="B164" s="22" t="s">
        <v>321</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322</v>
      </c>
      <c r="B165" s="22" t="s">
        <v>323</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324</v>
      </c>
      <c r="B166" s="22" t="s">
        <v>325</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326</v>
      </c>
      <c r="B167" s="22" t="s">
        <v>327</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328</v>
      </c>
      <c r="B168" s="22" t="s">
        <v>329</v>
      </c>
      <c r="C168" s="23" t="s">
        <v>330</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331</v>
      </c>
      <c r="B169" s="22" t="s">
        <v>332</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333</v>
      </c>
      <c r="B170" s="22" t="s">
        <v>334</v>
      </c>
      <c r="C170" s="23" t="s">
        <v>335</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336</v>
      </c>
      <c r="B171" s="22" t="s">
        <v>337</v>
      </c>
      <c r="C171" s="23" t="s">
        <v>338</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339</v>
      </c>
      <c r="B172" s="22" t="s">
        <v>340</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341</v>
      </c>
      <c r="B173" s="22" t="s">
        <v>307</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139</v>
      </c>
      <c r="B174" s="22" t="s">
        <v>139</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342</v>
      </c>
      <c r="B175" s="22" t="s">
        <v>343</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344</v>
      </c>
      <c r="B176" s="22" t="s">
        <v>345</v>
      </c>
      <c r="C176" s="23" t="s">
        <v>346</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347</v>
      </c>
      <c r="B177" s="22" t="s">
        <v>348</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349</v>
      </c>
      <c r="B178" s="22" t="s">
        <v>350</v>
      </c>
      <c r="C178" s="23" t="s">
        <v>351</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352</v>
      </c>
      <c r="B179" s="22" t="s">
        <v>353</v>
      </c>
      <c r="C179" s="23" t="s">
        <v>354</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355</v>
      </c>
      <c r="B180" s="22" t="s">
        <v>356</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357</v>
      </c>
      <c r="B181" s="22" t="s">
        <v>358</v>
      </c>
      <c r="C181" s="23" t="s">
        <v>359</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360</v>
      </c>
      <c r="B182" s="22" t="s">
        <v>360</v>
      </c>
      <c r="C182" s="23" t="s">
        <v>361</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362</v>
      </c>
      <c r="B183" s="22" t="s">
        <v>362</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363</v>
      </c>
      <c r="B184" s="22" t="s">
        <v>363</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364</v>
      </c>
      <c r="B185" s="22" t="s">
        <v>364</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365</v>
      </c>
      <c r="B186" s="22" t="s">
        <v>365</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366</v>
      </c>
      <c r="B187" s="22" t="s">
        <v>366</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367</v>
      </c>
      <c r="B188" s="22" t="s">
        <v>368</v>
      </c>
      <c r="C188" s="23" t="str">
        <f>IFERROR(__xludf.DUMMYFUNCTION("GOOGLETRANSLATE(B188, ""en"", ""fr"")"),"Votre inventaire est plein.")</f>
        <v>Votre inventaire est plein.</v>
      </c>
      <c r="D188" s="23" t="str">
        <f>IFERROR(__xludf.DUMMYFUNCTION("GOOGLETRANSLATE(B188, ""en"", ""es"")"),"Tu inventario está lleno.")</f>
        <v>Tu inventario está lleno.</v>
      </c>
      <c r="E188" s="23" t="str">
        <f>IFERROR(__xludf.DUMMYFUNCTION("GOOGLETRANSLATE(B188, ""en"", ""ru"")"),"Ваш инвентарь заполнен.")</f>
        <v>Ваш инвентарь заполнен.</v>
      </c>
      <c r="F188" s="23" t="str">
        <f>IFERROR(__xludf.DUMMYFUNCTION("GOOGLETRANSLATE(B188, ""en"", ""tr"")"),"Envanterin dolu.")</f>
        <v>Envanterin dolu.</v>
      </c>
      <c r="G188" s="23" t="str">
        <f>IFERROR(__xludf.DUMMYFUNCTION("GOOGLETRANSLATE(B188, ""en"", ""pt"")"),"Seu inventário está cheio.")</f>
        <v>Seu inventário está cheio.</v>
      </c>
      <c r="H188" s="24" t="str">
        <f>IFERROR(__xludf.DUMMYFUNCTION("GOOGLETRANSLATE(B188, ""en"", ""de"")"),"Dein Inventar ist voll.")</f>
        <v>Dein Inventar ist voll.</v>
      </c>
      <c r="I188" s="23" t="str">
        <f>IFERROR(__xludf.DUMMYFUNCTION("GOOGLETRANSLATE(B188, ""en"", ""pl"")"),"Twój inwentaryzacja jest pełna.")</f>
        <v>Twój inwentaryzacja jest pełna.</v>
      </c>
      <c r="J188" s="25" t="str">
        <f>IFERROR(__xludf.DUMMYFUNCTION("GOOGLETRANSLATE(B188, ""en"", ""zh"")"),"您的库存已满。")</f>
        <v>您的库存已满。</v>
      </c>
      <c r="K188" s="25" t="str">
        <f>IFERROR(__xludf.DUMMYFUNCTION("GOOGLETRANSLATE(B188, ""en"", ""vi"")"),"Hàng tồn kho của bạn đã đầy.")</f>
        <v>Hàng tồn kho của bạn đã đầy.</v>
      </c>
      <c r="L188" s="26" t="str">
        <f>IFERROR(__xludf.DUMMYFUNCTION("GOOGLETRANSLATE(B188, ""en"", ""hr"")"),"Vaš inventar je pun.")</f>
        <v>Vaš inventar je pun.</v>
      </c>
      <c r="M188" s="28"/>
      <c r="N188" s="28"/>
      <c r="O188" s="28"/>
      <c r="P188" s="28"/>
      <c r="Q188" s="28"/>
      <c r="R188" s="28"/>
      <c r="S188" s="28"/>
      <c r="T188" s="28"/>
      <c r="U188" s="28"/>
      <c r="V188" s="28"/>
      <c r="W188" s="28"/>
      <c r="X188" s="28"/>
      <c r="Y188" s="28"/>
      <c r="Z188" s="28"/>
      <c r="AA188" s="28"/>
      <c r="AB188" s="28"/>
    </row>
    <row r="189">
      <c r="A189" s="21" t="s">
        <v>369</v>
      </c>
      <c r="B189" s="22" t="s">
        <v>370</v>
      </c>
      <c r="C189" s="23" t="str">
        <f>IFERROR(__xludf.DUMMYFUNCTION("GOOGLETRANSLATE(B189, ""en"", ""fr"")"),"Vous ne pouvez pas laisser tomber cet article ici.
Il y a quelque chose dans le chemin.")</f>
        <v>Vous ne pouvez pas laisser tomber cet article ici.
Il y a quelque chose dans le chemin.</v>
      </c>
      <c r="D189" s="23" t="str">
        <f>IFERROR(__xludf.DUMMYFUNCTION("GOOGLETRANSLATE(B189, ""en"", ""es"")"),"No puedes dejar caer ese artículo aquí.
Hay algo en el camino.")</f>
        <v>No puedes dejar caer ese artículo aquí.
Hay algo en el camino.</v>
      </c>
      <c r="E189" s="23" t="str">
        <f>IFERROR(__xludf.DUMMYFUNCTION("GOOGLETRANSLATE(B189, ""en"", ""ru"")"),"Вы не можете бросить этот предмет здесь.
Есть что-то в пути.")</f>
        <v>Вы не можете бросить этот предмет здесь.
Есть что-то в пути.</v>
      </c>
      <c r="F189" s="23" t="str">
        <f>IFERROR(__xludf.DUMMYFUNCTION("GOOGLETRANSLATE(B189, ""en"", ""tr"")"),"Bu öğeyi buraya bırakamazsın.
Yolda bir şey var.")</f>
        <v>Bu öğeyi buraya bırakamazsın.
Yolda bir şey var.</v>
      </c>
      <c r="G189" s="23" t="str">
        <f>IFERROR(__xludf.DUMMYFUNCTION("GOOGLETRANSLATE(B189, ""en"", ""pt"")"),"Você não pode deixar cair esse item aqui.
Há algo no caminho.")</f>
        <v>Você não pode deixar cair esse item aqui.
Há algo no caminho.</v>
      </c>
      <c r="H189" s="24" t="str">
        <f>IFERROR(__xludf.DUMMYFUNCTION("GOOGLETRANSLATE(B189, ""en"", ""de"")"),"Sie können diesen Artikel nicht hier fallen lassen.
Es gibt etwas im Weg.")</f>
        <v>Sie können diesen Artikel nicht hier fallen lassen.
Es gibt etwas im Weg.</v>
      </c>
      <c r="I189" s="23" t="str">
        <f>IFERROR(__xludf.DUMMYFUNCTION("GOOGLETRANSLATE(B189, ""en"", ""pl"")"),"Nie możesz tu upuścić tego przedmiotu.
Jest coś na drodze.")</f>
        <v>Nie możesz tu upuścić tego przedmiotu.
Jest coś na drodze.</v>
      </c>
      <c r="J189" s="25" t="str">
        <f>IFERROR(__xludf.DUMMYFUNCTION("GOOGLETRANSLATE(B189, ""en"", ""zh"")"),"你不能把那个物品放在这里。
途中有一些东西。")</f>
        <v>你不能把那个物品放在这里。
途中有一些东西。</v>
      </c>
      <c r="K189" s="25" t="str">
        <f>IFERROR(__xludf.DUMMYFUNCTION("GOOGLETRANSLATE(B189, ""en"", ""vi"")"),"Bạn không thể bỏ mục đó ở đây.
Có một cái gì đó trên đường.")</f>
        <v>Bạn không thể bỏ mục đó ở đây.
Có một cái gì đó trên đường.</v>
      </c>
      <c r="L189" s="26" t="str">
        <f>IFERROR(__xludf.DUMMYFUNCTION("GOOGLETRANSLATE(B189, ""en"", ""hr"")"),"Ne možete ispustiti tu stavku ovdje.
Postoji nešto na putu.")</f>
        <v>Ne možete ispustiti tu stavku ovdje.
Postoji nešto na putu.</v>
      </c>
      <c r="M189" s="28"/>
      <c r="N189" s="28"/>
      <c r="O189" s="28"/>
      <c r="P189" s="28"/>
      <c r="Q189" s="28"/>
      <c r="R189" s="28"/>
      <c r="S189" s="28"/>
      <c r="T189" s="28"/>
      <c r="U189" s="28"/>
      <c r="V189" s="28"/>
      <c r="W189" s="28"/>
      <c r="X189" s="28"/>
      <c r="Y189" s="28"/>
      <c r="Z189" s="28"/>
      <c r="AA189" s="28"/>
      <c r="AB189" s="28"/>
    </row>
    <row r="190">
      <c r="A190" s="21"/>
      <c r="B190" s="22"/>
      <c r="C190" s="23"/>
      <c r="D190" s="23"/>
      <c r="E190" s="30"/>
      <c r="F190" s="23"/>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371</v>
      </c>
      <c r="B9" s="22" t="s">
        <v>372</v>
      </c>
      <c r="C9" s="23" t="str">
        <f>IFERROR(__xludf.DUMMYFUNCTION("GOOGLETRANSLATE(B9, ""en"", ""fr"")"),"Exp Orb: Melee")</f>
        <v>Exp Orb: Melee</v>
      </c>
      <c r="D9" s="23" t="str">
        <f>IFERROR(__xludf.DUMMYFUNCTION("GOOGLETRANSLATE(B9, ""en"", ""es"")"),"Exp orb: cuerpo a cuerpo")</f>
        <v>Exp orb: cuerpo a cuerpo</v>
      </c>
      <c r="E9" s="23" t="s">
        <v>373</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374</v>
      </c>
      <c r="B10" s="22" t="s">
        <v>375</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376</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377</v>
      </c>
      <c r="B11" s="22" t="s">
        <v>378</v>
      </c>
      <c r="C11" s="23" t="str">
        <f>IFERROR(__xludf.DUMMYFUNCTION("GOOGLETRANSLATE(B11, ""en"", ""fr"")"),"EXP ORB: allait")</f>
        <v>EXP ORB: allait</v>
      </c>
      <c r="D11" s="23" t="str">
        <f>IFERROR(__xludf.DUMMYFUNCTION("GOOGLETRANSLATE(B11, ""en"", ""es"")"),"Exp orbe: a distancia")</f>
        <v>Exp orbe: a distancia</v>
      </c>
      <c r="E11" s="23" t="s">
        <v>379</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380</v>
      </c>
      <c r="B12" s="22" t="s">
        <v>381</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382</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variante quando usado.")</f>
        <v>Dá um monte de stat exp de grande variante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383</v>
      </c>
      <c r="B13" s="22" t="s">
        <v>384</v>
      </c>
      <c r="C13" s="23" t="str">
        <f>IFERROR(__xludf.DUMMYFUNCTION("GOOGLETRANSLATE(B13, ""en"", ""fr"")"),"Exp Orb: magie")</f>
        <v>Exp Orb: magie</v>
      </c>
      <c r="D13" s="23" t="str">
        <f>IFERROR(__xludf.DUMMYFUNCTION("GOOGLETRANSLATE(B13, ""en"", ""es"")"),"Exp orb: magia")</f>
        <v>Exp orb: magia</v>
      </c>
      <c r="E13" s="23" t="s">
        <v>385</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386</v>
      </c>
      <c r="B14" s="22" t="s">
        <v>387</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388</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389</v>
      </c>
      <c r="B15" s="22" t="s">
        <v>390</v>
      </c>
      <c r="C15" s="23" t="str">
        <f>IFERROR(__xludf.DUMMYFUNCTION("GOOGLETRANSLATE(B15, ""en"", ""fr"")"),"Exp Orb: rassemblement")</f>
        <v>Exp Orb: rassemblement</v>
      </c>
      <c r="D15" s="23" t="str">
        <f>IFERROR(__xludf.DUMMYFUNCTION("GOOGLETRANSLATE(B15, ""en"", ""es"")"),"Exp orbe: reunión")</f>
        <v>Exp orbe: reunión</v>
      </c>
      <c r="E15" s="23" t="s">
        <v>391</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392</v>
      </c>
      <c r="B16" s="22" t="s">
        <v>393</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394</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395</v>
      </c>
      <c r="B17" s="22" t="s">
        <v>396</v>
      </c>
      <c r="C17" s="23" t="str">
        <f>IFERROR(__xludf.DUMMYFUNCTION("GOOGLETRANSLATE(B17, ""en"", ""fr"")"),"Exp Orb: Armes")</f>
        <v>Exp Orb: Armes</v>
      </c>
      <c r="D17" s="23" t="str">
        <f>IFERROR(__xludf.DUMMYFUNCTION("GOOGLETRANSLATE(B17, ""en"", ""es"")"),"Exp orbe: armamento")</f>
        <v>Exp orbe: armamento</v>
      </c>
      <c r="E17" s="23" t="s">
        <v>397</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398</v>
      </c>
      <c r="B18" s="22" t="s">
        <v>399</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400</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401</v>
      </c>
      <c r="B19" s="22" t="s">
        <v>402</v>
      </c>
      <c r="C19" s="23" t="str">
        <f>IFERROR(__xludf.DUMMYFUNCTION("GOOGLETRANSLATE(B19, ""en"", ""fr"")"),"EXP Orb: Armoire")</f>
        <v>EXP Orb: Armoire</v>
      </c>
      <c r="D19" s="23" t="str">
        <f>IFERROR(__xludf.DUMMYFUNCTION("GOOGLETRANSLATE(B19, ""en"", ""es"")"),"Exp orb: armorio")</f>
        <v>Exp orb: armorio</v>
      </c>
      <c r="E19" s="23" t="s">
        <v>403</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404</v>
      </c>
      <c r="B20" s="22" t="s">
        <v>405</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406</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407</v>
      </c>
      <c r="B21" s="22" t="s">
        <v>408</v>
      </c>
      <c r="C21" s="23" t="str">
        <f>IFERROR(__xludf.DUMMYFUNCTION("GOOGLETRANSLATE(B21, ""en"", ""fr"")"),"EXP ORB: TOIILLEURS")</f>
        <v>EXP ORB: TOIILLEURS</v>
      </c>
      <c r="D21" s="23" t="str">
        <f>IFERROR(__xludf.DUMMYFUNCTION("GOOGLETRANSLATE(B21, ""en"", ""es"")"),"EXP ORB: LAS TERRAERIALES")</f>
        <v>EXP ORB: LAS TERRAERIALES</v>
      </c>
      <c r="E21" s="23" t="s">
        <v>409</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410</v>
      </c>
      <c r="B22" s="22" t="s">
        <v>411</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412</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413</v>
      </c>
      <c r="B23" s="22" t="s">
        <v>414</v>
      </c>
      <c r="C23" s="23" t="str">
        <f>IFERROR(__xludf.DUMMYFUNCTION("GOOGLETRANSLATE(B23, ""en"", ""fr"")"),"Exp Orb: Potionry")</f>
        <v>Exp Orb: Potionry</v>
      </c>
      <c r="D23" s="23" t="str">
        <f>IFERROR(__xludf.DUMMYFUNCTION("GOOGLETRANSLATE(B23, ""en"", ""es"")"),"Exp orb: Potión")</f>
        <v>Exp orb: Potión</v>
      </c>
      <c r="E23" s="23" t="s">
        <v>415</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416</v>
      </c>
      <c r="B24" s="22" t="s">
        <v>417</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418</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419</v>
      </c>
      <c r="B25" s="22" t="s">
        <v>420</v>
      </c>
      <c r="C25" s="23" t="str">
        <f>IFERROR(__xludf.DUMMYFUNCTION("GOOGLETRANSLATE(B25, ""en"", ""fr"")"),"Gloire orbe")</f>
        <v>Gloire orbe</v>
      </c>
      <c r="D25" s="23" t="str">
        <f>IFERROR(__xludf.DUMMYFUNCTION("GOOGLETRANSLATE(B25, ""en"", ""es"")"),"Orbe de gloria")</f>
        <v>Orbe de gloria</v>
      </c>
      <c r="E25" s="23" t="s">
        <v>421</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422</v>
      </c>
      <c r="B26" s="22" t="s">
        <v>423</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424</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425</v>
      </c>
      <c r="B27" s="22" t="s">
        <v>426</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427</v>
      </c>
      <c r="B28" s="22" t="s">
        <v>428</v>
      </c>
      <c r="C28" s="23" t="str">
        <f>IFERROR(__xludf.DUMMYFUNCTION("GOOGLETRANSLATE(B28, ""en"", ""fr"")"),"Donne 1 élément aléatoire lorsqu'il est utilisé.")</f>
        <v>Donne 1 élément aléatoire lorsqu'il est utilisé.</v>
      </c>
      <c r="D28" s="23" t="str">
        <f>IFERROR(__xludf.DUMMYFUNCTION("GOOGLETRANSLATE(B28, ""en"", ""es"")"),"Da 1 artículo aleatorio cuando se usa.")</f>
        <v>Da 1 artículo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429</v>
      </c>
      <c r="B29" s="22" t="s">
        <v>430</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431</v>
      </c>
      <c r="B30" s="22" t="s">
        <v>432</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2 zufällige Gegenstände bei Verwendung an.")</f>
        <v>Gibt 2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433</v>
      </c>
      <c r="B31" s="22" t="s">
        <v>434</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435</v>
      </c>
      <c r="B32" s="22" t="s">
        <v>436</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437</v>
      </c>
      <c r="B33" s="22" t="s">
        <v>438</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439</v>
      </c>
      <c r="B34" s="22" t="s">
        <v>440</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441</v>
      </c>
      <c r="B35" s="22" t="s">
        <v>442</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443</v>
      </c>
      <c r="B36" s="22" t="s">
        <v>444</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445</v>
      </c>
      <c r="B37" s="22" t="s">
        <v>446</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447</v>
      </c>
      <c r="B38" s="22" t="s">
        <v>448</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449</v>
      </c>
      <c r="B39" s="22" t="s">
        <v>450</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451</v>
      </c>
      <c r="B40" s="22" t="s">
        <v>452</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453</v>
      </c>
      <c r="B41" s="22" t="s">
        <v>454</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455</v>
      </c>
      <c r="B42" s="22" t="s">
        <v>456</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457</v>
      </c>
      <c r="B43" s="22" t="s">
        <v>458</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459</v>
      </c>
      <c r="B44" s="22" t="s">
        <v>460</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461</v>
      </c>
      <c r="B45" s="22" t="s">
        <v>462</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463</v>
      </c>
      <c r="B46" s="22" t="s">
        <v>464</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465</v>
      </c>
      <c r="B47" s="22" t="s">
        <v>466</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467</v>
      </c>
      <c r="B48" s="22" t="s">
        <v>468</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469</v>
      </c>
      <c r="B49" s="22" t="s">
        <v>470</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471</v>
      </c>
      <c r="B50" s="22" t="s">
        <v>472</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473</v>
      </c>
      <c r="B51" s="22" t="s">
        <v>474</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475</v>
      </c>
      <c r="B52" s="22" t="s">
        <v>476</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477</v>
      </c>
      <c r="B53" s="22" t="s">
        <v>478</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479</v>
      </c>
      <c r="B54" s="22" t="s">
        <v>480</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481</v>
      </c>
      <c r="B55" s="22" t="s">
        <v>482</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483</v>
      </c>
      <c r="B56" s="22" t="s">
        <v>480</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484</v>
      </c>
      <c r="B57" s="22" t="s">
        <v>485</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486</v>
      </c>
      <c r="B58" s="22" t="s">
        <v>480</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487</v>
      </c>
      <c r="B59" s="22" t="s">
        <v>488</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489</v>
      </c>
      <c r="B60" s="22" t="s">
        <v>490</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491</v>
      </c>
      <c r="B61" s="22" t="s">
        <v>492</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493</v>
      </c>
      <c r="B62" s="22" t="s">
        <v>494</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495</v>
      </c>
      <c r="B63" s="22" t="s">
        <v>496</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497</v>
      </c>
      <c r="B64" s="22" t="s">
        <v>498</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499</v>
      </c>
      <c r="B65" s="22" t="s">
        <v>500</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501</v>
      </c>
      <c r="B66" s="22" t="s">
        <v>502</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503</v>
      </c>
      <c r="B67" s="22" t="s">
        <v>504</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505</v>
      </c>
      <c r="B68" s="22" t="s">
        <v>506</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507</v>
      </c>
      <c r="B69" s="22" t="s">
        <v>508</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509</v>
      </c>
      <c r="B70" s="22" t="s">
        <v>510</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511</v>
      </c>
      <c r="B71" s="22" t="s">
        <v>512</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513</v>
      </c>
      <c r="B72" s="22" t="s">
        <v>514</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515</v>
      </c>
      <c r="B73" s="22" t="s">
        <v>516</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517</v>
      </c>
      <c r="B74" s="22" t="s">
        <v>514</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518</v>
      </c>
      <c r="B75" s="22" t="s">
        <v>519</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520</v>
      </c>
      <c r="B76" s="22" t="s">
        <v>514</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521</v>
      </c>
      <c r="B77" s="22" t="s">
        <v>522</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523</v>
      </c>
      <c r="B78" s="22" t="s">
        <v>514</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524</v>
      </c>
      <c r="B79" s="22" t="s">
        <v>525</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526</v>
      </c>
      <c r="B80" s="22" t="s">
        <v>527</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528</v>
      </c>
      <c r="B81" s="22" t="s">
        <v>529</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530</v>
      </c>
      <c r="B82" s="22" t="s">
        <v>531</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532</v>
      </c>
      <c r="B83" s="22" t="s">
        <v>533</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534</v>
      </c>
      <c r="B84" s="22" t="s">
        <v>535</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536</v>
      </c>
      <c r="B85" s="22" t="s">
        <v>537</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538</v>
      </c>
      <c r="B86" s="22" t="s">
        <v>539</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540</v>
      </c>
      <c r="B87" s="22" t="s">
        <v>541</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542</v>
      </c>
      <c r="B88" s="22" t="s">
        <v>543</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544</v>
      </c>
      <c r="B89" s="22" t="s">
        <v>545</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546</v>
      </c>
      <c r="B90" s="22" t="s">
        <v>547</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548</v>
      </c>
      <c r="B91" s="22" t="s">
        <v>549</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550</v>
      </c>
      <c r="B92" s="22" t="s">
        <v>551</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552</v>
      </c>
      <c r="B93" s="22" t="s">
        <v>553</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554</v>
      </c>
      <c r="B94" s="22" t="s">
        <v>547</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555</v>
      </c>
      <c r="B95" s="22" t="s">
        <v>556</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557</v>
      </c>
      <c r="B96" s="22" t="s">
        <v>551</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558</v>
      </c>
      <c r="B97" s="22" t="s">
        <v>559</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560</v>
      </c>
      <c r="B98" s="22" t="s">
        <v>561</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562</v>
      </c>
      <c r="B99" s="22" t="s">
        <v>563</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564</v>
      </c>
      <c r="B100" s="22" t="s">
        <v>565</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566</v>
      </c>
      <c r="B101" s="22" t="s">
        <v>567</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568</v>
      </c>
      <c r="B102" s="22" t="s">
        <v>569</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570</v>
      </c>
      <c r="B103" s="22" t="s">
        <v>571</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572</v>
      </c>
      <c r="B104" s="22" t="s">
        <v>573</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574</v>
      </c>
      <c r="B105" s="22" t="s">
        <v>575</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576</v>
      </c>
      <c r="B106" s="22" t="s">
        <v>577</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578</v>
      </c>
      <c r="B107" s="22" t="s">
        <v>579</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580</v>
      </c>
      <c r="B108" s="22" t="s">
        <v>581</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582</v>
      </c>
      <c r="B109" s="22" t="s">
        <v>583</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584</v>
      </c>
      <c r="B110" s="22" t="s">
        <v>547</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585</v>
      </c>
      <c r="B111" s="22" t="s">
        <v>586</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587</v>
      </c>
      <c r="B112" s="22" t="s">
        <v>551</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588</v>
      </c>
      <c r="B113" s="22" t="s">
        <v>589</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590</v>
      </c>
      <c r="B114" s="22" t="s">
        <v>561</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591</v>
      </c>
      <c r="B115" s="22" t="s">
        <v>592</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593</v>
      </c>
      <c r="B116" s="22" t="s">
        <v>565</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594</v>
      </c>
      <c r="B117" s="22" t="s">
        <v>595</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596</v>
      </c>
      <c r="B118" s="22" t="s">
        <v>569</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597</v>
      </c>
      <c r="B119" s="22" t="s">
        <v>598</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599</v>
      </c>
      <c r="B120" s="22" t="s">
        <v>573</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600</v>
      </c>
      <c r="B121" s="22" t="s">
        <v>601</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602</v>
      </c>
      <c r="B122" s="22" t="s">
        <v>577</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603</v>
      </c>
      <c r="B123" s="22" t="s">
        <v>604</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de dungium.")</f>
        <v>Armadura de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605</v>
      </c>
      <c r="B124" s="22" t="s">
        <v>606</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607</v>
      </c>
      <c r="B125" s="22" t="s">
        <v>608</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609</v>
      </c>
      <c r="B126" s="22" t="s">
        <v>547</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610</v>
      </c>
      <c r="B127" s="22" t="s">
        <v>611</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612</v>
      </c>
      <c r="B128" s="22" t="s">
        <v>551</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613</v>
      </c>
      <c r="B129" s="22" t="s">
        <v>614</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615</v>
      </c>
      <c r="B130" s="22" t="s">
        <v>561</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616</v>
      </c>
      <c r="B131" s="22" t="s">
        <v>617</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618</v>
      </c>
      <c r="B132" s="22" t="s">
        <v>565</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619</v>
      </c>
      <c r="B133" s="22" t="s">
        <v>620</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621</v>
      </c>
      <c r="B134" s="22" t="s">
        <v>569</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622</v>
      </c>
      <c r="B135" s="22" t="s">
        <v>623</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624</v>
      </c>
      <c r="B136" s="22" t="s">
        <v>573</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625</v>
      </c>
      <c r="B137" s="22" t="s">
        <v>626</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627</v>
      </c>
      <c r="B138" s="22" t="s">
        <v>577</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628</v>
      </c>
      <c r="B139" s="22" t="s">
        <v>629</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630</v>
      </c>
      <c r="B140" s="22" t="s">
        <v>631</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632</v>
      </c>
      <c r="B141" s="22" t="s">
        <v>633</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634</v>
      </c>
      <c r="B142" s="22" t="s">
        <v>547</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635</v>
      </c>
      <c r="B143" s="22" t="s">
        <v>636</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637</v>
      </c>
      <c r="B144" s="22" t="s">
        <v>551</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638</v>
      </c>
      <c r="B145" s="22" t="s">
        <v>639</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640</v>
      </c>
      <c r="B146" s="22" t="s">
        <v>561</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641</v>
      </c>
      <c r="B147" s="22" t="s">
        <v>642</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643</v>
      </c>
      <c r="B148" s="22" t="s">
        <v>565</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644</v>
      </c>
      <c r="B149" s="22" t="s">
        <v>645</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646</v>
      </c>
      <c r="B150" s="22" t="s">
        <v>569</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647</v>
      </c>
      <c r="B151" s="22" t="s">
        <v>648</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649</v>
      </c>
      <c r="B152" s="22" t="s">
        <v>573</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650</v>
      </c>
      <c r="B153" s="22" t="s">
        <v>651</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652</v>
      </c>
      <c r="B154" s="22" t="s">
        <v>577</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653</v>
      </c>
      <c r="B155" s="22" t="s">
        <v>654</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655</v>
      </c>
      <c r="B156" s="22" t="s">
        <v>656</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657</v>
      </c>
      <c r="B157" s="22" t="s">
        <v>658</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659</v>
      </c>
      <c r="B158" s="22" t="s">
        <v>660</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661</v>
      </c>
      <c r="B159" s="22" t="s">
        <v>662</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663</v>
      </c>
      <c r="B160" s="22" t="s">
        <v>664</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665</v>
      </c>
      <c r="B161" s="22" t="s">
        <v>666</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667</v>
      </c>
      <c r="B162" s="22" t="s">
        <v>668</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669</v>
      </c>
      <c r="B163" s="22" t="s">
        <v>670</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671</v>
      </c>
      <c r="B164" s="22" t="s">
        <v>672</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21" t="s">
        <v>673</v>
      </c>
      <c r="B165" s="22" t="s">
        <v>674</v>
      </c>
      <c r="C165" s="23" t="str">
        <f>IFERROR(__xludf.DUMMYFUNCTION("GOOGLETRANSLATE(B165, ""en"", ""fr"")"),"Flèches de poison")</f>
        <v>Flèches de poison</v>
      </c>
      <c r="D165" s="23" t="str">
        <f>IFERROR(__xludf.DUMMYFUNCTION("GOOGLETRANSLATE(B165, ""en"", ""es"")"),"Flechas de veneno")</f>
        <v>Flechas de veneno</v>
      </c>
      <c r="E165" s="23" t="str">
        <f>IFERROR(__xludf.DUMMYFUNCTION("GOOGLETRANSLATE(B165, ""en"", ""ru"")"),"Ядовитые стрелы")</f>
        <v>Ядовитые стрелы</v>
      </c>
      <c r="F165" s="23" t="str">
        <f>IFERROR(__xludf.DUMMYFUNCTION("GOOGLETRANSLATE(B165, ""en"", ""tr"")"),"Zehir okları")</f>
        <v>Zehir okları</v>
      </c>
      <c r="G165" s="23" t="str">
        <f>IFERROR(__xludf.DUMMYFUNCTION("GOOGLETRANSLATE(B165, ""en"", ""pt"")"),"Flechas de veneno")</f>
        <v>Flechas de veneno</v>
      </c>
      <c r="H165" s="24" t="str">
        <f>IFERROR(__xludf.DUMMYFUNCTION("GOOGLETRANSLATE(B165, ""en"", ""de"")"),"Giftpfeile")</f>
        <v>Giftpfeile</v>
      </c>
      <c r="I165" s="23" t="str">
        <f>IFERROR(__xludf.DUMMYFUNCTION("GOOGLETRANSLATE(B165, ""en"", ""pl"")"),"Trucizny strzałki")</f>
        <v>Trucizny strzałki</v>
      </c>
      <c r="J165" s="25" t="str">
        <f>IFERROR(__xludf.DUMMYFUNCTION("GOOGLETRANSLATE(B165, ""en"", ""zh"")"),"毒箭")</f>
        <v>毒箭</v>
      </c>
      <c r="K165" s="25" t="str">
        <f>IFERROR(__xludf.DUMMYFUNCTION("GOOGLETRANSLATE(B165, ""en"", ""vi"")"),"Mũi tên độc")</f>
        <v>Mũi tên độc</v>
      </c>
      <c r="L165" s="26" t="str">
        <f>IFERROR(__xludf.DUMMYFUNCTION("GOOGLETRANSLATE(B165, ""en"", ""hr"")"),"Strelice otrova")</f>
        <v>Strelice otrova</v>
      </c>
      <c r="M165" s="28"/>
      <c r="N165" s="28"/>
      <c r="O165" s="28"/>
      <c r="P165" s="28"/>
      <c r="Q165" s="28"/>
      <c r="R165" s="28"/>
      <c r="S165" s="28"/>
      <c r="T165" s="28"/>
      <c r="U165" s="28"/>
      <c r="V165" s="28"/>
      <c r="W165" s="28"/>
      <c r="X165" s="28"/>
      <c r="Y165" s="28"/>
      <c r="Z165" s="28"/>
      <c r="AA165" s="28"/>
      <c r="AB165" s="28"/>
    </row>
    <row r="166">
      <c r="A166" s="21" t="s">
        <v>675</v>
      </c>
      <c r="B166" s="22" t="s">
        <v>676</v>
      </c>
      <c r="C166" s="23" t="str">
        <f>IFERROR(__xludf.DUMMYFUNCTION("GOOGLETRANSLATE(B166, ""en"", ""fr"")"),"Utilisé comme munition pour un arc. Inflige un poison quand il frappe.")</f>
        <v>Utilisé comme munition pour un arc. Inflige un poison quand il frappe.</v>
      </c>
      <c r="D166" s="23" t="str">
        <f>IFERROR(__xludf.DUMMYFUNCTION("GOOGLETRANSLATE(B166, ""en"", ""es"")"),"Utilizado como municiones para un arco. Inflige veneno cuando golpea.")</f>
        <v>Utilizado como municiones para un arco. Inflige veneno cuando golpea.</v>
      </c>
      <c r="E166" s="23" t="str">
        <f>IFERROR(__xludf.DUMMYFUNCTION("GOOGLETRANSLATE(B166, ""en"", ""ru"")"),"Используется в качестве боеприпасов для лука. Наносит яду, когда он попадает.")</f>
        <v>Используется в качестве боеприпасов для лука. Наносит яду, когда он попадает.</v>
      </c>
      <c r="F166" s="23" t="str">
        <f>IFERROR(__xludf.DUMMYFUNCTION("GOOGLETRANSLATE(B166, ""en"", ""tr"")"),"Bir yay için mühimmat olarak kullanılır. Vurduğunda zehir verir.")</f>
        <v>Bir yay için mühimmat olarak kullanılır. Vurduğunda zehir verir.</v>
      </c>
      <c r="G166" s="23" t="str">
        <f>IFERROR(__xludf.DUMMYFUNCTION("GOOGLETRANSLATE(B166, ""en"", ""pt"")"),"Usado como munição para um arco. Inflige veneno quando atinge.")</f>
        <v>Usado como munição para um arco. Inflige veneno quando atinge.</v>
      </c>
      <c r="H166" s="24" t="str">
        <f>IFERROR(__xludf.DUMMYFUNCTION("GOOGLETRANSLATE(B166, ""en"", ""de"")"),"Als Munition für einen Bogen verwendet. Fügt Gift, wenn es trifft.")</f>
        <v>Als Munition für einen Bogen verwendet. Fügt Gift, wenn es trifft.</v>
      </c>
      <c r="I166" s="23" t="str">
        <f>IFERROR(__xludf.DUMMYFUNCTION("GOOGLETRANSLATE(B166, ""en"", ""pl"")"),"Używany jako amunicja na łuk. Zadawaj truciznę, gdy uderza.")</f>
        <v>Używany jako amunicja na łuk. Zadawaj truciznę, gdy uderza.</v>
      </c>
      <c r="J166" s="25" t="str">
        <f>IFERROR(__xludf.DUMMYFUNCTION("GOOGLETRANSLATE(B166, ""en"", ""zh"")"),"用作弓的弹药。当它命中时造成毒药。")</f>
        <v>用作弓的弹药。当它命中时造成毒药。</v>
      </c>
      <c r="K166" s="25" t="str">
        <f>IFERROR(__xludf.DUMMYFUNCTION("GOOGLETRANSLATE(B166, ""en"", ""vi"")"),"Dùng làm đạn cho một cây cung. Gây độc khi nó đánh.")</f>
        <v>Dùng làm đạn cho một cây cung. Gây độc khi nó đánh.</v>
      </c>
      <c r="L166" s="26" t="str">
        <f>IFERROR(__xludf.DUMMYFUNCTION("GOOGLETRANSLATE(B166, ""en"", ""hr"")"),"Koristi se kao streljivo za luk. Nanosi otrov kad udari.")</f>
        <v>Koristi se kao streljivo za luk. Nanosi otrov kad udari.</v>
      </c>
      <c r="M166" s="28"/>
      <c r="N166" s="28"/>
      <c r="O166" s="28"/>
      <c r="P166" s="28"/>
      <c r="Q166" s="28"/>
      <c r="R166" s="28"/>
      <c r="S166" s="28"/>
      <c r="T166" s="28"/>
      <c r="U166" s="28"/>
      <c r="V166" s="28"/>
      <c r="W166" s="28"/>
      <c r="X166" s="28"/>
      <c r="Y166" s="28"/>
      <c r="Z166" s="28"/>
      <c r="AA166" s="28"/>
      <c r="AB166" s="28"/>
    </row>
    <row r="167">
      <c r="A167" s="21" t="s">
        <v>677</v>
      </c>
      <c r="B167" s="22" t="s">
        <v>678</v>
      </c>
      <c r="C167" s="23" t="str">
        <f>IFERROR(__xludf.DUMMYFUNCTION("GOOGLETRANSLATE(B167, ""en"", ""fr"")"),"Shuriken")</f>
        <v>Shuriken</v>
      </c>
      <c r="D167" s="23" t="str">
        <f>IFERROR(__xludf.DUMMYFUNCTION("GOOGLETRANSLATE(B167, ""en"", ""es"")"),"Shuriken")</f>
        <v>Shuriken</v>
      </c>
      <c r="E167" s="23" t="str">
        <f>IFERROR(__xludf.DUMMYFUNCTION("GOOGLETRANSLATE(B167, ""en"", ""ru"")"),"Шурикен")</f>
        <v>Шурикен</v>
      </c>
      <c r="F167" s="23" t="str">
        <f>IFERROR(__xludf.DUMMYFUNCTION("GOOGLETRANSLATE(B167, ""en"", ""tr"")"),"Shuriken")</f>
        <v>Shuriken</v>
      </c>
      <c r="G167" s="23" t="str">
        <f>IFERROR(__xludf.DUMMYFUNCTION("GOOGLETRANSLATE(B167, ""en"", ""pt"")"),"Shuriken.")</f>
        <v>Shuriken.</v>
      </c>
      <c r="H167" s="24" t="str">
        <f>IFERROR(__xludf.DUMMYFUNCTION("GOOGLETRANSLATE(B167, ""en"", ""de"")"),"Shuriken")</f>
        <v>Shuriken</v>
      </c>
      <c r="I167" s="23" t="str">
        <f>IFERROR(__xludf.DUMMYFUNCTION("GOOGLETRANSLATE(B167, ""en"", ""pl"")"),"Shuriken.")</f>
        <v>Shuriken.</v>
      </c>
      <c r="J167" s="25" t="str">
        <f>IFERROR(__xludf.DUMMYFUNCTION("GOOGLETRANSLATE(B167, ""en"", ""zh"")"),"Shuriken.")</f>
        <v>Shuriken.</v>
      </c>
      <c r="K167" s="25" t="str">
        <f>IFERROR(__xludf.DUMMYFUNCTION("GOOGLETRANSLATE(B167, ""en"", ""vi"")"),"Shuriken.")</f>
        <v>Shuriken.</v>
      </c>
      <c r="L167" s="26" t="str">
        <f>IFERROR(__xludf.DUMMYFUNCTION("GOOGLETRANSLATE(B167, ""en"", ""hr"")"),"Shuriken")</f>
        <v>Shuriken</v>
      </c>
      <c r="M167" s="28"/>
      <c r="N167" s="28"/>
      <c r="O167" s="28"/>
      <c r="P167" s="28"/>
      <c r="Q167" s="28"/>
      <c r="R167" s="28"/>
      <c r="S167" s="28"/>
      <c r="T167" s="28"/>
      <c r="U167" s="28"/>
      <c r="V167" s="28"/>
      <c r="W167" s="28"/>
      <c r="X167" s="28"/>
      <c r="Y167" s="28"/>
      <c r="Z167" s="28"/>
      <c r="AA167" s="28"/>
      <c r="AB167" s="28"/>
    </row>
    <row r="168">
      <c r="A168" s="21" t="s">
        <v>679</v>
      </c>
      <c r="B168" s="22" t="s">
        <v>680</v>
      </c>
      <c r="C168" s="23" t="str">
        <f>IFERROR(__xludf.DUMMYFUNCTION("GOOGLETRANSLATE(B168, ""en"", ""fr"")"),"Une arme à distance rapide déplaçante.")</f>
        <v>Une arme à distance rapide déplaçante.</v>
      </c>
      <c r="D168" s="23" t="str">
        <f>IFERROR(__xludf.DUMMYFUNCTION("GOOGLETRANSLATE(B168, ""en"", ""es"")"),"Una arma a distancia mediana rápida.")</f>
        <v>Una arma a distancia mediana rápida.</v>
      </c>
      <c r="E168" s="23" t="str">
        <f>IFERROR(__xludf.DUMMYFUNCTION("GOOGLETRANSLATE(B168, ""en"", ""ru"")"),"Быстрое перемещение среднего оружия.")</f>
        <v>Быстрое перемещение среднего оружия.</v>
      </c>
      <c r="F168" s="23" t="str">
        <f>IFERROR(__xludf.DUMMYFUNCTION("GOOGLETRANSLATE(B168, ""en"", ""tr"")"),"Hızlı hareket eden ortamlı bir silah.")</f>
        <v>Hızlı hareket eden ortamlı bir silah.</v>
      </c>
      <c r="G168" s="23" t="str">
        <f>IFERROR(__xludf.DUMMYFUNCTION("GOOGLETRANSLATE(B168, ""en"", ""pt"")"),"Uma arma movente rápida variou arma.")</f>
        <v>Uma arma movente rápida variou arma.</v>
      </c>
      <c r="H168" s="24" t="str">
        <f>IFERROR(__xludf.DUMMYFUNCTION("GOOGLETRANSLATE(B168, ""en"", ""de"")"),"Eine schnelles bewegte mittlere Waffe.")</f>
        <v>Eine schnelles bewegte mittlere Waffe.</v>
      </c>
      <c r="I168" s="23" t="str">
        <f>IFERROR(__xludf.DUMMYFUNCTION("GOOGLETRANSLATE(B168, ""en"", ""pl"")"),"Szybka przenoszona broń dystansowa.")</f>
        <v>Szybka przenoszona broń dystansowa.</v>
      </c>
      <c r="J168" s="25" t="str">
        <f>IFERROR(__xludf.DUMMYFUNCTION("GOOGLETRANSLATE(B168, ""en"", ""zh"")"),"快速移动的介质远程武器。")</f>
        <v>快速移动的介质远程武器。</v>
      </c>
      <c r="K168" s="25" t="str">
        <f>IFERROR(__xludf.DUMMYFUNCTION("GOOGLETRANSLATE(B168, ""en"", ""vi"")"),"Một vũ khí di chuyển nhanh chóng.")</f>
        <v>Một vũ khí di chuyển nhanh chóng.</v>
      </c>
      <c r="L168" s="26" t="str">
        <f>IFERROR(__xludf.DUMMYFUNCTION("GOOGLETRANSLATE(B168, ""en"", ""hr"")"),"Brzo kreće medijsko oružje.")</f>
        <v>Brzo kreće medijsko oružje.</v>
      </c>
      <c r="M168" s="28"/>
      <c r="N168" s="28"/>
      <c r="O168" s="28"/>
      <c r="P168" s="28"/>
      <c r="Q168" s="28"/>
      <c r="R168" s="28"/>
      <c r="S168" s="28"/>
      <c r="T168" s="28"/>
      <c r="U168" s="28"/>
      <c r="V168" s="28"/>
      <c r="W168" s="28"/>
      <c r="X168" s="28"/>
      <c r="Y168" s="28"/>
      <c r="Z168" s="28"/>
      <c r="AA168" s="28"/>
      <c r="AB168" s="28"/>
    </row>
    <row r="169">
      <c r="A169" s="21" t="s">
        <v>681</v>
      </c>
      <c r="B169" s="22" t="s">
        <v>682</v>
      </c>
      <c r="C169" s="23" t="str">
        <f>IFERROR(__xludf.DUMMYFUNCTION("GOOGLETRANSLATE(B169, ""en"", ""fr"")"),"Piéger")</f>
        <v>Piéger</v>
      </c>
      <c r="D169" s="23" t="str">
        <f>IFERROR(__xludf.DUMMYFUNCTION("GOOGLETRANSLATE(B169, ""en"", ""es"")"),"Trampa")</f>
        <v>Trampa</v>
      </c>
      <c r="E169" s="23" t="str">
        <f>IFERROR(__xludf.DUMMYFUNCTION("GOOGLETRANSLATE(B169, ""en"", ""ru"")"),"Ловушка")</f>
        <v>Ловушка</v>
      </c>
      <c r="F169" s="23" t="str">
        <f>IFERROR(__xludf.DUMMYFUNCTION("GOOGLETRANSLATE(B169, ""en"", ""tr"")"),"Tuzak kurmak")</f>
        <v>Tuzak kurmak</v>
      </c>
      <c r="G169" s="23" t="str">
        <f>IFERROR(__xludf.DUMMYFUNCTION("GOOGLETRANSLATE(B169, ""en"", ""pt"")"),"Armadilha")</f>
        <v>Armadilha</v>
      </c>
      <c r="H169" s="24" t="str">
        <f>IFERROR(__xludf.DUMMYFUNCTION("GOOGLETRANSLATE(B169, ""en"", ""de"")"),"Fangen")</f>
        <v>Fangen</v>
      </c>
      <c r="I169" s="23" t="str">
        <f>IFERROR(__xludf.DUMMYFUNCTION("GOOGLETRANSLATE(B169, ""en"", ""pl"")"),"Pułapka")</f>
        <v>Pułapka</v>
      </c>
      <c r="J169" s="25" t="str">
        <f>IFERROR(__xludf.DUMMYFUNCTION("GOOGLETRANSLATE(B169, ""en"", ""zh"")"),"陷阱")</f>
        <v>陷阱</v>
      </c>
      <c r="K169" s="25" t="str">
        <f>IFERROR(__xludf.DUMMYFUNCTION("GOOGLETRANSLATE(B169, ""en"", ""vi"")"),"Cạm bẫy")</f>
        <v>Cạm bẫy</v>
      </c>
      <c r="L169" s="26" t="str">
        <f>IFERROR(__xludf.DUMMYFUNCTION("GOOGLETRANSLATE(B169, ""en"", ""hr"")"),"Zamka")</f>
        <v>Zamka</v>
      </c>
      <c r="M169" s="28"/>
      <c r="N169" s="28"/>
      <c r="O169" s="28"/>
      <c r="P169" s="28"/>
      <c r="Q169" s="28"/>
      <c r="R169" s="28"/>
      <c r="S169" s="28"/>
      <c r="T169" s="28"/>
      <c r="U169" s="28"/>
      <c r="V169" s="28"/>
      <c r="W169" s="28"/>
      <c r="X169" s="28"/>
      <c r="Y169" s="28"/>
      <c r="Z169" s="28"/>
      <c r="AA169" s="28"/>
      <c r="AB169" s="28"/>
    </row>
    <row r="170">
      <c r="A170" s="21" t="s">
        <v>683</v>
      </c>
      <c r="B170" s="22" t="s">
        <v>684</v>
      </c>
      <c r="C170" s="23" t="str">
        <f>IFERROR(__xludf.DUMMYFUNCTION("GOOGLETRANSLATE(B170, ""en"", ""fr"")"),"Endommage quelque chose qui marche sur elle.")</f>
        <v>Endommage quelque chose qui marche sur elle.</v>
      </c>
      <c r="D170" s="23" t="str">
        <f>IFERROR(__xludf.DUMMYFUNCTION("GOOGLETRANSLATE(B170, ""en"", ""es"")"),"Daña cualquier cosa que eso le pasa.")</f>
        <v>Daña cualquier cosa que eso le pasa.</v>
      </c>
      <c r="E170" s="23" t="str">
        <f>IFERROR(__xludf.DUMMYFUNCTION("GOOGLETRANSLATE(B170, ""en"", ""ru"")"),"Ущерб чему по этим шагам на нем.")</f>
        <v>Ущерб чему по этим шагам на нем.</v>
      </c>
      <c r="F170" s="23" t="str">
        <f>IFERROR(__xludf.DUMMYFUNCTION("GOOGLETRANSLATE(B170, ""en"", ""tr"")"),"Üzerinde adım atan bir şeye zarar verir.")</f>
        <v>Üzerinde adım atan bir şeye zarar verir.</v>
      </c>
      <c r="G170" s="23" t="str">
        <f>IFERROR(__xludf.DUMMYFUNCTION("GOOGLETRANSLATE(B170, ""en"", ""pt"")"),"Danifica qualquer coisa que passe nele.")</f>
        <v>Danifica qualquer coisa que passe nele.</v>
      </c>
      <c r="H170" s="24" t="str">
        <f>IFERROR(__xludf.DUMMYFUNCTION("GOOGLETRANSLATE(B170, ""en"", ""de"")"),"Beschädigt alles, was dran ist.")</f>
        <v>Beschädigt alles, was dran ist.</v>
      </c>
      <c r="I170" s="23" t="str">
        <f>IFERROR(__xludf.DUMMYFUNCTION("GOOGLETRANSLATE(B170, ""en"", ""pl"")"),"Uszkadza wszystko, co się na niej kroki.")</f>
        <v>Uszkadza wszystko, co się na niej kroki.</v>
      </c>
      <c r="J170" s="25" t="str">
        <f>IFERROR(__xludf.DUMMYFUNCTION("GOOGLETRANSLATE(B170, ""en"", ""zh"")"),"损害任何踩到它的东西。")</f>
        <v>损害任何踩到它的东西。</v>
      </c>
      <c r="K170" s="25" t="str">
        <f>IFERROR(__xludf.DUMMYFUNCTION("GOOGLETRANSLATE(B170, ""en"", ""vi"")"),"Làm hỏng bất cứ điều gì các bước trên nó.")</f>
        <v>Làm hỏng bất cứ điều gì các bước trên nó.</v>
      </c>
      <c r="L170" s="26" t="str">
        <f>IFERROR(__xludf.DUMMYFUNCTION("GOOGLETRANSLATE(B170, ""en"", ""hr"")"),"Šteti sve što se kreće na njega.")</f>
        <v>Šteti sve što se kreće na njega.</v>
      </c>
      <c r="M170" s="28"/>
      <c r="N170" s="28"/>
      <c r="O170" s="28"/>
      <c r="P170" s="28"/>
      <c r="Q170" s="28"/>
      <c r="R170" s="28"/>
      <c r="S170" s="28"/>
      <c r="T170" s="28"/>
      <c r="U170" s="28"/>
      <c r="V170" s="28"/>
      <c r="W170" s="28"/>
      <c r="X170" s="28"/>
      <c r="Y170" s="28"/>
      <c r="Z170" s="28"/>
      <c r="AA170" s="28"/>
      <c r="AB170" s="28"/>
    </row>
    <row r="171">
      <c r="A171" s="21" t="s">
        <v>685</v>
      </c>
      <c r="B171" s="22" t="s">
        <v>686</v>
      </c>
      <c r="C171" s="23" t="str">
        <f>IFERROR(__xludf.DUMMYFUNCTION("GOOGLETRANSLATE(B171, ""en"", ""fr"")"),"Gemme")</f>
        <v>Gemme</v>
      </c>
      <c r="D171" s="23" t="str">
        <f>IFERROR(__xludf.DUMMYFUNCTION("GOOGLETRANSLATE(B171, ""en"", ""es"")"),"Joya")</f>
        <v>Joya</v>
      </c>
      <c r="E171" s="23" t="str">
        <f>IFERROR(__xludf.DUMMYFUNCTION("GOOGLETRANSLATE(B171, ""en"", ""ru"")"),"Драгоценность")</f>
        <v>Драгоценность</v>
      </c>
      <c r="F171" s="23" t="str">
        <f>IFERROR(__xludf.DUMMYFUNCTION("GOOGLETRANSLATE(B171, ""en"", ""tr"")"),"Mücevher")</f>
        <v>Mücevher</v>
      </c>
      <c r="G171" s="23" t="str">
        <f>IFERROR(__xludf.DUMMYFUNCTION("GOOGLETRANSLATE(B171, ""en"", ""pt"")"),"Gema")</f>
        <v>Gema</v>
      </c>
      <c r="H171" s="24" t="str">
        <f>IFERROR(__xludf.DUMMYFUNCTION("GOOGLETRANSLATE(B171, ""en"", ""de"")"),"Juwel")</f>
        <v>Juwel</v>
      </c>
      <c r="I171" s="23" t="str">
        <f>IFERROR(__xludf.DUMMYFUNCTION("GOOGLETRANSLATE(B171, ""en"", ""pl"")"),"Klejnot")</f>
        <v>Klejnot</v>
      </c>
      <c r="J171" s="25" t="str">
        <f>IFERROR(__xludf.DUMMYFUNCTION("GOOGLETRANSLATE(B171, ""en"", ""zh"")"),"宝石")</f>
        <v>宝石</v>
      </c>
      <c r="K171" s="25" t="str">
        <f>IFERROR(__xludf.DUMMYFUNCTION("GOOGLETRANSLATE(B171, ""en"", ""vi"")"),"Gem.")</f>
        <v>Gem.</v>
      </c>
      <c r="L171" s="26" t="str">
        <f>IFERROR(__xludf.DUMMYFUNCTION("GOOGLETRANSLATE(B171, ""en"", ""hr"")"),"Dragulj")</f>
        <v>Dragulj</v>
      </c>
      <c r="M171" s="28"/>
      <c r="N171" s="28"/>
      <c r="O171" s="28"/>
      <c r="P171" s="28"/>
      <c r="Q171" s="28"/>
      <c r="R171" s="28"/>
      <c r="S171" s="28"/>
      <c r="T171" s="28"/>
      <c r="U171" s="28"/>
      <c r="V171" s="28"/>
      <c r="W171" s="28"/>
      <c r="X171" s="28"/>
      <c r="Y171" s="28"/>
      <c r="Z171" s="28"/>
      <c r="AA171" s="28"/>
      <c r="AB171" s="28"/>
    </row>
    <row r="172">
      <c r="A172" s="21" t="s">
        <v>687</v>
      </c>
      <c r="B172" s="22" t="s">
        <v>688</v>
      </c>
      <c r="C172" s="23" t="str">
        <f>IFERROR(__xludf.DUMMYFUNCTION("GOOGLETRANSLATE(B172, ""en"", ""fr"")"),"Peut être chargé à un autel magique à l'aide de la gloire pour ajouter un effet élémentaire.")</f>
        <v>Peut être chargé à un autel magique à l'aide de la gloire pour ajouter un effet élémentaire.</v>
      </c>
      <c r="D172" s="23" t="str">
        <f>IFERROR(__xludf.DUMMYFUNCTION("GOOGLETRANSLATE(B172, ""en"", ""es"")"),"Se puede cargar en un altar mágico con gloria para agregar un efecto elemental.")</f>
        <v>Se puede cargar en un altar mágico con gloria para agregar un efecto elemental.</v>
      </c>
      <c r="E172" s="23" t="str">
        <f>IFERROR(__xludf.DUMMYFUNCTION("GOOGLETRANSLATE(B172,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72" s="23" t="str">
        <f>IFERROR(__xludf.DUMMYFUNCTION("GOOGLETRANSLATE(B172, ""en"", ""tr"")"),"Elemental bir etki eklemek için zafer kullanarak sihirli bir sunakta şarj edilebilir.")</f>
        <v>Elemental bir etki eklemek için zafer kullanarak sihirli bir sunakta şarj edilebilir.</v>
      </c>
      <c r="G172" s="23" t="str">
        <f>IFERROR(__xludf.DUMMYFUNCTION("GOOGLETRANSLATE(B172, ""en"", ""pt"")"),"Pode ser cobrado em um altar mágico usando glória para adicionar um efeito elementar.")</f>
        <v>Pode ser cobrado em um altar mágico usando glória para adicionar um efeito elementar.</v>
      </c>
      <c r="H172" s="24" t="str">
        <f>IFERROR(__xludf.DUMMYFUNCTION("GOOGLETRANSLATE(B172, ""en"", ""de"")"),"Kann in einem magischen Altar mit Ehre aufgeladen werden, um einen elementaren Effekt hinzuzufügen.")</f>
        <v>Kann in einem magischen Altar mit Ehre aufgeladen werden, um einen elementaren Effekt hinzuzufügen.</v>
      </c>
      <c r="I172" s="23" t="str">
        <f>IFERROR(__xludf.DUMMYFUNCTION("GOOGLETRANSLATE(B172, ""en"", ""pl"")"),"Może być ładowany w magicznym ołtarzu przy użyciu chwały, aby dodać efekt elementarny.")</f>
        <v>Może być ładowany w magicznym ołtarzu przy użyciu chwały, aby dodać efekt elementarny.</v>
      </c>
      <c r="J172" s="25" t="str">
        <f>IFERROR(__xludf.DUMMYFUNCTION("GOOGLETRANSLATE(B172, ""en"", ""zh"")"),"可以在魔术祭坛上充电，使用辉光添加元素效果。")</f>
        <v>可以在魔术祭坛上充电，使用辉光添加元素效果。</v>
      </c>
      <c r="K172" s="25" t="str">
        <f>IFERROR(__xludf.DUMMYFUNCTION("GOOGLETRANSLATE(B172, ""en"", ""vi"")"),"Có thể bị buộc tội tại một bàn thờ ma thuật sử dụng vinh quang để thêm một hiệu ứng nguyên tố.")</f>
        <v>Có thể bị buộc tội tại một bàn thờ ma thuật sử dụng vinh quang để thêm một hiệu ứng nguyên tố.</v>
      </c>
      <c r="L172" s="26" t="str">
        <f>IFERROR(__xludf.DUMMYFUNCTION("GOOGLETRANSLATE(B172, ""en"", ""hr"")"),"Može se naplaćivati ​​na čarobnom oltaru pomoću slave za dodavanje elementarnog učinka.")</f>
        <v>Može se naplaćivati ​​na čarobnom oltaru pomoću slave za dodavanje elementarnog učinka.</v>
      </c>
      <c r="M172" s="28"/>
      <c r="N172" s="28"/>
      <c r="O172" s="28"/>
      <c r="P172" s="28"/>
      <c r="Q172" s="28"/>
      <c r="R172" s="28"/>
      <c r="S172" s="28"/>
      <c r="T172" s="28"/>
      <c r="U172" s="28"/>
      <c r="V172" s="28"/>
      <c r="W172" s="28"/>
      <c r="X172" s="28"/>
      <c r="Y172" s="28"/>
      <c r="Z172" s="28"/>
      <c r="AA172" s="28"/>
      <c r="AB172" s="28"/>
    </row>
    <row r="173">
      <c r="A173" s="21" t="s">
        <v>689</v>
      </c>
      <c r="B173" s="22" t="s">
        <v>690</v>
      </c>
      <c r="C173" s="23" t="str">
        <f>IFERROR(__xludf.DUMMYFUNCTION("GOOGLETRANSLATE(B173, ""en"", ""fr"")"),"Gemme de feu")</f>
        <v>Gemme de feu</v>
      </c>
      <c r="D173" s="23" t="str">
        <f>IFERROR(__xludf.DUMMYFUNCTION("GOOGLETRANSLATE(B173, ""en"", ""es"")"),"Gema de fuego")</f>
        <v>Gema de fuego</v>
      </c>
      <c r="E173" s="23" t="str">
        <f>IFERROR(__xludf.DUMMYFUNCTION("GOOGLETRANSLATE(B173, ""en"", ""ru"")"),"Пожарная драгоценность")</f>
        <v>Пожарная драгоценность</v>
      </c>
      <c r="F173" s="23" t="str">
        <f>IFERROR(__xludf.DUMMYFUNCTION("GOOGLETRANSLATE(B173, ""en"", ""tr"")"),"Ateş mücevher")</f>
        <v>Ateş mücevher</v>
      </c>
      <c r="G173" s="23" t="str">
        <f>IFERROR(__xludf.DUMMYFUNCTION("GOOGLETRANSLATE(B173, ""en"", ""pt"")"),"Gema de fogo")</f>
        <v>Gema de fogo</v>
      </c>
      <c r="H173" s="24" t="str">
        <f>IFERROR(__xludf.DUMMYFUNCTION("GOOGLETRANSLATE(B173, ""en"", ""de"")"),"Feuerwein")</f>
        <v>Feuerwein</v>
      </c>
      <c r="I173" s="23" t="str">
        <f>IFERROR(__xludf.DUMMYFUNCTION("GOOGLETRANSLATE(B173, ""en"", ""pl"")"),"Gem ognia")</f>
        <v>Gem ognia</v>
      </c>
      <c r="J173" s="25" t="str">
        <f>IFERROR(__xludf.DUMMYFUNCTION("GOOGLETRANSLATE(B173, ""en"", ""zh"")"),"火宝石")</f>
        <v>火宝石</v>
      </c>
      <c r="K173" s="25" t="str">
        <f>IFERROR(__xludf.DUMMYFUNCTION("GOOGLETRANSLATE(B173, ""en"", ""vi"")"),"Ngọc hỏa")</f>
        <v>Ngọc hỏa</v>
      </c>
      <c r="L173" s="26" t="str">
        <f>IFERROR(__xludf.DUMMYFUNCTION("GOOGLETRANSLATE(B173, ""en"", ""hr"")"),"Vatra")</f>
        <v>Vatra</v>
      </c>
      <c r="M173" s="28"/>
      <c r="N173" s="28"/>
      <c r="O173" s="28"/>
      <c r="P173" s="28"/>
      <c r="Q173" s="28"/>
      <c r="R173" s="28"/>
      <c r="S173" s="28"/>
      <c r="T173" s="28"/>
      <c r="U173" s="28"/>
      <c r="V173" s="28"/>
      <c r="W173" s="28"/>
      <c r="X173" s="28"/>
      <c r="Y173" s="28"/>
      <c r="Z173" s="28"/>
      <c r="AA173" s="28"/>
      <c r="AB173" s="28"/>
    </row>
    <row r="174">
      <c r="A174" s="21" t="s">
        <v>691</v>
      </c>
      <c r="B174" s="22" t="s">
        <v>692</v>
      </c>
      <c r="C174" s="23" t="str">
        <f>IFERROR(__xludf.DUMMYFUNCTION("GOOGLETRANSLATE(B174, ""en"", ""fr"")"),"Utilisé pour fabriquer des objets avec un effet de feu.")</f>
        <v>Utilisé pour fabriquer des objets avec un effet de feu.</v>
      </c>
      <c r="D174" s="23" t="str">
        <f>IFERROR(__xludf.DUMMYFUNCTION("GOOGLETRANSLATE(B174, ""en"", ""es"")"),"Se utiliza para crear artículos con un efecto de incendio.")</f>
        <v>Se utiliza para crear artículos con un efecto de incendio.</v>
      </c>
      <c r="E174" s="23" t="str">
        <f>IFERROR(__xludf.DUMMYFUNCTION("GOOGLETRANSLATE(B174, ""en"", ""ru"")"),"Используется для создания предметов с пожарным эффектом.")</f>
        <v>Используется для создания предметов с пожарным эффектом.</v>
      </c>
      <c r="F174" s="23" t="str">
        <f>IFERROR(__xludf.DUMMYFUNCTION("GOOGLETRANSLATE(B174, ""en"", ""tr"")"),"Yangın etkisi olan eşyaları zanaat etmek için kullanılır.")</f>
        <v>Yangın etkisi olan eşyaları zanaat etmek için kullanılır.</v>
      </c>
      <c r="G174" s="23" t="str">
        <f>IFERROR(__xludf.DUMMYFUNCTION("GOOGLETRANSLATE(B174, ""en"", ""pt"")"),"Usado para artesanais com efeito de incêndio.")</f>
        <v>Usado para artesanais com efeito de incêndio.</v>
      </c>
      <c r="H174" s="24" t="str">
        <f>IFERROR(__xludf.DUMMYFUNCTION("GOOGLETRANSLATE(B174, ""en"", ""de"")"),"Verwendet, um Gegenstände mit einem Brandwirkung zu erzeugen.")</f>
        <v>Verwendet, um Gegenstände mit einem Brandwirkung zu erzeugen.</v>
      </c>
      <c r="I174" s="23" t="str">
        <f>IFERROR(__xludf.DUMMYFUNCTION("GOOGLETRANSLATE(B174, ""en"", ""pl"")"),"Używane do rzemiosła przedmiotów z efektem pożarowym.")</f>
        <v>Używane do rzemiosła przedmiotów z efektem pożarowym.</v>
      </c>
      <c r="J174" s="25" t="str">
        <f>IFERROR(__xludf.DUMMYFUNCTION("GOOGLETRANSLATE(B174, ""en"", ""zh"")"),"用来用火效效果来制作物品。")</f>
        <v>用来用火效效果来制作物品。</v>
      </c>
      <c r="K174" s="25" t="str">
        <f>IFERROR(__xludf.DUMMYFUNCTION("GOOGLETRANSLATE(B174, ""en"", ""vi"")"),"Được sử dụng để thủ công các vật phẩm có hiệu ứng hỏa hoạn.")</f>
        <v>Được sử dụng để thủ công các vật phẩm có hiệu ứng hỏa hoạn.</v>
      </c>
      <c r="L174" s="26" t="str">
        <f>IFERROR(__xludf.DUMMYFUNCTION("GOOGLETRANSLATE(B174, ""en"", ""hr"")"),"Koristi se za obrt stavke s efektom požara.")</f>
        <v>Koristi se za obrt stavke s efektom požara.</v>
      </c>
      <c r="M174" s="28"/>
      <c r="N174" s="28"/>
      <c r="O174" s="28"/>
      <c r="P174" s="28"/>
      <c r="Q174" s="28"/>
      <c r="R174" s="28"/>
      <c r="S174" s="28"/>
      <c r="T174" s="28"/>
      <c r="U174" s="28"/>
      <c r="V174" s="28"/>
      <c r="W174" s="28"/>
      <c r="X174" s="28"/>
      <c r="Y174" s="28"/>
      <c r="Z174" s="28"/>
      <c r="AA174" s="28"/>
      <c r="AB174" s="28"/>
    </row>
    <row r="175">
      <c r="A175" s="21" t="s">
        <v>693</v>
      </c>
      <c r="B175" s="22" t="s">
        <v>694</v>
      </c>
      <c r="C175" s="23" t="str">
        <f>IFERROR(__xludf.DUMMYFUNCTION("GOOGLETRANSLATE(B175, ""en"", ""fr"")"),"Flamme éternelle")</f>
        <v>Flamme éternelle</v>
      </c>
      <c r="D175" s="23" t="str">
        <f>IFERROR(__xludf.DUMMYFUNCTION("GOOGLETRANSLATE(B175, ""en"", ""es"")"),"Llama eterna")</f>
        <v>Llama eterna</v>
      </c>
      <c r="E175" s="23" t="str">
        <f>IFERROR(__xludf.DUMMYFUNCTION("GOOGLETRANSLATE(B175, ""en"", ""ru"")"),"Вечный огонь")</f>
        <v>Вечный огонь</v>
      </c>
      <c r="F175" s="23" t="str">
        <f>IFERROR(__xludf.DUMMYFUNCTION("GOOGLETRANSLATE(B175, ""en"", ""tr"")"),"Ebedi Alev")</f>
        <v>Ebedi Alev</v>
      </c>
      <c r="G175" s="23" t="str">
        <f>IFERROR(__xludf.DUMMYFUNCTION("GOOGLETRANSLATE(B175, ""en"", ""pt"")"),"Chama eterna")</f>
        <v>Chama eterna</v>
      </c>
      <c r="H175" s="24" t="str">
        <f>IFERROR(__xludf.DUMMYFUNCTION("GOOGLETRANSLATE(B175, ""en"", ""de"")"),"Ewige Flamme")</f>
        <v>Ewige Flamme</v>
      </c>
      <c r="I175" s="23" t="str">
        <f>IFERROR(__xludf.DUMMYFUNCTION("GOOGLETRANSLATE(B175, ""en"", ""pl"")"),"Wieczny płomień")</f>
        <v>Wieczny płomień</v>
      </c>
      <c r="J175" s="25" t="str">
        <f>IFERROR(__xludf.DUMMYFUNCTION("GOOGLETRANSLATE(B175, ""en"", ""zh"")"),"永恒之火")</f>
        <v>永恒之火</v>
      </c>
      <c r="K175" s="25" t="str">
        <f>IFERROR(__xludf.DUMMYFUNCTION("GOOGLETRANSLATE(B175, ""en"", ""vi"")"),"Ngọn lửa vĩnh cửu")</f>
        <v>Ngọn lửa vĩnh cửu</v>
      </c>
      <c r="L175" s="26" t="str">
        <f>IFERROR(__xludf.DUMMYFUNCTION("GOOGLETRANSLATE(B175, ""en"", ""hr"")"),"Vječni plamen")</f>
        <v>Vječni plamen</v>
      </c>
      <c r="M175" s="28"/>
      <c r="N175" s="28"/>
      <c r="O175" s="28"/>
      <c r="P175" s="28"/>
      <c r="Q175" s="28"/>
      <c r="R175" s="28"/>
      <c r="S175" s="28"/>
      <c r="T175" s="28"/>
      <c r="U175" s="28"/>
      <c r="V175" s="28"/>
      <c r="W175" s="28"/>
      <c r="X175" s="28"/>
      <c r="Y175" s="28"/>
      <c r="Z175" s="28"/>
      <c r="AA175" s="28"/>
      <c r="AB175" s="28"/>
    </row>
    <row r="176">
      <c r="A176" s="21" t="s">
        <v>695</v>
      </c>
      <c r="B176" s="22" t="s">
        <v>696</v>
      </c>
      <c r="C176" s="23" t="str">
        <f>IFERROR(__xludf.DUMMYFUNCTION("GOOGLETRANSLATE(B176, ""en"", ""fr"")"),"Une essence de feu volée du monde souterrain qui peut brûler pour toujours.")</f>
        <v>Une essence de feu volée du monde souterrain qui peut brûler pour toujours.</v>
      </c>
      <c r="D176" s="23" t="str">
        <f>IFERROR(__xludf.DUMMYFUNCTION("GOOGLETRANSLATE(B176, ""en"", ""es"")"),"Una esencia de fuego robada del inframundo que puede quemar para siempre.")</f>
        <v>Una esencia de fuego robada del inframundo que puede quemar para siempre.</v>
      </c>
      <c r="E176" s="23" t="str">
        <f>IFERROR(__xludf.DUMMYFUNCTION("GOOGLETRANSLATE(B176, ""en"", ""ru"")"),"Суть огня украдена от подземного мира, который может гореть вечно.")</f>
        <v>Суть огня украдена от подземного мира, который может гореть вечно.</v>
      </c>
      <c r="F176" s="23" t="str">
        <f>IFERROR(__xludf.DUMMYFUNCTION("GOOGLETRANSLATE(B176, ""en"", ""tr"")"),"Sonsuza dek yakabilen yeraltı dünyasından çalınan bir esans.")</f>
        <v>Sonsuza dek yakabilen yeraltı dünyasından çalınan bir esans.</v>
      </c>
      <c r="G176" s="23" t="str">
        <f>IFERROR(__xludf.DUMMYFUNCTION("GOOGLETRANSLATE(B176, ""en"", ""pt"")"),"Uma essência de fogo roubado do submundo que pode queimar para sempre.")</f>
        <v>Uma essência de fogo roubado do submundo que pode queimar para sempre.</v>
      </c>
      <c r="H176" s="24" t="str">
        <f>IFERROR(__xludf.DUMMYFUNCTION("GOOGLETRANSLATE(B176, ""en"", ""de"")"),"Ein Wesen des Feuers, das aus der Unterwelt gestohlen wurde, die für immer verbrennen kann.")</f>
        <v>Ein Wesen des Feuers, das aus der Unterwelt gestohlen wurde, die für immer verbrennen kann.</v>
      </c>
      <c r="I176" s="23" t="str">
        <f>IFERROR(__xludf.DUMMYFUNCTION("GOOGLETRANSLATE(B176, ""en"", ""pl"")"),"Istota pożaru skradziona z podziemia, która może palić na zawsze.")</f>
        <v>Istota pożaru skradziona z podziemia, która może palić na zawsze.</v>
      </c>
      <c r="J176" s="25" t="str">
        <f>IFERROR(__xludf.DUMMYFUNCTION("GOOGLETRANSLATE(B176, ""en"", ""zh"")"),"从黑社会中偷了火焰的精髓，可以永远燃烧。")</f>
        <v>从黑社会中偷了火焰的精髓，可以永远燃烧。</v>
      </c>
      <c r="K176" s="25" t="str">
        <f>IFERROR(__xludf.DUMMYFUNCTION("GOOGLETRANSLATE(B176, ""en"", ""vi"")"),"Một bản chất của lửa bị đánh cắp từ thế giới ngầm có thể đốt cháy mãi mãi.")</f>
        <v>Một bản chất của lửa bị đánh cắp từ thế giới ngầm có thể đốt cháy mãi mãi.</v>
      </c>
      <c r="L176" s="26" t="str">
        <f>IFERROR(__xludf.DUMMYFUNCTION("GOOGLETRANSLATE(B176, ""en"", ""hr"")"),"Suština požara ukradena iz podzemlja koja može zauvijek spaliti.")</f>
        <v>Suština požara ukradena iz podzemlja koja može zauvijek spaliti.</v>
      </c>
      <c r="M176" s="28"/>
      <c r="N176" s="28"/>
      <c r="O176" s="28"/>
      <c r="P176" s="28"/>
      <c r="Q176" s="28"/>
      <c r="R176" s="28"/>
      <c r="S176" s="28"/>
      <c r="T176" s="28"/>
      <c r="U176" s="28"/>
      <c r="V176" s="28"/>
      <c r="W176" s="28"/>
      <c r="X176" s="28"/>
      <c r="Y176" s="28"/>
      <c r="Z176" s="28"/>
      <c r="AA176" s="28"/>
      <c r="AB176" s="28"/>
    </row>
    <row r="177">
      <c r="A177" s="21" t="s">
        <v>697</v>
      </c>
      <c r="B177" s="22" t="s">
        <v>698</v>
      </c>
      <c r="C177" s="23" t="str">
        <f>IFERROR(__xludf.DUMMYFUNCTION("GOOGLETRANSLATE(B177, ""en"", ""fr"")"),"Gemme de vent")</f>
        <v>Gemme de vent</v>
      </c>
      <c r="D177" s="23" t="str">
        <f>IFERROR(__xludf.DUMMYFUNCTION("GOOGLETRANSLATE(B177, ""en"", ""es"")"),"Gema del viento")</f>
        <v>Gema del viento</v>
      </c>
      <c r="E177" s="23" t="str">
        <f>IFERROR(__xludf.DUMMYFUNCTION("GOOGLETRANSLATE(B177, ""en"", ""ru"")"),"Ветер драгоценный")</f>
        <v>Ветер драгоценный</v>
      </c>
      <c r="F177" s="23" t="str">
        <f>IFERROR(__xludf.DUMMYFUNCTION("GOOGLETRANSLATE(B177, ""en"", ""tr"")"),"Rüzgâr mücevher")</f>
        <v>Rüzgâr mücevher</v>
      </c>
      <c r="G177" s="23" t="str">
        <f>IFERROR(__xludf.DUMMYFUNCTION("GOOGLETRANSLATE(B177, ""en"", ""pt"")"),"Jóia eólica")</f>
        <v>Jóia eólica</v>
      </c>
      <c r="H177" s="24" t="str">
        <f>IFERROR(__xludf.DUMMYFUNCTION("GOOGLETRANSLATE(B177, ""en"", ""de"")"),"Windseih")</f>
        <v>Windseih</v>
      </c>
      <c r="I177" s="23" t="str">
        <f>IFERROR(__xludf.DUMMYFUNCTION("GOOGLETRANSLATE(B177, ""en"", ""pl"")"),"Wiatrowy klejnot")</f>
        <v>Wiatrowy klejnot</v>
      </c>
      <c r="J177" s="25" t="str">
        <f>IFERROR(__xludf.DUMMYFUNCTION("GOOGLETRANSLATE(B177, ""en"", ""zh"")"),"风宝石")</f>
        <v>风宝石</v>
      </c>
      <c r="K177" s="25" t="str">
        <f>IFERROR(__xludf.DUMMYFUNCTION("GOOGLETRANSLATE(B177, ""en"", ""vi"")"),"Gem Gem.")</f>
        <v>Gem Gem.</v>
      </c>
      <c r="L177" s="26" t="str">
        <f>IFERROR(__xludf.DUMMYFUNCTION("GOOGLETRANSLATE(B177, ""en"", ""hr"")"),"Vjetar")</f>
        <v>Vjetar</v>
      </c>
      <c r="M177" s="28"/>
      <c r="N177" s="28"/>
      <c r="O177" s="28"/>
      <c r="P177" s="28"/>
      <c r="Q177" s="28"/>
      <c r="R177" s="28"/>
      <c r="S177" s="28"/>
      <c r="T177" s="28"/>
      <c r="U177" s="28"/>
      <c r="V177" s="28"/>
      <c r="W177" s="28"/>
      <c r="X177" s="28"/>
      <c r="Y177" s="28"/>
      <c r="Z177" s="28"/>
      <c r="AA177" s="28"/>
      <c r="AB177" s="28"/>
    </row>
    <row r="178">
      <c r="A178" s="21" t="s">
        <v>699</v>
      </c>
      <c r="B178" s="22" t="s">
        <v>700</v>
      </c>
      <c r="C178" s="23" t="str">
        <f>IFERROR(__xludf.DUMMYFUNCTION("GOOGLETRANSLATE(B178, ""en"", ""fr"")"),"Utilisé pour fabriquer des objets avec un effet de vent.")</f>
        <v>Utilisé pour fabriquer des objets avec un effet de vent.</v>
      </c>
      <c r="D178" s="23" t="str">
        <f>IFERROR(__xludf.DUMMYFUNCTION("GOOGLETRANSLATE(B178, ""en"", ""es"")"),"Se utiliza para crear artículos con un efecto eólico.")</f>
        <v>Se utiliza para crear artículos con un efecto eólico.</v>
      </c>
      <c r="E178" s="23" t="str">
        <f>IFERROR(__xludf.DUMMYFUNCTION("GOOGLETRANSLATE(B178, ""en"", ""ru"")"),"Используется для создания предметов с эффектом ветра.")</f>
        <v>Используется для создания предметов с эффектом ветра.</v>
      </c>
      <c r="F178" s="23" t="str">
        <f>IFERROR(__xludf.DUMMYFUNCTION("GOOGLETRANSLATE(B178, ""en"", ""tr"")"),"Rüzgar etkisi olan eşyaları zanaat etmek için kullanılır.")</f>
        <v>Rüzgar etkisi olan eşyaları zanaat etmek için kullanılır.</v>
      </c>
      <c r="G178" s="23" t="str">
        <f>IFERROR(__xludf.DUMMYFUNCTION("GOOGLETRANSLATE(B178, ""en"", ""pt"")"),"Usado para artesanais com efeito de vento.")</f>
        <v>Usado para artesanais com efeito de vento.</v>
      </c>
      <c r="H178" s="24" t="str">
        <f>IFERROR(__xludf.DUMMYFUNCTION("GOOGLETRANSLATE(B178, ""en"", ""de"")"),"Verwendet, um Gegenstände mit einem Wind-Effekt zu erzeugen.")</f>
        <v>Verwendet, um Gegenstände mit einem Wind-Effekt zu erzeugen.</v>
      </c>
      <c r="I178" s="23" t="str">
        <f>IFERROR(__xludf.DUMMYFUNCTION("GOOGLETRANSLATE(B178, ""en"", ""pl"")"),"Używany do rzemieślniczych przedmiotów z efektem wiatru.")</f>
        <v>Używany do rzemieślniczych przedmiotów z efektem wiatru.</v>
      </c>
      <c r="J178" s="25" t="str">
        <f>IFERROR(__xludf.DUMMYFUNCTION("GOOGLETRANSLATE(B178, ""en"", ""zh"")"),"用来用风效应制作物品。")</f>
        <v>用来用风效应制作物品。</v>
      </c>
      <c r="K178" s="25" t="str">
        <f>IFERROR(__xludf.DUMMYFUNCTION("GOOGLETRANSLATE(B178, ""en"", ""vi"")"),"Được sử dụng để thủ công các mặt hàng với một hiệu ứng gió.")</f>
        <v>Được sử dụng để thủ công các mặt hàng với một hiệu ứng gió.</v>
      </c>
      <c r="L178" s="26" t="str">
        <f>IFERROR(__xludf.DUMMYFUNCTION("GOOGLETRANSLATE(B178, ""en"", ""hr"")"),"Koristi se za obrt stavke s vjetrom.")</f>
        <v>Koristi se za obrt stavke s vjetrom.</v>
      </c>
      <c r="M178" s="28"/>
      <c r="N178" s="28"/>
      <c r="O178" s="28"/>
      <c r="P178" s="28"/>
      <c r="Q178" s="28"/>
      <c r="R178" s="28"/>
      <c r="S178" s="28"/>
      <c r="T178" s="28"/>
      <c r="U178" s="28"/>
      <c r="V178" s="28"/>
      <c r="W178" s="28"/>
      <c r="X178" s="28"/>
      <c r="Y178" s="28"/>
      <c r="Z178" s="28"/>
      <c r="AA178" s="28"/>
      <c r="AB178" s="28"/>
    </row>
    <row r="179">
      <c r="A179" s="21" t="s">
        <v>701</v>
      </c>
      <c r="B179" s="22" t="s">
        <v>702</v>
      </c>
      <c r="C179" s="23" t="str">
        <f>IFERROR(__xludf.DUMMYFUNCTION("GOOGLETRANSLATE(B179, ""en"", ""fr"")"),"L'œil du cyclone")</f>
        <v>L'œil du cyclone</v>
      </c>
      <c r="D179" s="23" t="str">
        <f>IFERROR(__xludf.DUMMYFUNCTION("GOOGLETRANSLATE(B179, ""en"", ""es"")"),"Ojo de la tormenta")</f>
        <v>Ojo de la tormenta</v>
      </c>
      <c r="E179" s="23" t="str">
        <f>IFERROR(__xludf.DUMMYFUNCTION("GOOGLETRANSLATE(B179, ""en"", ""ru"")"),"Центр урагана")</f>
        <v>Центр урагана</v>
      </c>
      <c r="F179" s="23" t="str">
        <f>IFERROR(__xludf.DUMMYFUNCTION("GOOGLETRANSLATE(B179, ""en"", ""tr"")"),"Fırtınanın gözü")</f>
        <v>Fırtınanın gözü</v>
      </c>
      <c r="G179" s="23" t="str">
        <f>IFERROR(__xludf.DUMMYFUNCTION("GOOGLETRANSLATE(B179, ""en"", ""pt"")"),"Olho da tempestade")</f>
        <v>Olho da tempestade</v>
      </c>
      <c r="H179" s="24" t="str">
        <f>IFERROR(__xludf.DUMMYFUNCTION("GOOGLETRANSLATE(B179, ""en"", ""de"")"),"Das Auge des Sturms")</f>
        <v>Das Auge des Sturms</v>
      </c>
      <c r="I179" s="23" t="str">
        <f>IFERROR(__xludf.DUMMYFUNCTION("GOOGLETRANSLATE(B179, ""en"", ""pl"")"),"Oko cyklonu")</f>
        <v>Oko cyklonu</v>
      </c>
      <c r="J179" s="25" t="str">
        <f>IFERROR(__xludf.DUMMYFUNCTION("GOOGLETRANSLATE(B179, ""en"", ""zh"")"),"风暴之眼")</f>
        <v>风暴之眼</v>
      </c>
      <c r="K179" s="25" t="str">
        <f>IFERROR(__xludf.DUMMYFUNCTION("GOOGLETRANSLATE(B179, ""en"", ""vi"")"),"Mắt Bão")</f>
        <v>Mắt Bão</v>
      </c>
      <c r="L179" s="26" t="str">
        <f>IFERROR(__xludf.DUMMYFUNCTION("GOOGLETRANSLATE(B179, ""en"", ""hr"")"),"Oko oluje")</f>
        <v>Oko oluje</v>
      </c>
      <c r="M179" s="28"/>
      <c r="N179" s="28"/>
      <c r="O179" s="28"/>
      <c r="P179" s="28"/>
      <c r="Q179" s="28"/>
      <c r="R179" s="28"/>
      <c r="S179" s="28"/>
      <c r="T179" s="28"/>
      <c r="U179" s="28"/>
      <c r="V179" s="28"/>
      <c r="W179" s="28"/>
      <c r="X179" s="28"/>
      <c r="Y179" s="28"/>
      <c r="Z179" s="28"/>
      <c r="AA179" s="28"/>
      <c r="AB179" s="28"/>
    </row>
    <row r="180">
      <c r="A180" s="21" t="s">
        <v>703</v>
      </c>
      <c r="B180" s="22" t="s">
        <v>704</v>
      </c>
      <c r="C180" s="23" t="str">
        <f>IFERROR(__xludf.DUMMYFUNCTION("GOOGLETRANSLATE(B180, ""en"", ""fr"")"),"La force d'un ouragan contenait dans un petit gemme.")</f>
        <v>La force d'un ouragan contenait dans un petit gemme.</v>
      </c>
      <c r="D180" s="23" t="str">
        <f>IFERROR(__xludf.DUMMYFUNCTION("GOOGLETRANSLATE(B180, ""en"", ""es"")"),"La fuerza de un huracán contenida dentro de una pequeña gema.")</f>
        <v>La fuerza de un huracán contenida dentro de una pequeña gema.</v>
      </c>
      <c r="E180" s="23" t="str">
        <f>IFERROR(__xludf.DUMMYFUNCTION("GOOGLETRANSLATE(B180, ""en"", ""ru"")"),"Сила урагана, содержащаяся в маленьком жеребене.")</f>
        <v>Сила урагана, содержащаяся в маленьком жеребене.</v>
      </c>
      <c r="F180" s="23" t="str">
        <f>IFERROR(__xludf.DUMMYFUNCTION("GOOGLETRANSLATE(B180, ""en"", ""tr"")"),"Küçük bir mücevher içinde bulunan bir kasırganın gücü.")</f>
        <v>Küçük bir mücevher içinde bulunan bir kasırganın gücü.</v>
      </c>
      <c r="G180" s="23" t="str">
        <f>IFERROR(__xludf.DUMMYFUNCTION("GOOGLETRANSLATE(B180, ""en"", ""pt"")"),"A força de um furacão contido dentro de uma pequena jóia.")</f>
        <v>A força de um furacão contido dentro de uma pequena jóia.</v>
      </c>
      <c r="H180" s="24" t="str">
        <f>IFERROR(__xludf.DUMMYFUNCTION("GOOGLETRANSLATE(B180, ""en"", ""de"")"),"Die Kraft eines Hurrikanes, der in einem kleinen Juwel enthalten ist.")</f>
        <v>Die Kraft eines Hurrikanes, der in einem kleinen Juwel enthalten ist.</v>
      </c>
      <c r="I180" s="23" t="str">
        <f>IFERROR(__xludf.DUMMYFUNCTION("GOOGLETRANSLATE(B180, ""en"", ""pl"")"),"Siła huraganu zawarta w małym klejnonie.")</f>
        <v>Siła huraganu zawarta w małym klejnonie.</v>
      </c>
      <c r="J180" s="25" t="str">
        <f>IFERROR(__xludf.DUMMYFUNCTION("GOOGLETRANSLATE(B180, ""en"", ""zh"")"),"飓风中含有小宝石的力量。")</f>
        <v>飓风中含有小宝石的力量。</v>
      </c>
      <c r="K180" s="25" t="str">
        <f>IFERROR(__xludf.DUMMYFUNCTION("GOOGLETRANSLATE(B180, ""en"", ""vi"")"),"Lực của một cơn bão chứa trong một viên đá quý nhỏ.")</f>
        <v>Lực của một cơn bão chứa trong một viên đá quý nhỏ.</v>
      </c>
      <c r="L180" s="26" t="str">
        <f>IFERROR(__xludf.DUMMYFUNCTION("GOOGLETRANSLATE(B180, ""en"", ""hr"")"),"Sila uragana sadržavala je unutar malog dragulja.")</f>
        <v>Sila uragana sadržavala je unutar malog dragulja.</v>
      </c>
      <c r="M180" s="28"/>
      <c r="N180" s="28"/>
      <c r="O180" s="28"/>
      <c r="P180" s="28"/>
      <c r="Q180" s="28"/>
      <c r="R180" s="28"/>
      <c r="S180" s="28"/>
      <c r="T180" s="28"/>
      <c r="U180" s="28"/>
      <c r="V180" s="28"/>
      <c r="W180" s="28"/>
      <c r="X180" s="28"/>
      <c r="Y180" s="28"/>
      <c r="Z180" s="28"/>
      <c r="AA180" s="28"/>
      <c r="AB180" s="28"/>
    </row>
    <row r="181">
      <c r="A181" s="21" t="s">
        <v>705</v>
      </c>
      <c r="B181" s="22" t="s">
        <v>706</v>
      </c>
      <c r="C181" s="23" t="str">
        <f>IFERROR(__xludf.DUMMYFUNCTION("GOOGLETRANSLATE(B181, ""en"", ""fr"")"),"Gemme de sang")</f>
        <v>Gemme de sang</v>
      </c>
      <c r="D181" s="23" t="str">
        <f>IFERROR(__xludf.DUMMYFUNCTION("GOOGLETRANSLATE(B181, ""en"", ""es"")"),"Gema de sangre")</f>
        <v>Gema de sangre</v>
      </c>
      <c r="E181" s="23" t="str">
        <f>IFERROR(__xludf.DUMMYFUNCTION("GOOGLETRANSLATE(B181, ""en"", ""ru"")"),"Кровная драгоценность")</f>
        <v>Кровная драгоценность</v>
      </c>
      <c r="F181" s="23" t="str">
        <f>IFERROR(__xludf.DUMMYFUNCTION("GOOGLETRANSLATE(B181, ""en"", ""tr"")"),"Kan Gem")</f>
        <v>Kan Gem</v>
      </c>
      <c r="G181" s="23" t="str">
        <f>IFERROR(__xludf.DUMMYFUNCTION("GOOGLETRANSLATE(B181, ""en"", ""pt"")"),"Gema do Sangue")</f>
        <v>Gema do Sangue</v>
      </c>
      <c r="H181" s="24" t="str">
        <f>IFERROR(__xludf.DUMMYFUNCTION("GOOGLETRANSLATE(B181, ""en"", ""de"")"),"Blutsohle")</f>
        <v>Blutsohle</v>
      </c>
      <c r="I181" s="23" t="str">
        <f>IFERROR(__xludf.DUMMYFUNCTION("GOOGLETRANSLATE(B181, ""en"", ""pl"")"),"Klejnot krwi")</f>
        <v>Klejnot krwi</v>
      </c>
      <c r="J181" s="25" t="str">
        <f>IFERROR(__xludf.DUMMYFUNCTION("GOOGLETRANSLATE(B181, ""en"", ""zh"")"),"血宝石")</f>
        <v>血宝石</v>
      </c>
      <c r="K181" s="25" t="str">
        <f>IFERROR(__xludf.DUMMYFUNCTION("GOOGLETRANSLATE(B181, ""en"", ""vi"")"),"Đá quý máu")</f>
        <v>Đá quý máu</v>
      </c>
      <c r="L181" s="26" t="str">
        <f>IFERROR(__xludf.DUMMYFUNCTION("GOOGLETRANSLATE(B181, ""en"", ""hr"")"),"Krvni dragulj")</f>
        <v>Krvni dragulj</v>
      </c>
      <c r="M181" s="28"/>
      <c r="N181" s="28"/>
      <c r="O181" s="28"/>
      <c r="P181" s="28"/>
      <c r="Q181" s="28"/>
      <c r="R181" s="28"/>
      <c r="S181" s="28"/>
      <c r="T181" s="28"/>
      <c r="U181" s="28"/>
      <c r="V181" s="28"/>
      <c r="W181" s="28"/>
      <c r="X181" s="28"/>
      <c r="Y181" s="28"/>
      <c r="Z181" s="28"/>
      <c r="AA181" s="28"/>
      <c r="AB181" s="28"/>
    </row>
    <row r="182">
      <c r="A182" s="21" t="s">
        <v>707</v>
      </c>
      <c r="B182" s="22" t="s">
        <v>708</v>
      </c>
      <c r="C182" s="23" t="str">
        <f>IFERROR(__xludf.DUMMYFUNCTION("GOOGLETRANSLATE(B182, ""en"", ""fr"")"),"Utilisé pour fabriquer des objets avec un effet de vie.")</f>
        <v>Utilisé pour fabriquer des objets avec un effet de vie.</v>
      </c>
      <c r="D182" s="23" t="str">
        <f>IFERROR(__xludf.DUMMYFUNCTION("GOOGLETRANSLATE(B182, ""en"", ""es"")"),"Se utiliza para crear artículos con un efecto de vida.")</f>
        <v>Se utiliza para crear artículos con un efecto de vida.</v>
      </c>
      <c r="E182" s="23" t="str">
        <f>IFERROR(__xludf.DUMMYFUNCTION("GOOGLETRANSLATE(B182, ""en"", ""ru"")"),"Используется для создания предметов с эффектом жизни.")</f>
        <v>Используется для создания предметов с эффектом жизни.</v>
      </c>
      <c r="F182" s="23" t="str">
        <f>IFERROR(__xludf.DUMMYFUNCTION("GOOGLETRANSLATE(B182, ""en"", ""tr"")"),"Bir yaşam etkisi olan eşyaları zanaat etmek için kullanılır.")</f>
        <v>Bir yaşam etkisi olan eşyaları zanaat etmek için kullanılır.</v>
      </c>
      <c r="G182" s="23" t="str">
        <f>IFERROR(__xludf.DUMMYFUNCTION("GOOGLETRANSLATE(B182, ""en"", ""pt"")"),"Usado para artesanais com efeito de vida.")</f>
        <v>Usado para artesanais com efeito de vida.</v>
      </c>
      <c r="H182" s="24" t="str">
        <f>IFERROR(__xludf.DUMMYFUNCTION("GOOGLETRANSLATE(B182, ""en"", ""de"")"),"Verwendet, um Gegenstände mit einem lebenslangen Effekt zu erzeugen.")</f>
        <v>Verwendet, um Gegenstände mit einem lebenslangen Effekt zu erzeugen.</v>
      </c>
      <c r="I182" s="23" t="str">
        <f>IFERROR(__xludf.DUMMYFUNCTION("GOOGLETRANSLATE(B182, ""en"", ""pl"")"),"Używany do rzemieślniczych przedmiotów z efektem życia.")</f>
        <v>Używany do rzemieślniczych przedmiotów z efektem życia.</v>
      </c>
      <c r="J182" s="25" t="str">
        <f>IFERROR(__xludf.DUMMYFUNCTION("GOOGLETRANSLATE(B182, ""en"", ""zh"")"),"用来用生活效应来制作物品。")</f>
        <v>用来用生活效应来制作物品。</v>
      </c>
      <c r="K182" s="25" t="str">
        <f>IFERROR(__xludf.DUMMYFUNCTION("GOOGLETRANSLATE(B182, ""en"", ""vi"")"),"Được sử dụng để thủ công các mặt hàng với một hiệu ứng sống.")</f>
        <v>Được sử dụng để thủ công các mặt hàng với một hiệu ứng sống.</v>
      </c>
      <c r="L182" s="26" t="str">
        <f>IFERROR(__xludf.DUMMYFUNCTION("GOOGLETRANSLATE(B182, ""en"", ""hr"")"),"Koristi se za obrt stavke s načinom života.")</f>
        <v>Koristi se za obrt stavke s načinom života.</v>
      </c>
      <c r="M182" s="28"/>
      <c r="N182" s="28"/>
      <c r="O182" s="28"/>
      <c r="P182" s="28"/>
      <c r="Q182" s="28"/>
      <c r="R182" s="28"/>
      <c r="S182" s="28"/>
      <c r="T182" s="28"/>
      <c r="U182" s="28"/>
      <c r="V182" s="28"/>
      <c r="W182" s="28"/>
      <c r="X182" s="28"/>
      <c r="Y182" s="28"/>
      <c r="Z182" s="28"/>
      <c r="AA182" s="28"/>
      <c r="AB182" s="28"/>
    </row>
    <row r="183">
      <c r="A183" s="21" t="s">
        <v>709</v>
      </c>
      <c r="B183" s="22" t="s">
        <v>710</v>
      </c>
      <c r="C183" s="23" t="str">
        <f>IFERROR(__xludf.DUMMYFUNCTION("GOOGLETRANSLATE(B183, ""en"", ""fr"")"),"Coeur de la montagne")</f>
        <v>Coeur de la montagne</v>
      </c>
      <c r="D183" s="23" t="str">
        <f>IFERROR(__xludf.DUMMYFUNCTION("GOOGLETRANSLATE(B183, ""en"", ""es"")"),"Corazón de la montaña")</f>
        <v>Corazón de la montaña</v>
      </c>
      <c r="E183" s="23" t="str">
        <f>IFERROR(__xludf.DUMMYFUNCTION("GOOGLETRANSLATE(B183, ""en"", ""ru"")"),"Сердце горы")</f>
        <v>Сердце горы</v>
      </c>
      <c r="F183" s="23" t="str">
        <f>IFERROR(__xludf.DUMMYFUNCTION("GOOGLETRANSLATE(B183, ""en"", ""tr"")"),"Dağın kalbi")</f>
        <v>Dağın kalbi</v>
      </c>
      <c r="G183" s="23" t="str">
        <f>IFERROR(__xludf.DUMMYFUNCTION("GOOGLETRANSLATE(B183, ""en"", ""pt"")"),"Coração da montanha")</f>
        <v>Coração da montanha</v>
      </c>
      <c r="H183" s="24" t="str">
        <f>IFERROR(__xludf.DUMMYFUNCTION("GOOGLETRANSLATE(B183, ""en"", ""de"")"),"Herz des Berges")</f>
        <v>Herz des Berges</v>
      </c>
      <c r="I183" s="23" t="str">
        <f>IFERROR(__xludf.DUMMYFUNCTION("GOOGLETRANSLATE(B183, ""en"", ""pl"")"),"Serce góry")</f>
        <v>Serce góry</v>
      </c>
      <c r="J183" s="25" t="str">
        <f>IFERROR(__xludf.DUMMYFUNCTION("GOOGLETRANSLATE(B183, ""en"", ""zh"")"),"mountain")</f>
        <v>mountain</v>
      </c>
      <c r="K183" s="25" t="str">
        <f>IFERROR(__xludf.DUMMYFUNCTION("GOOGLETRANSLATE(B183, ""en"", ""vi"")"),"Trái tim của ngọn núi")</f>
        <v>Trái tim của ngọn núi</v>
      </c>
      <c r="L183" s="26" t="str">
        <f>IFERROR(__xludf.DUMMYFUNCTION("GOOGLETRANSLATE(B183, ""en"", ""hr"")"),"Srce planine")</f>
        <v>Srce planine</v>
      </c>
      <c r="M183" s="28"/>
      <c r="N183" s="28"/>
      <c r="O183" s="28"/>
      <c r="P183" s="28"/>
      <c r="Q183" s="28"/>
      <c r="R183" s="28"/>
      <c r="S183" s="28"/>
      <c r="T183" s="28"/>
      <c r="U183" s="28"/>
      <c r="V183" s="28"/>
      <c r="W183" s="28"/>
      <c r="X183" s="28"/>
      <c r="Y183" s="28"/>
      <c r="Z183" s="28"/>
      <c r="AA183" s="28"/>
      <c r="AB183" s="28"/>
    </row>
    <row r="184">
      <c r="A184" s="21" t="s">
        <v>711</v>
      </c>
      <c r="B184" s="22" t="s">
        <v>712</v>
      </c>
      <c r="C184" s="23" t="str">
        <f>IFERROR(__xludf.DUMMYFUNCTION("GOOGLETRANSLATE(B184, ""en"", ""fr"")"),"Une anomalie géologique qui soulève un terrain au-dessus, créant des montagnes artificielles.")</f>
        <v>Une anomalie géologique qui soulève un terrain au-dessus, créant des montagnes artificielles.</v>
      </c>
      <c r="D184" s="23" t="str">
        <f>IFERROR(__xludf.DUMMYFUNCTION("GOOGLETRANSLATE(B184, ""en"", ""es"")"),"Una anomalía geológica que eleva cualquier suelo por encima de él, creando montañas artificiales.")</f>
        <v>Una anomalía geológica que eleva cualquier suelo por encima de él, creando montañas artificiales.</v>
      </c>
      <c r="E184" s="23" t="str">
        <f>IFERROR(__xludf.DUMMYFUNCTION("GOOGLETRANSLATE(B184,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84" s="23" t="str">
        <f>IFERROR(__xludf.DUMMYFUNCTION("GOOGLETRANSLATE(B184, ""en"", ""tr"")"),"Yukarıda herhangi bir zemin yaratan jeolojik bir anomali, yapay dağlar yaratır.")</f>
        <v>Yukarıda herhangi bir zemin yaratan jeolojik bir anomali, yapay dağlar yaratır.</v>
      </c>
      <c r="G184" s="23" t="str">
        <f>IFERROR(__xludf.DUMMYFUNCTION("GOOGLETRANSLATE(B184, ""en"", ""pt"")"),"Uma anomalia geológica que levanta qualquer terra acima, criando montanhas artificiais.")</f>
        <v>Uma anomalia geológica que levanta qualquer terra acima, criando montanhas artificiais.</v>
      </c>
      <c r="H184" s="24" t="str">
        <f>IFERROR(__xludf.DUMMYFUNCTION("GOOGLETRANSLATE(B184, ""en"", ""de"")"),"Eine geologische Anomalie, die jeden Boden darüber erhöht, künstliche Berge erzeugt.")</f>
        <v>Eine geologische Anomalie, die jeden Boden darüber erhöht, künstliche Berge erzeugt.</v>
      </c>
      <c r="I184" s="23" t="str">
        <f>IFERROR(__xludf.DUMMYFUNCTION("GOOGLETRANSLATE(B184, ""en"", ""pl"")"),"Anomalia geologiczna, która podnosi jakąkolwiek ziemię, tworząc sztuczne góry.")</f>
        <v>Anomalia geologiczna, która podnosi jakąkolwiek ziemię, tworząc sztuczne góry.</v>
      </c>
      <c r="J184" s="25" t="str">
        <f>IFERROR(__xludf.DUMMYFUNCTION("GOOGLETRANSLATE(B184, ""en"", ""zh"")"),"一个地质异常，在它上面提出任何地面，创造人造山脉。")</f>
        <v>一个地质异常，在它上面提出任何地面，创造人造山脉。</v>
      </c>
      <c r="K184" s="25" t="str">
        <f>IFERROR(__xludf.DUMMYFUNCTION("GOOGLETRANSLATE(B184, ""en"", ""vi"")"),"Một dị thường địa chất tăng bất kỳ mặt đất nào trên nó, tạo ra những ngọn núi nhân tạo.")</f>
        <v>Một dị thường địa chất tăng bất kỳ mặt đất nào trên nó, tạo ra những ngọn núi nhân tạo.</v>
      </c>
      <c r="L184" s="26" t="str">
        <f>IFERROR(__xludf.DUMMYFUNCTION("GOOGLETRANSLATE(B184, ""en"", ""hr"")"),"Geološka anomalija koja podiže bilo koju zemlju iznad njega, stvarajući umjetne planine.")</f>
        <v>Geološka anomalija koja podiže bilo koju zemlju iznad njega, stvarajući umjetne planine.</v>
      </c>
      <c r="M184" s="28"/>
      <c r="N184" s="28"/>
      <c r="O184" s="28"/>
      <c r="P184" s="28"/>
      <c r="Q184" s="28"/>
      <c r="R184" s="28"/>
      <c r="S184" s="28"/>
      <c r="T184" s="28"/>
      <c r="U184" s="28"/>
      <c r="V184" s="28"/>
      <c r="W184" s="28"/>
      <c r="X184" s="28"/>
      <c r="Y184" s="28"/>
      <c r="Z184" s="28"/>
      <c r="AA184" s="28"/>
      <c r="AB184" s="28"/>
    </row>
    <row r="185">
      <c r="A185" s="21" t="s">
        <v>713</v>
      </c>
      <c r="B185" s="22" t="s">
        <v>714</v>
      </c>
      <c r="C185" s="23" t="str">
        <f>IFERROR(__xludf.DUMMYFUNCTION("GOOGLETRANSLATE(B185, ""en"", ""fr"")"),"Personnel d'incendie")</f>
        <v>Personnel d'incendie</v>
      </c>
      <c r="D185" s="23" t="str">
        <f>IFERROR(__xludf.DUMMYFUNCTION("GOOGLETRANSLATE(B185, ""en"", ""es"")"),"Personal de bomberos")</f>
        <v>Personal de bomberos</v>
      </c>
      <c r="E185" s="23" t="str">
        <f>IFERROR(__xludf.DUMMYFUNCTION("GOOGLETRANSLATE(B185, ""en"", ""ru"")"),"Пожарный персонал")</f>
        <v>Пожарный персонал</v>
      </c>
      <c r="F185" s="23" t="str">
        <f>IFERROR(__xludf.DUMMYFUNCTION("GOOGLETRANSLATE(B185, ""en"", ""tr"")"),"İtfaiyeci")</f>
        <v>İtfaiyeci</v>
      </c>
      <c r="G185" s="23" t="str">
        <f>IFERROR(__xludf.DUMMYFUNCTION("GOOGLETRANSLATE(B185, ""en"", ""pt"")"),"Equipe de fogo")</f>
        <v>Equipe de fogo</v>
      </c>
      <c r="H185" s="24" t="str">
        <f>IFERROR(__xludf.DUMMYFUNCTION("GOOGLETRANSLATE(B185, ""en"", ""de"")"),"Feuerpersonal")</f>
        <v>Feuerpersonal</v>
      </c>
      <c r="I185" s="23" t="str">
        <f>IFERROR(__xludf.DUMMYFUNCTION("GOOGLETRANSLATE(B185, ""en"", ""pl"")"),"Personel pożarowy.")</f>
        <v>Personel pożarowy.</v>
      </c>
      <c r="J185" s="25" t="str">
        <f>IFERROR(__xludf.DUMMYFUNCTION("GOOGLETRANSLATE(B185, ""en"", ""zh"")"),"消防人员")</f>
        <v>消防人员</v>
      </c>
      <c r="K185" s="25" t="str">
        <f>IFERROR(__xludf.DUMMYFUNCTION("GOOGLETRANSLATE(B185, ""en"", ""vi"")"),"Nhân viên cứu hỏa")</f>
        <v>Nhân viên cứu hỏa</v>
      </c>
      <c r="L185" s="26" t="str">
        <f>IFERROR(__xludf.DUMMYFUNCTION("GOOGLETRANSLATE(B185, ""en"", ""hr"")"),"Požar")</f>
        <v>Požar</v>
      </c>
      <c r="M185" s="28"/>
      <c r="N185" s="28"/>
      <c r="O185" s="28"/>
      <c r="P185" s="28"/>
      <c r="Q185" s="28"/>
      <c r="R185" s="28"/>
      <c r="S185" s="28"/>
      <c r="T185" s="28"/>
      <c r="U185" s="28"/>
      <c r="V185" s="28"/>
      <c r="W185" s="28"/>
      <c r="X185" s="28"/>
      <c r="Y185" s="28"/>
      <c r="Z185" s="28"/>
      <c r="AA185" s="28"/>
      <c r="AB185" s="28"/>
    </row>
    <row r="186">
      <c r="A186" s="21" t="s">
        <v>715</v>
      </c>
      <c r="B186" s="22" t="s">
        <v>716</v>
      </c>
      <c r="C186" s="23" t="str">
        <f>IFERROR(__xludf.DUMMYFUNCTION("GOOGLETRANSLATE(B186, ""en"", ""fr"")"),"Tire le feu qui inflige des dégâts.")</f>
        <v>Tire le feu qui inflige des dégâts.</v>
      </c>
      <c r="D186" s="23" t="str">
        <f>IFERROR(__xludf.DUMMYFUNCTION("GOOGLETRANSLATE(B186, ""en"", ""es"")"),"Dispara fuego que inflige daño.")</f>
        <v>Dispara fuego que inflige daño.</v>
      </c>
      <c r="E186" s="23" t="str">
        <f>IFERROR(__xludf.DUMMYFUNCTION("GOOGLETRANSLATE(B186, ""en"", ""ru"")"),"Стрелявает огонь, который наносит урон.")</f>
        <v>Стрелявает огонь, который наносит урон.</v>
      </c>
      <c r="F186" s="23" t="str">
        <f>IFERROR(__xludf.DUMMYFUNCTION("GOOGLETRANSLATE(B186, ""en"", ""tr"")"),"Hasar veren ateşi ateş eder.")</f>
        <v>Hasar veren ateşi ateş eder.</v>
      </c>
      <c r="G186" s="23" t="str">
        <f>IFERROR(__xludf.DUMMYFUNCTION("GOOGLETRANSLATE(B186, ""en"", ""pt"")"),"Atira fogo que causa dano.")</f>
        <v>Atira fogo que causa dano.</v>
      </c>
      <c r="H186" s="24" t="str">
        <f>IFERROR(__xludf.DUMMYFUNCTION("GOOGLETRANSLATE(B186, ""en"", ""de"")"),"Schießt Feuer, die Schaden zufügen.")</f>
        <v>Schießt Feuer, die Schaden zufügen.</v>
      </c>
      <c r="I186" s="23" t="str">
        <f>IFERROR(__xludf.DUMMYFUNCTION("GOOGLETRANSLATE(B186, ""en"", ""pl"")"),"Strzela ogień, który dotyczy obrażeń.")</f>
        <v>Strzela ogień, który dotyczy obrażeń.</v>
      </c>
      <c r="J186" s="25" t="str">
        <f>IFERROR(__xludf.DUMMYFUNCTION("GOOGLETRANSLATE(B186, ""en"", ""zh"")"),"射击造成伤害的火灾。")</f>
        <v>射击造成伤害的火灾。</v>
      </c>
      <c r="K186" s="25" t="str">
        <f>IFERROR(__xludf.DUMMYFUNCTION("GOOGLETRANSLATE(B186, ""en"", ""vi"")"),"Bắn lửa gây sát thương.")</f>
        <v>Bắn lửa gây sát thương.</v>
      </c>
      <c r="L186" s="26" t="str">
        <f>IFERROR(__xludf.DUMMYFUNCTION("GOOGLETRANSLATE(B186, ""en"", ""hr"")"),"Pucaj vatra koja se bavi štetom.")</f>
        <v>Pucaj vatra koja se bavi štetom.</v>
      </c>
      <c r="M186" s="28"/>
      <c r="N186" s="28"/>
      <c r="O186" s="28"/>
      <c r="P186" s="28"/>
      <c r="Q186" s="28"/>
      <c r="R186" s="28"/>
      <c r="S186" s="28"/>
      <c r="T186" s="28"/>
      <c r="U186" s="28"/>
      <c r="V186" s="28"/>
      <c r="W186" s="28"/>
      <c r="X186" s="28"/>
      <c r="Y186" s="28"/>
      <c r="Z186" s="28"/>
      <c r="AA186" s="28"/>
      <c r="AB186" s="28"/>
    </row>
    <row r="187">
      <c r="A187" s="21" t="s">
        <v>717</v>
      </c>
      <c r="B187" s="22" t="s">
        <v>718</v>
      </c>
      <c r="C187" s="23" t="str">
        <f>IFERROR(__xludf.DUMMYFUNCTION("GOOGLETRANSLATE(B187, ""en"", ""fr"")"),"Personnel Super Fire")</f>
        <v>Personnel Super Fire</v>
      </c>
      <c r="D187" s="23" t="str">
        <f>IFERROR(__xludf.DUMMYFUNCTION("GOOGLETRANSLATE(B187, ""en"", ""es"")"),"Personal de Super Fire")</f>
        <v>Personal de Super Fire</v>
      </c>
      <c r="E187" s="23" t="str">
        <f>IFERROR(__xludf.DUMMYFUNCTION("GOOGLETRANSLATE(B187, ""en"", ""ru"")"),"Супер пожарный персонал")</f>
        <v>Супер пожарный персонал</v>
      </c>
      <c r="F187" s="23" t="str">
        <f>IFERROR(__xludf.DUMMYFUNCTION("GOOGLETRANSLATE(B187, ""en"", ""tr"")"),"Süper ateş personeli")</f>
        <v>Süper ateş personeli</v>
      </c>
      <c r="G187" s="23" t="str">
        <f>IFERROR(__xludf.DUMMYFUNCTION("GOOGLETRANSLATE(B187, ""en"", ""pt"")"),"Super Fire Staff.")</f>
        <v>Super Fire Staff.</v>
      </c>
      <c r="H187" s="24" t="str">
        <f>IFERROR(__xludf.DUMMYFUNCTION("GOOGLETRANSLATE(B187, ""en"", ""de"")"),"Superfeuerpersonal")</f>
        <v>Superfeuerpersonal</v>
      </c>
      <c r="I187" s="23" t="str">
        <f>IFERROR(__xludf.DUMMYFUNCTION("GOOGLETRANSLATE(B187, ""en"", ""pl"")"),"Super Fire Staff.")</f>
        <v>Super Fire Staff.</v>
      </c>
      <c r="J187" s="25" t="str">
        <f>IFERROR(__xludf.DUMMYFUNCTION("GOOGLETRANSLATE(B187, ""en"", ""zh"")"),"超级火人员")</f>
        <v>超级火人员</v>
      </c>
      <c r="K187" s="25" t="str">
        <f>IFERROR(__xludf.DUMMYFUNCTION("GOOGLETRANSLATE(B187, ""en"", ""vi"")"),"Nhân viên siêu cháy")</f>
        <v>Nhân viên siêu cháy</v>
      </c>
      <c r="L187" s="26" t="str">
        <f>IFERROR(__xludf.DUMMYFUNCTION("GOOGLETRANSLATE(B187, ""en"", ""hr"")"),"Super vatrogasno osoblje")</f>
        <v>Super vatrogasno osoblje</v>
      </c>
      <c r="M187" s="28"/>
      <c r="N187" s="28"/>
      <c r="O187" s="28"/>
      <c r="P187" s="28"/>
      <c r="Q187" s="28"/>
      <c r="R187" s="28"/>
      <c r="S187" s="28"/>
      <c r="T187" s="28"/>
      <c r="U187" s="28"/>
      <c r="V187" s="28"/>
      <c r="W187" s="28"/>
      <c r="X187" s="28"/>
      <c r="Y187" s="28"/>
      <c r="Z187" s="28"/>
      <c r="AA187" s="28"/>
      <c r="AB187" s="28"/>
    </row>
    <row r="188">
      <c r="A188" s="21" t="s">
        <v>719</v>
      </c>
      <c r="B188" s="22" t="s">
        <v>720</v>
      </c>
      <c r="C188" s="23" t="str">
        <f>IFERROR(__xludf.DUMMYFUNCTION("GOOGLETRANSLATE(B188, ""en"", ""fr"")"),"Tire le feu qui tire plus de feu.")</f>
        <v>Tire le feu qui tire plus de feu.</v>
      </c>
      <c r="D188" s="23" t="str">
        <f>IFERROR(__xludf.DUMMYFUNCTION("GOOGLETRANSLATE(B188, ""en"", ""es"")"),"Dispara al fuego que dispara más fuego.")</f>
        <v>Dispara al fuego que dispara más fuego.</v>
      </c>
      <c r="E188" s="23" t="str">
        <f>IFERROR(__xludf.DUMMYFUNCTION("GOOGLETRANSLATE(B188, ""en"", ""ru"")"),"Стреляет огонь, который стреляет больше огня.")</f>
        <v>Стреляет огонь, который стреляет больше огня.</v>
      </c>
      <c r="F188" s="23" t="str">
        <f>IFERROR(__xludf.DUMMYFUNCTION("GOOGLETRANSLATE(B188, ""en"", ""tr"")"),"Daha fazla ateş çeken ateşi vurur.")</f>
        <v>Daha fazla ateş çeken ateşi vurur.</v>
      </c>
      <c r="G188" s="23" t="str">
        <f>IFERROR(__xludf.DUMMYFUNCTION("GOOGLETRANSLATE(B188, ""en"", ""pt"")"),"Atira fogo que atira mais fogo.")</f>
        <v>Atira fogo que atira mais fogo.</v>
      </c>
      <c r="H188" s="24" t="str">
        <f>IFERROR(__xludf.DUMMYFUNCTION("GOOGLETRANSLATE(B188, ""en"", ""de"")"),"Schießt Feuer, das mehr Feuer erschießt.")</f>
        <v>Schießt Feuer, das mehr Feuer erschießt.</v>
      </c>
      <c r="I188" s="23" t="str">
        <f>IFERROR(__xludf.DUMMYFUNCTION("GOOGLETRANSLATE(B188, ""en"", ""pl"")"),"Strzela ogień, który strzela więcej ognia.")</f>
        <v>Strzela ogień, który strzela więcej ognia.</v>
      </c>
      <c r="J188" s="25" t="str">
        <f>IFERROR(__xludf.DUMMYFUNCTION("GOOGLETRANSLATE(B188, ""en"", ""zh"")"),"射击射击更多火灾。")</f>
        <v>射击射击更多火灾。</v>
      </c>
      <c r="K188" s="25" t="str">
        <f>IFERROR(__xludf.DUMMYFUNCTION("GOOGLETRANSLATE(B188, ""en"", ""vi"")"),"Bắn lửa mà bắn súng nhiều hơn.")</f>
        <v>Bắn lửa mà bắn súng nhiều hơn.</v>
      </c>
      <c r="L188" s="26" t="str">
        <f>IFERROR(__xludf.DUMMYFUNCTION("GOOGLETRANSLATE(B188, ""en"", ""hr"")"),"Pucaj vatru koja puca više požara.")</f>
        <v>Pucaj vatru koja puca više požara.</v>
      </c>
      <c r="M188" s="28"/>
      <c r="N188" s="28"/>
      <c r="O188" s="28"/>
      <c r="P188" s="28"/>
      <c r="Q188" s="28"/>
      <c r="R188" s="28"/>
      <c r="S188" s="28"/>
      <c r="T188" s="28"/>
      <c r="U188" s="28"/>
      <c r="V188" s="28"/>
      <c r="W188" s="28"/>
      <c r="X188" s="28"/>
      <c r="Y188" s="28"/>
      <c r="Z188" s="28"/>
      <c r="AA188" s="28"/>
      <c r="AB188" s="28"/>
    </row>
    <row r="189">
      <c r="A189" s="21" t="s">
        <v>721</v>
      </c>
      <c r="B189" s="22" t="s">
        <v>722</v>
      </c>
      <c r="C189" s="23" t="str">
        <f>IFERROR(__xludf.DUMMYFUNCTION("GOOGLETRANSLATE(B189, ""en"", ""fr"")"),"Personnel éolien")</f>
        <v>Personnel éolien</v>
      </c>
      <c r="D189" s="23" t="str">
        <f>IFERROR(__xludf.DUMMYFUNCTION("GOOGLETRANSLATE(B189, ""en"", ""es"")"),"Estado de viento")</f>
        <v>Estado de viento</v>
      </c>
      <c r="E189" s="23" t="str">
        <f>IFERROR(__xludf.DUMMYFUNCTION("GOOGLETRANSLATE(B189, ""en"", ""ru"")"),"Ветер персонал")</f>
        <v>Ветер персонал</v>
      </c>
      <c r="F189" s="23" t="str">
        <f>IFERROR(__xludf.DUMMYFUNCTION("GOOGLETRANSLATE(B189, ""en"", ""tr"")"),"Rüzgar personeli")</f>
        <v>Rüzgar personeli</v>
      </c>
      <c r="G189" s="23" t="str">
        <f>IFERROR(__xludf.DUMMYFUNCTION("GOOGLETRANSLATE(B189, ""en"", ""pt"")"),"Equipe de vento")</f>
        <v>Equipe de vento</v>
      </c>
      <c r="H189" s="24" t="str">
        <f>IFERROR(__xludf.DUMMYFUNCTION("GOOGLETRANSLATE(B189, ""en"", ""de"")"),"Windpersonal")</f>
        <v>Windpersonal</v>
      </c>
      <c r="I189" s="23" t="str">
        <f>IFERROR(__xludf.DUMMYFUNCTION("GOOGLETRANSLATE(B189, ""en"", ""pl"")"),"Personel wiatru.")</f>
        <v>Personel wiatru.</v>
      </c>
      <c r="J189" s="25" t="str">
        <f>IFERROR(__xludf.DUMMYFUNCTION("GOOGLETRANSLATE(B189, ""en"", ""zh"")"),"风员工")</f>
        <v>风员工</v>
      </c>
      <c r="K189" s="25" t="str">
        <f>IFERROR(__xludf.DUMMYFUNCTION("GOOGLETRANSLATE(B189, ""en"", ""vi"")"),"Nhân viên gió")</f>
        <v>Nhân viên gió</v>
      </c>
      <c r="L189" s="26" t="str">
        <f>IFERROR(__xludf.DUMMYFUNCTION("GOOGLETRANSLATE(B189, ""en"", ""hr"")"),"Vjetropodžnjak")</f>
        <v>Vjetropodžnjak</v>
      </c>
      <c r="M189" s="28"/>
      <c r="N189" s="28"/>
      <c r="O189" s="28"/>
      <c r="P189" s="28"/>
      <c r="Q189" s="28"/>
      <c r="R189" s="28"/>
      <c r="S189" s="28"/>
      <c r="T189" s="28"/>
      <c r="U189" s="28"/>
      <c r="V189" s="28"/>
      <c r="W189" s="28"/>
      <c r="X189" s="28"/>
      <c r="Y189" s="28"/>
      <c r="Z189" s="28"/>
      <c r="AA189" s="28"/>
      <c r="AB189" s="28"/>
    </row>
    <row r="190">
      <c r="A190" s="21" t="s">
        <v>723</v>
      </c>
      <c r="B190" s="22" t="s">
        <v>724</v>
      </c>
      <c r="C190" s="23" t="str">
        <f>IFERROR(__xludf.DUMMYFUNCTION("GOOGLETRANSLATE(B190, ""en"", ""fr"")"),"Tire le vent qui frappe les choses.")</f>
        <v>Tire le vent qui frappe les choses.</v>
      </c>
      <c r="D190" s="23" t="str">
        <f>IFERROR(__xludf.DUMMYFUNCTION("GOOGLETRANSLATE(B190, ""en"", ""es"")"),"Dispara el viento que golpea las cosas.")</f>
        <v>Dispara el viento que golpea las cosas.</v>
      </c>
      <c r="E190" s="23" t="str">
        <f>IFERROR(__xludf.DUMMYFUNCTION("GOOGLETRANSLATE(B190, ""en"", ""ru"")"),"Стреляет ветер, который сбивает вещи обратно.")</f>
        <v>Стреляет ветер, который сбивает вещи обратно.</v>
      </c>
      <c r="F190" s="23" t="str">
        <f>IFERROR(__xludf.DUMMYFUNCTION("GOOGLETRANSLATE(B190, ""en"", ""tr"")"),"İşleri geri çeken rüzgarı vurur.")</f>
        <v>İşleri geri çeken rüzgarı vurur.</v>
      </c>
      <c r="G190" s="23" t="str">
        <f>IFERROR(__xludf.DUMMYFUNCTION("GOOGLETRANSLATE(B190, ""en"", ""pt"")"),"Atira o vento que bate as coisas de volta.")</f>
        <v>Atira o vento que bate as coisas de volta.</v>
      </c>
      <c r="H190" s="24" t="str">
        <f>IFERROR(__xludf.DUMMYFUNCTION("GOOGLETRANSLATE(B190, ""en"", ""de"")"),"Schießt Wind, der die Dinge zurückschlagen.")</f>
        <v>Schießt Wind, der die Dinge zurückschlagen.</v>
      </c>
      <c r="I190" s="23" t="str">
        <f>IFERROR(__xludf.DUMMYFUNCTION("GOOGLETRANSLATE(B190, ""en"", ""pl"")"),"Strzela wiatr, który puka rzeczy z powrotem.")</f>
        <v>Strzela wiatr, który puka rzeczy z powrotem.</v>
      </c>
      <c r="J190" s="25" t="str">
        <f>IFERROR(__xludf.DUMMYFUNCTION("GOOGLETRANSLATE(B190, ""en"", ""zh"")"),"射击击倒东西的风。")</f>
        <v>射击击倒东西的风。</v>
      </c>
      <c r="K190" s="25" t="str">
        <f>IFERROR(__xludf.DUMMYFUNCTION("GOOGLETRANSLATE(B190, ""en"", ""vi"")"),"Bắn gió đánh bật mọi thứ trở lại.")</f>
        <v>Bắn gió đánh bật mọi thứ trở lại.</v>
      </c>
      <c r="L190" s="26" t="str">
        <f>IFERROR(__xludf.DUMMYFUNCTION("GOOGLETRANSLATE(B190, ""en"", ""hr"")"),"Pucaj vjetar koji kuca stvari natrag.")</f>
        <v>Pucaj vjetar koji kuca stvari natrag.</v>
      </c>
      <c r="M190" s="28"/>
      <c r="N190" s="28"/>
      <c r="O190" s="28"/>
      <c r="P190" s="28"/>
      <c r="Q190" s="28"/>
      <c r="R190" s="28"/>
      <c r="S190" s="28"/>
      <c r="T190" s="28"/>
      <c r="U190" s="28"/>
      <c r="V190" s="28"/>
      <c r="W190" s="28"/>
      <c r="X190" s="28"/>
      <c r="Y190" s="28"/>
      <c r="Z190" s="28"/>
      <c r="AA190" s="28"/>
      <c r="AB190" s="28"/>
    </row>
    <row r="191">
      <c r="A191" s="21" t="s">
        <v>725</v>
      </c>
      <c r="B191" s="22" t="s">
        <v>726</v>
      </c>
      <c r="C191" s="23" t="str">
        <f>IFERROR(__xludf.DUMMYFUNCTION("GOOGLETRANSLATE(B191, ""en"", ""fr"")"),"Personnel Super Wind")</f>
        <v>Personnel Super Wind</v>
      </c>
      <c r="D191" s="23" t="str">
        <f>IFERROR(__xludf.DUMMYFUNCTION("GOOGLETRANSLATE(B191, ""en"", ""es"")"),"Súper personal")</f>
        <v>Súper personal</v>
      </c>
      <c r="E191" s="23" t="str">
        <f>IFERROR(__xludf.DUMMYFUNCTION("GOOGLETRANSLATE(B191, ""en"", ""ru"")"),"Супер ветер персонал")</f>
        <v>Супер ветер персонал</v>
      </c>
      <c r="F191" s="23" t="str">
        <f>IFERROR(__xludf.DUMMYFUNCTION("GOOGLETRANSLATE(B191, ""en"", ""tr"")"),"Süper rüzgar personeli")</f>
        <v>Süper rüzgar personeli</v>
      </c>
      <c r="G191" s="23" t="str">
        <f>IFERROR(__xludf.DUMMYFUNCTION("GOOGLETRANSLATE(B191, ""en"", ""pt"")"),"Super Wind Staff.")</f>
        <v>Super Wind Staff.</v>
      </c>
      <c r="H191" s="24" t="str">
        <f>IFERROR(__xludf.DUMMYFUNCTION("GOOGLETRANSLATE(B191, ""en"", ""de"")"),"Super Windpersonal.")</f>
        <v>Super Windpersonal.</v>
      </c>
      <c r="I191" s="23" t="str">
        <f>IFERROR(__xludf.DUMMYFUNCTION("GOOGLETRANSLATE(B191, ""en"", ""pl"")"),"Super personel wiatrowy")</f>
        <v>Super personel wiatrowy</v>
      </c>
      <c r="J191" s="25" t="str">
        <f>IFERROR(__xludf.DUMMYFUNCTION("GOOGLETRANSLATE(B191, ""en"", ""zh"")"),"超级风员工")</f>
        <v>超级风员工</v>
      </c>
      <c r="K191" s="25" t="str">
        <f>IFERROR(__xludf.DUMMYFUNCTION("GOOGLETRANSLATE(B191, ""en"", ""vi"")"),"Nhân viên siêu gió")</f>
        <v>Nhân viên siêu gió</v>
      </c>
      <c r="L191" s="26" t="str">
        <f>IFERROR(__xludf.DUMMYFUNCTION("GOOGLETRANSLATE(B191, ""en"", ""hr"")"),"Osoblje super vjetrom")</f>
        <v>Osoblje super vjetrom</v>
      </c>
      <c r="M191" s="28"/>
      <c r="N191" s="28"/>
      <c r="O191" s="28"/>
      <c r="P191" s="28"/>
      <c r="Q191" s="28"/>
      <c r="R191" s="28"/>
      <c r="S191" s="28"/>
      <c r="T191" s="28"/>
      <c r="U191" s="28"/>
      <c r="V191" s="28"/>
      <c r="W191" s="28"/>
      <c r="X191" s="28"/>
      <c r="Y191" s="28"/>
      <c r="Z191" s="28"/>
      <c r="AA191" s="28"/>
      <c r="AB191" s="28"/>
    </row>
    <row r="192">
      <c r="A192" s="21" t="s">
        <v>727</v>
      </c>
      <c r="B192" s="22" t="s">
        <v>728</v>
      </c>
      <c r="C192" s="23" t="str">
        <f>IFERROR(__xludf.DUMMYFUNCTION("GOOGLETRANSLATE(B192, ""en"", ""fr"")"),"Pousse le vent qui tire plus de vent.")</f>
        <v>Pousse le vent qui tire plus de vent.</v>
      </c>
      <c r="D192" s="23" t="str">
        <f>IFERROR(__xludf.DUMMYFUNCTION("GOOGLETRANSLATE(B192, ""en"", ""es"")"),"Dispara el viento que dispara más viento.")</f>
        <v>Dispara el viento que dispara más viento.</v>
      </c>
      <c r="E192" s="23" t="str">
        <f>IFERROR(__xludf.DUMMYFUNCTION("GOOGLETRANSLATE(B192, ""en"", ""ru"")"),"Стреляет ветер, который стреляет больше ветра.")</f>
        <v>Стреляет ветер, который стреляет больше ветра.</v>
      </c>
      <c r="F192" s="23" t="str">
        <f>IFERROR(__xludf.DUMMYFUNCTION("GOOGLETRANSLATE(B192, ""en"", ""tr"")"),"Daha fazla rüzgar çeken rüzgarı vurur.")</f>
        <v>Daha fazla rüzgar çeken rüzgarı vurur.</v>
      </c>
      <c r="G192" s="23" t="str">
        <f>IFERROR(__xludf.DUMMYFUNCTION("GOOGLETRANSLATE(B192, ""en"", ""pt"")"),"Atira o vento que atira mais vento.")</f>
        <v>Atira o vento que atira mais vento.</v>
      </c>
      <c r="H192" s="24" t="str">
        <f>IFERROR(__xludf.DUMMYFUNCTION("GOOGLETRANSLATE(B192, ""en"", ""de"")"),"Schießt Wind, der mehr Wind erschießt.")</f>
        <v>Schießt Wind, der mehr Wind erschießt.</v>
      </c>
      <c r="I192" s="23" t="str">
        <f>IFERROR(__xludf.DUMMYFUNCTION("GOOGLETRANSLATE(B192, ""en"", ""pl"")"),"Strzela wiatr, który strzela więcej wiatr.")</f>
        <v>Strzela wiatr, który strzela więcej wiatr.</v>
      </c>
      <c r="J192" s="25" t="str">
        <f>IFERROR(__xludf.DUMMYFUNCTION("GOOGLETRANSLATE(B192, ""en"", ""zh"")"),"射击射击更多风的风。")</f>
        <v>射击射击更多风的风。</v>
      </c>
      <c r="K192" s="25" t="str">
        <f>IFERROR(__xludf.DUMMYFUNCTION("GOOGLETRANSLATE(B192, ""en"", ""vi"")"),"Bắn gió mà bắn nhiều gió hơn.")</f>
        <v>Bắn gió mà bắn nhiều gió hơn.</v>
      </c>
      <c r="L192" s="26" t="str">
        <f>IFERROR(__xludf.DUMMYFUNCTION("GOOGLETRANSLATE(B192, ""en"", ""hr"")"),"Pucaj vjetar koji puca više vjetra.")</f>
        <v>Pucaj vjetar koji puca više vjetra.</v>
      </c>
      <c r="M192" s="28"/>
      <c r="N192" s="28"/>
      <c r="O192" s="28"/>
      <c r="P192" s="28"/>
      <c r="Q192" s="28"/>
      <c r="R192" s="28"/>
      <c r="S192" s="28"/>
      <c r="T192" s="28"/>
      <c r="U192" s="28"/>
      <c r="V192" s="28"/>
      <c r="W192" s="28"/>
      <c r="X192" s="28"/>
      <c r="Y192" s="28"/>
      <c r="Z192" s="28"/>
      <c r="AA192" s="28"/>
      <c r="AB192" s="28"/>
    </row>
    <row r="193">
      <c r="A193" s="21" t="s">
        <v>729</v>
      </c>
      <c r="B193" s="22" t="s">
        <v>730</v>
      </c>
      <c r="C193" s="23" t="str">
        <f>IFERROR(__xludf.DUMMYFUNCTION("GOOGLETRANSLATE(B193, ""en"", ""fr"")"),"Personnel de sang")</f>
        <v>Personnel de sang</v>
      </c>
      <c r="D193" s="23" t="str">
        <f>IFERROR(__xludf.DUMMYFUNCTION("GOOGLETRANSLATE(B193, ""en"", ""es"")"),"Personal de sangre")</f>
        <v>Personal de sangre</v>
      </c>
      <c r="E193" s="23" t="str">
        <f>IFERROR(__xludf.DUMMYFUNCTION("GOOGLETRANSLATE(B193, ""en"", ""ru"")"),"Персонал крови")</f>
        <v>Персонал крови</v>
      </c>
      <c r="F193" s="23" t="str">
        <f>IFERROR(__xludf.DUMMYFUNCTION("GOOGLETRANSLATE(B193, ""en"", ""tr"")"),"Kanocu")</f>
        <v>Kanocu</v>
      </c>
      <c r="G193" s="23" t="str">
        <f>IFERROR(__xludf.DUMMYFUNCTION("GOOGLETRANSLATE(B193, ""en"", ""pt"")"),"Pessoal de sangue")</f>
        <v>Pessoal de sangue</v>
      </c>
      <c r="H193" s="24" t="str">
        <f>IFERROR(__xludf.DUMMYFUNCTION("GOOGLETRANSLATE(B193, ""en"", ""de"")"),"Blutpersonal")</f>
        <v>Blutpersonal</v>
      </c>
      <c r="I193" s="23" t="str">
        <f>IFERROR(__xludf.DUMMYFUNCTION("GOOGLETRANSLATE(B193, ""en"", ""pl"")"),"Personel krwi")</f>
        <v>Personel krwi</v>
      </c>
      <c r="J193" s="25" t="str">
        <f>IFERROR(__xludf.DUMMYFUNCTION("GOOGLETRANSLATE(B193, ""en"", ""zh"")"),"血员工")</f>
        <v>血员工</v>
      </c>
      <c r="K193" s="25" t="str">
        <f>IFERROR(__xludf.DUMMYFUNCTION("GOOGLETRANSLATE(B193, ""en"", ""vi"")"),"Nhân viên máu")</f>
        <v>Nhân viên máu</v>
      </c>
      <c r="L193" s="26" t="str">
        <f>IFERROR(__xludf.DUMMYFUNCTION("GOOGLETRANSLATE(B193, ""en"", ""hr"")"),"Osoblje krvi")</f>
        <v>Osoblje krvi</v>
      </c>
      <c r="M193" s="28"/>
      <c r="N193" s="28"/>
      <c r="O193" s="28"/>
      <c r="P193" s="28"/>
      <c r="Q193" s="28"/>
      <c r="R193" s="28"/>
      <c r="S193" s="28"/>
      <c r="T193" s="28"/>
      <c r="U193" s="28"/>
      <c r="V193" s="28"/>
      <c r="W193" s="28"/>
      <c r="X193" s="28"/>
      <c r="Y193" s="28"/>
      <c r="Z193" s="28"/>
      <c r="AA193" s="28"/>
      <c r="AB193" s="28"/>
    </row>
    <row r="194">
      <c r="A194" s="21" t="s">
        <v>731</v>
      </c>
      <c r="B194" s="22" t="s">
        <v>732</v>
      </c>
      <c r="C194" s="23" t="str">
        <f>IFERROR(__xludf.DUMMYFUNCTION("GOOGLETRANSLATE(B194, ""en"", ""fr"")"),"Tire un projectile qui vole les points de vie. Consomme des points de vie lorsqu'il est utilisé.")</f>
        <v>Tire un projectile qui vole les points de vie. Consomme des points de vie lorsqu'il est utilisé.</v>
      </c>
      <c r="D194" s="23" t="str">
        <f>IFERROR(__xludf.DUMMYFUNCTION("GOOGLETRANSLATE(B194, ""en"", ""es"")"),"Dispara un proyectil que roba los puntos de golpe. Consume puntos de golpe cuando se usa.")</f>
        <v>Dispara un proyectil que roba los puntos de golpe. Consume puntos de golpe cuando se usa.</v>
      </c>
      <c r="E194" s="23" t="str">
        <f>IFERROR(__xludf.DUMMYFUNCTION("GOOGLETRANSLATE(B194,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94" s="23" t="str">
        <f>IFERROR(__xludf.DUMMYFUNCTION("GOOGLETRANSLATE(B194, ""en"", ""tr"")"),"Hitpoints çalan bir mermi vuruyor. Kullanıldığında hitpoints tüketir.")</f>
        <v>Hitpoints çalan bir mermi vuruyor. Kullanıldığında hitpoints tüketir.</v>
      </c>
      <c r="G194" s="23" t="str">
        <f>IFERROR(__xludf.DUMMYFUNCTION("GOOGLETRANSLATE(B194, ""en"", ""pt"")"),"Atira um projétil que rouba os pontos de vida. Consome hitpoints quando usado.")</f>
        <v>Atira um projétil que rouba os pontos de vida. Consome hitpoints quando usado.</v>
      </c>
      <c r="H194" s="24" t="str">
        <f>IFERROR(__xludf.DUMMYFUNCTION("GOOGLETRANSLATE(B194, ""en"", ""de"")"),"Schießt ein Projektil, das HITPOINTs stiehlt. Verbraucht HITPOINTs bei Verwendung.")</f>
        <v>Schießt ein Projektil, das HITPOINTs stiehlt. Verbraucht HITPOINTs bei Verwendung.</v>
      </c>
      <c r="I194" s="23" t="str">
        <f>IFERROR(__xludf.DUMMYFUNCTION("GOOGLETRANSLATE(B194, ""en"", ""pl"")"),"Strzela pocisk, który kradnie punkty życia. Zużywa punkty HIT, gdy są używane.")</f>
        <v>Strzela pocisk, który kradnie punkty życia. Zużywa punkty HIT, gdy są używane.</v>
      </c>
      <c r="J194" s="25" t="str">
        <f>IFERROR(__xludf.DUMMYFUNCTION("GOOGLETRANSLATE(B194, ""en"", ""zh"")"),"射击偷窃杀头点的射弹。使用时消耗Hitpoints。")</f>
        <v>射击偷窃杀头点的射弹。使用时消耗Hitpoints。</v>
      </c>
      <c r="K194" s="25" t="str">
        <f>IFERROR(__xludf.DUMMYFUNCTION("GOOGLETRANSLATE(B194, ""en"", ""vi"")"),"Bắn một viên đạn đánh cắp điểm nhấn. Tiêu thụ các điểm nhấn khi sử dụng.")</f>
        <v>Bắn một viên đạn đánh cắp điểm nhấn. Tiêu thụ các điểm nhấn khi sử dụng.</v>
      </c>
      <c r="L194" s="26" t="str">
        <f>IFERROR(__xludf.DUMMYFUNCTION("GOOGLETRANSLATE(B194, ""en"", ""hr"")"),"Snima projektil koji krade HitPoints. Troši hitpoints kada se koristi.")</f>
        <v>Snima projektil koji krade HitPoints. Troši hitpoints kada se koristi.</v>
      </c>
      <c r="M194" s="28"/>
      <c r="N194" s="28"/>
      <c r="O194" s="28"/>
      <c r="P194" s="28"/>
      <c r="Q194" s="28"/>
      <c r="R194" s="28"/>
      <c r="S194" s="28"/>
      <c r="T194" s="28"/>
      <c r="U194" s="28"/>
      <c r="V194" s="28"/>
      <c r="W194" s="28"/>
      <c r="X194" s="28"/>
      <c r="Y194" s="28"/>
      <c r="Z194" s="28"/>
      <c r="AA194" s="28"/>
      <c r="AB194" s="28"/>
    </row>
    <row r="195">
      <c r="A195" s="21" t="s">
        <v>733</v>
      </c>
      <c r="B195" s="22" t="s">
        <v>734</v>
      </c>
      <c r="C195" s="23" t="str">
        <f>IFERROR(__xludf.DUMMYFUNCTION("GOOGLETRANSLATE(B195, ""en"", ""fr"")"),"Personnel Super Blood")</f>
        <v>Personnel Super Blood</v>
      </c>
      <c r="D195" s="23" t="str">
        <f>IFERROR(__xludf.DUMMYFUNCTION("GOOGLETRANSLATE(B195, ""en"", ""es"")"),"Personal Super Blood")</f>
        <v>Personal Super Blood</v>
      </c>
      <c r="E195" s="23" t="str">
        <f>IFERROR(__xludf.DUMMYFUNCTION("GOOGLETRANSLATE(B195, ""en"", ""ru"")"),"Super крови персонал")</f>
        <v>Super крови персонал</v>
      </c>
      <c r="F195" s="23" t="str">
        <f>IFERROR(__xludf.DUMMYFUNCTION("GOOGLETRANSLATE(B195, ""en"", ""tr"")"),"Süper kan personeli")</f>
        <v>Süper kan personeli</v>
      </c>
      <c r="G195" s="23" t="str">
        <f>IFERROR(__xludf.DUMMYFUNCTION("GOOGLETRANSLATE(B195, ""en"", ""pt"")"),"Pessoal super de sangue")</f>
        <v>Pessoal super de sangue</v>
      </c>
      <c r="H195" s="24" t="str">
        <f>IFERROR(__xludf.DUMMYFUNCTION("GOOGLETRANSLATE(B195, ""en"", ""de"")"),"Super Blutpersonal")</f>
        <v>Super Blutpersonal</v>
      </c>
      <c r="I195" s="23" t="str">
        <f>IFERROR(__xludf.DUMMYFUNCTION("GOOGLETRANSLATE(B195, ""en"", ""pl"")"),"Super Blood Staff.")</f>
        <v>Super Blood Staff.</v>
      </c>
      <c r="J195" s="25" t="str">
        <f>IFERROR(__xludf.DUMMYFUNCTION("GOOGLETRANSLATE(B195, ""en"", ""zh"")"),"超级血员工")</f>
        <v>超级血员工</v>
      </c>
      <c r="K195" s="25" t="str">
        <f>IFERROR(__xludf.DUMMYFUNCTION("GOOGLETRANSLATE(B195, ""en"", ""vi"")"),"Nhân viên siêu máu")</f>
        <v>Nhân viên siêu máu</v>
      </c>
      <c r="L195" s="26" t="str">
        <f>IFERROR(__xludf.DUMMYFUNCTION("GOOGLETRANSLATE(B195, ""en"", ""hr"")"),"Osoblje super krvi")</f>
        <v>Osoblje super krvi</v>
      </c>
      <c r="M195" s="28"/>
      <c r="N195" s="28"/>
      <c r="O195" s="28"/>
      <c r="P195" s="28"/>
      <c r="Q195" s="28"/>
      <c r="R195" s="28"/>
      <c r="S195" s="28"/>
      <c r="T195" s="28"/>
      <c r="U195" s="28"/>
      <c r="V195" s="28"/>
      <c r="W195" s="28"/>
      <c r="X195" s="28"/>
      <c r="Y195" s="28"/>
      <c r="Z195" s="28"/>
      <c r="AA195" s="28"/>
      <c r="AB195" s="28"/>
    </row>
    <row r="196">
      <c r="A196" s="21" t="s">
        <v>735</v>
      </c>
      <c r="B196" s="22" t="s">
        <v>736</v>
      </c>
      <c r="C196" s="23" t="str">
        <f>IFERROR(__xludf.DUMMYFUNCTION("GOOGLETRANSLATE(B196, ""en"", ""fr"")"),"Tire un projectile de vie qui tire plus de projectiles de vie.")</f>
        <v>Tire un projectile de vie qui tire plus de projectiles de vie.</v>
      </c>
      <c r="D196" s="23" t="str">
        <f>IFERROR(__xludf.DUMMYFUNCTION("GOOGLETRANSLATE(B196, ""en"", ""es"")"),"Dispara a un proyectil de vida que dispara más proyectiles de forma de vida.")</f>
        <v>Dispara a un proyectil de vida que dispara más proyectiles de forma de vida.</v>
      </c>
      <c r="E196" s="23" t="str">
        <f>IFERROR(__xludf.DUMMYFUNCTION("GOOGLETRANSLATE(B196,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196" s="23" t="str">
        <f>IFERROR(__xludf.DUMMYFUNCTION("GOOGLETRANSLATE(B196, ""en"", ""tr"")"),"Daha fazla lifesteal mermi çeken bir yaşam mermi vuruyor.")</f>
        <v>Daha fazla lifesteal mermi çeken bir yaşam mermi vuruyor.</v>
      </c>
      <c r="G196" s="23" t="str">
        <f>IFERROR(__xludf.DUMMYFUNCTION("GOOGLETRANSLATE(B196, ""en"", ""pt"")"),"Atira um projétil de vida que atira mais projéteis de vida.")</f>
        <v>Atira um projétil de vida que atira mais projéteis de vida.</v>
      </c>
      <c r="H196" s="24" t="str">
        <f>IFERROR(__xludf.DUMMYFUNCTION("GOOGLETRANSLATE(B196, ""en"", ""de"")"),"Schießt ein lebenslesses Projektil, das mehr Lebensläufe schießt.")</f>
        <v>Schießt ein lebenslesses Projektil, das mehr Lebensläufe schießt.</v>
      </c>
      <c r="I196" s="23" t="str">
        <f>IFERROR(__xludf.DUMMYFUNCTION("GOOGLETRANSLATE(B196, ""en"", ""pl"")"),"Strzeleje pocisku całe życie, który strzela więcej pocisków w stylu życia.")</f>
        <v>Strzeleje pocisku całe życie, który strzela więcej pocisków w stylu życia.</v>
      </c>
      <c r="J196" s="25" t="str">
        <f>IFERROR(__xludf.DUMMYFUNCTION("GOOGLETRANSLATE(B196, ""en"", ""zh"")"),"射击一个射击更多生活射弹的生活射弹。")</f>
        <v>射击一个射击更多生活射弹的生活射弹。</v>
      </c>
      <c r="K196" s="25" t="str">
        <f>IFERROR(__xludf.DUMMYFUNCTION("GOOGLETRANSLATE(B196, ""en"", ""vi"")"),"Bắn một viên đạn vòng đời bắn nhiều hơn đạn cứu sinh.")</f>
        <v>Bắn một viên đạn vòng đời bắn nhiều hơn đạn cứu sinh.</v>
      </c>
      <c r="L196" s="26" t="str">
        <f>IFERROR(__xludf.DUMMYFUNCTION("GOOGLETRANSLATE(B196, ""en"", ""hr"")"),"Snima životni projektil koji puca više života projektila.")</f>
        <v>Snima životni projektil koji puca više života projektila.</v>
      </c>
      <c r="M196" s="28"/>
      <c r="N196" s="28"/>
      <c r="O196" s="28"/>
      <c r="P196" s="28"/>
      <c r="Q196" s="28"/>
      <c r="R196" s="28"/>
      <c r="S196" s="28"/>
      <c r="T196" s="28"/>
      <c r="U196" s="28"/>
      <c r="V196" s="28"/>
      <c r="W196" s="28"/>
      <c r="X196" s="28"/>
      <c r="Y196" s="28"/>
      <c r="Z196" s="28"/>
      <c r="AA196" s="28"/>
      <c r="AB196" s="28"/>
    </row>
    <row r="197">
      <c r="A197" s="21" t="s">
        <v>737</v>
      </c>
      <c r="B197" s="22" t="s">
        <v>738</v>
      </c>
      <c r="C197" s="23" t="str">
        <f>IFERROR(__xludf.DUMMYFUNCTION("GOOGLETRANSLATE(B197, ""en"", ""fr"")"),"Livre de lumière")</f>
        <v>Livre de lumière</v>
      </c>
      <c r="D197" s="23" t="str">
        <f>IFERROR(__xludf.DUMMYFUNCTION("GOOGLETRANSLATE(B197, ""en"", ""es"")"),"Libro de luz")</f>
        <v>Libro de luz</v>
      </c>
      <c r="E197" s="23" t="str">
        <f>IFERROR(__xludf.DUMMYFUNCTION("GOOGLETRANSLATE(B197, ""en"", ""ru"")"),"Книга света")</f>
        <v>Книга света</v>
      </c>
      <c r="F197" s="23" t="str">
        <f>IFERROR(__xludf.DUMMYFUNCTION("GOOGLETRANSLATE(B197, ""en"", ""tr"")"),"Işık kitabı")</f>
        <v>Işık kitabı</v>
      </c>
      <c r="G197" s="23" t="str">
        <f>IFERROR(__xludf.DUMMYFUNCTION("GOOGLETRANSLATE(B197, ""en"", ""pt"")"),"Livro de luz")</f>
        <v>Livro de luz</v>
      </c>
      <c r="H197" s="24" t="str">
        <f>IFERROR(__xludf.DUMMYFUNCTION("GOOGLETRANSLATE(B197, ""en"", ""de"")"),"Buch des Lichts.")</f>
        <v>Buch des Lichts.</v>
      </c>
      <c r="I197" s="23" t="str">
        <f>IFERROR(__xludf.DUMMYFUNCTION("GOOGLETRANSLATE(B197, ""en"", ""pl"")"),"Książka światła")</f>
        <v>Książka światła</v>
      </c>
      <c r="J197" s="25" t="str">
        <f>IFERROR(__xludf.DUMMYFUNCTION("GOOGLETRANSLATE(B197, ""en"", ""zh"")"),"光书")</f>
        <v>光书</v>
      </c>
      <c r="K197" s="25" t="str">
        <f>IFERROR(__xludf.DUMMYFUNCTION("GOOGLETRANSLATE(B197, ""en"", ""vi"")"),"Sách ánh sáng")</f>
        <v>Sách ánh sáng</v>
      </c>
      <c r="L197" s="26" t="str">
        <f>IFERROR(__xludf.DUMMYFUNCTION("GOOGLETRANSLATE(B197, ""en"", ""hr"")"),"Knjiga svjetla")</f>
        <v>Knjiga svjetla</v>
      </c>
      <c r="M197" s="28"/>
      <c r="N197" s="28"/>
      <c r="O197" s="28"/>
      <c r="P197" s="28"/>
      <c r="Q197" s="28"/>
      <c r="R197" s="28"/>
      <c r="S197" s="28"/>
      <c r="T197" s="28"/>
      <c r="U197" s="28"/>
      <c r="V197" s="28"/>
      <c r="W197" s="28"/>
      <c r="X197" s="28"/>
      <c r="Y197" s="28"/>
      <c r="Z197" s="28"/>
      <c r="AA197" s="28"/>
      <c r="AB197" s="28"/>
    </row>
    <row r="198">
      <c r="A198" s="21" t="s">
        <v>739</v>
      </c>
      <c r="B198" s="22" t="s">
        <v>740</v>
      </c>
      <c r="C198" s="23" t="str">
        <f>IFERROR(__xludf.DUMMYFUNCTION("GOOGLETRANSLATE(B198, ""en"", ""fr"")"),"Un livre de sorts de support.")</f>
        <v>Un livre de sorts de support.</v>
      </c>
      <c r="D198" s="23" t="str">
        <f>IFERROR(__xludf.DUMMYFUNCTION("GOOGLETRANSLATE(B198, ""en"", ""es"")"),"Un libro de hechizos de apoyo.")</f>
        <v>Un libro de hechizos de apoyo.</v>
      </c>
      <c r="E198" s="23" t="str">
        <f>IFERROR(__xludf.DUMMYFUNCTION("GOOGLETRANSLATE(B198, ""en"", ""ru"")"),"Книга поддержки заклинаний.")</f>
        <v>Книга поддержки заклинаний.</v>
      </c>
      <c r="F198" s="23" t="str">
        <f>IFERROR(__xludf.DUMMYFUNCTION("GOOGLETRANSLATE(B198, ""en"", ""tr"")"),"Bir destek kitabı büyü.")</f>
        <v>Bir destek kitabı büyü.</v>
      </c>
      <c r="G198" s="23" t="str">
        <f>IFERROR(__xludf.DUMMYFUNCTION("GOOGLETRANSLATE(B198, ""en"", ""pt"")"),"Um livro de feitiços de apoio.")</f>
        <v>Um livro de feitiços de apoio.</v>
      </c>
      <c r="H198" s="24" t="str">
        <f>IFERROR(__xludf.DUMMYFUNCTION("GOOGLETRANSLATE(B198, ""en"", ""de"")"),"Ein Buch von Unterstützungszauber.")</f>
        <v>Ein Buch von Unterstützungszauber.</v>
      </c>
      <c r="I198" s="23" t="str">
        <f>IFERROR(__xludf.DUMMYFUNCTION("GOOGLETRANSLATE(B198, ""en"", ""pl"")"),"Księga zaklęć wsparcia.")</f>
        <v>Księga zaklęć wsparcia.</v>
      </c>
      <c r="J198" s="25" t="str">
        <f>IFERROR(__xludf.DUMMYFUNCTION("GOOGLETRANSLATE(B198, ""en"", ""zh"")"),"一本支持咒语。")</f>
        <v>一本支持咒语。</v>
      </c>
      <c r="K198" s="25" t="str">
        <f>IFERROR(__xludf.DUMMYFUNCTION("GOOGLETRANSLATE(B198, ""en"", ""vi"")"),"Một cuốn sách các phép thuật hỗ trợ.")</f>
        <v>Một cuốn sách các phép thuật hỗ trợ.</v>
      </c>
      <c r="L198" s="26" t="str">
        <f>IFERROR(__xludf.DUMMYFUNCTION("GOOGLETRANSLATE(B198, ""en"", ""hr"")"),"Knjiga čarolija podrške.")</f>
        <v>Knjiga čarolija podrške.</v>
      </c>
      <c r="M198" s="28"/>
      <c r="N198" s="28"/>
      <c r="O198" s="28"/>
      <c r="P198" s="28"/>
      <c r="Q198" s="28"/>
      <c r="R198" s="28"/>
      <c r="S198" s="28"/>
      <c r="T198" s="28"/>
      <c r="U198" s="28"/>
      <c r="V198" s="28"/>
      <c r="W198" s="28"/>
      <c r="X198" s="28"/>
      <c r="Y198" s="28"/>
      <c r="Z198" s="28"/>
      <c r="AA198" s="28"/>
      <c r="AB198" s="28"/>
    </row>
    <row r="199">
      <c r="A199" s="21" t="s">
        <v>741</v>
      </c>
      <c r="B199" s="22" t="s">
        <v>742</v>
      </c>
      <c r="C199" s="23" t="str">
        <f>IFERROR(__xludf.DUMMYFUNCTION("GOOGLETRANSLATE(B199, ""en"", ""fr"")"),"Livre des âmes")</f>
        <v>Livre des âmes</v>
      </c>
      <c r="D199" s="23" t="str">
        <f>IFERROR(__xludf.DUMMYFUNCTION("GOOGLETRANSLATE(B199, ""en"", ""es"")"),"Libro de almas")</f>
        <v>Libro de almas</v>
      </c>
      <c r="E199" s="23" t="str">
        <f>IFERROR(__xludf.DUMMYFUNCTION("GOOGLETRANSLATE(B199, ""en"", ""ru"")"),"Книга душ")</f>
        <v>Книга душ</v>
      </c>
      <c r="F199" s="23" t="str">
        <f>IFERROR(__xludf.DUMMYFUNCTION("GOOGLETRANSLATE(B199, ""en"", ""tr"")"),"Ruhlerin Kitabı")</f>
        <v>Ruhlerin Kitabı</v>
      </c>
      <c r="G199" s="23" t="str">
        <f>IFERROR(__xludf.DUMMYFUNCTION("GOOGLETRANSLATE(B199, ""en"", ""pt"")"),"Livro das almas.")</f>
        <v>Livro das almas.</v>
      </c>
      <c r="H199" s="24" t="str">
        <f>IFERROR(__xludf.DUMMYFUNCTION("GOOGLETRANSLATE(B199, ""en"", ""de"")"),"Buch der Seelen")</f>
        <v>Buch der Seelen</v>
      </c>
      <c r="I199" s="23" t="str">
        <f>IFERROR(__xludf.DUMMYFUNCTION("GOOGLETRANSLATE(B199, ""en"", ""pl"")"),"Książka dusz")</f>
        <v>Książka dusz</v>
      </c>
      <c r="J199" s="25" t="str">
        <f>IFERROR(__xludf.DUMMYFUNCTION("GOOGLETRANSLATE(B199, ""en"", ""zh"")"),"灵魂书")</f>
        <v>灵魂书</v>
      </c>
      <c r="K199" s="25" t="str">
        <f>IFERROR(__xludf.DUMMYFUNCTION("GOOGLETRANSLATE(B199, ""en"", ""vi"")"),"Sách linh hồn")</f>
        <v>Sách linh hồn</v>
      </c>
      <c r="L199" s="26" t="str">
        <f>IFERROR(__xludf.DUMMYFUNCTION("GOOGLETRANSLATE(B199, ""en"", ""hr"")"),"Knjiga duša")</f>
        <v>Knjiga duša</v>
      </c>
      <c r="M199" s="28"/>
      <c r="N199" s="28"/>
      <c r="O199" s="28"/>
      <c r="P199" s="28"/>
      <c r="Q199" s="28"/>
      <c r="R199" s="28"/>
      <c r="S199" s="28"/>
      <c r="T199" s="28"/>
      <c r="U199" s="28"/>
      <c r="V199" s="28"/>
      <c r="W199" s="28"/>
      <c r="X199" s="28"/>
      <c r="Y199" s="28"/>
      <c r="Z199" s="28"/>
      <c r="AA199" s="28"/>
      <c r="AB199" s="28"/>
    </row>
    <row r="200">
      <c r="A200" s="21" t="s">
        <v>743</v>
      </c>
      <c r="B200" s="22" t="s">
        <v>744</v>
      </c>
      <c r="C200" s="23" t="str">
        <f>IFERROR(__xludf.DUMMYFUNCTION("GOOGLETRANSLATE(B200, ""en"", ""fr"")"),"Un livre de svhs de convocation.")</f>
        <v>Un livre de svhs de convocation.</v>
      </c>
      <c r="D200" s="23" t="str">
        <f>IFERROR(__xludf.DUMMYFUNCTION("GOOGLETRANSLATE(B200, ""en"", ""es"")"),"Un libro de invocaciones de hechizos.")</f>
        <v>Un libro de invocaciones de hechizos.</v>
      </c>
      <c r="E200" s="23" t="str">
        <f>IFERROR(__xludf.DUMMYFUNCTION("GOOGLETRANSLATE(B200, ""en"", ""ru"")"),"Книга заклинаний призывающих.")</f>
        <v>Книга заклинаний призывающих.</v>
      </c>
      <c r="F200" s="23" t="str">
        <f>IFERROR(__xludf.DUMMYFUNCTION("GOOGLETRANSLATE(B200, ""en"", ""tr"")"),"Büyü yapma kitabı.")</f>
        <v>Büyü yapma kitabı.</v>
      </c>
      <c r="G200" s="23" t="str">
        <f>IFERROR(__xludf.DUMMYFUNCTION("GOOGLETRANSLATE(B200, ""en"", ""pt"")"),"Um livro de convocação de feitiços.")</f>
        <v>Um livro de convocação de feitiços.</v>
      </c>
      <c r="H200" s="24" t="str">
        <f>IFERROR(__xludf.DUMMYFUNCTION("GOOGLETRANSLATE(B200, ""en"", ""de"")"),"Ein Buch der Beschwörung von Zaubersprüchen.")</f>
        <v>Ein Buch der Beschwörung von Zaubersprüchen.</v>
      </c>
      <c r="I200" s="23" t="str">
        <f>IFERROR(__xludf.DUMMYFUNCTION("GOOGLETRANSLATE(B200, ""en"", ""pl"")"),"Książka zaklęć przywołanych.")</f>
        <v>Książka zaklęć przywołanych.</v>
      </c>
      <c r="J200" s="25" t="str">
        <f>IFERROR(__xludf.DUMMYFUNCTION("GOOGLETRANSLATE(B200, ""en"", ""zh"")"),"一本召唤法术。")</f>
        <v>一本召唤法术。</v>
      </c>
      <c r="K200" s="25" t="str">
        <f>IFERROR(__xludf.DUMMYFUNCTION("GOOGLETRANSLATE(B200, ""en"", ""vi"")"),"Một cuốn sách triệu hồi phép thuật.")</f>
        <v>Một cuốn sách triệu hồi phép thuật.</v>
      </c>
      <c r="L200" s="26" t="str">
        <f>IFERROR(__xludf.DUMMYFUNCTION("GOOGLETRANSLATE(B200, ""en"", ""hr"")"),"Knjiga pozvanih čarolija.")</f>
        <v>Knjiga pozvanih čarolija.</v>
      </c>
      <c r="M200" s="28"/>
      <c r="N200" s="28"/>
      <c r="O200" s="28"/>
      <c r="P200" s="28"/>
      <c r="Q200" s="28"/>
      <c r="R200" s="28"/>
      <c r="S200" s="28"/>
      <c r="T200" s="28"/>
      <c r="U200" s="28"/>
      <c r="V200" s="28"/>
      <c r="W200" s="28"/>
      <c r="X200" s="28"/>
      <c r="Y200" s="28"/>
      <c r="Z200" s="28"/>
      <c r="AA200" s="28"/>
      <c r="AB200" s="28"/>
    </row>
    <row r="201">
      <c r="A201" s="21" t="s">
        <v>745</v>
      </c>
      <c r="B201" s="22" t="s">
        <v>746</v>
      </c>
      <c r="C201" s="23" t="str">
        <f>IFERROR(__xludf.DUMMYFUNCTION("GOOGLETRANSLATE(B201, ""en"", ""fr"")"),"Flèches osseuses")</f>
        <v>Flèches osseuses</v>
      </c>
      <c r="D201" s="23" t="str">
        <f>IFERROR(__xludf.DUMMYFUNCTION("GOOGLETRANSLATE(B201, ""en"", ""es"")"),"Flechas óseas")</f>
        <v>Flechas óseas</v>
      </c>
      <c r="E201" s="23" t="str">
        <f>IFERROR(__xludf.DUMMYFUNCTION("GOOGLETRANSLATE(B201, ""en"", ""ru"")"),"Стрелки костей")</f>
        <v>Стрелки костей</v>
      </c>
      <c r="F201" s="23" t="str">
        <f>IFERROR(__xludf.DUMMYFUNCTION("GOOGLETRANSLATE(B201, ""en"", ""tr"")"),"Kemik okları")</f>
        <v>Kemik okları</v>
      </c>
      <c r="G201" s="23" t="str">
        <f>IFERROR(__xludf.DUMMYFUNCTION("GOOGLETRANSLATE(B201, ""en"", ""pt"")"),"Flechas ósseas")</f>
        <v>Flechas ósseas</v>
      </c>
      <c r="H201" s="24" t="str">
        <f>IFERROR(__xludf.DUMMYFUNCTION("GOOGLETRANSLATE(B201, ""en"", ""de"")"),"Knochenpfeile")</f>
        <v>Knochenpfeile</v>
      </c>
      <c r="I201" s="23" t="str">
        <f>IFERROR(__xludf.DUMMYFUNCTION("GOOGLETRANSLATE(B201, ""en"", ""pl"")"),"Strzałki kości")</f>
        <v>Strzałki kości</v>
      </c>
      <c r="J201" s="25" t="str">
        <f>IFERROR(__xludf.DUMMYFUNCTION("GOOGLETRANSLATE(B201, ""en"", ""zh"")"),"骨箭头")</f>
        <v>骨箭头</v>
      </c>
      <c r="K201" s="25" t="str">
        <f>IFERROR(__xludf.DUMMYFUNCTION("GOOGLETRANSLATE(B201, ""en"", ""vi"")"),"Mũi tên xương")</f>
        <v>Mũi tên xương</v>
      </c>
      <c r="L201" s="26" t="str">
        <f>IFERROR(__xludf.DUMMYFUNCTION("GOOGLETRANSLATE(B201, ""en"", ""hr"")"),"Strijele kostiju")</f>
        <v>Strijele kostiju</v>
      </c>
      <c r="M201" s="28"/>
      <c r="N201" s="28"/>
      <c r="O201" s="28"/>
      <c r="P201" s="28"/>
      <c r="Q201" s="28"/>
      <c r="R201" s="28"/>
      <c r="S201" s="28"/>
      <c r="T201" s="28"/>
      <c r="U201" s="28"/>
      <c r="V201" s="28"/>
      <c r="W201" s="28"/>
      <c r="X201" s="28"/>
      <c r="Y201" s="28"/>
      <c r="Z201" s="28"/>
      <c r="AA201" s="28"/>
      <c r="AB201" s="28"/>
    </row>
    <row r="202">
      <c r="A202" s="21" t="s">
        <v>747</v>
      </c>
      <c r="B202" s="22" t="s">
        <v>565</v>
      </c>
      <c r="C202" s="23" t="str">
        <f>IFERROR(__xludf.DUMMYFUNCTION("GOOGLETRANSLATE(B202, ""en"", ""fr"")"),"Utilisé comme munition pour un arc.")</f>
        <v>Utilisé comme munition pour un arc.</v>
      </c>
      <c r="D202" s="23" t="str">
        <f>IFERROR(__xludf.DUMMYFUNCTION("GOOGLETRANSLATE(B202, ""en"", ""es"")"),"Utilizado como municiones para un arco.")</f>
        <v>Utilizado como municiones para un arco.</v>
      </c>
      <c r="E202" s="23" t="str">
        <f>IFERROR(__xludf.DUMMYFUNCTION("GOOGLETRANSLATE(B202, ""en"", ""ru"")"),"Используется в качестве боеприпасов для лука.")</f>
        <v>Используется в качестве боеприпасов для лука.</v>
      </c>
      <c r="F202" s="23" t="str">
        <f>IFERROR(__xludf.DUMMYFUNCTION("GOOGLETRANSLATE(B202, ""en"", ""tr"")"),"Bir yay için mühimmat olarak kullanılır.")</f>
        <v>Bir yay için mühimmat olarak kullanılır.</v>
      </c>
      <c r="G202" s="23" t="str">
        <f>IFERROR(__xludf.DUMMYFUNCTION("GOOGLETRANSLATE(B202, ""en"", ""pt"")"),"Usado como munição para um arco.")</f>
        <v>Usado como munição para um arco.</v>
      </c>
      <c r="H202" s="24" t="str">
        <f>IFERROR(__xludf.DUMMYFUNCTION("GOOGLETRANSLATE(B202, ""en"", ""de"")"),"Als Munition für einen Bogen verwendet.")</f>
        <v>Als Munition für einen Bogen verwendet.</v>
      </c>
      <c r="I202" s="23" t="str">
        <f>IFERROR(__xludf.DUMMYFUNCTION("GOOGLETRANSLATE(B202, ""en"", ""pl"")"),"Używany jako amunicja na łuk.")</f>
        <v>Używany jako amunicja na łuk.</v>
      </c>
      <c r="J202" s="25" t="str">
        <f>IFERROR(__xludf.DUMMYFUNCTION("GOOGLETRANSLATE(B202, ""en"", ""zh"")"),"用作弓的弹药。")</f>
        <v>用作弓的弹药。</v>
      </c>
      <c r="K202" s="25" t="str">
        <f>IFERROR(__xludf.DUMMYFUNCTION("GOOGLETRANSLATE(B202, ""en"", ""vi"")"),"Dùng làm đạn cho một cây cung.")</f>
        <v>Dùng làm đạn cho một cây cung.</v>
      </c>
      <c r="L202" s="26" t="str">
        <f>IFERROR(__xludf.DUMMYFUNCTION("GOOGLETRANSLATE(B202, ""en"", ""hr"")"),"Koristi se kao streljivo za luk.")</f>
        <v>Koristi se kao streljivo za luk.</v>
      </c>
      <c r="M202" s="28"/>
      <c r="N202" s="28"/>
      <c r="O202" s="28"/>
      <c r="P202" s="28"/>
      <c r="Q202" s="28"/>
      <c r="R202" s="28"/>
      <c r="S202" s="28"/>
      <c r="T202" s="28"/>
      <c r="U202" s="28"/>
      <c r="V202" s="28"/>
      <c r="W202" s="28"/>
      <c r="X202" s="28"/>
      <c r="Y202" s="28"/>
      <c r="Z202" s="28"/>
      <c r="AA202" s="28"/>
      <c r="AB202" s="28"/>
    </row>
    <row r="203">
      <c r="A203" s="21" t="s">
        <v>748</v>
      </c>
      <c r="B203" s="22" t="s">
        <v>749</v>
      </c>
      <c r="C203" s="23" t="str">
        <f>IFERROR(__xludf.DUMMYFUNCTION("GOOGLETRANSLATE(B203, ""en"", ""fr"")"),"Peignoir")</f>
        <v>Peignoir</v>
      </c>
      <c r="D203" s="23" t="str">
        <f>IFERROR(__xludf.DUMMYFUNCTION("GOOGLETRANSLATE(B203, ""en"", ""es"")"),"Túnica")</f>
        <v>Túnica</v>
      </c>
      <c r="E203" s="23" t="str">
        <f>IFERROR(__xludf.DUMMYFUNCTION("GOOGLETRANSLATE(B203, ""en"", ""ru"")"),"Халат")</f>
        <v>Халат</v>
      </c>
      <c r="F203" s="23" t="str">
        <f>IFERROR(__xludf.DUMMYFUNCTION("GOOGLETRANSLATE(B203, ""en"", ""tr"")"),"Elbise")</f>
        <v>Elbise</v>
      </c>
      <c r="G203" s="23" t="str">
        <f>IFERROR(__xludf.DUMMYFUNCTION("GOOGLETRANSLATE(B203, ""en"", ""pt"")"),"Robe.")</f>
        <v>Robe.</v>
      </c>
      <c r="H203" s="24" t="str">
        <f>IFERROR(__xludf.DUMMYFUNCTION("GOOGLETRANSLATE(B203, ""en"", ""de"")"),"Kleid")</f>
        <v>Kleid</v>
      </c>
      <c r="I203" s="23" t="str">
        <f>IFERROR(__xludf.DUMMYFUNCTION("GOOGLETRANSLATE(B203, ""en"", ""pl"")"),"Szata")</f>
        <v>Szata</v>
      </c>
      <c r="J203" s="25" t="str">
        <f>IFERROR(__xludf.DUMMYFUNCTION("GOOGLETRANSLATE(B203, ""en"", ""zh"")"),"长袍")</f>
        <v>长袍</v>
      </c>
      <c r="K203" s="25" t="str">
        <f>IFERROR(__xludf.DUMMYFUNCTION("GOOGLETRANSLATE(B203, ""en"", ""vi"")"),"Áo choàng")</f>
        <v>Áo choàng</v>
      </c>
      <c r="L203" s="26" t="str">
        <f>IFERROR(__xludf.DUMMYFUNCTION("GOOGLETRANSLATE(B203, ""en"", ""hr"")"),"Haljina")</f>
        <v>Haljina</v>
      </c>
      <c r="M203" s="28"/>
      <c r="N203" s="28"/>
      <c r="O203" s="28"/>
      <c r="P203" s="28"/>
      <c r="Q203" s="28"/>
      <c r="R203" s="28"/>
      <c r="S203" s="28"/>
      <c r="T203" s="28"/>
      <c r="U203" s="28"/>
      <c r="V203" s="28"/>
      <c r="W203" s="28"/>
      <c r="X203" s="28"/>
      <c r="Y203" s="28"/>
      <c r="Z203" s="28"/>
      <c r="AA203" s="28"/>
      <c r="AB203" s="28"/>
    </row>
    <row r="204">
      <c r="A204" s="21" t="s">
        <v>750</v>
      </c>
      <c r="B204" s="22" t="s">
        <v>751</v>
      </c>
      <c r="C204" s="23" t="str">
        <f>IFERROR(__xludf.DUMMYFUNCTION("GOOGLETRANSLATE(B204, ""en"", ""fr"")"),"Une robe simple. Augmente votre statistique de potionry tout en porté.")</f>
        <v>Une robe simple. Augmente votre statistique de potionry tout en porté.</v>
      </c>
      <c r="D204" s="23" t="str">
        <f>IFERROR(__xludf.DUMMYFUNCTION("GOOGLETRANSLATE(B204, ""en"", ""es"")"),"Una túnica llana. Aumenta tu estadística de Potión mientras se usa.")</f>
        <v>Una túnica llana. Aumenta tu estadística de Potión mientras se usa.</v>
      </c>
      <c r="E204" s="23" t="str">
        <f>IFERROR(__xludf.DUMMYFUNCTION("GOOGLETRANSLATE(B204, ""en"", ""ru"")"),"Простой халат. Увеличивает вашу статурию для носителя.")</f>
        <v>Простой халат. Увеличивает вашу статурию для носителя.</v>
      </c>
      <c r="F204" s="23" t="str">
        <f>IFERROR(__xludf.DUMMYFUNCTION("GOOGLETRANSLATE(B204, ""en"", ""tr"")"),"Düz bir bornoz. Yıpranırken kovsırı statünüzü arttırır.")</f>
        <v>Düz bir bornoz. Yıpranırken kovsırı statünüzü arttırır.</v>
      </c>
      <c r="G204" s="23" t="str">
        <f>IFERROR(__xludf.DUMMYFUNCTION("GOOGLETRANSLATE(B204, ""en"", ""pt"")"),"Um robe simples. Aumenta sua estatística de potionia enquanto estiver desgastada.")</f>
        <v>Um robe simples. Aumenta sua estatística de potionia enquanto estiver desgastada.</v>
      </c>
      <c r="H204" s="24" t="str">
        <f>IFERROR(__xludf.DUMMYFUNCTION("GOOGLETRANSLATE(B204, ""en"", ""de"")"),"Eine einfache Robe. Erhöht Ihre Potionry-Stat, während Sie getragen werden.")</f>
        <v>Eine einfache Robe. Erhöht Ihre Potionry-Stat, während Sie getragen werden.</v>
      </c>
      <c r="I204" s="23" t="str">
        <f>IFERROR(__xludf.DUMMYFUNCTION("GOOGLETRANSLATE(B204, ""en"", ""pl"")"),"Zwykła szata. Zwiększa statystykę Potionry podczas noszenia.")</f>
        <v>Zwykła szata. Zwiększa statystykę Potionry podczas noszenia.</v>
      </c>
      <c r="J204" s="25" t="str">
        <f>IFERROR(__xludf.DUMMYFUNCTION("GOOGLETRANSLATE(B204, ""en"", ""zh"")"),"一个普通的长袍。在磨损时增加了你的药水统计数据。")</f>
        <v>一个普通的长袍。在磨损时增加了你的药水统计数据。</v>
      </c>
      <c r="K204" s="25" t="str">
        <f>IFERROR(__xludf.DUMMYFUNCTION("GOOGLETRANSLATE(B204, ""en"", ""vi"")"),"Một chiếc áo choàng đơn giản. Tăng số liệu thống kê Potionry của bạn trong khi mặc.")</f>
        <v>Một chiếc áo choàng đơn giản. Tăng số liệu thống kê Potionry của bạn trong khi mặc.</v>
      </c>
      <c r="L204" s="26" t="str">
        <f>IFERROR(__xludf.DUMMYFUNCTION("GOOGLETRANSLATE(B204, ""en"", ""hr"")"),"Običan ogrtač. Povećava vašu stationry stat dok je nošen.")</f>
        <v>Običan ogrtač. Povećava vašu stationry stat dok je nošen.</v>
      </c>
      <c r="M204" s="28"/>
      <c r="N204" s="28"/>
      <c r="O204" s="28"/>
      <c r="P204" s="28"/>
      <c r="Q204" s="28"/>
      <c r="R204" s="28"/>
      <c r="S204" s="28"/>
      <c r="T204" s="28"/>
      <c r="U204" s="28"/>
      <c r="V204" s="28"/>
      <c r="W204" s="28"/>
      <c r="X204" s="28"/>
      <c r="Y204" s="28"/>
      <c r="Z204" s="28"/>
      <c r="AA204" s="28"/>
      <c r="AB204" s="28"/>
    </row>
    <row r="205">
      <c r="A205" s="21" t="s">
        <v>752</v>
      </c>
      <c r="B205" s="22" t="s">
        <v>753</v>
      </c>
      <c r="C205" s="23" t="str">
        <f>IFERROR(__xludf.DUMMYFUNCTION("GOOGLETRANSLATE(B205, ""en"", ""fr"")"),"Robe de mage")</f>
        <v>Robe de mage</v>
      </c>
      <c r="D205" s="23" t="str">
        <f>IFERROR(__xludf.DUMMYFUNCTION("GOOGLETRANSLATE(B205, ""en"", ""es"")"),"Mago túnica")</f>
        <v>Mago túnica</v>
      </c>
      <c r="E205" s="23" t="str">
        <f>IFERROR(__xludf.DUMMYFUNCTION("GOOGLETRANSLATE(B205, ""en"", ""ru"")"),"Маг халат")</f>
        <v>Маг халат</v>
      </c>
      <c r="F205" s="23" t="str">
        <f>IFERROR(__xludf.DUMMYFUNCTION("GOOGLETRANSLATE(B205, ""en"", ""tr"")"),"Kamçı borusu")</f>
        <v>Kamçı borusu</v>
      </c>
      <c r="G205" s="23" t="str">
        <f>IFERROR(__xludf.DUMMYFUNCTION("GOOGLETRANSLATE(B205, ""en"", ""pt"")"),"Mage roupão.")</f>
        <v>Mage roupão.</v>
      </c>
      <c r="H205" s="24" t="str">
        <f>IFERROR(__xludf.DUMMYFUNCTION("GOOGLETRANSLATE(B205, ""en"", ""de"")"),"Magierrobe")</f>
        <v>Magierrobe</v>
      </c>
      <c r="I205" s="23" t="str">
        <f>IFERROR(__xludf.DUMMYFUNCTION("GOOGLETRANSLATE(B205, ""en"", ""pl"")"),"Szata Maga.")</f>
        <v>Szata Maga.</v>
      </c>
      <c r="J205" s="25" t="str">
        <f>IFERROR(__xludf.DUMMYFUNCTION("GOOGLETRANSLATE(B205, ""en"", ""zh"")"),"法师长袍")</f>
        <v>法师长袍</v>
      </c>
      <c r="K205" s="25" t="str">
        <f>IFERROR(__xludf.DUMMYFUNCTION("GOOGLETRANSLATE(B205, ""en"", ""vi"")"),"Pháp sư robe.")</f>
        <v>Pháp sư robe.</v>
      </c>
      <c r="L205" s="26" t="str">
        <f>IFERROR(__xludf.DUMMYFUNCTION("GOOGLETRANSLATE(B205, ""en"", ""hr"")"),"Haljina")</f>
        <v>Haljina</v>
      </c>
      <c r="M205" s="28"/>
      <c r="N205" s="28"/>
      <c r="O205" s="28"/>
      <c r="P205" s="28"/>
      <c r="Q205" s="28"/>
      <c r="R205" s="28"/>
      <c r="S205" s="28"/>
      <c r="T205" s="28"/>
      <c r="U205" s="28"/>
      <c r="V205" s="28"/>
      <c r="W205" s="28"/>
      <c r="X205" s="28"/>
      <c r="Y205" s="28"/>
      <c r="Z205" s="28"/>
      <c r="AA205" s="28"/>
      <c r="AB205" s="28"/>
    </row>
    <row r="206">
      <c r="A206" s="21" t="s">
        <v>754</v>
      </c>
      <c r="B206" s="22" t="s">
        <v>755</v>
      </c>
      <c r="C206" s="23" t="str">
        <f>IFERROR(__xludf.DUMMYFUNCTION("GOOGLETRANSLATE(B206, ""en"", ""fr"")"),"Une robe de base pour faire de la magie. Augmente votre statistique magique tout en porté.")</f>
        <v>Une robe de base pour faire de la magie. Augmente votre statistique magique tout en porté.</v>
      </c>
      <c r="D206" s="23" t="str">
        <f>IFERROR(__xludf.DUMMYFUNCTION("GOOGLETRANSLATE(B206, ""en"", ""es"")"),"Una túnica básica para hacer magia. Aumenta tu estadística mágica mientras está usada.")</f>
        <v>Una túnica básica para hacer magia. Aumenta tu estadística mágica mientras está usada.</v>
      </c>
      <c r="E206" s="23" t="str">
        <f>IFERROR(__xludf.DUMMYFUNCTION("GOOGLETRANSLATE(B206,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6" s="23" t="str">
        <f>IFERROR(__xludf.DUMMYFUNCTION("GOOGLETRANSLATE(B206, ""en"", ""tr"")"),"Büyü yapmak için temel bir bornoz. Yıpranırken sihirli statünüzü arttırır.")</f>
        <v>Büyü yapmak için temel bir bornoz. Yıpranırken sihirli statünüzü arttırır.</v>
      </c>
      <c r="G206" s="23" t="str">
        <f>IFERROR(__xludf.DUMMYFUNCTION("GOOGLETRANSLATE(B206, ""en"", ""pt"")"),"Um manto básico para fazer magia dentro Aumenta sua estatística mágica enquanto estiver desgastada.")</f>
        <v>Um manto básico para fazer magia dentro Aumenta sua estatística mágica enquanto estiver desgastada.</v>
      </c>
      <c r="H206" s="24" t="str">
        <f>IFERROR(__xludf.DUMMYFUNCTION("GOOGLETRANSLATE(B206, ""en"", ""de"")"),"Ein grundlegender Gewand für die Magie in. Erhöht Ihren Zauberstat während getragen.")</f>
        <v>Ein grundlegender Gewand für die Magie in. Erhöht Ihren Zauberstat während getragen.</v>
      </c>
      <c r="I206" s="23" t="str">
        <f>IFERROR(__xludf.DUMMYFUNCTION("GOOGLETRANSLATE(B206, ""en"", ""pl"")"),"Podstawowa szata do robienia magii. Zwiększa twoją magiczną statystykę podczas noszenia.")</f>
        <v>Podstawowa szata do robienia magii. Zwiększa twoją magiczną statystykę podczas noszenia.</v>
      </c>
      <c r="J206" s="25" t="str">
        <f>IFERROR(__xludf.DUMMYFUNCTION("GOOGLETRANSLATE(B206, ""en"", ""zh"")"),"一个基本的长袍做魔术。在磨损时增加了你的魔法统计数据。")</f>
        <v>一个基本的长袍做魔术。在磨损时增加了你的魔法统计数据。</v>
      </c>
      <c r="K206" s="25" t="str">
        <f>IFERROR(__xludf.DUMMYFUNCTION("GOOGLETRANSLATE(B206,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6" s="26" t="str">
        <f>IFERROR(__xludf.DUMMYFUNCTION("GOOGLETRANSLATE(B206, ""en"", ""hr"")"),"Osnovna haljina za magiju. Povećava vašu čarobnu statistiku dok se nosi.")</f>
        <v>Osnovna haljina za magiju. Povećava vašu čarobnu statistiku dok se nosi.</v>
      </c>
      <c r="M206" s="28"/>
      <c r="N206" s="28"/>
      <c r="O206" s="28"/>
      <c r="P206" s="28"/>
      <c r="Q206" s="28"/>
      <c r="R206" s="28"/>
      <c r="S206" s="28"/>
      <c r="T206" s="28"/>
      <c r="U206" s="28"/>
      <c r="V206" s="28"/>
      <c r="W206" s="28"/>
      <c r="X206" s="28"/>
      <c r="Y206" s="28"/>
      <c r="Z206" s="28"/>
      <c r="AA206" s="28"/>
      <c r="AB206" s="28"/>
    </row>
    <row r="207">
      <c r="A207" s="21" t="s">
        <v>756</v>
      </c>
      <c r="B207" s="22" t="s">
        <v>757</v>
      </c>
      <c r="C207" s="23" t="str">
        <f>IFERROR(__xludf.DUMMYFUNCTION("GOOGLETRANSLATE(B207, ""en"", ""fr"")"),"Robe nécromancienne")</f>
        <v>Robe nécromancienne</v>
      </c>
      <c r="D207" s="23" t="str">
        <f>IFERROR(__xludf.DUMMYFUNCTION("GOOGLETRANSLATE(B207, ""en"", ""es"")"),"Bata de nigromante")</f>
        <v>Bata de nigromante</v>
      </c>
      <c r="E207" s="23" t="str">
        <f>IFERROR(__xludf.DUMMYFUNCTION("GOOGLETRANSLATE(B207, ""en"", ""ru"")"),"Некромансер")</f>
        <v>Некромансер</v>
      </c>
      <c r="F207" s="23" t="str">
        <f>IFERROR(__xludf.DUMMYFUNCTION("GOOGLETRANSLATE(B207, ""en"", ""tr"")"),"Necromancer robe")</f>
        <v>Necromancer robe</v>
      </c>
      <c r="G207" s="23" t="str">
        <f>IFERROR(__xludf.DUMMYFUNCTION("GOOGLETRANSLATE(B207, ""en"", ""pt"")"),"Robe do Necromancer.")</f>
        <v>Robe do Necromancer.</v>
      </c>
      <c r="H207" s="24" t="str">
        <f>IFERROR(__xludf.DUMMYFUNCTION("GOOGLETRANSLATE(B207, ""en"", ""de"")"),"Nekromantrobe")</f>
        <v>Nekromantrobe</v>
      </c>
      <c r="I207" s="23" t="str">
        <f>IFERROR(__xludf.DUMMYFUNCTION("GOOGLETRANSLATE(B207, ""en"", ""pl"")"),"Szata Nekromanta")</f>
        <v>Szata Nekromanta</v>
      </c>
      <c r="J207" s="25" t="str">
        <f>IFERROR(__xludf.DUMMYFUNCTION("GOOGLETRANSLATE(B207, ""en"", ""zh"")"),"死灵法师长袍")</f>
        <v>死灵法师长袍</v>
      </c>
      <c r="K207" s="25" t="str">
        <f>IFERROR(__xludf.DUMMYFUNCTION("GOOGLETRANSLATE(B207, ""en"", ""vi"")"),"Áo choàng necromancer.")</f>
        <v>Áo choàng necromancer.</v>
      </c>
      <c r="L207" s="26" t="str">
        <f>IFERROR(__xludf.DUMMYFUNCTION("GOOGLETRANSLATE(B207, ""en"", ""hr"")"),"Haljina nekromanta")</f>
        <v>Haljina nekromanta</v>
      </c>
      <c r="M207" s="28"/>
      <c r="N207" s="28"/>
      <c r="O207" s="28"/>
      <c r="P207" s="28"/>
      <c r="Q207" s="28"/>
      <c r="R207" s="28"/>
      <c r="S207" s="28"/>
      <c r="T207" s="28"/>
      <c r="U207" s="28"/>
      <c r="V207" s="28"/>
      <c r="W207" s="28"/>
      <c r="X207" s="28"/>
      <c r="Y207" s="28"/>
      <c r="Z207" s="28"/>
      <c r="AA207" s="28"/>
      <c r="AB207" s="28"/>
    </row>
    <row r="208">
      <c r="A208" s="21" t="s">
        <v>758</v>
      </c>
      <c r="B208" s="22" t="s">
        <v>755</v>
      </c>
      <c r="C208" s="23" t="str">
        <f>IFERROR(__xludf.DUMMYFUNCTION("GOOGLETRANSLATE(B208, ""en"", ""fr"")"),"Une robe de base pour faire de la magie. Augmente votre statistique magique tout en porté.")</f>
        <v>Une robe de base pour faire de la magie. Augmente votre statistique magique tout en porté.</v>
      </c>
      <c r="D208" s="23" t="str">
        <f>IFERROR(__xludf.DUMMYFUNCTION("GOOGLETRANSLATE(B208, ""en"", ""es"")"),"Una túnica básica para hacer magia. Aumenta tu estadística mágica mientras está usada.")</f>
        <v>Una túnica básica para hacer magia. Aumenta tu estadística mágica mientras está usada.</v>
      </c>
      <c r="E208" s="23" t="str">
        <f>IFERROR(__xludf.DUMMYFUNCTION("GOOGLETRANSLATE(B208,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8" s="23" t="str">
        <f>IFERROR(__xludf.DUMMYFUNCTION("GOOGLETRANSLATE(B208, ""en"", ""tr"")"),"Büyü yapmak için temel bir bornoz. Yıpranırken sihirli statünüzü arttırır.")</f>
        <v>Büyü yapmak için temel bir bornoz. Yıpranırken sihirli statünüzü arttırır.</v>
      </c>
      <c r="G208" s="23" t="str">
        <f>IFERROR(__xludf.DUMMYFUNCTION("GOOGLETRANSLATE(B208, ""en"", ""pt"")"),"Um manto básico para fazer magia dentro Aumenta sua estatística mágica enquanto estiver desgastada.")</f>
        <v>Um manto básico para fazer magia dentro Aumenta sua estatística mágica enquanto estiver desgastada.</v>
      </c>
      <c r="H208" s="24" t="str">
        <f>IFERROR(__xludf.DUMMYFUNCTION("GOOGLETRANSLATE(B208, ""en"", ""de"")"),"Ein grundlegender Gewand für die Magie in. Erhöht Ihren Zauberstat während getragen.")</f>
        <v>Ein grundlegender Gewand für die Magie in. Erhöht Ihren Zauberstat während getragen.</v>
      </c>
      <c r="I208" s="23" t="str">
        <f>IFERROR(__xludf.DUMMYFUNCTION("GOOGLETRANSLATE(B208, ""en"", ""pl"")"),"Podstawowa szata do robienia magii. Zwiększa twoją magiczną statystykę podczas noszenia.")</f>
        <v>Podstawowa szata do robienia magii. Zwiększa twoją magiczną statystykę podczas noszenia.</v>
      </c>
      <c r="J208" s="25" t="str">
        <f>IFERROR(__xludf.DUMMYFUNCTION("GOOGLETRANSLATE(B208, ""en"", ""zh"")"),"一个基本的长袍做魔术。在磨损时增加了你的魔法统计数据。")</f>
        <v>一个基本的长袍做魔术。在磨损时增加了你的魔法统计数据。</v>
      </c>
      <c r="K208" s="25" t="str">
        <f>IFERROR(__xludf.DUMMYFUNCTION("GOOGLETRANSLATE(B208,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8" s="26" t="str">
        <f>IFERROR(__xludf.DUMMYFUNCTION("GOOGLETRANSLATE(B208, ""en"", ""hr"")"),"Osnovna haljina za magiju. Povećava vašu čarobnu statistiku dok se nosi.")</f>
        <v>Osnovna haljina za magiju. Povećava vašu čarobnu statistiku dok se nosi.</v>
      </c>
      <c r="M208" s="28"/>
      <c r="N208" s="28"/>
      <c r="O208" s="28"/>
      <c r="P208" s="28"/>
      <c r="Q208" s="28"/>
      <c r="R208" s="28"/>
      <c r="S208" s="28"/>
      <c r="T208" s="28"/>
      <c r="U208" s="28"/>
      <c r="V208" s="28"/>
      <c r="W208" s="28"/>
      <c r="X208" s="28"/>
      <c r="Y208" s="28"/>
      <c r="Z208" s="28"/>
      <c r="AA208" s="28"/>
      <c r="AB208" s="28"/>
    </row>
    <row r="209">
      <c r="A209" s="21" t="s">
        <v>759</v>
      </c>
      <c r="B209" s="22" t="s">
        <v>760</v>
      </c>
      <c r="C209" s="23" t="str">
        <f>IFERROR(__xludf.DUMMYFUNCTION("GOOGLETRANSLATE(B209, ""en"", ""fr"")"),"Manteau")</f>
        <v>Manteau</v>
      </c>
      <c r="D209" s="23" t="str">
        <f>IFERROR(__xludf.DUMMYFUNCTION("GOOGLETRANSLATE(B209, ""en"", ""es"")"),"Capa")</f>
        <v>Capa</v>
      </c>
      <c r="E209" s="23" t="str">
        <f>IFERROR(__xludf.DUMMYFUNCTION("GOOGLETRANSLATE(B209, ""en"", ""ru"")"),"Плащ")</f>
        <v>Плащ</v>
      </c>
      <c r="F209" s="23" t="str">
        <f>IFERROR(__xludf.DUMMYFUNCTION("GOOGLETRANSLATE(B209, ""en"", ""tr"")"),"Pelerin")</f>
        <v>Pelerin</v>
      </c>
      <c r="G209" s="23" t="str">
        <f>IFERROR(__xludf.DUMMYFUNCTION("GOOGLETRANSLATE(B209, ""en"", ""pt"")"),"Capa")</f>
        <v>Capa</v>
      </c>
      <c r="H209" s="24" t="str">
        <f>IFERROR(__xludf.DUMMYFUNCTION("GOOGLETRANSLATE(B209, ""en"", ""de"")"),"Mantel")</f>
        <v>Mantel</v>
      </c>
      <c r="I209" s="23" t="str">
        <f>IFERROR(__xludf.DUMMYFUNCTION("GOOGLETRANSLATE(B209, ""en"", ""pl"")"),"Płaszcz")</f>
        <v>Płaszcz</v>
      </c>
      <c r="J209" s="25" t="str">
        <f>IFERROR(__xludf.DUMMYFUNCTION("GOOGLETRANSLATE(B209, ""en"", ""zh"")"),"披风")</f>
        <v>披风</v>
      </c>
      <c r="K209" s="25" t="str">
        <f>IFERROR(__xludf.DUMMYFUNCTION("GOOGLETRANSLATE(B209, ""en"", ""vi"")"),"Áo choàng.")</f>
        <v>Áo choàng.</v>
      </c>
      <c r="L209" s="26" t="str">
        <f>IFERROR(__xludf.DUMMYFUNCTION("GOOGLETRANSLATE(B209, ""en"", ""hr"")"),"Plašt")</f>
        <v>Plašt</v>
      </c>
      <c r="M209" s="28"/>
      <c r="N209" s="28"/>
      <c r="O209" s="28"/>
      <c r="P209" s="28"/>
      <c r="Q209" s="28"/>
      <c r="R209" s="28"/>
      <c r="S209" s="28"/>
      <c r="T209" s="28"/>
      <c r="U209" s="28"/>
      <c r="V209" s="28"/>
      <c r="W209" s="28"/>
      <c r="X209" s="28"/>
      <c r="Y209" s="28"/>
      <c r="Z209" s="28"/>
      <c r="AA209" s="28"/>
      <c r="AB209" s="28"/>
    </row>
    <row r="210">
      <c r="A210" s="21" t="s">
        <v>761</v>
      </c>
      <c r="B210" s="22" t="s">
        <v>762</v>
      </c>
      <c r="C210" s="23" t="str">
        <f>IFERROR(__xludf.DUMMYFUNCTION("GOOGLETRANSLATE(B210, ""en"", ""fr"")"),"Une manteau de base pour faire varie. Augmente votre statistique à distance tout en portant.")</f>
        <v>Une manteau de base pour faire varie. Augmente votre statistique à distance tout en portant.</v>
      </c>
      <c r="D210" s="23" t="str">
        <f>IFERROR(__xludf.DUMMYFUNCTION("GOOGLETRANSLATE(B210, ""en"", ""es"")"),"Una capa básica para hacer iban. Aumenta tu estadística a la izquierda mientras usa.")</f>
        <v>Una capa básica para hacer iban. Aumenta tu estadística a la izquierda mientras usa.</v>
      </c>
      <c r="E210" s="23" t="str">
        <f>IFERROR(__xludf.DUMMYFUNCTION("GOOGLETRANSLATE(B210,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0" s="23" t="str">
        <f>IFERROR(__xludf.DUMMYFUNCTION("GOOGLETRANSLATE(B210, ""en"", ""tr"")"),"Değişmek için temel bir pelerin. Yıpranırken değişen statünüzü arttırır.")</f>
        <v>Değişmek için temel bir pelerin. Yıpranırken değişen statünüzü arttırır.</v>
      </c>
      <c r="G210" s="23" t="str">
        <f>IFERROR(__xludf.DUMMYFUNCTION("GOOGLETRANSLATE(B210, ""en"", ""pt"")"),"Um manto básico para fazer variou. Aumenta sua estatística à distância enquanto usava.")</f>
        <v>Um manto básico para fazer variou. Aumenta sua estatística à distância enquanto usava.</v>
      </c>
      <c r="H210" s="24" t="str">
        <f>IFERROR(__xludf.DUMMYFUNCTION("GOOGLETRANSLATE(B210, ""en"", ""de"")"),"Ein grundlegender Mantel für das Tuning in. Erhöht Ihre Fernkampfstat, während Sie getragen werden.")</f>
        <v>Ein grundlegender Mantel für das Tuning in. Erhöht Ihre Fernkampfstat, während Sie getragen werden.</v>
      </c>
      <c r="I210" s="23" t="str">
        <f>IFERROR(__xludf.DUMMYFUNCTION("GOOGLETRANSLATE(B210, ""en"", ""pl"")"),"Podstawowy płaszcz do wykrycia. Zwiększa twój dystansowy statystykę podczas noszenia.")</f>
        <v>Podstawowy płaszcz do wykrycia. Zwiększa twój dystansowy statystykę podczas noszenia.</v>
      </c>
      <c r="J210" s="25" t="str">
        <f>IFERROR(__xludf.DUMMYFUNCTION("GOOGLETRANSLATE(B210, ""en"", ""zh"")"),"用于做的基本斗篷。磨损时增加了你的范围的统计数据。")</f>
        <v>用于做的基本斗篷。磨损时增加了你的范围的统计数据。</v>
      </c>
      <c r="K210" s="25" t="str">
        <f>IFERROR(__xludf.DUMMYFUNCTION("GOOGLETRANSLATE(B210, ""en"", ""vi"")"),"Một chiếc áo choàng cơ bản để thực hiện trong. Tăng số liệu thống kê tầm xa của bạn trong khi mặc.")</f>
        <v>Một chiếc áo choàng cơ bản để thực hiện trong. Tăng số liệu thống kê tầm xa của bạn trong khi mặc.</v>
      </c>
      <c r="L210" s="26" t="str">
        <f>IFERROR(__xludf.DUMMYFUNCTION("GOOGLETRANSLATE(B210, ""en"", ""hr"")"),"Osnovni ogrtač za rad u rasponu. Povećava vašu statu dok je nosila.")</f>
        <v>Osnovni ogrtač za rad u rasponu. Povećava vašu statu dok je nosila.</v>
      </c>
      <c r="M210" s="28"/>
      <c r="N210" s="28"/>
      <c r="O210" s="28"/>
      <c r="P210" s="28"/>
      <c r="Q210" s="28"/>
      <c r="R210" s="28"/>
      <c r="S210" s="28"/>
      <c r="T210" s="28"/>
      <c r="U210" s="28"/>
      <c r="V210" s="28"/>
      <c r="W210" s="28"/>
      <c r="X210" s="28"/>
      <c r="Y210" s="28"/>
      <c r="Z210" s="28"/>
      <c r="AA210" s="28"/>
      <c r="AB210" s="28"/>
    </row>
    <row r="211">
      <c r="A211" s="21" t="s">
        <v>763</v>
      </c>
      <c r="B211" s="22" t="s">
        <v>764</v>
      </c>
      <c r="C211" s="23" t="str">
        <f>IFERROR(__xludf.DUMMYFUNCTION("GOOGLETRANSLATE(B211, ""en"", ""fr"")"),"Ninja Garb")</f>
        <v>Ninja Garb</v>
      </c>
      <c r="D211" s="23" t="str">
        <f>IFERROR(__xludf.DUMMYFUNCTION("GOOGLETRANSLATE(B211, ""en"", ""es"")"),"Ninja garb")</f>
        <v>Ninja garb</v>
      </c>
      <c r="E211" s="23" t="str">
        <f>IFERROR(__xludf.DUMMYFUNCTION("GOOGLETRANSLATE(B211, ""en"", ""ru"")"),"Ниндзя одеваться")</f>
        <v>Ниндзя одеваться</v>
      </c>
      <c r="F211" s="23" t="str">
        <f>IFERROR(__xludf.DUMMYFUNCTION("GOOGLETRANSLATE(B211, ""en"", ""tr"")"),"Ninja garb")</f>
        <v>Ninja garb</v>
      </c>
      <c r="G211" s="23" t="str">
        <f>IFERROR(__xludf.DUMMYFUNCTION("GOOGLETRANSLATE(B211, ""en"", ""pt"")"),"Ninja Garb.")</f>
        <v>Ninja Garb.</v>
      </c>
      <c r="H211" s="24" t="str">
        <f>IFERROR(__xludf.DUMMYFUNCTION("GOOGLETRANSLATE(B211, ""en"", ""de"")"),"Ninja GARB.")</f>
        <v>Ninja GARB.</v>
      </c>
      <c r="I211" s="23" t="str">
        <f>IFERROR(__xludf.DUMMYFUNCTION("GOOGLETRANSLATE(B211, ""en"", ""pl"")"),"Ninja Garb.")</f>
        <v>Ninja Garb.</v>
      </c>
      <c r="J211" s="25" t="str">
        <f>IFERROR(__xludf.DUMMYFUNCTION("GOOGLETRANSLATE(B211, ""en"", ""zh"")"),"忍者服装")</f>
        <v>忍者服装</v>
      </c>
      <c r="K211" s="25" t="str">
        <f>IFERROR(__xludf.DUMMYFUNCTION("GOOGLETRANSLATE(B211, ""en"", ""vi"")"),"Ninja Garb.")</f>
        <v>Ninja Garb.</v>
      </c>
      <c r="L211" s="26" t="str">
        <f>IFERROR(__xludf.DUMMYFUNCTION("GOOGLETRANSLATE(B211, ""en"", ""hr"")"),"Ninja odjeća")</f>
        <v>Ninja odjeća</v>
      </c>
      <c r="M211" s="28"/>
      <c r="N211" s="28"/>
      <c r="O211" s="28"/>
      <c r="P211" s="28"/>
      <c r="Q211" s="28"/>
      <c r="R211" s="28"/>
      <c r="S211" s="28"/>
      <c r="T211" s="28"/>
      <c r="U211" s="28"/>
      <c r="V211" s="28"/>
      <c r="W211" s="28"/>
      <c r="X211" s="28"/>
      <c r="Y211" s="28"/>
      <c r="Z211" s="28"/>
      <c r="AA211" s="28"/>
      <c r="AB211" s="28"/>
    </row>
    <row r="212">
      <c r="A212" s="21" t="s">
        <v>765</v>
      </c>
      <c r="B212" s="22" t="s">
        <v>766</v>
      </c>
      <c r="C212" s="23" t="str">
        <f>IFERROR(__xludf.DUMMYFUNCTION("GOOGLETRANSLATE(B212, ""en"", ""fr"")"),"Augmente vos statistiques de mêlée et à distance et cache votre nom tout en porté.")</f>
        <v>Augmente vos statistiques de mêlée et à distance et cache votre nom tout en porté.</v>
      </c>
      <c r="D212" s="23" t="str">
        <f>IFERROR(__xludf.DUMMYFUNCTION("GOOGLETRANSLATE(B212, ""en"", ""es"")"),"Aumenta tus estadísticas cuerpo a cuerpo y a distancia y esconde tu nombre mientras estaba usado.")</f>
        <v>Aumenta tus estadísticas cuerpo a cuerpo y a distancia y esconde tu nombre mientras estaba usado.</v>
      </c>
      <c r="E212" s="23" t="str">
        <f>IFERROR(__xludf.DUMMYFUNCTION("GOOGLETRANSLATE(B212,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2" s="23" t="str">
        <f>IFERROR(__xludf.DUMMYFUNCTION("GOOGLETRANSLATE(B212, ""en"", ""tr"")"),"Yakın muharebeyi ve değişken istatistiklerinizi arttırır ve yıpranırken adınızı gizler.")</f>
        <v>Yakın muharebeyi ve değişken istatistiklerinizi arttırır ve yıpranırken adınızı gizler.</v>
      </c>
      <c r="G212" s="23" t="str">
        <f>IFERROR(__xludf.DUMMYFUNCTION("GOOGLETRANSLATE(B212, ""en"", ""pt"")"),"Aumenta suas estatísticas corpo-a-corpo e variadas e esconde seu nome enquanto estiver desgastado.")</f>
        <v>Aumenta suas estatísticas corpo-a-corpo e variadas e esconde seu nome enquanto estiver desgastado.</v>
      </c>
      <c r="H212" s="24" t="str">
        <f>IFERROR(__xludf.DUMMYFUNCTION("GOOGLETRANSLATE(B212, ""en"", ""de"")"),"Erhöht Ihren Nahkampf- und Fernbedienungsstat und versteckt Ihren Namen, während Sie getragen werden.")</f>
        <v>Erhöht Ihren Nahkampf- und Fernbedienungsstat und versteckt Ihren Namen, während Sie getragen werden.</v>
      </c>
      <c r="I212" s="23" t="str">
        <f>IFERROR(__xludf.DUMMYFUNCTION("GOOGLETRANSLATE(B212, ""en"", ""pl"")"),"Zwiększa statywy wręcz i dystansowały i ukrywa swoje imię podczas noszenia.")</f>
        <v>Zwiększa statywy wręcz i dystansowały i ukrywa swoje imię podczas noszenia.</v>
      </c>
      <c r="J212" s="25" t="str">
        <f>IFERROR(__xludf.DUMMYFUNCTION("GOOGLETRANSLATE(B212, ""en"", ""zh"")"),"增加你的近战和范围的统计数据，并在磨损时隐藏你的名字。")</f>
        <v>增加你的近战和范围的统计数据，并在磨损时隐藏你的名字。</v>
      </c>
      <c r="K212" s="25" t="str">
        <f>IFERROR(__xludf.DUMMYFUNCTION("GOOGLETRANSLATE(B212, ""en"", ""vi"")"),"Tăng số liệu thống kê cận chiến và tầm xa của bạn và che giấu tên của bạn trong khi bị mòn.")</f>
        <v>Tăng số liệu thống kê cận chiến và tầm xa của bạn và che giấu tên của bạn trong khi bị mòn.</v>
      </c>
      <c r="L212" s="26" t="str">
        <f>IFERROR(__xludf.DUMMYFUNCTION("GOOGLETRANSLATE(B212, ""en"", ""hr"")"),"Povećava gužvu i kreće se i skriva vaše ime dok je istrošeno.")</f>
        <v>Povećava gužvu i kreće se i skriva vaše ime dok je istrošeno.</v>
      </c>
      <c r="M212" s="28"/>
      <c r="N212" s="28"/>
      <c r="O212" s="28"/>
      <c r="P212" s="28"/>
      <c r="Q212" s="28"/>
      <c r="R212" s="28"/>
      <c r="S212" s="28"/>
      <c r="T212" s="28"/>
      <c r="U212" s="28"/>
      <c r="V212" s="28"/>
      <c r="W212" s="28"/>
      <c r="X212" s="28"/>
      <c r="Y212" s="28"/>
      <c r="Z212" s="28"/>
      <c r="AA212" s="28"/>
      <c r="AB212" s="28"/>
    </row>
    <row r="213">
      <c r="A213" s="21" t="s">
        <v>767</v>
      </c>
      <c r="B213" s="22" t="s">
        <v>768</v>
      </c>
      <c r="C213" s="23" t="str">
        <f>IFERROR(__xludf.DUMMYFUNCTION("GOOGLETRANSLATE(B213, ""en"", ""fr"")"),"Charte")</f>
        <v>Charte</v>
      </c>
      <c r="D213" s="23" t="str">
        <f>IFERROR(__xludf.DUMMYFUNCTION("GOOGLETRANSLATE(B213, ""en"", ""es"")"),"Carta")</f>
        <v>Carta</v>
      </c>
      <c r="E213" s="23" t="str">
        <f>IFERROR(__xludf.DUMMYFUNCTION("GOOGLETRANSLATE(B213, ""en"", ""ru"")"),"Шартер")</f>
        <v>Шартер</v>
      </c>
      <c r="F213" s="23" t="str">
        <f>IFERROR(__xludf.DUMMYFUNCTION("GOOGLETRANSLATE(B213, ""en"", ""tr"")"),"Tüzük")</f>
        <v>Tüzük</v>
      </c>
      <c r="G213" s="23" t="str">
        <f>IFERROR(__xludf.DUMMYFUNCTION("GOOGLETRANSLATE(B213, ""en"", ""pt"")"),"Carta")</f>
        <v>Carta</v>
      </c>
      <c r="H213" s="24" t="str">
        <f>IFERROR(__xludf.DUMMYFUNCTION("GOOGLETRANSLATE(B213, ""en"", ""de"")"),"Charta")</f>
        <v>Charta</v>
      </c>
      <c r="I213" s="23" t="str">
        <f>IFERROR(__xludf.DUMMYFUNCTION("GOOGLETRANSLATE(B213, ""en"", ""pl"")"),"Czarter")</f>
        <v>Czarter</v>
      </c>
      <c r="J213" s="25" t="str">
        <f>IFERROR(__xludf.DUMMYFUNCTION("GOOGLETRANSLATE(B213, ""en"", ""zh"")"),"宪章")</f>
        <v>宪章</v>
      </c>
      <c r="K213" s="25" t="str">
        <f>IFERROR(__xludf.DUMMYFUNCTION("GOOGLETRANSLATE(B213, ""en"", ""vi"")"),"Điều lệ")</f>
        <v>Điều lệ</v>
      </c>
      <c r="L213" s="26" t="str">
        <f>IFERROR(__xludf.DUMMYFUNCTION("GOOGLETRANSLATE(B213, ""en"", ""hr"")"),"Čarter")</f>
        <v>Čarter</v>
      </c>
      <c r="M213" s="28"/>
      <c r="N213" s="28"/>
      <c r="O213" s="28"/>
      <c r="P213" s="28"/>
      <c r="Q213" s="28"/>
      <c r="R213" s="28"/>
      <c r="S213" s="28"/>
      <c r="T213" s="28"/>
      <c r="U213" s="28"/>
      <c r="V213" s="28"/>
      <c r="W213" s="28"/>
      <c r="X213" s="28"/>
      <c r="Y213" s="28"/>
      <c r="Z213" s="28"/>
      <c r="AA213" s="28"/>
      <c r="AB213" s="28"/>
    </row>
    <row r="214">
      <c r="A214" s="21" t="s">
        <v>769</v>
      </c>
      <c r="B214" s="22" t="s">
        <v>770</v>
      </c>
      <c r="C214" s="23" t="str">
        <f>IFERROR(__xludf.DUMMYFUNCTION("GOOGLETRANSLATE(B214,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4" s="23" t="str">
        <f>IFERROR(__xludf.DUMMYFUNCTION("GOOGLETRANSLATE(B214,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4" s="23" t="str">
        <f>IFERROR(__xludf.DUMMYFUNCTION("GOOGLETRANSLATE(B214,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4" s="23" t="str">
        <f>IFERROR(__xludf.DUMMYFUNCTION("GOOGLETRANSLATE(B214,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4" s="23" t="str">
        <f>IFERROR(__xludf.DUMMYFUNCTION("GOOGLETRANSLATE(B214,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14" s="24" t="str">
        <f>IFERROR(__xludf.DUMMYFUNCTION("GOOGLETRANSLATE(B214,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4" s="23" t="str">
        <f>IFERROR(__xludf.DUMMYFUNCTION("GOOGLETRANSLATE(B214,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4" s="25" t="str">
        <f>IFERROR(__xludf.DUMMYFUNCTION("GOOGLETRANSLATE(B214, ""en"", ""zh"")"),"氏族结构。一个开始氏族的地方。用于制作其他氏族结构。如果这被销毁，氏族和所有结构也被摧毁。")</f>
        <v>氏族结构。一个开始氏族的地方。用于制作其他氏族结构。如果这被销毁，氏族和所有结构也被摧毁。</v>
      </c>
      <c r="K214" s="25" t="str">
        <f>IFERROR(__xludf.DUMMYFUNCTION("GOOGLETRANSLATE(B214,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4" s="26" t="str">
        <f>IFERROR(__xludf.DUMMYFUNCTION("GOOGLETRANSLATE(B214,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4" s="28"/>
      <c r="N214" s="28"/>
      <c r="O214" s="28"/>
      <c r="P214" s="28"/>
      <c r="Q214" s="28"/>
      <c r="R214" s="28"/>
      <c r="S214" s="28"/>
      <c r="T214" s="28"/>
      <c r="U214" s="28"/>
      <c r="V214" s="28"/>
      <c r="W214" s="28"/>
      <c r="X214" s="28"/>
      <c r="Y214" s="28"/>
      <c r="Z214" s="28"/>
      <c r="AA214" s="28"/>
      <c r="AB214" s="28"/>
    </row>
    <row r="215">
      <c r="A215" s="21" t="s">
        <v>771</v>
      </c>
      <c r="B215" s="22" t="s">
        <v>772</v>
      </c>
      <c r="C215" s="23" t="str">
        <f>IFERROR(__xludf.DUMMYFUNCTION("GOOGLETRANSLATE(B215, ""en"", ""fr"")"),"Mur de bois")</f>
        <v>Mur de bois</v>
      </c>
      <c r="D215" s="23" t="str">
        <f>IFERROR(__xludf.DUMMYFUNCTION("GOOGLETRANSLATE(B215, ""en"", ""es"")"),"Pared de madera")</f>
        <v>Pared de madera</v>
      </c>
      <c r="E215" s="23" t="str">
        <f>IFERROR(__xludf.DUMMYFUNCTION("GOOGLETRANSLATE(B215, ""en"", ""ru"")"),"Деревянная стена")</f>
        <v>Деревянная стена</v>
      </c>
      <c r="F215" s="23" t="str">
        <f>IFERROR(__xludf.DUMMYFUNCTION("GOOGLETRANSLATE(B215, ""en"", ""tr"")"),"Tahta duvar")</f>
        <v>Tahta duvar</v>
      </c>
      <c r="G215" s="23" t="str">
        <f>IFERROR(__xludf.DUMMYFUNCTION("GOOGLETRANSLATE(B215, ""en"", ""pt"")"),"Parede de madeira")</f>
        <v>Parede de madeira</v>
      </c>
      <c r="H215" s="24" t="str">
        <f>IFERROR(__xludf.DUMMYFUNCTION("GOOGLETRANSLATE(B215, ""en"", ""de"")"),"Holzwand")</f>
        <v>Holzwand</v>
      </c>
      <c r="I215" s="23" t="str">
        <f>IFERROR(__xludf.DUMMYFUNCTION("GOOGLETRANSLATE(B215, ""en"", ""pl"")"),"Drewniana ściana")</f>
        <v>Drewniana ściana</v>
      </c>
      <c r="J215" s="25" t="str">
        <f>IFERROR(__xludf.DUMMYFUNCTION("GOOGLETRANSLATE(B215, ""en"", ""zh"")"),"木墙")</f>
        <v>木墙</v>
      </c>
      <c r="K215" s="25" t="str">
        <f>IFERROR(__xludf.DUMMYFUNCTION("GOOGLETRANSLATE(B215, ""en"", ""vi"")"),"Bức tường gỗ")</f>
        <v>Bức tường gỗ</v>
      </c>
      <c r="L215" s="26" t="str">
        <f>IFERROR(__xludf.DUMMYFUNCTION("GOOGLETRANSLATE(B215, ""en"", ""hr"")"),"Drveni zid")</f>
        <v>Drveni zid</v>
      </c>
      <c r="M215" s="28"/>
      <c r="N215" s="28"/>
      <c r="O215" s="28"/>
      <c r="P215" s="28"/>
      <c r="Q215" s="28"/>
      <c r="R215" s="28"/>
      <c r="S215" s="28"/>
      <c r="T215" s="28"/>
      <c r="U215" s="28"/>
      <c r="V215" s="28"/>
      <c r="W215" s="28"/>
      <c r="X215" s="28"/>
      <c r="Y215" s="28"/>
      <c r="Z215" s="28"/>
      <c r="AA215" s="28"/>
      <c r="AB215" s="28"/>
    </row>
    <row r="216">
      <c r="A216" s="21" t="s">
        <v>773</v>
      </c>
      <c r="B216" s="22" t="s">
        <v>774</v>
      </c>
      <c r="C216" s="23" t="str">
        <f>IFERROR(__xludf.DUMMYFUNCTION("GOOGLETRANSLATE(B216, ""en"", ""fr"")"),"Structure du clan. Une faible défense pour une base.")</f>
        <v>Structure du clan. Une faible défense pour une base.</v>
      </c>
      <c r="D216" s="23" t="str">
        <f>IFERROR(__xludf.DUMMYFUNCTION("GOOGLETRANSLATE(B216, ""en"", ""es"")"),"Estructura del clan. Una defensa débil para una base.")</f>
        <v>Estructura del clan. Una defensa débil para una base.</v>
      </c>
      <c r="E216" s="23" t="str">
        <f>IFERROR(__xludf.DUMMYFUNCTION("GOOGLETRANSLATE(B216, ""en"", ""ru"")"),"Клановая структура. Слабая защита для базы.")</f>
        <v>Клановая структура. Слабая защита для базы.</v>
      </c>
      <c r="F216" s="23" t="str">
        <f>IFERROR(__xludf.DUMMYFUNCTION("GOOGLETRANSLATE(B216, ""en"", ""tr"")"),"Klan yapısı. Bir taban için zayıf bir savunma.")</f>
        <v>Klan yapısı. Bir taban için zayıf bir savunma.</v>
      </c>
      <c r="G216" s="23" t="str">
        <f>IFERROR(__xludf.DUMMYFUNCTION("GOOGLETRANSLATE(B216, ""en"", ""pt"")"),"Estrutura de clã. Uma defesa fraca para uma base.")</f>
        <v>Estrutura de clã. Uma defesa fraca para uma base.</v>
      </c>
      <c r="H216" s="24" t="str">
        <f>IFERROR(__xludf.DUMMYFUNCTION("GOOGLETRANSLATE(B216, ""en"", ""de"")"),"Clanstruktur. Eine schwache Verteidigung für eine Basis.")</f>
        <v>Clanstruktur. Eine schwache Verteidigung für eine Basis.</v>
      </c>
      <c r="I216" s="23" t="str">
        <f>IFERROR(__xludf.DUMMYFUNCTION("GOOGLETRANSLATE(B216, ""en"", ""pl"")"),"Struktura klanu. Słaba obrona dla bazy.")</f>
        <v>Struktura klanu. Słaba obrona dla bazy.</v>
      </c>
      <c r="J216" s="25" t="str">
        <f>IFERROR(__xludf.DUMMYFUNCTION("GOOGLETRANSLATE(B216, ""en"", ""zh"")"),"氏族结构。一个基地的防守。")</f>
        <v>氏族结构。一个基地的防守。</v>
      </c>
      <c r="K216" s="25" t="str">
        <f>IFERROR(__xludf.DUMMYFUNCTION("GOOGLETRANSLATE(B216, ""en"", ""vi"")"),"Cấu trúc gia tộc. Một sự bảo vệ yếu cho một căn cứ.")</f>
        <v>Cấu trúc gia tộc. Một sự bảo vệ yếu cho một căn cứ.</v>
      </c>
      <c r="L216" s="26" t="str">
        <f>IFERROR(__xludf.DUMMYFUNCTION("GOOGLETRANSLATE(B216, ""en"", ""hr"")"),"Struktura klana. Slaba obrana za bazu.")</f>
        <v>Struktura klana. Slaba obrana za bazu.</v>
      </c>
      <c r="M216" s="28"/>
      <c r="N216" s="28"/>
      <c r="O216" s="28"/>
      <c r="P216" s="28"/>
      <c r="Q216" s="28"/>
      <c r="R216" s="28"/>
      <c r="S216" s="28"/>
      <c r="T216" s="28"/>
      <c r="U216" s="28"/>
      <c r="V216" s="28"/>
      <c r="W216" s="28"/>
      <c r="X216" s="28"/>
      <c r="Y216" s="28"/>
      <c r="Z216" s="28"/>
      <c r="AA216" s="28"/>
      <c r="AB216" s="28"/>
    </row>
    <row r="217">
      <c r="A217" s="21" t="s">
        <v>775</v>
      </c>
      <c r="B217" s="22" t="s">
        <v>776</v>
      </c>
      <c r="C217" s="23" t="str">
        <f>IFERROR(__xludf.DUMMYFUNCTION("GOOGLETRANSLATE(B217, ""en"", ""fr"")"),"Porte de bois")</f>
        <v>Porte de bois</v>
      </c>
      <c r="D217" s="23" t="str">
        <f>IFERROR(__xludf.DUMMYFUNCTION("GOOGLETRANSLATE(B217, ""en"", ""es"")"),"Puerta de madera")</f>
        <v>Puerta de madera</v>
      </c>
      <c r="E217" s="23" t="str">
        <f>IFERROR(__xludf.DUMMYFUNCTION("GOOGLETRANSLATE(B217, ""en"", ""ru"")"),"Деревянная дверь")</f>
        <v>Деревянная дверь</v>
      </c>
      <c r="F217" s="23" t="str">
        <f>IFERROR(__xludf.DUMMYFUNCTION("GOOGLETRANSLATE(B217, ""en"", ""tr"")"),"Tahta kapı")</f>
        <v>Tahta kapı</v>
      </c>
      <c r="G217" s="23" t="str">
        <f>IFERROR(__xludf.DUMMYFUNCTION("GOOGLETRANSLATE(B217, ""en"", ""pt"")"),"Porta de madeira")</f>
        <v>Porta de madeira</v>
      </c>
      <c r="H217" s="24" t="str">
        <f>IFERROR(__xludf.DUMMYFUNCTION("GOOGLETRANSLATE(B217, ""en"", ""de"")"),"Holztür")</f>
        <v>Holztür</v>
      </c>
      <c r="I217" s="23" t="str">
        <f>IFERROR(__xludf.DUMMYFUNCTION("GOOGLETRANSLATE(B217, ""en"", ""pl"")"),"Drewniane drzwi")</f>
        <v>Drewniane drzwi</v>
      </c>
      <c r="J217" s="25" t="str">
        <f>IFERROR(__xludf.DUMMYFUNCTION("GOOGLETRANSLATE(B217, ""en"", ""zh"")"),"木门")</f>
        <v>木门</v>
      </c>
      <c r="K217" s="25" t="str">
        <f>IFERROR(__xludf.DUMMYFUNCTION("GOOGLETRANSLATE(B217, ""en"", ""vi"")"),"Cửa gô")</f>
        <v>Cửa gô</v>
      </c>
      <c r="L217" s="26" t="str">
        <f>IFERROR(__xludf.DUMMYFUNCTION("GOOGLETRANSLATE(B217, ""en"", ""hr"")"),"Drvena vrata")</f>
        <v>Drvena vrata</v>
      </c>
      <c r="M217" s="28"/>
      <c r="N217" s="28"/>
      <c r="O217" s="28"/>
      <c r="P217" s="28"/>
      <c r="Q217" s="28"/>
      <c r="R217" s="28"/>
      <c r="S217" s="28"/>
      <c r="T217" s="28"/>
      <c r="U217" s="28"/>
      <c r="V217" s="28"/>
      <c r="W217" s="28"/>
      <c r="X217" s="28"/>
      <c r="Y217" s="28"/>
      <c r="Z217" s="28"/>
      <c r="AA217" s="28"/>
      <c r="AB217" s="28"/>
    </row>
    <row r="218">
      <c r="A218" s="21" t="s">
        <v>777</v>
      </c>
      <c r="B218" s="22" t="s">
        <v>778</v>
      </c>
      <c r="C218" s="23" t="str">
        <f>IFERROR(__xludf.DUMMYFUNCTION("GOOGLETRANSLATE(B218, ""en"", ""fr"")"),"Structure du clan. Ne peut être ouvert que par des membres du clan.")</f>
        <v>Structure du clan. Ne peut être ouvert que par des membres du clan.</v>
      </c>
      <c r="D218" s="23" t="str">
        <f>IFERROR(__xludf.DUMMYFUNCTION("GOOGLETRANSLATE(B218, ""en"", ""es"")"),"Estructura del clan. Solo se puede abrir por miembros del clan.")</f>
        <v>Estructura del clan. Solo se puede abrir por miembros del clan.</v>
      </c>
      <c r="E218" s="23" t="str">
        <f>IFERROR(__xludf.DUMMYFUNCTION("GOOGLETRANSLATE(B218, ""en"", ""ru"")"),"Клановая структура. Может быть открыт только членами клана.")</f>
        <v>Клановая структура. Может быть открыт только членами клана.</v>
      </c>
      <c r="F218" s="23" t="str">
        <f>IFERROR(__xludf.DUMMYFUNCTION("GOOGLETRANSLATE(B218, ""en"", ""tr"")"),"Klan yapısı. Sadece klan üyeleri tarafından açılabilir.")</f>
        <v>Klan yapısı. Sadece klan üyeleri tarafından açılabilir.</v>
      </c>
      <c r="G218" s="23" t="str">
        <f>IFERROR(__xludf.DUMMYFUNCTION("GOOGLETRANSLATE(B218, ""en"", ""pt"")"),"Estrutura de clã. Só pode ser aberto pelos membros do clã.")</f>
        <v>Estrutura de clã. Só pode ser aberto pelos membros do clã.</v>
      </c>
      <c r="H218" s="24" t="str">
        <f>IFERROR(__xludf.DUMMYFUNCTION("GOOGLETRANSLATE(B218, ""en"", ""de"")"),"Clanstruktur. Kann nur von Clan-Mitgliedern geöffnet werden.")</f>
        <v>Clanstruktur. Kann nur von Clan-Mitgliedern geöffnet werden.</v>
      </c>
      <c r="I218" s="23" t="str">
        <f>IFERROR(__xludf.DUMMYFUNCTION("GOOGLETRANSLATE(B218, ""en"", ""pl"")"),"Struktura klanu. Można otworzyć tylko przez członków klanu.")</f>
        <v>Struktura klanu. Można otworzyć tylko przez członków klanu.</v>
      </c>
      <c r="J218" s="25" t="str">
        <f>IFERROR(__xludf.DUMMYFUNCTION("GOOGLETRANSLATE(B218, ""en"", ""zh"")"),"氏族结构。只能由氏族成员开放。")</f>
        <v>氏族结构。只能由氏族成员开放。</v>
      </c>
      <c r="K218" s="25" t="str">
        <f>IFERROR(__xludf.DUMMYFUNCTION("GOOGLETRANSLATE(B218, ""en"", ""vi"")"),"Cấu trúc gia tộc. Chỉ có thể được mở bởi các thành viên bang hội.")</f>
        <v>Cấu trúc gia tộc. Chỉ có thể được mở bởi các thành viên bang hội.</v>
      </c>
      <c r="L218" s="26" t="str">
        <f>IFERROR(__xludf.DUMMYFUNCTION("GOOGLETRANSLATE(B218, ""en"", ""hr"")"),"Struktura klana. Mogu otvoriti samo članovi klana.")</f>
        <v>Struktura klana. Mogu otvoriti samo članovi klana.</v>
      </c>
      <c r="M218" s="28"/>
      <c r="N218" s="28"/>
      <c r="O218" s="28"/>
      <c r="P218" s="28"/>
      <c r="Q218" s="28"/>
      <c r="R218" s="28"/>
      <c r="S218" s="28"/>
      <c r="T218" s="28"/>
      <c r="U218" s="28"/>
      <c r="V218" s="28"/>
      <c r="W218" s="28"/>
      <c r="X218" s="28"/>
      <c r="Y218" s="28"/>
      <c r="Z218" s="28"/>
      <c r="AA218" s="28"/>
      <c r="AB218" s="28"/>
    </row>
    <row r="219">
      <c r="A219" s="42" t="s">
        <v>779</v>
      </c>
      <c r="B219" s="22" t="s">
        <v>780</v>
      </c>
      <c r="C219" s="23" t="str">
        <f>IFERROR(__xludf.DUMMYFUNCTION("GOOGLETRANSLATE(B219, ""en"", ""fr"")"),"Mur de briques")</f>
        <v>Mur de briques</v>
      </c>
      <c r="D219" s="23" t="str">
        <f>IFERROR(__xludf.DUMMYFUNCTION("GOOGLETRANSLATE(B219, ""en"", ""es"")"),"Pared de ladrillo")</f>
        <v>Pared de ladrillo</v>
      </c>
      <c r="E219" s="23" t="str">
        <f>IFERROR(__xludf.DUMMYFUNCTION("GOOGLETRANSLATE(B219, ""en"", ""ru"")"),"Кирпичная стена")</f>
        <v>Кирпичная стена</v>
      </c>
      <c r="F219" s="23" t="str">
        <f>IFERROR(__xludf.DUMMYFUNCTION("GOOGLETRANSLATE(B219, ""en"", ""tr"")"),"Tuğla duvar")</f>
        <v>Tuğla duvar</v>
      </c>
      <c r="G219" s="23" t="str">
        <f>IFERROR(__xludf.DUMMYFUNCTION("GOOGLETRANSLATE(B219, ""en"", ""pt"")"),"Parede de tijolos")</f>
        <v>Parede de tijolos</v>
      </c>
      <c r="H219" s="24" t="str">
        <f>IFERROR(__xludf.DUMMYFUNCTION("GOOGLETRANSLATE(B219, ""en"", ""de"")"),"Ziegelwand")</f>
        <v>Ziegelwand</v>
      </c>
      <c r="I219" s="23" t="str">
        <f>IFERROR(__xludf.DUMMYFUNCTION("GOOGLETRANSLATE(B219, ""en"", ""pl"")"),"Ceglana ściana")</f>
        <v>Ceglana ściana</v>
      </c>
      <c r="J219" s="25" t="str">
        <f>IFERROR(__xludf.DUMMYFUNCTION("GOOGLETRANSLATE(B219, ""en"", ""zh"")"),"砖墙")</f>
        <v>砖墙</v>
      </c>
      <c r="K219" s="25" t="str">
        <f>IFERROR(__xludf.DUMMYFUNCTION("GOOGLETRANSLATE(B219, ""en"", ""vi"")"),"Tường gạch")</f>
        <v>Tường gạch</v>
      </c>
      <c r="L219" s="26" t="str">
        <f>IFERROR(__xludf.DUMMYFUNCTION("GOOGLETRANSLATE(B219, ""en"", ""hr"")"),"Zid od cigli")</f>
        <v>Zid od cigli</v>
      </c>
      <c r="M219" s="28"/>
      <c r="N219" s="28"/>
      <c r="O219" s="28"/>
      <c r="P219" s="28"/>
      <c r="Q219" s="28"/>
      <c r="R219" s="28"/>
      <c r="S219" s="28"/>
      <c r="T219" s="28"/>
      <c r="U219" s="28"/>
      <c r="V219" s="28"/>
      <c r="W219" s="28"/>
      <c r="X219" s="28"/>
      <c r="Y219" s="28"/>
      <c r="Z219" s="28"/>
      <c r="AA219" s="28"/>
      <c r="AB219" s="28"/>
    </row>
    <row r="220">
      <c r="A220" s="42" t="s">
        <v>781</v>
      </c>
      <c r="B220" s="22" t="s">
        <v>782</v>
      </c>
      <c r="C220" s="23" t="str">
        <f>IFERROR(__xludf.DUMMYFUNCTION("GOOGLETRANSLATE(B220, ""en"", ""fr"")"),"Structure du clan. Une bonne défense pour une base.")</f>
        <v>Structure du clan. Une bonne défense pour une base.</v>
      </c>
      <c r="D220" s="23" t="str">
        <f>IFERROR(__xludf.DUMMYFUNCTION("GOOGLETRANSLATE(B220, ""en"", ""es"")"),"Estructura del clan. Una buena defensa para una base.")</f>
        <v>Estructura del clan. Una buena defensa para una base.</v>
      </c>
      <c r="E220" s="23" t="str">
        <f>IFERROR(__xludf.DUMMYFUNCTION("GOOGLETRANSLATE(B220, ""en"", ""ru"")"),"Клановая структура. Хорошая защита для базы.")</f>
        <v>Клановая структура. Хорошая защита для базы.</v>
      </c>
      <c r="F220" s="23" t="str">
        <f>IFERROR(__xludf.DUMMYFUNCTION("GOOGLETRANSLATE(B220, ""en"", ""tr"")"),"Klan yapısı. Bir taban için iyi bir savunma.")</f>
        <v>Klan yapısı. Bir taban için iyi bir savunma.</v>
      </c>
      <c r="G220" s="23" t="str">
        <f>IFERROR(__xludf.DUMMYFUNCTION("GOOGLETRANSLATE(B220, ""en"", ""pt"")"),"Estrutura de clã. Uma boa defesa para uma base.")</f>
        <v>Estrutura de clã. Uma boa defesa para uma base.</v>
      </c>
      <c r="H220" s="24" t="str">
        <f>IFERROR(__xludf.DUMMYFUNCTION("GOOGLETRANSLATE(B220, ""en"", ""de"")"),"Clanstruktur. Eine gute Verteidigung für eine Basis.")</f>
        <v>Clanstruktur. Eine gute Verteidigung für eine Basis.</v>
      </c>
      <c r="I220" s="23" t="str">
        <f>IFERROR(__xludf.DUMMYFUNCTION("GOOGLETRANSLATE(B220, ""en"", ""pl"")"),"Struktura klanu. Dobra obrona na bazę.")</f>
        <v>Struktura klanu. Dobra obrona na bazę.</v>
      </c>
      <c r="J220" s="25" t="str">
        <f>IFERROR(__xludf.DUMMYFUNCTION("GOOGLETRANSLATE(B220, ""en"", ""zh"")"),"氏族结构。良好的辩护。")</f>
        <v>氏族结构。良好的辩护。</v>
      </c>
      <c r="K220" s="25" t="str">
        <f>IFERROR(__xludf.DUMMYFUNCTION("GOOGLETRANSLATE(B220, ""en"", ""vi"")"),"Cấu trúc gia tộc. Một phòng thủ tốt cho một căn cứ.")</f>
        <v>Cấu trúc gia tộc. Một phòng thủ tốt cho một căn cứ.</v>
      </c>
      <c r="L220" s="26" t="str">
        <f>IFERROR(__xludf.DUMMYFUNCTION("GOOGLETRANSLATE(B220, ""en"", ""hr"")"),"Struktura klana. Dobra obrana za bazu.")</f>
        <v>Struktura klana. Dobra obrana za bazu.</v>
      </c>
      <c r="M220" s="28"/>
      <c r="N220" s="28"/>
      <c r="O220" s="28"/>
      <c r="P220" s="28"/>
      <c r="Q220" s="28"/>
      <c r="R220" s="28"/>
      <c r="S220" s="28"/>
      <c r="T220" s="28"/>
      <c r="U220" s="28"/>
      <c r="V220" s="28"/>
      <c r="W220" s="28"/>
      <c r="X220" s="28"/>
      <c r="Y220" s="28"/>
      <c r="Z220" s="28"/>
      <c r="AA220" s="28"/>
      <c r="AB220" s="28"/>
    </row>
    <row r="221">
      <c r="A221" s="42" t="s">
        <v>783</v>
      </c>
      <c r="B221" s="22" t="s">
        <v>784</v>
      </c>
      <c r="C221" s="23" t="str">
        <f>IFERROR(__xludf.DUMMYFUNCTION("GOOGLETRANSLATE(B221, ""en"", ""fr"")"),"Porte-brique")</f>
        <v>Porte-brique</v>
      </c>
      <c r="D221" s="23" t="str">
        <f>IFERROR(__xludf.DUMMYFUNCTION("GOOGLETRANSLATE(B221, ""en"", ""es"")"),"Puerta de ladrillo")</f>
        <v>Puerta de ladrillo</v>
      </c>
      <c r="E221" s="23" t="str">
        <f>IFERROR(__xludf.DUMMYFUNCTION("GOOGLETRANSLATE(B221, ""en"", ""ru"")"),"Кирпичная дверь")</f>
        <v>Кирпичная дверь</v>
      </c>
      <c r="F221" s="23" t="str">
        <f>IFERROR(__xludf.DUMMYFUNCTION("GOOGLETRANSLATE(B221, ""en"", ""tr"")"),"Tuğla kapı")</f>
        <v>Tuğla kapı</v>
      </c>
      <c r="G221" s="23" t="str">
        <f>IFERROR(__xludf.DUMMYFUNCTION("GOOGLETRANSLATE(B221, ""en"", ""pt"")"),"Porta de tijolo")</f>
        <v>Porta de tijolo</v>
      </c>
      <c r="H221" s="24" t="str">
        <f>IFERROR(__xludf.DUMMYFUNCTION("GOOGLETRANSLATE(B221, ""en"", ""de"")"),"Ziegeltür")</f>
        <v>Ziegeltür</v>
      </c>
      <c r="I221" s="23" t="str">
        <f>IFERROR(__xludf.DUMMYFUNCTION("GOOGLETRANSLATE(B221, ""en"", ""pl"")"),"Brick Drzwi")</f>
        <v>Brick Drzwi</v>
      </c>
      <c r="J221" s="25" t="str">
        <f>IFERROR(__xludf.DUMMYFUNCTION("GOOGLETRANSLATE(B221, ""en"", ""zh"")"),"砖门")</f>
        <v>砖门</v>
      </c>
      <c r="K221" s="25" t="str">
        <f>IFERROR(__xludf.DUMMYFUNCTION("GOOGLETRANSLATE(B221, ""en"", ""vi"")"),"Cửa gạch")</f>
        <v>Cửa gạch</v>
      </c>
      <c r="L221" s="26" t="str">
        <f>IFERROR(__xludf.DUMMYFUNCTION("GOOGLETRANSLATE(B221, ""en"", ""hr"")"),"Vrata od opeke")</f>
        <v>Vrata od opeke</v>
      </c>
      <c r="M221" s="28"/>
      <c r="N221" s="28"/>
      <c r="O221" s="28"/>
      <c r="P221" s="28"/>
      <c r="Q221" s="28"/>
      <c r="R221" s="28"/>
      <c r="S221" s="28"/>
      <c r="T221" s="28"/>
      <c r="U221" s="28"/>
      <c r="V221" s="28"/>
      <c r="W221" s="28"/>
      <c r="X221" s="28"/>
      <c r="Y221" s="28"/>
      <c r="Z221" s="28"/>
      <c r="AA221" s="28"/>
      <c r="AB221" s="28"/>
    </row>
    <row r="222">
      <c r="A222" s="42" t="s">
        <v>785</v>
      </c>
      <c r="B222" s="22" t="s">
        <v>786</v>
      </c>
      <c r="C222" s="23" t="str">
        <f>IFERROR(__xludf.DUMMYFUNCTION("GOOGLETRANSLATE(B222, ""en"", ""fr"")"),"Structure du clan. Ne peut être ouvert que par des membres du clan. Plus fort qu'une porte en bois.")</f>
        <v>Structure du clan. Ne peut être ouvert que par des membres du clan. Plus fort qu'une porte en bois.</v>
      </c>
      <c r="D222" s="23" t="str">
        <f>IFERROR(__xludf.DUMMYFUNCTION("GOOGLETRANSLATE(B222, ""en"", ""es"")"),"Estructura del clan. Solo se puede abrir por miembros del clan. Más fuerte que una puerta de madera.")</f>
        <v>Estructura del clan. Solo se puede abrir por miembros del clan. Más fuerte que una puerta de madera.</v>
      </c>
      <c r="E222" s="23" t="str">
        <f>IFERROR(__xludf.DUMMYFUNCTION("GOOGLETRANSLATE(B222,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2" s="23" t="str">
        <f>IFERROR(__xludf.DUMMYFUNCTION("GOOGLETRANSLATE(B222, ""en"", ""tr"")"),"Klan yapısı. Sadece klan üyeleri tarafından açılabilir. Ahşap kapıdan daha güçlü.")</f>
        <v>Klan yapısı. Sadece klan üyeleri tarafından açılabilir. Ahşap kapıdan daha güçlü.</v>
      </c>
      <c r="G222" s="23" t="str">
        <f>IFERROR(__xludf.DUMMYFUNCTION("GOOGLETRANSLATE(B222, ""en"", ""pt"")"),"Estrutura de clã. Só pode ser aberto pelos membros do clã. Mais forte que uma porta de madeira.")</f>
        <v>Estrutura de clã. Só pode ser aberto pelos membros do clã. Mais forte que uma porta de madeira.</v>
      </c>
      <c r="H222" s="24" t="str">
        <f>IFERROR(__xludf.DUMMYFUNCTION("GOOGLETRANSLATE(B222, ""en"", ""de"")"),"Clanstruktur. Kann nur von Clan-Mitgliedern geöffnet werden. Stärker als eine Holztür.")</f>
        <v>Clanstruktur. Kann nur von Clan-Mitgliedern geöffnet werden. Stärker als eine Holztür.</v>
      </c>
      <c r="I222" s="23" t="str">
        <f>IFERROR(__xludf.DUMMYFUNCTION("GOOGLETRANSLATE(B222, ""en"", ""pl"")"),"Struktura klanu. Można otworzyć tylko przez członków klanu. Silniejszy niż drewniane drzwi.")</f>
        <v>Struktura klanu. Można otworzyć tylko przez członków klanu. Silniejszy niż drewniane drzwi.</v>
      </c>
      <c r="J222" s="25" t="str">
        <f>IFERROR(__xludf.DUMMYFUNCTION("GOOGLETRANSLATE(B222, ""en"", ""zh"")"),"氏族结构。只能由氏族成员开放。比木门更强壮。")</f>
        <v>氏族结构。只能由氏族成员开放。比木门更强壮。</v>
      </c>
      <c r="K222" s="25" t="str">
        <f>IFERROR(__xludf.DUMMYFUNCTION("GOOGLETRANSLATE(B222, ""en"", ""vi"")"),"Cấu trúc gia tộc. Chỉ có thể được mở bởi các thành viên bang hội. Mạnh hơn một cánh cửa gỗ.")</f>
        <v>Cấu trúc gia tộc. Chỉ có thể được mở bởi các thành viên bang hội. Mạnh hơn một cánh cửa gỗ.</v>
      </c>
      <c r="L222" s="26" t="str">
        <f>IFERROR(__xludf.DUMMYFUNCTION("GOOGLETRANSLATE(B222, ""en"", ""hr"")"),"Struktura klana. Mogu otvoriti samo članovi klana. Jači od drvenih vrata.")</f>
        <v>Struktura klana. Mogu otvoriti samo članovi klana. Jači od drvenih vrata.</v>
      </c>
      <c r="M222" s="28"/>
      <c r="N222" s="28"/>
      <c r="O222" s="28"/>
      <c r="P222" s="28"/>
      <c r="Q222" s="28"/>
      <c r="R222" s="28"/>
      <c r="S222" s="28"/>
      <c r="T222" s="28"/>
      <c r="U222" s="28"/>
      <c r="V222" s="28"/>
      <c r="W222" s="28"/>
      <c r="X222" s="28"/>
      <c r="Y222" s="28"/>
      <c r="Z222" s="28"/>
      <c r="AA222" s="28"/>
      <c r="AB222" s="28"/>
    </row>
    <row r="223">
      <c r="A223" s="42" t="s">
        <v>787</v>
      </c>
      <c r="B223" s="22" t="s">
        <v>788</v>
      </c>
      <c r="C223" s="23" t="str">
        <f>IFERROR(__xludf.DUMMYFUNCTION("GOOGLETRANSLATE(B223, ""en"", ""fr"")"),"Mur de fer")</f>
        <v>Mur de fer</v>
      </c>
      <c r="D223" s="23" t="str">
        <f>IFERROR(__xludf.DUMMYFUNCTION("GOOGLETRANSLATE(B223, ""en"", ""es"")"),"Muro de hierro")</f>
        <v>Muro de hierro</v>
      </c>
      <c r="E223" s="23" t="str">
        <f>IFERROR(__xludf.DUMMYFUNCTION("GOOGLETRANSLATE(B223, ""en"", ""ru"")"),"Железная стена")</f>
        <v>Железная стена</v>
      </c>
      <c r="F223" s="23" t="str">
        <f>IFERROR(__xludf.DUMMYFUNCTION("GOOGLETRANSLATE(B223, ""en"", ""tr"")"),"Demir duvar")</f>
        <v>Demir duvar</v>
      </c>
      <c r="G223" s="23" t="str">
        <f>IFERROR(__xludf.DUMMYFUNCTION("GOOGLETRANSLATE(B223, ""en"", ""pt"")"),"Parede de ferro")</f>
        <v>Parede de ferro</v>
      </c>
      <c r="H223" s="24" t="str">
        <f>IFERROR(__xludf.DUMMYFUNCTION("GOOGLETRANSLATE(B223, ""en"", ""de"")"),"Eisenwand")</f>
        <v>Eisenwand</v>
      </c>
      <c r="I223" s="23" t="str">
        <f>IFERROR(__xludf.DUMMYFUNCTION("GOOGLETRANSLATE(B223, ""en"", ""pl"")"),"Żelazna ściana")</f>
        <v>Żelazna ściana</v>
      </c>
      <c r="J223" s="25" t="str">
        <f>IFERROR(__xludf.DUMMYFUNCTION("GOOGLETRANSLATE(B223, ""en"", ""zh"")"),"铁墙")</f>
        <v>铁墙</v>
      </c>
      <c r="K223" s="25" t="str">
        <f>IFERROR(__xludf.DUMMYFUNCTION("GOOGLETRANSLATE(B223, ""en"", ""vi"")"),"Bức tường sắt")</f>
        <v>Bức tường sắt</v>
      </c>
      <c r="L223" s="26" t="str">
        <f>IFERROR(__xludf.DUMMYFUNCTION("GOOGLETRANSLATE(B223, ""en"", ""hr"")"),"Željezni zid")</f>
        <v>Željezni zid</v>
      </c>
      <c r="M223" s="28"/>
      <c r="N223" s="28"/>
      <c r="O223" s="28"/>
      <c r="P223" s="28"/>
      <c r="Q223" s="28"/>
      <c r="R223" s="28"/>
      <c r="S223" s="28"/>
      <c r="T223" s="28"/>
      <c r="U223" s="28"/>
      <c r="V223" s="28"/>
      <c r="W223" s="28"/>
      <c r="X223" s="28"/>
      <c r="Y223" s="28"/>
      <c r="Z223" s="28"/>
      <c r="AA223" s="28"/>
      <c r="AB223" s="28"/>
    </row>
    <row r="224">
      <c r="A224" s="42" t="s">
        <v>789</v>
      </c>
      <c r="B224" s="22" t="s">
        <v>790</v>
      </c>
      <c r="C224" s="23" t="str">
        <f>IFERROR(__xludf.DUMMYFUNCTION("GOOGLETRANSLATE(B224, ""en"", ""fr"")"),"Structure du clan. Une grande défense pour une base.")</f>
        <v>Structure du clan. Une grande défense pour une base.</v>
      </c>
      <c r="D224" s="23" t="str">
        <f>IFERROR(__xludf.DUMMYFUNCTION("GOOGLETRANSLATE(B224, ""en"", ""es"")"),"Estructura del clan. Una gran defensa para una base.")</f>
        <v>Estructura del clan. Una gran defensa para una base.</v>
      </c>
      <c r="E224" s="23" t="str">
        <f>IFERROR(__xludf.DUMMYFUNCTION("GOOGLETRANSLATE(B224, ""en"", ""ru"")"),"Клановая структура. Великая защита для базы.")</f>
        <v>Клановая структура. Великая защита для базы.</v>
      </c>
      <c r="F224" s="23" t="str">
        <f>IFERROR(__xludf.DUMMYFUNCTION("GOOGLETRANSLATE(B224, ""en"", ""tr"")"),"Klan yapısı. Bir taban için büyük bir savunma.")</f>
        <v>Klan yapısı. Bir taban için büyük bir savunma.</v>
      </c>
      <c r="G224" s="23" t="str">
        <f>IFERROR(__xludf.DUMMYFUNCTION("GOOGLETRANSLATE(B224, ""en"", ""pt"")"),"Estrutura de clã. Uma grande defesa para uma base.")</f>
        <v>Estrutura de clã. Uma grande defesa para uma base.</v>
      </c>
      <c r="H224" s="24" t="str">
        <f>IFERROR(__xludf.DUMMYFUNCTION("GOOGLETRANSLATE(B224, ""en"", ""de"")"),"Clanstruktur. Eine große Verteidigung für eine Basis.")</f>
        <v>Clanstruktur. Eine große Verteidigung für eine Basis.</v>
      </c>
      <c r="I224" s="23" t="str">
        <f>IFERROR(__xludf.DUMMYFUNCTION("GOOGLETRANSLATE(B224, ""en"", ""pl"")"),"Struktura klanu. Wielka obrona na bazę.")</f>
        <v>Struktura klanu. Wielka obrona na bazę.</v>
      </c>
      <c r="J224" s="25" t="str">
        <f>IFERROR(__xludf.DUMMYFUNCTION("GOOGLETRANSLATE(B224, ""en"", ""zh"")"),"氏族结构。对基地的伟大辩护。")</f>
        <v>氏族结构。对基地的伟大辩护。</v>
      </c>
      <c r="K224" s="25" t="str">
        <f>IFERROR(__xludf.DUMMYFUNCTION("GOOGLETRANSLATE(B224, ""en"", ""vi"")"),"Cấu trúc gia tộc. Một sự bảo vệ tuyệt vời cho một căn cứ.")</f>
        <v>Cấu trúc gia tộc. Một sự bảo vệ tuyệt vời cho một căn cứ.</v>
      </c>
      <c r="L224" s="26" t="str">
        <f>IFERROR(__xludf.DUMMYFUNCTION("GOOGLETRANSLATE(B224, ""en"", ""hr"")"),"Struktura klana. Velika obrana za bazu.")</f>
        <v>Struktura klana. Velika obrana za bazu.</v>
      </c>
      <c r="M224" s="28"/>
      <c r="N224" s="28"/>
      <c r="O224" s="28"/>
      <c r="P224" s="28"/>
      <c r="Q224" s="28"/>
      <c r="R224" s="28"/>
      <c r="S224" s="28"/>
      <c r="T224" s="28"/>
      <c r="U224" s="28"/>
      <c r="V224" s="28"/>
      <c r="W224" s="28"/>
      <c r="X224" s="28"/>
      <c r="Y224" s="28"/>
      <c r="Z224" s="28"/>
      <c r="AA224" s="28"/>
      <c r="AB224" s="28"/>
    </row>
    <row r="225">
      <c r="A225" s="42" t="s">
        <v>791</v>
      </c>
      <c r="B225" s="22" t="s">
        <v>792</v>
      </c>
      <c r="C225" s="23" t="str">
        <f>IFERROR(__xludf.DUMMYFUNCTION("GOOGLETRANSLATE(B225, ""en"", ""fr"")"),"Porte en fer")</f>
        <v>Porte en fer</v>
      </c>
      <c r="D225" s="23" t="str">
        <f>IFERROR(__xludf.DUMMYFUNCTION("GOOGLETRANSLATE(B225, ""en"", ""es"")"),"Puerta de Hierro")</f>
        <v>Puerta de Hierro</v>
      </c>
      <c r="E225" s="23" t="str">
        <f>IFERROR(__xludf.DUMMYFUNCTION("GOOGLETRANSLATE(B225, ""en"", ""ru"")"),"Железная дверь")</f>
        <v>Железная дверь</v>
      </c>
      <c r="F225" s="23" t="str">
        <f>IFERROR(__xludf.DUMMYFUNCTION("GOOGLETRANSLATE(B225, ""en"", ""tr"")"),"Demir kapı")</f>
        <v>Demir kapı</v>
      </c>
      <c r="G225" s="23" t="str">
        <f>IFERROR(__xludf.DUMMYFUNCTION("GOOGLETRANSLATE(B225, ""en"", ""pt"")"),"Porta de ferro")</f>
        <v>Porta de ferro</v>
      </c>
      <c r="H225" s="24" t="str">
        <f>IFERROR(__xludf.DUMMYFUNCTION("GOOGLETRANSLATE(B225, ""en"", ""de"")"),"Eiserne Tür")</f>
        <v>Eiserne Tür</v>
      </c>
      <c r="I225" s="23" t="str">
        <f>IFERROR(__xludf.DUMMYFUNCTION("GOOGLETRANSLATE(B225, ""en"", ""pl"")"),"Żelazne drzwi")</f>
        <v>Żelazne drzwi</v>
      </c>
      <c r="J225" s="25" t="str">
        <f>IFERROR(__xludf.DUMMYFUNCTION("GOOGLETRANSLATE(B225, ""en"", ""zh"")"),"铁门")</f>
        <v>铁门</v>
      </c>
      <c r="K225" s="25" t="str">
        <f>IFERROR(__xludf.DUMMYFUNCTION("GOOGLETRANSLATE(B225, ""en"", ""vi"")"),"Cửa sắt")</f>
        <v>Cửa sắt</v>
      </c>
      <c r="L225" s="26" t="str">
        <f>IFERROR(__xludf.DUMMYFUNCTION("GOOGLETRANSLATE(B225, ""en"", ""hr"")"),"Željezna vrata")</f>
        <v>Željezna vrata</v>
      </c>
      <c r="M225" s="28"/>
      <c r="N225" s="28"/>
      <c r="O225" s="28"/>
      <c r="P225" s="28"/>
      <c r="Q225" s="28"/>
      <c r="R225" s="28"/>
      <c r="S225" s="28"/>
      <c r="T225" s="28"/>
      <c r="U225" s="28"/>
      <c r="V225" s="28"/>
      <c r="W225" s="28"/>
      <c r="X225" s="28"/>
      <c r="Y225" s="28"/>
      <c r="Z225" s="28"/>
      <c r="AA225" s="28"/>
      <c r="AB225" s="28"/>
    </row>
    <row r="226">
      <c r="A226" s="42" t="s">
        <v>793</v>
      </c>
      <c r="B226" s="22" t="s">
        <v>794</v>
      </c>
      <c r="C226" s="23" t="str">
        <f>IFERROR(__xludf.DUMMYFUNCTION("GOOGLETRANSLATE(B226, ""en"", ""fr"")"),"Structure du clan. Ne peut être ouvert que par des membres du clan. Plus fort qu'une porte en briques.")</f>
        <v>Structure du clan. Ne peut être ouvert que par des membres du clan. Plus fort qu'une porte en briques.</v>
      </c>
      <c r="D226" s="23" t="str">
        <f>IFERROR(__xludf.DUMMYFUNCTION("GOOGLETRANSLATE(B226, ""en"", ""es"")"),"Estructura del clan. Solo se puede abrir por miembros del clan. Más fuerte que una puerta de ladrillo.")</f>
        <v>Estructura del clan. Solo se puede abrir por miembros del clan. Más fuerte que una puerta de ladrillo.</v>
      </c>
      <c r="E226" s="23" t="str">
        <f>IFERROR(__xludf.DUMMYFUNCTION("GOOGLETRANSLATE(B226,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26" s="23" t="str">
        <f>IFERROR(__xludf.DUMMYFUNCTION("GOOGLETRANSLATE(B226, ""en"", ""tr"")"),"Klan yapısı. Sadece klan üyeleri tarafından açılabilir. Bir tuğla kaptan daha güçlü.")</f>
        <v>Klan yapısı. Sadece klan üyeleri tarafından açılabilir. Bir tuğla kaptan daha güçlü.</v>
      </c>
      <c r="G226" s="23" t="str">
        <f>IFERROR(__xludf.DUMMYFUNCTION("GOOGLETRANSLATE(B226, ""en"", ""pt"")"),"Estrutura de clã. Só pode ser aberto pelos membros do clã. Mais forte que uma porta de tijolo.")</f>
        <v>Estrutura de clã. Só pode ser aberto pelos membros do clã. Mais forte que uma porta de tijolo.</v>
      </c>
      <c r="H226" s="24" t="str">
        <f>IFERROR(__xludf.DUMMYFUNCTION("GOOGLETRANSLATE(B226, ""en"", ""de"")"),"Clanstruktur. Kann nur von Clan-Mitgliedern geöffnet werden. Stärker als eine Backsteintür.")</f>
        <v>Clanstruktur. Kann nur von Clan-Mitgliedern geöffnet werden. Stärker als eine Backsteintür.</v>
      </c>
      <c r="I226" s="23" t="str">
        <f>IFERROR(__xludf.DUMMYFUNCTION("GOOGLETRANSLATE(B226, ""en"", ""pl"")"),"Struktura klanu. Można otworzyć tylko przez członków klanu. Silniejszy niż ceglane drzwi.")</f>
        <v>Struktura klanu. Można otworzyć tylko przez członków klanu. Silniejszy niż ceglane drzwi.</v>
      </c>
      <c r="J226" s="25" t="str">
        <f>IFERROR(__xludf.DUMMYFUNCTION("GOOGLETRANSLATE(B226, ""en"", ""zh"")"),"氏族结构。只能由氏族成员开放。比砖头更强壮。")</f>
        <v>氏族结构。只能由氏族成员开放。比砖头更强壮。</v>
      </c>
      <c r="K226" s="25" t="str">
        <f>IFERROR(__xludf.DUMMYFUNCTION("GOOGLETRANSLATE(B226, ""en"", ""vi"")"),"Cấu trúc gia tộc. Chỉ có thể được mở bởi các thành viên bang hội. Mạnh hơn một cánh cửa gạch.")</f>
        <v>Cấu trúc gia tộc. Chỉ có thể được mở bởi các thành viên bang hội. Mạnh hơn một cánh cửa gạch.</v>
      </c>
      <c r="L226" s="26" t="str">
        <f>IFERROR(__xludf.DUMMYFUNCTION("GOOGLETRANSLATE(B226, ""en"", ""hr"")"),"Struktura klana. Mogu otvoriti samo članovi klana. Jača od vrata od opeke.")</f>
        <v>Struktura klana. Mogu otvoriti samo članovi klana. Jača od vrata od opeke.</v>
      </c>
      <c r="M226" s="28"/>
      <c r="N226" s="28"/>
      <c r="O226" s="28"/>
      <c r="P226" s="28"/>
      <c r="Q226" s="28"/>
      <c r="R226" s="28"/>
      <c r="S226" s="28"/>
      <c r="T226" s="28"/>
      <c r="U226" s="28"/>
      <c r="V226" s="28"/>
      <c r="W226" s="28"/>
      <c r="X226" s="28"/>
      <c r="Y226" s="28"/>
      <c r="Z226" s="28"/>
      <c r="AA226" s="28"/>
      <c r="AB226" s="28"/>
    </row>
    <row r="227">
      <c r="A227" s="21" t="s">
        <v>795</v>
      </c>
      <c r="B227" s="22" t="s">
        <v>796</v>
      </c>
      <c r="C227" s="23" t="str">
        <f>IFERROR(__xludf.DUMMYFUNCTION("GOOGLETRANSLATE(B227, ""en"", ""fr"")"),"Coffre bancaire")</f>
        <v>Coffre bancaire</v>
      </c>
      <c r="D227" s="23" t="str">
        <f>IFERROR(__xludf.DUMMYFUNCTION("GOOGLETRANSLATE(B227, ""en"", ""es"")"),"Cofre bancario")</f>
        <v>Cofre bancario</v>
      </c>
      <c r="E227" s="23" t="str">
        <f>IFERROR(__xludf.DUMMYFUNCTION("GOOGLETRANSLATE(B227, ""en"", ""ru"")"),"Банковский сундук")</f>
        <v>Банковский сундук</v>
      </c>
      <c r="F227" s="23" t="str">
        <f>IFERROR(__xludf.DUMMYFUNCTION("GOOGLETRANSLATE(B227, ""en"", ""tr"")"),"Banka göğsü")</f>
        <v>Banka göğsü</v>
      </c>
      <c r="G227" s="23" t="str">
        <f>IFERROR(__xludf.DUMMYFUNCTION("GOOGLETRANSLATE(B227, ""en"", ""pt"")"),"Baú de banco")</f>
        <v>Baú de banco</v>
      </c>
      <c r="H227" s="24" t="str">
        <f>IFERROR(__xludf.DUMMYFUNCTION("GOOGLETRANSLATE(B227, ""en"", ""de"")"),"Bankkasten")</f>
        <v>Bankkasten</v>
      </c>
      <c r="I227" s="23" t="str">
        <f>IFERROR(__xludf.DUMMYFUNCTION("GOOGLETRANSLATE(B227, ""en"", ""pl"")"),"Skrzynia bankowa")</f>
        <v>Skrzynia bankowa</v>
      </c>
      <c r="J227" s="25" t="str">
        <f>IFERROR(__xludf.DUMMYFUNCTION("GOOGLETRANSLATE(B227, ""en"", ""zh"")"),"银行胸部")</f>
        <v>银行胸部</v>
      </c>
      <c r="K227" s="25" t="str">
        <f>IFERROR(__xludf.DUMMYFUNCTION("GOOGLETRANSLATE(B227, ""en"", ""vi"")"),"Ngực ngân hàng.")</f>
        <v>Ngực ngân hàng.</v>
      </c>
      <c r="L227" s="26" t="str">
        <f>IFERROR(__xludf.DUMMYFUNCTION("GOOGLETRANSLATE(B227, ""en"", ""hr"")"),"Banke")</f>
        <v>Banke</v>
      </c>
      <c r="M227" s="28"/>
      <c r="N227" s="28"/>
      <c r="O227" s="28"/>
      <c r="P227" s="28"/>
      <c r="Q227" s="28"/>
      <c r="R227" s="28"/>
      <c r="S227" s="28"/>
      <c r="T227" s="28"/>
      <c r="U227" s="28"/>
      <c r="V227" s="28"/>
      <c r="W227" s="28"/>
      <c r="X227" s="28"/>
      <c r="Y227" s="28"/>
      <c r="Z227" s="28"/>
      <c r="AA227" s="28"/>
      <c r="AB227" s="28"/>
    </row>
    <row r="228">
      <c r="A228" s="21" t="s">
        <v>797</v>
      </c>
      <c r="B228" s="22" t="s">
        <v>798</v>
      </c>
      <c r="C228" s="23" t="str">
        <f>IFERROR(__xludf.DUMMYFUNCTION("GOOGLETRANSLATE(B228, ""en"", ""fr"")"),"Structure du clan. Donne accès à votre stockage bancaire personnel.")</f>
        <v>Structure du clan. Donne accès à votre stockage bancaire personnel.</v>
      </c>
      <c r="D228" s="23" t="str">
        <f>IFERROR(__xludf.DUMMYFUNCTION("GOOGLETRANSLATE(B228, ""en"", ""es"")"),"Estructura del clan. Da acceso a su almacenamiento de bancos personales.")</f>
        <v>Estructura del clan. Da acceso a su almacenamiento de bancos personales.</v>
      </c>
      <c r="E228" s="23" t="str">
        <f>IFERROR(__xludf.DUMMYFUNCTION("GOOGLETRANSLATE(B228, ""en"", ""ru"")"),"Клановая структура. Дает доступ к вашему личному банке хранилище.")</f>
        <v>Клановая структура. Дает доступ к вашему личному банке хранилище.</v>
      </c>
      <c r="F228" s="23" t="str">
        <f>IFERROR(__xludf.DUMMYFUNCTION("GOOGLETRANSLATE(B228, ""en"", ""tr"")"),"Klan yapısı. Kişisel banka deposuna erişim sağlar.")</f>
        <v>Klan yapısı. Kişisel banka deposuna erişim sağlar.</v>
      </c>
      <c r="G228" s="23" t="str">
        <f>IFERROR(__xludf.DUMMYFUNCTION("GOOGLETRANSLATE(B228, ""en"", ""pt"")"),"Estrutura de clã. Dá acesso ao seu armazenamento pessoal do banco.")</f>
        <v>Estrutura de clã. Dá acesso ao seu armazenamento pessoal do banco.</v>
      </c>
      <c r="H228" s="24" t="str">
        <f>IFERROR(__xludf.DUMMYFUNCTION("GOOGLETRANSLATE(B228, ""en"", ""de"")"),"Clanstruktur. Erläutert Zugriff auf Ihren persönlichen Bankenspeicher.")</f>
        <v>Clanstruktur. Erläutert Zugriff auf Ihren persönlichen Bankenspeicher.</v>
      </c>
      <c r="I228" s="23" t="str">
        <f>IFERROR(__xludf.DUMMYFUNCTION("GOOGLETRANSLATE(B228, ""en"", ""pl"")"),"Struktura klanu. Zapewnia dostęp do osobistego przechowywania banków.")</f>
        <v>Struktura klanu. Zapewnia dostęp do osobistego przechowywania banków.</v>
      </c>
      <c r="J228" s="25" t="str">
        <f>IFERROR(__xludf.DUMMYFUNCTION("GOOGLETRANSLATE(B228, ""en"", ""zh"")"),"氏族结构。访问您的个人银行存储。")</f>
        <v>氏族结构。访问您的个人银行存储。</v>
      </c>
      <c r="K228" s="25" t="str">
        <f>IFERROR(__xludf.DUMMYFUNCTION("GOOGLETRANSLATE(B228, ""en"", ""vi"")"),"Cấu trúc gia tộc. Cung cấp quyền truy cập vào lưu trữ ngân hàng cá nhân của bạn.")</f>
        <v>Cấu trúc gia tộc. Cung cấp quyền truy cập vào lưu trữ ngân hàng cá nhân của bạn.</v>
      </c>
      <c r="L228" s="26" t="str">
        <f>IFERROR(__xludf.DUMMYFUNCTION("GOOGLETRANSLATE(B228, ""en"", ""hr"")"),"Struktura klana. Daje pristup vašem osobnom bankovnom spremištu.")</f>
        <v>Struktura klana. Daje pristup vašem osobnom bankovnom spremištu.</v>
      </c>
      <c r="M228" s="28"/>
      <c r="N228" s="28"/>
      <c r="O228" s="28"/>
      <c r="P228" s="28"/>
      <c r="Q228" s="28"/>
      <c r="R228" s="28"/>
      <c r="S228" s="28"/>
      <c r="T228" s="28"/>
      <c r="U228" s="28"/>
      <c r="V228" s="28"/>
      <c r="W228" s="28"/>
      <c r="X228" s="28"/>
      <c r="Y228" s="28"/>
      <c r="Z228" s="28"/>
      <c r="AA228" s="28"/>
      <c r="AB228" s="28"/>
    </row>
    <row r="229">
      <c r="A229" s="21" t="s">
        <v>799</v>
      </c>
      <c r="B229" s="22" t="s">
        <v>366</v>
      </c>
      <c r="C229" s="23" t="str">
        <f>IFERROR(__xludf.DUMMYFUNCTION("GOOGLETRANSLATE(B229, ""en"", ""fr"")"),"Table de travail")</f>
        <v>Table de travail</v>
      </c>
      <c r="D229" s="23" t="str">
        <f>IFERROR(__xludf.DUMMYFUNCTION("GOOGLETRANSLATE(B229, ""en"", ""es"")"),"Banco de trabajo")</f>
        <v>Banco de trabajo</v>
      </c>
      <c r="E229" s="23" t="str">
        <f>IFERROR(__xludf.DUMMYFUNCTION("GOOGLETRANSLATE(B229, ""en"", ""ru"")"),"Workbench.")</f>
        <v>Workbench.</v>
      </c>
      <c r="F229" s="23" t="str">
        <f>IFERROR(__xludf.DUMMYFUNCTION("GOOGLETRANSLATE(B229, ""en"", ""tr"")"),"Tezgâh")</f>
        <v>Tezgâh</v>
      </c>
      <c r="G229" s="23" t="str">
        <f>IFERROR(__xludf.DUMMYFUNCTION("GOOGLETRANSLATE(B229, ""en"", ""pt"")"),"Workbench")</f>
        <v>Workbench</v>
      </c>
      <c r="H229" s="24" t="str">
        <f>IFERROR(__xludf.DUMMYFUNCTION("GOOGLETRANSLATE(B229, ""en"", ""de"")"),"Werkbank")</f>
        <v>Werkbank</v>
      </c>
      <c r="I229" s="23" t="str">
        <f>IFERROR(__xludf.DUMMYFUNCTION("GOOGLETRANSLATE(B229, ""en"", ""pl"")"),"stoł warsztatowy")</f>
        <v>stoł warsztatowy</v>
      </c>
      <c r="J229" s="25" t="str">
        <f>IFERROR(__xludf.DUMMYFUNCTION("GOOGLETRANSLATE(B229, ""en"", ""zh"")"),"工作台")</f>
        <v>工作台</v>
      </c>
      <c r="K229" s="25" t="str">
        <f>IFERROR(__xludf.DUMMYFUNCTION("GOOGLETRANSLATE(B229, ""en"", ""vi"")"),"Workbench.")</f>
        <v>Workbench.</v>
      </c>
      <c r="L229" s="26" t="str">
        <f>IFERROR(__xludf.DUMMYFUNCTION("GOOGLETRANSLATE(B229, ""en"", ""hr"")"),"Radni stol")</f>
        <v>Radni stol</v>
      </c>
      <c r="M229" s="28"/>
      <c r="N229" s="28"/>
      <c r="O229" s="28"/>
      <c r="P229" s="28"/>
      <c r="Q229" s="28"/>
      <c r="R229" s="28"/>
      <c r="S229" s="28"/>
      <c r="T229" s="28"/>
      <c r="U229" s="28"/>
      <c r="V229" s="28"/>
      <c r="W229" s="28"/>
      <c r="X229" s="28"/>
      <c r="Y229" s="28"/>
      <c r="Z229" s="28"/>
      <c r="AA229" s="28"/>
      <c r="AB229" s="28"/>
    </row>
    <row r="230">
      <c r="A230" s="21" t="s">
        <v>800</v>
      </c>
      <c r="B230" s="22" t="s">
        <v>801</v>
      </c>
      <c r="C230" s="23" t="str">
        <f>IFERROR(__xludf.DUMMYFUNCTION("GOOGLETRANSLATE(B230, ""en"", ""fr"")"),"Structure du clan. Utilisé pour fabriquer divers articles.")</f>
        <v>Structure du clan. Utilisé pour fabriquer divers articles.</v>
      </c>
      <c r="D230" s="23" t="str">
        <f>IFERROR(__xludf.DUMMYFUNCTION("GOOGLETRANSLATE(B230, ""en"", ""es"")"),"Estructura del clan. Se utiliza para crear varios artículos.")</f>
        <v>Estructura del clan. Se utiliza para crear varios artículos.</v>
      </c>
      <c r="E230" s="23" t="str">
        <f>IFERROR(__xludf.DUMMYFUNCTION("GOOGLETRANSLATE(B230, ""en"", ""ru"")"),"Клановая структура. Используется для создания различных предметов.")</f>
        <v>Клановая структура. Используется для создания различных предметов.</v>
      </c>
      <c r="F230" s="23" t="str">
        <f>IFERROR(__xludf.DUMMYFUNCTION("GOOGLETRANSLATE(B230, ""en"", ""tr"")"),"Klan yapısı. Çeşitli eşyaları hazırlamak için kullanılır.")</f>
        <v>Klan yapısı. Çeşitli eşyaları hazırlamak için kullanılır.</v>
      </c>
      <c r="G230" s="23" t="str">
        <f>IFERROR(__xludf.DUMMYFUNCTION("GOOGLETRANSLATE(B230, ""en"", ""pt"")"),"Estrutura de clã. Usado para criar vários itens.")</f>
        <v>Estrutura de clã. Usado para criar vários itens.</v>
      </c>
      <c r="H230" s="24" t="str">
        <f>IFERROR(__xludf.DUMMYFUNCTION("GOOGLETRANSLATE(B230, ""en"", ""de"")"),"Clanstruktur. Zum Herstellen verschiedener Gegenstände.")</f>
        <v>Clanstruktur. Zum Herstellen verschiedener Gegenstände.</v>
      </c>
      <c r="I230" s="23" t="str">
        <f>IFERROR(__xludf.DUMMYFUNCTION("GOOGLETRANSLATE(B230, ""en"", ""pl"")"),"Struktura klanu. Używane do rzemiosła różnych przedmiotów.")</f>
        <v>Struktura klanu. Używane do rzemiosła różnych przedmiotów.</v>
      </c>
      <c r="J230" s="25" t="str">
        <f>IFERROR(__xludf.DUMMYFUNCTION("GOOGLETRANSLATE(B230, ""en"", ""zh"")"),"氏族结构。用来制作各种物品。")</f>
        <v>氏族结构。用来制作各种物品。</v>
      </c>
      <c r="K230" s="25" t="str">
        <f>IFERROR(__xludf.DUMMYFUNCTION("GOOGLETRANSLATE(B230, ""en"", ""vi"")"),"Cấu trúc gia tộc. Được sử dụng để chế tạo các mặt hàng khác nhau.")</f>
        <v>Cấu trúc gia tộc. Được sử dụng để chế tạo các mặt hàng khác nhau.</v>
      </c>
      <c r="L230" s="26" t="str">
        <f>IFERROR(__xludf.DUMMYFUNCTION("GOOGLETRANSLATE(B230, ""en"", ""hr"")"),"Struktura klana. Koristi se za izradu raznih predmeta.")</f>
        <v>Struktura klana. Koristi se za izradu raznih predmeta.</v>
      </c>
      <c r="M230" s="28"/>
      <c r="N230" s="28"/>
      <c r="O230" s="28"/>
      <c r="P230" s="28"/>
      <c r="Q230" s="28"/>
      <c r="R230" s="28"/>
      <c r="S230" s="28"/>
      <c r="T230" s="28"/>
      <c r="U230" s="28"/>
      <c r="V230" s="28"/>
      <c r="W230" s="28"/>
      <c r="X230" s="28"/>
      <c r="Y230" s="28"/>
      <c r="Z230" s="28"/>
      <c r="AA230" s="28"/>
      <c r="AB230" s="28"/>
    </row>
    <row r="231">
      <c r="A231" s="21" t="s">
        <v>802</v>
      </c>
      <c r="B231" s="22" t="s">
        <v>364</v>
      </c>
      <c r="C231" s="23" t="str">
        <f>IFERROR(__xludf.DUMMYFUNCTION("GOOGLETRANSLATE(B231, ""en"", ""fr"")"),"fourneau")</f>
        <v>fourneau</v>
      </c>
      <c r="D231" s="23" t="str">
        <f>IFERROR(__xludf.DUMMYFUNCTION("GOOGLETRANSLATE(B231, ""en"", ""es"")"),"Horno")</f>
        <v>Horno</v>
      </c>
      <c r="E231" s="23" t="str">
        <f>IFERROR(__xludf.DUMMYFUNCTION("GOOGLETRANSLATE(B231, ""en"", ""ru"")"),"Печь")</f>
        <v>Печь</v>
      </c>
      <c r="F231" s="23" t="str">
        <f>IFERROR(__xludf.DUMMYFUNCTION("GOOGLETRANSLATE(B231, ""en"", ""tr"")"),"Fırın")</f>
        <v>Fırın</v>
      </c>
      <c r="G231" s="23" t="str">
        <f>IFERROR(__xludf.DUMMYFUNCTION("GOOGLETRANSLATE(B231, ""en"", ""pt"")"),"Forno")</f>
        <v>Forno</v>
      </c>
      <c r="H231" s="24" t="str">
        <f>IFERROR(__xludf.DUMMYFUNCTION("GOOGLETRANSLATE(B231, ""en"", ""de"")"),"Ofen")</f>
        <v>Ofen</v>
      </c>
      <c r="I231" s="23" t="str">
        <f>IFERROR(__xludf.DUMMYFUNCTION("GOOGLETRANSLATE(B231, ""en"", ""pl"")"),"Piec")</f>
        <v>Piec</v>
      </c>
      <c r="J231" s="25" t="str">
        <f>IFERROR(__xludf.DUMMYFUNCTION("GOOGLETRANSLATE(B231, ""en"", ""zh"")"),"炉")</f>
        <v>炉</v>
      </c>
      <c r="K231" s="25" t="str">
        <f>IFERROR(__xludf.DUMMYFUNCTION("GOOGLETRANSLATE(B231, ""en"", ""vi"")"),"Lò lửa")</f>
        <v>Lò lửa</v>
      </c>
      <c r="L231" s="26" t="str">
        <f>IFERROR(__xludf.DUMMYFUNCTION("GOOGLETRANSLATE(B231, ""en"", ""hr"")"),"Peć")</f>
        <v>Peć</v>
      </c>
      <c r="M231" s="28"/>
      <c r="N231" s="28"/>
      <c r="O231" s="28"/>
      <c r="P231" s="28"/>
      <c r="Q231" s="28"/>
      <c r="R231" s="28"/>
      <c r="S231" s="28"/>
      <c r="T231" s="28"/>
      <c r="U231" s="28"/>
      <c r="V231" s="28"/>
      <c r="W231" s="28"/>
      <c r="X231" s="28"/>
      <c r="Y231" s="28"/>
      <c r="Z231" s="28"/>
      <c r="AA231" s="28"/>
      <c r="AB231" s="28"/>
    </row>
    <row r="232">
      <c r="A232" s="21" t="s">
        <v>803</v>
      </c>
      <c r="B232" s="22" t="s">
        <v>804</v>
      </c>
      <c r="C232" s="23" t="str">
        <f>IFERROR(__xludf.DUMMYFUNCTION("GOOGLETRANSLATE(B232, ""en"", ""fr"")"),"Structure du clan. Utilisé pour transformer les minerais en barres métalliques.")</f>
        <v>Structure du clan. Utilisé pour transformer les minerais en barres métalliques.</v>
      </c>
      <c r="D232" s="23" t="str">
        <f>IFERROR(__xludf.DUMMYFUNCTION("GOOGLETRANSLATE(B232, ""en"", ""es"")"),"Estructura del clan. Se utiliza para convertir minerales en barras de metal.")</f>
        <v>Estructura del clan. Se utiliza para convertir minerales en barras de metal.</v>
      </c>
      <c r="E232" s="23" t="str">
        <f>IFERROR(__xludf.DUMMYFUNCTION("GOOGLETRANSLATE(B232,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2" s="23" t="str">
        <f>IFERROR(__xludf.DUMMYFUNCTION("GOOGLETRANSLATE(B232, ""en"", ""tr"")"),"Klan yapısı. Oraları metal çubuklara dönüştürmek için kullanılır.")</f>
        <v>Klan yapısı. Oraları metal çubuklara dönüştürmek için kullanılır.</v>
      </c>
      <c r="G232" s="23" t="str">
        <f>IFERROR(__xludf.DUMMYFUNCTION("GOOGLETRANSLATE(B232, ""en"", ""pt"")"),"Estrutura de clã. Usado para virar os minérios em barras de metal.")</f>
        <v>Estrutura de clã. Usado para virar os minérios em barras de metal.</v>
      </c>
      <c r="H232" s="24" t="str">
        <f>IFERROR(__xludf.DUMMYFUNCTION("GOOGLETRANSLATE(B232, ""en"", ""de"")"),"Clanstruktur. Verwendet, um Erze in Metallstäbe zu drehen.")</f>
        <v>Clanstruktur. Verwendet, um Erze in Metallstäbe zu drehen.</v>
      </c>
      <c r="I232" s="23" t="str">
        <f>IFERROR(__xludf.DUMMYFUNCTION("GOOGLETRANSLATE(B232, ""en"", ""pl"")"),"Struktura klanu. Używany do obracania rud do metalowych prętów.")</f>
        <v>Struktura klanu. Używany do obracania rud do metalowych prętów.</v>
      </c>
      <c r="J232" s="25" t="str">
        <f>IFERROR(__xludf.DUMMYFUNCTION("GOOGLETRANSLATE(B232, ""en"", ""zh"")"),"氏族结构。用来将矿石变成金属条。")</f>
        <v>氏族结构。用来将矿石变成金属条。</v>
      </c>
      <c r="K232" s="25" t="str">
        <f>IFERROR(__xludf.DUMMYFUNCTION("GOOGLETRANSLATE(B232, ""en"", ""vi"")"),"Cấu trúc gia tộc. Được sử dụng để biến quặng thành các thanh kim loại.")</f>
        <v>Cấu trúc gia tộc. Được sử dụng để biến quặng thành các thanh kim loại.</v>
      </c>
      <c r="L232" s="26" t="str">
        <f>IFERROR(__xludf.DUMMYFUNCTION("GOOGLETRANSLATE(B232, ""en"", ""hr"")"),"Struktura klana. Koristi se za okretanje ruda u metalne šipke.")</f>
        <v>Struktura klana. Koristi se za okretanje ruda u metalne šipke.</v>
      </c>
      <c r="M232" s="28"/>
      <c r="N232" s="28"/>
      <c r="O232" s="28"/>
      <c r="P232" s="28"/>
      <c r="Q232" s="28"/>
      <c r="R232" s="28"/>
      <c r="S232" s="28"/>
      <c r="T232" s="28"/>
      <c r="U232" s="28"/>
      <c r="V232" s="28"/>
      <c r="W232" s="28"/>
      <c r="X232" s="28"/>
      <c r="Y232" s="28"/>
      <c r="Z232" s="28"/>
      <c r="AA232" s="28"/>
      <c r="AB232" s="28"/>
    </row>
    <row r="233">
      <c r="A233" s="21" t="s">
        <v>805</v>
      </c>
      <c r="B233" s="22" t="s">
        <v>363</v>
      </c>
      <c r="C233" s="23" t="str">
        <f>IFERROR(__xludf.DUMMYFUNCTION("GOOGLETRANSLATE(B233, ""en"", ""fr"")"),"Enclume")</f>
        <v>Enclume</v>
      </c>
      <c r="D233" s="23" t="str">
        <f>IFERROR(__xludf.DUMMYFUNCTION("GOOGLETRANSLATE(B233, ""en"", ""es"")"),"Yunque")</f>
        <v>Yunque</v>
      </c>
      <c r="E233" s="23" t="str">
        <f>IFERROR(__xludf.DUMMYFUNCTION("GOOGLETRANSLATE(B233, ""en"", ""ru"")"),"Наковальня")</f>
        <v>Наковальня</v>
      </c>
      <c r="F233" s="23" t="str">
        <f>IFERROR(__xludf.DUMMYFUNCTION("GOOGLETRANSLATE(B233, ""en"", ""tr"")"),"Örs")</f>
        <v>Örs</v>
      </c>
      <c r="G233" s="23" t="str">
        <f>IFERROR(__xludf.DUMMYFUNCTION("GOOGLETRANSLATE(B233, ""en"", ""pt"")"),"Bigorna")</f>
        <v>Bigorna</v>
      </c>
      <c r="H233" s="24" t="str">
        <f>IFERROR(__xludf.DUMMYFUNCTION("GOOGLETRANSLATE(B233, ""en"", ""de"")"),"Amboss")</f>
        <v>Amboss</v>
      </c>
      <c r="I233" s="23" t="str">
        <f>IFERROR(__xludf.DUMMYFUNCTION("GOOGLETRANSLATE(B233, ""en"", ""pl"")"),"Kowadło")</f>
        <v>Kowadło</v>
      </c>
      <c r="J233" s="25" t="str">
        <f>IFERROR(__xludf.DUMMYFUNCTION("GOOGLETRANSLATE(B233, ""en"", ""zh"")"),"砧")</f>
        <v>砧</v>
      </c>
      <c r="K233" s="25" t="str">
        <f>IFERROR(__xludf.DUMMYFUNCTION("GOOGLETRANSLATE(B233, ""en"", ""vi"")"),"Anvil.")</f>
        <v>Anvil.</v>
      </c>
      <c r="L233" s="26" t="str">
        <f>IFERROR(__xludf.DUMMYFUNCTION("GOOGLETRANSLATE(B233, ""en"", ""hr"")"),"Nakovanj")</f>
        <v>Nakovanj</v>
      </c>
      <c r="M233" s="28"/>
      <c r="N233" s="28"/>
      <c r="O233" s="28"/>
      <c r="P233" s="28"/>
      <c r="Q233" s="28"/>
      <c r="R233" s="28"/>
      <c r="S233" s="28"/>
      <c r="T233" s="28"/>
      <c r="U233" s="28"/>
      <c r="V233" s="28"/>
      <c r="W233" s="28"/>
      <c r="X233" s="28"/>
      <c r="Y233" s="28"/>
      <c r="Z233" s="28"/>
      <c r="AA233" s="28"/>
      <c r="AB233" s="28"/>
    </row>
    <row r="234">
      <c r="A234" s="21" t="s">
        <v>806</v>
      </c>
      <c r="B234" s="22" t="s">
        <v>807</v>
      </c>
      <c r="C234" s="23" t="str">
        <f>IFERROR(__xludf.DUMMYFUNCTION("GOOGLETRANSLATE(B234, ""en"", ""fr"")"),"Structure du clan. Utilisé pour créer des articles en métal.")</f>
        <v>Structure du clan. Utilisé pour créer des articles en métal.</v>
      </c>
      <c r="D234" s="23" t="str">
        <f>IFERROR(__xludf.DUMMYFUNCTION("GOOGLETRANSLATE(B234, ""en"", ""es"")"),"Estructura del clan. Se utiliza para crear artículos de metal.")</f>
        <v>Estructura del clan. Se utiliza para crear artículos de metal.</v>
      </c>
      <c r="E234" s="23" t="str">
        <f>IFERROR(__xludf.DUMMYFUNCTION("GOOGLETRANSLATE(B234, ""en"", ""ru"")"),"Клановая структура. Используется для ремесла металлических предметов.")</f>
        <v>Клановая структура. Используется для ремесла металлических предметов.</v>
      </c>
      <c r="F234" s="23" t="str">
        <f>IFERROR(__xludf.DUMMYFUNCTION("GOOGLETRANSLATE(B234, ""en"", ""tr"")"),"Klan yapısı. Metal eşyaları zanaat etmek için kullanılır.")</f>
        <v>Klan yapısı. Metal eşyaları zanaat etmek için kullanılır.</v>
      </c>
      <c r="G234" s="23" t="str">
        <f>IFERROR(__xludf.DUMMYFUNCTION("GOOGLETRANSLATE(B234, ""en"", ""pt"")"),"Estrutura de clã. Usado para artesanais itens de metal.")</f>
        <v>Estrutura de clã. Usado para artesanais itens de metal.</v>
      </c>
      <c r="H234" s="24" t="str">
        <f>IFERROR(__xludf.DUMMYFUNCTION("GOOGLETRANSLATE(B234, ""en"", ""de"")"),"Clanstruktur. Verwendet, um Metallgegenstände herzustellen.")</f>
        <v>Clanstruktur. Verwendet, um Metallgegenstände herzustellen.</v>
      </c>
      <c r="I234" s="23" t="str">
        <f>IFERROR(__xludf.DUMMYFUNCTION("GOOGLETRANSLATE(B234, ""en"", ""pl"")"),"Struktura klanu. Używany do rzemieślniczych przedmiotów metalowych.")</f>
        <v>Struktura klanu. Używany do rzemieślniczych przedmiotów metalowych.</v>
      </c>
      <c r="J234" s="25" t="str">
        <f>IFERROR(__xludf.DUMMYFUNCTION("GOOGLETRANSLATE(B234, ""en"", ""zh"")"),"氏族结构。用于制作金属物品。")</f>
        <v>氏族结构。用于制作金属物品。</v>
      </c>
      <c r="K234" s="25" t="str">
        <f>IFERROR(__xludf.DUMMYFUNCTION("GOOGLETRANSLATE(B234, ""en"", ""vi"")"),"Cấu trúc gia tộc. Dùng để thủ công các mặt hàng kim loại.")</f>
        <v>Cấu trúc gia tộc. Dùng để thủ công các mặt hàng kim loại.</v>
      </c>
      <c r="L234" s="26" t="str">
        <f>IFERROR(__xludf.DUMMYFUNCTION("GOOGLETRANSLATE(B234, ""en"", ""hr"")"),"Struktura klana. Koristi se za obrt metalnih predmeta.")</f>
        <v>Struktura klana. Koristi se za obrt metalnih predmeta.</v>
      </c>
      <c r="M234" s="28"/>
      <c r="N234" s="28"/>
      <c r="O234" s="28"/>
      <c r="P234" s="28"/>
      <c r="Q234" s="28"/>
      <c r="R234" s="28"/>
      <c r="S234" s="28"/>
      <c r="T234" s="28"/>
      <c r="U234" s="28"/>
      <c r="V234" s="28"/>
      <c r="W234" s="28"/>
      <c r="X234" s="28"/>
      <c r="Y234" s="28"/>
      <c r="Z234" s="28"/>
      <c r="AA234" s="28"/>
      <c r="AB234" s="28"/>
    </row>
    <row r="235">
      <c r="A235" s="42" t="s">
        <v>808</v>
      </c>
      <c r="B235" s="22" t="s">
        <v>365</v>
      </c>
      <c r="C235" s="23" t="str">
        <f>IFERROR(__xludf.DUMMYFUNCTION("GOOGLETRANSLATE(B235, ""en"", ""fr"")"),"Laboratoire")</f>
        <v>Laboratoire</v>
      </c>
      <c r="D235" s="23" t="str">
        <f>IFERROR(__xludf.DUMMYFUNCTION("GOOGLETRANSLATE(B235, ""en"", ""es"")"),"Laboratorio")</f>
        <v>Laboratorio</v>
      </c>
      <c r="E235" s="23" t="str">
        <f>IFERROR(__xludf.DUMMYFUNCTION("GOOGLETRANSLATE(B235, ""en"", ""ru"")"),"Лаборатория")</f>
        <v>Лаборатория</v>
      </c>
      <c r="F235" s="23" t="str">
        <f>IFERROR(__xludf.DUMMYFUNCTION("GOOGLETRANSLATE(B235, ""en"", ""tr"")"),"Laboratuvar")</f>
        <v>Laboratuvar</v>
      </c>
      <c r="G235" s="23" t="str">
        <f>IFERROR(__xludf.DUMMYFUNCTION("GOOGLETRANSLATE(B235, ""en"", ""pt"")"),"Laboratório")</f>
        <v>Laboratório</v>
      </c>
      <c r="H235" s="24" t="str">
        <f>IFERROR(__xludf.DUMMYFUNCTION("GOOGLETRANSLATE(B235, ""en"", ""de"")"),"Labor")</f>
        <v>Labor</v>
      </c>
      <c r="I235" s="23" t="str">
        <f>IFERROR(__xludf.DUMMYFUNCTION("GOOGLETRANSLATE(B235, ""en"", ""pl"")"),"Laboratorium")</f>
        <v>Laboratorium</v>
      </c>
      <c r="J235" s="25" t="str">
        <f>IFERROR(__xludf.DUMMYFUNCTION("GOOGLETRANSLATE(B235, ""en"", ""zh"")"),"实验室")</f>
        <v>实验室</v>
      </c>
      <c r="K235" s="25" t="str">
        <f>IFERROR(__xludf.DUMMYFUNCTION("GOOGLETRANSLATE(B235, ""en"", ""vi"")"),"Phòng thí nghiệm")</f>
        <v>Phòng thí nghiệm</v>
      </c>
      <c r="L235" s="26" t="str">
        <f>IFERROR(__xludf.DUMMYFUNCTION("GOOGLETRANSLATE(B235, ""en"", ""hr"")"),"Laboratorija")</f>
        <v>Laboratorija</v>
      </c>
      <c r="M235" s="28"/>
      <c r="N235" s="28"/>
      <c r="O235" s="28"/>
      <c r="P235" s="28"/>
      <c r="Q235" s="28"/>
      <c r="R235" s="28"/>
      <c r="S235" s="28"/>
      <c r="T235" s="28"/>
      <c r="U235" s="28"/>
      <c r="V235" s="28"/>
      <c r="W235" s="28"/>
      <c r="X235" s="28"/>
      <c r="Y235" s="28"/>
      <c r="Z235" s="28"/>
      <c r="AA235" s="28"/>
      <c r="AB235" s="28"/>
    </row>
    <row r="236">
      <c r="A236" s="42" t="s">
        <v>809</v>
      </c>
      <c r="B236" s="22" t="s">
        <v>810</v>
      </c>
      <c r="C236" s="23" t="str">
        <f>IFERROR(__xludf.DUMMYFUNCTION("GOOGLETRANSLATE(B236, ""en"", ""fr"")"),"Structure du clan. Utilisé pour fabriquer des potions.")</f>
        <v>Structure du clan. Utilisé pour fabriquer des potions.</v>
      </c>
      <c r="D236" s="23" t="str">
        <f>IFERROR(__xludf.DUMMYFUNCTION("GOOGLETRANSLATE(B236, ""en"", ""es"")"),"Estructura del clan. Se utiliza para manipular pociones.")</f>
        <v>Estructura del clan. Se utiliza para manipular pociones.</v>
      </c>
      <c r="E236" s="23" t="str">
        <f>IFERROR(__xludf.DUMMYFUNCTION("GOOGLETRANSLATE(B236, ""en"", ""ru"")"),"Клановая структура. Используется для ремесла зелья.")</f>
        <v>Клановая структура. Используется для ремесла зелья.</v>
      </c>
      <c r="F236" s="23" t="str">
        <f>IFERROR(__xludf.DUMMYFUNCTION("GOOGLETRANSLATE(B236, ""en"", ""tr"")"),"Klan yapısı. İksirleri zanaat etmek için kullanılır.")</f>
        <v>Klan yapısı. İksirleri zanaat etmek için kullanılır.</v>
      </c>
      <c r="G236" s="23" t="str">
        <f>IFERROR(__xludf.DUMMYFUNCTION("GOOGLETRANSLATE(B236, ""en"", ""pt"")"),"Estrutura de clã. Usado para artesanato.")</f>
        <v>Estrutura de clã. Usado para artesanato.</v>
      </c>
      <c r="H236" s="24" t="str">
        <f>IFERROR(__xludf.DUMMYFUNCTION("GOOGLETRANSLATE(B236, ""en"", ""de"")"),"Clanstruktur. Verwendet, um Tränke zu büsten.")</f>
        <v>Clanstruktur. Verwendet, um Tränke zu büsten.</v>
      </c>
      <c r="I236" s="23" t="str">
        <f>IFERROR(__xludf.DUMMYFUNCTION("GOOGLETRANSLATE(B236, ""en"", ""pl"")"),"Struktura klanu. Używany do rzemieślniczych mikstur.")</f>
        <v>Struktura klanu. Używany do rzemieślniczych mikstur.</v>
      </c>
      <c r="J236" s="25" t="str">
        <f>IFERROR(__xludf.DUMMYFUNCTION("GOOGLETRANSLATE(B236, ""en"", ""zh"")"),"氏族结构。用来制作药水。")</f>
        <v>氏族结构。用来制作药水。</v>
      </c>
      <c r="K236" s="25" t="str">
        <f>IFERROR(__xludf.DUMMYFUNCTION("GOOGLETRANSLATE(B236, ""en"", ""vi"")"),"Cấu trúc gia tộc. Dùng để thủ công potions.")</f>
        <v>Cấu trúc gia tộc. Dùng để thủ công potions.</v>
      </c>
      <c r="L236" s="26" t="str">
        <f>IFERROR(__xludf.DUMMYFUNCTION("GOOGLETRANSLATE(B236, ""en"", ""hr"")"),"Struktura klana. Koristi se za obrt napitaka.")</f>
        <v>Struktura klana. Koristi se za obrt napitaka.</v>
      </c>
      <c r="M236" s="28"/>
      <c r="N236" s="28"/>
      <c r="O236" s="28"/>
      <c r="P236" s="28"/>
      <c r="Q236" s="28"/>
      <c r="R236" s="28"/>
      <c r="S236" s="28"/>
      <c r="T236" s="28"/>
      <c r="U236" s="28"/>
      <c r="V236" s="28"/>
      <c r="W236" s="28"/>
      <c r="X236" s="28"/>
      <c r="Y236" s="28"/>
      <c r="Z236" s="28"/>
      <c r="AA236" s="28"/>
      <c r="AB236" s="28"/>
    </row>
    <row r="237">
      <c r="A237" s="42" t="s">
        <v>811</v>
      </c>
      <c r="B237" s="22" t="s">
        <v>812</v>
      </c>
      <c r="C237" s="23" t="str">
        <f>IFERROR(__xludf.DUMMYFUNCTION("GOOGLETRANSLATE(B237, ""en"", ""fr"")"),"Générateur")</f>
        <v>Générateur</v>
      </c>
      <c r="D237" s="23" t="str">
        <f>IFERROR(__xludf.DUMMYFUNCTION("GOOGLETRANSLATE(B237, ""en"", ""es"")"),"Generador")</f>
        <v>Generador</v>
      </c>
      <c r="E237" s="23" t="str">
        <f>IFERROR(__xludf.DUMMYFUNCTION("GOOGLETRANSLATE(B237, ""en"", ""ru"")"),"Генератор")</f>
        <v>Генератор</v>
      </c>
      <c r="F237" s="23" t="str">
        <f>IFERROR(__xludf.DUMMYFUNCTION("GOOGLETRANSLATE(B237, ""en"", ""tr"")"),"Jeneratör")</f>
        <v>Jeneratör</v>
      </c>
      <c r="G237" s="23" t="str">
        <f>IFERROR(__xludf.DUMMYFUNCTION("GOOGLETRANSLATE(B237, ""en"", ""pt"")"),"Gerador")</f>
        <v>Gerador</v>
      </c>
      <c r="H237" s="24" t="str">
        <f>IFERROR(__xludf.DUMMYFUNCTION("GOOGLETRANSLATE(B237, ""en"", ""de"")"),"Generator")</f>
        <v>Generator</v>
      </c>
      <c r="I237" s="23" t="str">
        <f>IFERROR(__xludf.DUMMYFUNCTION("GOOGLETRANSLATE(B237, ""en"", ""pl"")"),"Generator")</f>
        <v>Generator</v>
      </c>
      <c r="J237" s="25" t="str">
        <f>IFERROR(__xludf.DUMMYFUNCTION("GOOGLETRANSLATE(B237, ""en"", ""zh"")"),"发电机")</f>
        <v>发电机</v>
      </c>
      <c r="K237" s="25" t="str">
        <f>IFERROR(__xludf.DUMMYFUNCTION("GOOGLETRANSLATE(B237, ""en"", ""vi"")"),"Máy phát điện")</f>
        <v>Máy phát điện</v>
      </c>
      <c r="L237" s="26" t="str">
        <f>IFERROR(__xludf.DUMMYFUNCTION("GOOGLETRANSLATE(B237, ""en"", ""hr"")"),"Generator")</f>
        <v>Generator</v>
      </c>
      <c r="M237" s="28"/>
      <c r="N237" s="28"/>
      <c r="O237" s="28"/>
      <c r="P237" s="28"/>
      <c r="Q237" s="28"/>
      <c r="R237" s="28"/>
      <c r="S237" s="28"/>
      <c r="T237" s="28"/>
      <c r="U237" s="28"/>
      <c r="V237" s="28"/>
      <c r="W237" s="28"/>
      <c r="X237" s="28"/>
      <c r="Y237" s="28"/>
      <c r="Z237" s="28"/>
      <c r="AA237" s="28"/>
      <c r="AB237" s="28"/>
    </row>
    <row r="238">
      <c r="A238" s="42" t="s">
        <v>813</v>
      </c>
      <c r="B238" s="22" t="s">
        <v>814</v>
      </c>
      <c r="C238" s="23" t="str">
        <f>IFERROR(__xludf.DUMMYFUNCTION("GOOGLETRANSLATE(B238,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38" s="23" t="str">
        <f>IFERROR(__xludf.DUMMYFUNCTION("GOOGLETRANSLATE(B238,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38" s="23" t="str">
        <f>IFERROR(__xludf.DUMMYFUNCTION("GOOGLETRANSLATE(B238,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38" s="23" t="str">
        <f>IFERROR(__xludf.DUMMYFUNCTION("GOOGLETRANSLATE(B238,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38" s="23" t="str">
        <f>IFERROR(__xludf.DUMMYFUNCTION("GOOGLETRANSLATE(B238,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38" s="24" t="str">
        <f>IFERROR(__xludf.DUMMYFUNCTION("GOOGLETRANSLATE(B238,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38" s="23" t="str">
        <f>IFERROR(__xludf.DUMMYFUNCTION("GOOGLETRANSLATE(B238,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38" s="25" t="str">
        <f>IFERROR(__xludf.DUMMYFUNCTION("GOOGLETRANSLATE(B238,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38" s="25" t="str">
        <f>IFERROR(__xludf.DUMMYFUNCTION("GOOGLETRANSLATE(B238,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38" s="26" t="str">
        <f>IFERROR(__xludf.DUMMYFUNCTION("GOOGLETRANSLATE(B238,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38" s="28"/>
      <c r="N238" s="28"/>
      <c r="O238" s="28"/>
      <c r="P238" s="28"/>
      <c r="Q238" s="28"/>
      <c r="R238" s="28"/>
      <c r="S238" s="28"/>
      <c r="T238" s="28"/>
      <c r="U238" s="28"/>
      <c r="V238" s="28"/>
      <c r="W238" s="28"/>
      <c r="X238" s="28"/>
      <c r="Y238" s="28"/>
      <c r="Z238" s="28"/>
      <c r="AA238" s="28"/>
      <c r="AB238" s="28"/>
    </row>
    <row r="239">
      <c r="A239" s="42" t="s">
        <v>815</v>
      </c>
      <c r="B239" s="22" t="s">
        <v>816</v>
      </c>
      <c r="C239" s="23" t="str">
        <f>IFERROR(__xludf.DUMMYFUNCTION("GOOGLETRANSLATE(B239, ""en"", ""fr"")"),"Clé de combat")</f>
        <v>Clé de combat</v>
      </c>
      <c r="D239" s="23" t="str">
        <f>IFERROR(__xludf.DUMMYFUNCTION("GOOGLETRANSLATE(B239, ""en"", ""es"")"),"Llave de combate")</f>
        <v>Llave de combate</v>
      </c>
      <c r="E239" s="23" t="str">
        <f>IFERROR(__xludf.DUMMYFUNCTION("GOOGLETRANSLATE(B239, ""en"", ""ru"")"),"Истребитель")</f>
        <v>Истребитель</v>
      </c>
      <c r="F239" s="23" t="str">
        <f>IFERROR(__xludf.DUMMYFUNCTION("GOOGLETRANSLATE(B239, ""en"", ""tr"")"),"Savaşçı anahtarı")</f>
        <v>Savaşçı anahtarı</v>
      </c>
      <c r="G239" s="23" t="str">
        <f>IFERROR(__xludf.DUMMYFUNCTION("GOOGLETRANSLATE(B239, ""en"", ""pt"")"),"Chave de lutador")</f>
        <v>Chave de lutador</v>
      </c>
      <c r="H239" s="24" t="str">
        <f>IFERROR(__xludf.DUMMYFUNCTION("GOOGLETRANSLATE(B239, ""en"", ""de"")"),"Kämpferschlüssel")</f>
        <v>Kämpferschlüssel</v>
      </c>
      <c r="I239" s="23" t="str">
        <f>IFERROR(__xludf.DUMMYFUNCTION("GOOGLETRANSLATE(B239, ""en"", ""pl"")"),"Kluczem myśliwski")</f>
        <v>Kluczem myśliwski</v>
      </c>
      <c r="J239" s="25" t="str">
        <f>IFERROR(__xludf.DUMMYFUNCTION("GOOGLETRANSLATE(B239, ""en"", ""zh"")"),"战斗机钥匙")</f>
        <v>战斗机钥匙</v>
      </c>
      <c r="K239" s="25" t="str">
        <f>IFERROR(__xludf.DUMMYFUNCTION("GOOGLETRANSLATE(B239, ""en"", ""vi"")"),"Phím chiến đấu")</f>
        <v>Phím chiến đấu</v>
      </c>
      <c r="L239" s="26" t="str">
        <f>IFERROR(__xludf.DUMMYFUNCTION("GOOGLETRANSLATE(B239, ""en"", ""hr"")"),"Ključ borbenog")</f>
        <v>Ključ borbenog</v>
      </c>
      <c r="M239" s="28"/>
      <c r="N239" s="28"/>
      <c r="O239" s="28"/>
      <c r="P239" s="28"/>
      <c r="Q239" s="28"/>
      <c r="R239" s="28"/>
      <c r="S239" s="28"/>
      <c r="T239" s="28"/>
      <c r="U239" s="28"/>
      <c r="V239" s="28"/>
      <c r="W239" s="28"/>
      <c r="X239" s="28"/>
      <c r="Y239" s="28"/>
      <c r="Z239" s="28"/>
      <c r="AA239" s="28"/>
      <c r="AB239" s="28"/>
    </row>
    <row r="240">
      <c r="A240" s="42" t="s">
        <v>817</v>
      </c>
      <c r="B240" s="22" t="s">
        <v>818</v>
      </c>
      <c r="C240" s="23" t="str">
        <f>IFERROR(__xludf.DUMMYFUNCTION("GOOGLETRANSLATE(B240, ""en"", ""fr"")"),"Ouvre la porte de la zone de préparation du PvP Arena. Avertissement! D'autres joueurs peuvent vous attaquer dans la fosse de combat!")</f>
        <v>Ouvre la porte de la zone de préparation du PvP Arena. Avertissement! D'autres joueurs peuvent vous attaquer dans la fosse de combat!</v>
      </c>
      <c r="D240" s="23" t="str">
        <f>IFERROR(__xludf.DUMMYFUNCTION("GOOGLETRANSLATE(B240, ""en"", ""es"")"),"Abre la puerta al área de preparación de la arena PVP. ¡Advertencia! ¡Otros jugadores pueden atacarte en el pozo de lucha!")</f>
        <v>Abre la puerta al área de preparación de la arena PVP. ¡Advertencia! ¡Otros jugadores pueden atacarte en el pozo de lucha!</v>
      </c>
      <c r="E240" s="23" t="str">
        <f>IFERROR(__xludf.DUMMYFUNCTION("GOOGLETRANSLATE(B240,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0" s="23" t="str">
        <f>IFERROR(__xludf.DUMMYFUNCTION("GOOGLETRANSLATE(B240, ""en"", ""tr"")"),"PVP Arena Hazırlık Alanına kapıyı açar. Uyarı! Diğer oyuncular size mücadele çukuruna saldırabilir!")</f>
        <v>PVP Arena Hazırlık Alanına kapıyı açar. Uyarı! Diğer oyuncular size mücadele çukuruna saldırabilir!</v>
      </c>
      <c r="G240" s="23" t="str">
        <f>IFERROR(__xludf.DUMMYFUNCTION("GOOGLETRANSLATE(B240, ""en"", ""pt"")"),"Abre a porta para a área de preparação de arena PVP. Aviso! Outros jogadores podem atacá-lo na luta!")</f>
        <v>Abre a porta para a área de preparação de arena PVP. Aviso! Outros jogadores podem atacá-lo na luta!</v>
      </c>
      <c r="H240" s="24" t="str">
        <f>IFERROR(__xludf.DUMMYFUNCTION("GOOGLETRANSLATE(B240, ""en"", ""de"")"),"Öffnet die Tür zum PVP-Arena-Vorbereitungsbereich. Warnung! Andere Spieler können Sie in der Kampfgrube angreifen!")</f>
        <v>Öffnet die Tür zum PVP-Arena-Vorbereitungsbereich. Warnung! Andere Spieler können Sie in der Kampfgrube angreifen!</v>
      </c>
      <c r="I240" s="23" t="str">
        <f>IFERROR(__xludf.DUMMYFUNCTION("GOOGLETRANSLATE(B240, ""en"", ""pl"")"),"Otwiera drzwi do obszaru przygotowania areny PVP. Ostrzeżenie! Inni gracze mogą cię zaatakować w walce!")</f>
        <v>Otwiera drzwi do obszaru przygotowania areny PVP. Ostrzeżenie! Inni gracze mogą cię zaatakować w walce!</v>
      </c>
      <c r="J240" s="25" t="str">
        <f>IFERROR(__xludf.DUMMYFUNCTION("GOOGLETRANSLATE(B240, ""en"", ""zh"")"),"打开PVP竞技场准备区的门。警告！其他玩家可以在战斗坑里攻击你！")</f>
        <v>打开PVP竞技场准备区的门。警告！其他玩家可以在战斗坑里攻击你！</v>
      </c>
      <c r="K240" s="25" t="str">
        <f>IFERROR(__xludf.DUMMYFUNCTION("GOOGLETRANSLATE(B240,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0" s="26" t="str">
        <f>IFERROR(__xludf.DUMMYFUNCTION("GOOGLETRANSLATE(B240, ""en"", ""hr"")"),"Otvara vrata pripreme PvP arene. Upozorenje! Drugi igrači vas mogu napasti u borbenoj jami!")</f>
        <v>Otvara vrata pripreme PvP arene. Upozorenje! Drugi igrači vas mogu napasti u borbenoj jami!</v>
      </c>
      <c r="M240" s="28"/>
      <c r="N240" s="28"/>
      <c r="O240" s="28"/>
      <c r="P240" s="28"/>
      <c r="Q240" s="28"/>
      <c r="R240" s="28"/>
      <c r="S240" s="28"/>
      <c r="T240" s="28"/>
      <c r="U240" s="28"/>
      <c r="V240" s="28"/>
      <c r="W240" s="28"/>
      <c r="X240" s="28"/>
      <c r="Y240" s="28"/>
      <c r="Z240" s="28"/>
      <c r="AA240" s="28"/>
      <c r="AB240" s="28"/>
    </row>
    <row r="241">
      <c r="A241" s="42" t="s">
        <v>819</v>
      </c>
      <c r="B241" s="22" t="s">
        <v>820</v>
      </c>
      <c r="C241" s="23" t="str">
        <f>IFERROR(__xludf.DUMMYFUNCTION("GOOGLETRANSLATE(B241, ""en"", ""fr"")"),"Touche de fosse")</f>
        <v>Touche de fosse</v>
      </c>
      <c r="D241" s="23" t="str">
        <f>IFERROR(__xludf.DUMMYFUNCTION("GOOGLETRANSLATE(B241, ""en"", ""es"")"),"Llavero")</f>
        <v>Llavero</v>
      </c>
      <c r="E241" s="23" t="str">
        <f>IFERROR(__xludf.DUMMYFUNCTION("GOOGLETRANSLATE(B241, ""en"", ""ru"")"),"Ключ")</f>
        <v>Ключ</v>
      </c>
      <c r="F241" s="23" t="str">
        <f>IFERROR(__xludf.DUMMYFUNCTION("GOOGLETRANSLATE(B241, ""en"", ""tr"")"),"Çukur anahtarı")</f>
        <v>Çukur anahtarı</v>
      </c>
      <c r="G241" s="23" t="str">
        <f>IFERROR(__xludf.DUMMYFUNCTION("GOOGLETRANSLATE(B241, ""en"", ""pt"")"),"Tecla pit")</f>
        <v>Tecla pit</v>
      </c>
      <c r="H241" s="24" t="str">
        <f>IFERROR(__xludf.DUMMYFUNCTION("GOOGLETRANSLATE(B241, ""en"", ""de"")"),"Pit-Key")</f>
        <v>Pit-Key</v>
      </c>
      <c r="I241" s="23" t="str">
        <f>IFERROR(__xludf.DUMMYFUNCTION("GOOGLETRANSLATE(B241, ""en"", ""pl"")"),"Klucz Pit.")</f>
        <v>Klucz Pit.</v>
      </c>
      <c r="J241" s="25" t="str">
        <f>IFERROR(__xludf.DUMMYFUNCTION("GOOGLETRANSLATE(B241, ""en"", ""zh"")"),"坑钥匙")</f>
        <v>坑钥匙</v>
      </c>
      <c r="K241" s="25" t="str">
        <f>IFERROR(__xludf.DUMMYFUNCTION("GOOGLETRANSLATE(B241, ""en"", ""vi"")"),"Phím pit.")</f>
        <v>Phím pit.</v>
      </c>
      <c r="L241" s="26" t="str">
        <f>IFERROR(__xludf.DUMMYFUNCTION("GOOGLETRANSLATE(B241, ""en"", ""hr"")"),"Ključ")</f>
        <v>Ključ</v>
      </c>
      <c r="M241" s="28"/>
      <c r="N241" s="28"/>
      <c r="O241" s="28"/>
      <c r="P241" s="28"/>
      <c r="Q241" s="28"/>
      <c r="R241" s="28"/>
      <c r="S241" s="28"/>
      <c r="T241" s="28"/>
      <c r="U241" s="28"/>
      <c r="V241" s="28"/>
      <c r="W241" s="28"/>
      <c r="X241" s="28"/>
      <c r="Y241" s="28"/>
      <c r="Z241" s="28"/>
      <c r="AA241" s="28"/>
      <c r="AB241" s="28"/>
    </row>
    <row r="242">
      <c r="A242" s="42" t="s">
        <v>821</v>
      </c>
      <c r="B242" s="22" t="s">
        <v>822</v>
      </c>
      <c r="C242" s="23" t="str">
        <f>IFERROR(__xludf.DUMMYFUNCTION("GOOGLETRANSLATE(B242, ""en"", ""fr"")"),"Ouvre les portes pour sortir de la fosse de combat.")</f>
        <v>Ouvre les portes pour sortir de la fosse de combat.</v>
      </c>
      <c r="D242" s="23" t="str">
        <f>IFERROR(__xludf.DUMMYFUNCTION("GOOGLETRANSLATE(B242, ""en"", ""es"")"),"Abre las puertas para salir del pozo de lucha.")</f>
        <v>Abre las puertas para salir del pozo de lucha.</v>
      </c>
      <c r="E242" s="23" t="str">
        <f>IFERROR(__xludf.DUMMYFUNCTION("GOOGLETRANSLATE(B242, ""en"", ""ru"")"),"Открывает двери, чтобы выйти из боевой ямы.")</f>
        <v>Открывает двери, чтобы выйти из боевой ямы.</v>
      </c>
      <c r="F242" s="23" t="str">
        <f>IFERROR(__xludf.DUMMYFUNCTION("GOOGLETRANSLATE(B242, ""en"", ""tr"")"),"Mücadele çukurundan çıkmak için kapıları açar.")</f>
        <v>Mücadele çukurundan çıkmak için kapıları açar.</v>
      </c>
      <c r="G242" s="23" t="str">
        <f>IFERROR(__xludf.DUMMYFUNCTION("GOOGLETRANSLATE(B242, ""en"", ""pt"")"),"Abre as portas para sair da luta.")</f>
        <v>Abre as portas para sair da luta.</v>
      </c>
      <c r="H242" s="24" t="str">
        <f>IFERROR(__xludf.DUMMYFUNCTION("GOOGLETRANSLATE(B242, ""en"", ""de"")"),"Öffnet die Türen, um aus der Kampfgrube zu verlassen.")</f>
        <v>Öffnet die Türen, um aus der Kampfgrube zu verlassen.</v>
      </c>
      <c r="I242" s="23" t="str">
        <f>IFERROR(__xludf.DUMMYFUNCTION("GOOGLETRANSLATE(B242, ""en"", ""pl"")"),"Otwiera drzwi, aby wyjść z bólu walki.")</f>
        <v>Otwiera drzwi, aby wyjść z bólu walki.</v>
      </c>
      <c r="J242" s="25" t="str">
        <f>IFERROR(__xludf.DUMMYFUNCTION("GOOGLETRANSLATE(B242, ""en"", ""zh"")"),"打开门以摆脱战斗坑。")</f>
        <v>打开门以摆脱战斗坑。</v>
      </c>
      <c r="K242" s="25" t="str">
        <f>IFERROR(__xludf.DUMMYFUNCTION("GOOGLETRANSLATE(B242, ""en"", ""vi"")"),"Mở ra những cánh cửa để thoát khỏi hố chiến đấu.")</f>
        <v>Mở ra những cánh cửa để thoát khỏi hố chiến đấu.</v>
      </c>
      <c r="L242" s="26" t="str">
        <f>IFERROR(__xludf.DUMMYFUNCTION("GOOGLETRANSLATE(B242, ""en"", ""hr"")"),"Otvara vrata da izađu iz borbene jame.")</f>
        <v>Otvara vrata da izađu iz borbene jame.</v>
      </c>
      <c r="M242" s="28"/>
      <c r="N242" s="28"/>
      <c r="O242" s="28"/>
      <c r="P242" s="28"/>
      <c r="Q242" s="28"/>
      <c r="R242" s="28"/>
      <c r="S242" s="28"/>
      <c r="T242" s="28"/>
      <c r="U242" s="28"/>
      <c r="V242" s="28"/>
      <c r="W242" s="28"/>
      <c r="X242" s="28"/>
      <c r="Y242" s="28"/>
      <c r="Z242" s="28"/>
      <c r="AA242" s="28"/>
      <c r="AB242" s="28"/>
    </row>
    <row r="243">
      <c r="A243" s="21" t="s">
        <v>823</v>
      </c>
      <c r="B243" s="22" t="s">
        <v>824</v>
      </c>
      <c r="C243" s="23" t="str">
        <f>IFERROR(__xludf.DUMMYFUNCTION("GOOGLETRANSLATE(B243, ""en"", ""fr"")"),"Scroll de la zone de guérison")</f>
        <v>Scroll de la zone de guérison</v>
      </c>
      <c r="D243" s="23" t="str">
        <f>IFERROR(__xludf.DUMMYFUNCTION("GOOGLETRANSLATE(B243, ""en"", ""es"")"),"Desplazamiento de la zona de sanidad")</f>
        <v>Desplazamiento de la zona de sanidad</v>
      </c>
      <c r="E243" s="23" t="str">
        <f>IFERROR(__xludf.DUMMYFUNCTION("GOOGLETRANSLATE(B243, ""en"", ""ru"")"),"Прокрутка полета")</f>
        <v>Прокрутка полета</v>
      </c>
      <c r="F243" s="23" t="str">
        <f>IFERROR(__xludf.DUMMYFUNCTION("GOOGLETRANSLATE(B243, ""en"", ""tr"")"),"İyileştirme alanı kaydırma")</f>
        <v>İyileştirme alanı kaydırma</v>
      </c>
      <c r="G243" s="23" t="str">
        <f>IFERROR(__xludf.DUMMYFUNCTION("GOOGLETRANSLATE(B243, ""en"", ""pt"")"),"Pergaminho da área de cura")</f>
        <v>Pergaminho da área de cura</v>
      </c>
      <c r="H243" s="24" t="str">
        <f>IFERROR(__xludf.DUMMYFUNCTION("GOOGLETRANSLATE(B243, ""en"", ""de"")"),"Blättern Sie vom Heilbereich")</f>
        <v>Blättern Sie vom Heilbereich</v>
      </c>
      <c r="I243" s="23" t="str">
        <f>IFERROR(__xludf.DUMMYFUNCTION("GOOGLETRANSLATE(B243, ""en"", ""pl"")"),"Przewiń obszar leczenia")</f>
        <v>Przewiń obszar leczenia</v>
      </c>
      <c r="J243" s="25" t="str">
        <f>IFERROR(__xludf.DUMMYFUNCTION("GOOGLETRANSLATE(B243, ""en"", ""zh"")"),"治疗区域卷轴")</f>
        <v>治疗区域卷轴</v>
      </c>
      <c r="K243" s="25" t="str">
        <f>IFERROR(__xludf.DUMMYFUNCTION("GOOGLETRANSLATE(B243, ""en"", ""vi"")"),"Cuộn diện tích chữa lành")</f>
        <v>Cuộn diện tích chữa lành</v>
      </c>
      <c r="L243" s="26" t="str">
        <f>IFERROR(__xludf.DUMMYFUNCTION("GOOGLETRANSLATE(B243, ""en"", ""hr"")"),"Pomicanje od liječenja područja")</f>
        <v>Pomicanje od liječenja područja</v>
      </c>
      <c r="M243" s="28"/>
      <c r="N243" s="28"/>
      <c r="O243" s="28"/>
      <c r="P243" s="28"/>
      <c r="Q243" s="28"/>
      <c r="R243" s="28"/>
      <c r="S243" s="28"/>
      <c r="T243" s="28"/>
      <c r="U243" s="28"/>
      <c r="V243" s="28"/>
      <c r="W243" s="28"/>
      <c r="X243" s="28"/>
      <c r="Y243" s="28"/>
      <c r="Z243" s="28"/>
      <c r="AA243" s="28"/>
      <c r="AB243" s="28"/>
    </row>
    <row r="244">
      <c r="A244" s="21" t="s">
        <v>825</v>
      </c>
      <c r="B244" s="22" t="s">
        <v>826</v>
      </c>
      <c r="C244" s="23" t="str">
        <f>IFERROR(__xludf.DUMMYFUNCTION("GOOGLETRANSLATE(B244, ""en"", ""fr"")"),"Guérit toutes les créatures autour de vous.")</f>
        <v>Guérit toutes les créatures autour de vous.</v>
      </c>
      <c r="D244" s="23" t="str">
        <f>IFERROR(__xludf.DUMMYFUNCTION("GOOGLETRANSLATE(B244, ""en"", ""es"")"),"Cura a todas las criaturas a su alrededor.")</f>
        <v>Cura a todas las criaturas a su alrededor.</v>
      </c>
      <c r="E244" s="23" t="str">
        <f>IFERROR(__xludf.DUMMYFUNCTION("GOOGLETRANSLATE(B244, ""en"", ""ru"")"),"Исцеляет все существа вокруг себя.")</f>
        <v>Исцеляет все существа вокруг себя.</v>
      </c>
      <c r="F244" s="23" t="str">
        <f>IFERROR(__xludf.DUMMYFUNCTION("GOOGLETRANSLATE(B244, ""en"", ""tr"")"),"Etrafındaki tüm canlıları iyileştirir.")</f>
        <v>Etrafındaki tüm canlıları iyileştirir.</v>
      </c>
      <c r="G244" s="23" t="str">
        <f>IFERROR(__xludf.DUMMYFUNCTION("GOOGLETRANSLATE(B244, ""en"", ""pt"")"),"Cura todas as criaturas ao seu redor.")</f>
        <v>Cura todas as criaturas ao seu redor.</v>
      </c>
      <c r="H244" s="24" t="str">
        <f>IFERROR(__xludf.DUMMYFUNCTION("GOOGLETRANSLATE(B244, ""en"", ""de"")"),"Heilt alle Kreaturen um sich selbst.")</f>
        <v>Heilt alle Kreaturen um sich selbst.</v>
      </c>
      <c r="I244" s="23" t="str">
        <f>IFERROR(__xludf.DUMMYFUNCTION("GOOGLETRANSLATE(B244, ""en"", ""pl"")"),"Utlenia się wokół wszystkich stworzeń.")</f>
        <v>Utlenia się wokół wszystkich stworzeń.</v>
      </c>
      <c r="J244" s="25" t="str">
        <f>IFERROR(__xludf.DUMMYFUNCTION("GOOGLETRANSLATE(B244, ""en"", ""zh"")"),"治愈自己周围的所有生物。")</f>
        <v>治愈自己周围的所有生物。</v>
      </c>
      <c r="K244" s="25" t="str">
        <f>IFERROR(__xludf.DUMMYFUNCTION("GOOGLETRANSLATE(B244, ""en"", ""vi"")"),"Chữa lành tất cả các sinh vật xung quanh mình.")</f>
        <v>Chữa lành tất cả các sinh vật xung quanh mình.</v>
      </c>
      <c r="L244" s="26" t="str">
        <f>IFERROR(__xludf.DUMMYFUNCTION("GOOGLETRANSLATE(B244, ""en"", ""hr"")"),"Liječi sva stvorenja oko sebe.")</f>
        <v>Liječi sva stvorenja oko sebe.</v>
      </c>
      <c r="M244" s="28"/>
      <c r="N244" s="28"/>
      <c r="O244" s="28"/>
      <c r="P244" s="28"/>
      <c r="Q244" s="28"/>
      <c r="R244" s="28"/>
      <c r="S244" s="28"/>
      <c r="T244" s="28"/>
      <c r="U244" s="28"/>
      <c r="V244" s="28"/>
      <c r="W244" s="28"/>
      <c r="X244" s="28"/>
      <c r="Y244" s="28"/>
      <c r="Z244" s="28"/>
      <c r="AA244" s="28"/>
      <c r="AB244" s="28"/>
    </row>
    <row r="245">
      <c r="A245" s="21" t="s">
        <v>827</v>
      </c>
      <c r="B245" s="22" t="s">
        <v>828</v>
      </c>
      <c r="C245" s="23" t="str">
        <f>IFERROR(__xludf.DUMMYFUNCTION("GOOGLETRANSLATE(B245, ""en"", ""fr"")"),"Faire défiler")</f>
        <v>Faire défiler</v>
      </c>
      <c r="D245" s="23" t="str">
        <f>IFERROR(__xludf.DUMMYFUNCTION("GOOGLETRANSLATE(B245, ""en"", ""es"")"),"Desplazamiento de guardia")</f>
        <v>Desplazamiento de guardia</v>
      </c>
      <c r="E245" s="23" t="str">
        <f>IFERROR(__xludf.DUMMYFUNCTION("GOOGLETRANSLATE(B245, ""en"", ""ru"")"),"Свиток Защита")</f>
        <v>Свиток Защита</v>
      </c>
      <c r="F245" s="23" t="str">
        <f>IFERROR(__xludf.DUMMYFUNCTION("GOOGLETRANSLATE(B245, ""en"", ""tr"")"),"Uğur alma kaydırma")</f>
        <v>Uğur alma kaydırma</v>
      </c>
      <c r="G245" s="23" t="str">
        <f>IFERROR(__xludf.DUMMYFUNCTION("GOOGLETRANSLATE(B245, ""en"", ""pt"")"),"Rolo de vigilância")</f>
        <v>Rolo de vigilância</v>
      </c>
      <c r="H245" s="24" t="str">
        <f>IFERROR(__xludf.DUMMYFUNCTION("GOOGLETRANSLATE(B245, ""en"", ""de"")"),"Scrollen von Abwehr")</f>
        <v>Scrollen von Abwehr</v>
      </c>
      <c r="I245" s="23" t="str">
        <f>IFERROR(__xludf.DUMMYFUNCTION("GOOGLETRANSLATE(B245, ""en"", ""pl"")"),"Przewiń Strażniczy")</f>
        <v>Przewiń Strażniczy</v>
      </c>
      <c r="J245" s="25" t="str">
        <f>IFERROR(__xludf.DUMMYFUNCTION("GOOGLETRANSLATE(B245, ""en"", ""zh"")"),"滚动")</f>
        <v>滚动</v>
      </c>
      <c r="K245" s="25" t="str">
        <f>IFERROR(__xludf.DUMMYFUNCTION("GOOGLETRANSLATE(B245, ""en"", ""vi"")"),"Cuộn phường")</f>
        <v>Cuộn phường</v>
      </c>
      <c r="L245" s="26" t="str">
        <f>IFERROR(__xludf.DUMMYFUNCTION("GOOGLETRANSLATE(B245, ""en"", ""hr"")"),"Pomicanje od čuvara")</f>
        <v>Pomicanje od čuvara</v>
      </c>
      <c r="M245" s="28"/>
      <c r="N245" s="28"/>
      <c r="O245" s="28"/>
      <c r="P245" s="28"/>
      <c r="Q245" s="28"/>
      <c r="R245" s="28"/>
      <c r="S245" s="28"/>
      <c r="T245" s="28"/>
      <c r="U245" s="28"/>
      <c r="V245" s="28"/>
      <c r="W245" s="28"/>
      <c r="X245" s="28"/>
      <c r="Y245" s="28"/>
      <c r="Z245" s="28"/>
      <c r="AA245" s="28"/>
      <c r="AB245" s="28"/>
    </row>
    <row r="246">
      <c r="A246" s="21" t="s">
        <v>829</v>
      </c>
      <c r="B246" s="22" t="s">
        <v>830</v>
      </c>
      <c r="C246" s="23" t="str">
        <f>IFERROR(__xludf.DUMMYFUNCTION("GOOGLETRANSLATE(B246,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46" s="23" t="str">
        <f>IFERROR(__xludf.DUMMYFUNCTION("GOOGLETRANSLATE(B246, ""en"", ""es"")"),"Encanta todas las criaturas a su alrededor. Esas criaturas no dañan la próxima vez que se dañen.")</f>
        <v>Encanta todas las criaturas a su alrededor. Esas criaturas no dañan la próxima vez que se dañen.</v>
      </c>
      <c r="E246" s="23" t="str">
        <f>IFERROR(__xludf.DUMMYFUNCTION("GOOGLETRANSLATE(B246,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46" s="23" t="str">
        <f>IFERROR(__xludf.DUMMYFUNCTION("GOOGLETRANSLATE(B246, ""en"", ""tr"")"),"Çevrenizdeki tüm canlıları inceler. Bu yaratıklar bir dahaki sefere zarar görmezler.")</f>
        <v>Çevrenizdeki tüm canlıları inceler. Bu yaratıklar bir dahaki sefere zarar görmezler.</v>
      </c>
      <c r="G246" s="23" t="str">
        <f>IFERROR(__xludf.DUMMYFUNCTION("GOOGLETRANSLATE(B246, ""en"", ""pt"")"),"Encanta todas as criaturas ao redor de si mesmo. Essas criaturas não tomam nenhum dano na próxima vez que ficariam danificados.")</f>
        <v>Encanta todas as criaturas ao redor de si mesmo. Essas criaturas não tomam nenhum dano na próxima vez que ficariam danificados.</v>
      </c>
      <c r="H246" s="24" t="str">
        <f>IFERROR(__xludf.DUMMYFUNCTION("GOOGLETRANSLATE(B246,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46" s="23" t="str">
        <f>IFERROR(__xludf.DUMMYFUNCTION("GOOGLETRANSLATE(B246, ""en"", ""pl"")"),"Uważamy wszystkie stworzenia wokół siebie. Te stworzenia nie biorą szkód następnym razem, gdy zostaną uszkodzone.")</f>
        <v>Uważamy wszystkie stworzenia wokół siebie. Te stworzenia nie biorą szkód następnym razem, gdy zostaną uszkodzone.</v>
      </c>
      <c r="J246" s="25" t="str">
        <f>IFERROR(__xludf.DUMMYFUNCTION("GOOGLETRANSLATE(B246, ""en"", ""zh"")"),"迷惑自己周围的所有生物。这些生物下次损坏时不会损坏。")</f>
        <v>迷惑自己周围的所有生物。这些生物下次损坏时不会损坏。</v>
      </c>
      <c r="K246" s="25" t="str">
        <f>IFERROR(__xludf.DUMMYFUNCTION("GOOGLETRANSLATE(B246,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46" s="26" t="str">
        <f>IFERROR(__xludf.DUMMYFUNCTION("GOOGLETRANSLATE(B246, ""en"", ""hr"")"),"Očarava sva stvorenja oko sebe. Ta stvorenja ne štete sljedeći put kad bi bili oštećeni.")</f>
        <v>Očarava sva stvorenja oko sebe. Ta stvorenja ne štete sljedeći put kad bi bili oštećeni.</v>
      </c>
      <c r="M246" s="28"/>
      <c r="N246" s="28"/>
      <c r="O246" s="28"/>
      <c r="P246" s="28"/>
      <c r="Q246" s="28"/>
      <c r="R246" s="28"/>
      <c r="S246" s="28"/>
      <c r="T246" s="28"/>
      <c r="U246" s="28"/>
      <c r="V246" s="28"/>
      <c r="W246" s="28"/>
      <c r="X246" s="28"/>
      <c r="Y246" s="28"/>
      <c r="Z246" s="28"/>
      <c r="AA246" s="28"/>
      <c r="AB246" s="28"/>
    </row>
    <row r="247">
      <c r="A247" s="21" t="s">
        <v>831</v>
      </c>
      <c r="B247" s="22" t="s">
        <v>832</v>
      </c>
      <c r="C247" s="23" t="str">
        <f>IFERROR(__xludf.DUMMYFUNCTION("GOOGLETRANSLATE(B247, ""en"", ""fr"")"),"Faire défiler le nettoyage")</f>
        <v>Faire défiler le nettoyage</v>
      </c>
      <c r="D247" s="23" t="str">
        <f>IFERROR(__xludf.DUMMYFUNCTION("GOOGLETRANSLATE(B247, ""en"", ""es"")"),"Desplazamiento de la limpieza")</f>
        <v>Desplazamiento de la limpieza</v>
      </c>
      <c r="E247" s="23" t="str">
        <f>IFERROR(__xludf.DUMMYFUNCTION("GOOGLETRANSLATE(B247, ""en"", ""ru"")"),"Свиток очищения")</f>
        <v>Свиток очищения</v>
      </c>
      <c r="F247" s="23" t="str">
        <f>IFERROR(__xludf.DUMMYFUNCTION("GOOGLETRANSLATE(B247, ""en"", ""tr"")"),"Temizleme kaydırma")</f>
        <v>Temizleme kaydırma</v>
      </c>
      <c r="G247" s="23" t="str">
        <f>IFERROR(__xludf.DUMMYFUNCTION("GOOGLETRANSLATE(B247, ""en"", ""pt"")"),"Rolo de limpeza")</f>
        <v>Rolo de limpeza</v>
      </c>
      <c r="H247" s="24" t="str">
        <f>IFERROR(__xludf.DUMMYFUNCTION("GOOGLETRANSLATE(B247, ""en"", ""de"")"),"Rollen der Reinigung")</f>
        <v>Rollen der Reinigung</v>
      </c>
      <c r="I247" s="23" t="str">
        <f>IFERROR(__xludf.DUMMYFUNCTION("GOOGLETRANSLATE(B247, ""en"", ""pl"")"),"Przewiń oczyszczanie")</f>
        <v>Przewiń oczyszczanie</v>
      </c>
      <c r="J247" s="25" t="str">
        <f>IFERROR(__xludf.DUMMYFUNCTION("GOOGLETRANSLATE(B247, ""en"", ""zh"")"),"卷轴清洁")</f>
        <v>卷轴清洁</v>
      </c>
      <c r="K247" s="25" t="str">
        <f>IFERROR(__xludf.DUMMYFUNCTION("GOOGLETRANSLATE(B247, ""en"", ""vi"")"),"Cuộn làm sạch")</f>
        <v>Cuộn làm sạch</v>
      </c>
      <c r="L247" s="26" t="str">
        <f>IFERROR(__xludf.DUMMYFUNCTION("GOOGLETRANSLATE(B247, ""en"", ""hr"")"),"Pomicanje čišćenja")</f>
        <v>Pomicanje čišćenja</v>
      </c>
      <c r="M247" s="28"/>
      <c r="N247" s="28"/>
      <c r="O247" s="28"/>
      <c r="P247" s="28"/>
      <c r="Q247" s="28"/>
      <c r="R247" s="28"/>
      <c r="S247" s="28"/>
      <c r="T247" s="28"/>
      <c r="U247" s="28"/>
      <c r="V247" s="28"/>
      <c r="W247" s="28"/>
      <c r="X247" s="28"/>
      <c r="Y247" s="28"/>
      <c r="Z247" s="28"/>
      <c r="AA247" s="28"/>
      <c r="AB247" s="28"/>
    </row>
    <row r="248">
      <c r="A248" s="21" t="s">
        <v>833</v>
      </c>
      <c r="B248" s="22" t="s">
        <v>834</v>
      </c>
      <c r="C248" s="23" t="str">
        <f>IFERROR(__xludf.DUMMYFUNCTION("GOOGLETRANSLATE(B248, ""en"", ""fr"")"),"Supprime les malédictions sur toutes les créatures autour de vous. Guérit pour chaque malédiction supprimée.")</f>
        <v>Supprime les malédictions sur toutes les créatures autour de vous. Guérit pour chaque malédiction supprimée.</v>
      </c>
      <c r="D248" s="23" t="str">
        <f>IFERROR(__xludf.DUMMYFUNCTION("GOOGLETRANSLATE(B248, ""en"", ""es"")"),"Elimina maldiciones en todas las criaturas a su alrededor. Cura por cada maldición eliminada.")</f>
        <v>Elimina maldiciones en todas las criaturas a su alrededor. Cura por cada maldición eliminada.</v>
      </c>
      <c r="E248" s="23" t="str">
        <f>IFERROR(__xludf.DUMMYFUNCTION("GOOGLETRANSLATE(B248,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48" s="23" t="str">
        <f>IFERROR(__xludf.DUMMYFUNCTION("GOOGLETRANSLATE(B248, ""en"", ""tr"")"),"Etrafınızdaki tüm canlılardaki lanetleri kaldırır. Kaldırılan her lanet için iyileşir.")</f>
        <v>Etrafınızdaki tüm canlılardaki lanetleri kaldırır. Kaldırılan her lanet için iyileşir.</v>
      </c>
      <c r="G248" s="23" t="str">
        <f>IFERROR(__xludf.DUMMYFUNCTION("GOOGLETRANSLATE(B248, ""en"", ""pt"")"),"Remove as maldições em todas as criaturas ao seu redor. Cura para cada maldição removida.")</f>
        <v>Remove as maldições em todas as criaturas ao seu redor. Cura para cada maldição removida.</v>
      </c>
      <c r="H248" s="24" t="str">
        <f>IFERROR(__xludf.DUMMYFUNCTION("GOOGLETRANSLATE(B248, ""en"", ""de"")"),"Entfernt Flüche auf allen Kreaturen um sich selbst. Heilt für jeden Fluch entfernt.")</f>
        <v>Entfernt Flüche auf allen Kreaturen um sich selbst. Heilt für jeden Fluch entfernt.</v>
      </c>
      <c r="I248" s="23" t="str">
        <f>IFERROR(__xludf.DUMMYFUNCTION("GOOGLETRANSLATE(B248, ""en"", ""pl"")"),"Usuwa przekleństwa na wszystkie stworzenia wokół siebie. Uzdrawiają się na każdą klątwę.")</f>
        <v>Usuwa przekleństwa na wszystkie stworzenia wokół siebie. Uzdrawiają się na każdą klątwę.</v>
      </c>
      <c r="J248" s="25" t="str">
        <f>IFERROR(__xludf.DUMMYFUNCTION("GOOGLETRANSLATE(B248, ""en"", ""zh"")"),"在自己周围的所有生物上删除诅咒。删除每个诅咒的治愈。")</f>
        <v>在自己周围的所有生物上删除诅咒。删除每个诅咒的治愈。</v>
      </c>
      <c r="K248" s="25" t="str">
        <f>IFERROR(__xludf.DUMMYFUNCTION("GOOGLETRANSLATE(B248,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48" s="26" t="str">
        <f>IFERROR(__xludf.DUMMYFUNCTION("GOOGLETRANSLATE(B248, ""en"", ""hr"")"),"Uklanja prokletstva na svim stvorenjima oko sebe. Liječi za svaki prokletstvo.")</f>
        <v>Uklanja prokletstva na svim stvorenjima oko sebe. Liječi za svaki prokletstvo.</v>
      </c>
      <c r="M248" s="28"/>
      <c r="N248" s="28"/>
      <c r="O248" s="28"/>
      <c r="P248" s="28"/>
      <c r="Q248" s="28"/>
      <c r="R248" s="28"/>
      <c r="S248" s="28"/>
      <c r="T248" s="28"/>
      <c r="U248" s="28"/>
      <c r="V248" s="28"/>
      <c r="W248" s="28"/>
      <c r="X248" s="28"/>
      <c r="Y248" s="28"/>
      <c r="Z248" s="28"/>
      <c r="AA248" s="28"/>
      <c r="AB248" s="28"/>
    </row>
    <row r="249">
      <c r="A249" s="21" t="s">
        <v>835</v>
      </c>
      <c r="B249" s="22" t="s">
        <v>836</v>
      </c>
      <c r="C249" s="23" t="str">
        <f>IFERROR(__xludf.DUMMYFUNCTION("GOOGLETRANSLATE(B249, ""en"", ""fr"")"),"Faire défiler de pacifier")</f>
        <v>Faire défiler de pacifier</v>
      </c>
      <c r="D249" s="23" t="str">
        <f>IFERROR(__xludf.DUMMYFUNCTION("GOOGLETRANSLATE(B249, ""en"", ""es"")"),"Desplazamiento de pacificar")</f>
        <v>Desplazamiento de pacificar</v>
      </c>
      <c r="E249" s="23" t="str">
        <f>IFERROR(__xludf.DUMMYFUNCTION("GOOGLETRANSLATE(B249, ""en"", ""ru"")"),"Прокрутка умиротворения")</f>
        <v>Прокрутка умиротворения</v>
      </c>
      <c r="F249" s="23" t="str">
        <f>IFERROR(__xludf.DUMMYFUNCTION("GOOGLETRANSLATE(B249, ""en"", ""tr"")"),"Pasifikasyonun kaydırılması")</f>
        <v>Pasifikasyonun kaydırılması</v>
      </c>
      <c r="G249" s="23" t="str">
        <f>IFERROR(__xludf.DUMMYFUNCTION("GOOGLETRANSLATE(B249, ""en"", ""pt"")"),"Rolar de pacificar")</f>
        <v>Rolar de pacificar</v>
      </c>
      <c r="H249" s="24" t="str">
        <f>IFERROR(__xludf.DUMMYFUNCTION("GOOGLETRANSLATE(B249, ""en"", ""de"")"),"Scrollen von Pecify.")</f>
        <v>Scrollen von Pecify.</v>
      </c>
      <c r="I249" s="23" t="str">
        <f>IFERROR(__xludf.DUMMYFUNCTION("GOOGLETRANSLATE(B249, ""en"", ""pl"")"),"Przewiń pacyfikacji.")</f>
        <v>Przewiń pacyfikacji.</v>
      </c>
      <c r="J249" s="25" t="str">
        <f>IFERROR(__xludf.DUMMYFUNCTION("GOOGLETRANSLATE(B249, ""en"", ""zh"")"),"安抚抚平卷轴")</f>
        <v>安抚抚平卷轴</v>
      </c>
      <c r="K249" s="25" t="str">
        <f>IFERROR(__xludf.DUMMYFUNCTION("GOOGLETRANSLATE(B249, ""en"", ""vi"")"),"Cuộn bình định")</f>
        <v>Cuộn bình định</v>
      </c>
      <c r="L249" s="26" t="str">
        <f>IFERROR(__xludf.DUMMYFUNCTION("GOOGLETRANSLATE(B249, ""en"", ""hr"")"),"Pomicanje da smiri smiriti smiriti")</f>
        <v>Pomicanje da smiri smiriti smiriti</v>
      </c>
      <c r="M249" s="28"/>
      <c r="N249" s="28"/>
      <c r="O249" s="28"/>
      <c r="P249" s="28"/>
      <c r="Q249" s="28"/>
      <c r="R249" s="28"/>
      <c r="S249" s="28"/>
      <c r="T249" s="28"/>
      <c r="U249" s="28"/>
      <c r="V249" s="28"/>
      <c r="W249" s="28"/>
      <c r="X249" s="28"/>
      <c r="Y249" s="28"/>
      <c r="Z249" s="28"/>
      <c r="AA249" s="28"/>
      <c r="AB249" s="28"/>
    </row>
    <row r="250">
      <c r="A250" s="21" t="s">
        <v>837</v>
      </c>
      <c r="B250" s="22" t="s">
        <v>838</v>
      </c>
      <c r="C250" s="23" t="str">
        <f>IFERROR(__xludf.DUMMYFUNCTION("GOOGLETRANSLATE(B250, ""en"", ""fr"")"),"Malédiction de la cible. Pour une courte durée, la cible ne peut pas attaquer.")</f>
        <v>Malédiction de la cible. Pour une courte durée, la cible ne peut pas attaquer.</v>
      </c>
      <c r="D250" s="23" t="str">
        <f>IFERROR(__xludf.DUMMYFUNCTION("GOOGLETRANSLATE(B250, ""en"", ""es"")"),"Maldice el objetivo. Durante una breve duración, el objetivo no puede atacar.")</f>
        <v>Maldice el objetivo. Durante una breve duración, el objetivo no puede atacar.</v>
      </c>
      <c r="E250" s="23" t="str">
        <f>IFERROR(__xludf.DUMMYFUNCTION("GOOGLETRANSLATE(B250, ""en"", ""ru"")"),"Проклинает цель. На некоторое время цель не может атаковать.")</f>
        <v>Проклинает цель. На некоторое время цель не может атаковать.</v>
      </c>
      <c r="F250" s="23" t="str">
        <f>IFERROR(__xludf.DUMMYFUNCTION("GOOGLETRANSLATE(B250, ""en"", ""tr"")"),"Hedefi lanetler. Kısa bir süre için, hedef saldıramaz.")</f>
        <v>Hedefi lanetler. Kısa bir süre için, hedef saldıramaz.</v>
      </c>
      <c r="G250" s="23" t="str">
        <f>IFERROR(__xludf.DUMMYFUNCTION("GOOGLETRANSLATE(B250, ""en"", ""pt"")"),"Amaldiçoa o alvo. Por uma curta duração, o alvo não pode atacar.")</f>
        <v>Amaldiçoa o alvo. Por uma curta duração, o alvo não pode atacar.</v>
      </c>
      <c r="H250" s="24" t="str">
        <f>IFERROR(__xludf.DUMMYFUNCTION("GOOGLETRANSLATE(B250, ""en"", ""de"")"),"Flattert das Ziel. Für eine kurze Dauer kann das Ziel nicht angreifen.")</f>
        <v>Flattert das Ziel. Für eine kurze Dauer kann das Ziel nicht angreifen.</v>
      </c>
      <c r="I250" s="23" t="str">
        <f>IFERROR(__xludf.DUMMYFUNCTION("GOOGLETRANSLATE(B250, ""en"", ""pl"")"),"Przeklinać cel. Przez krótki czas cel nie może atakować.")</f>
        <v>Przeklinać cel. Przez krótki czas cel nie może atakować.</v>
      </c>
      <c r="J250" s="25" t="str">
        <f>IFERROR(__xludf.DUMMYFUNCTION("GOOGLETRANSLATE(B250, ""en"", ""zh"")"),"诅咒目标。在短时间内，目标无法攻击。")</f>
        <v>诅咒目标。在短时间内，目标无法攻击。</v>
      </c>
      <c r="K250" s="25" t="str">
        <f>IFERROR(__xludf.DUMMYFUNCTION("GOOGLETRANSLATE(B250, ""en"", ""vi"")"),"Nguyền rủa mục tiêu. Trong một thời gian ngắn, mục tiêu không thể tấn công.")</f>
        <v>Nguyền rủa mục tiêu. Trong một thời gian ngắn, mục tiêu không thể tấn công.</v>
      </c>
      <c r="L250" s="26" t="str">
        <f>IFERROR(__xludf.DUMMYFUNCTION("GOOGLETRANSLATE(B250, ""en"", ""hr"")"),"Prokleti cilj. Za kratko trajanje, cilj ne može napasti.")</f>
        <v>Prokleti cilj. Za kratko trajanje, cilj ne može napasti.</v>
      </c>
      <c r="M250" s="28"/>
      <c r="N250" s="28"/>
      <c r="O250" s="28"/>
      <c r="P250" s="28"/>
      <c r="Q250" s="28"/>
      <c r="R250" s="28"/>
      <c r="S250" s="28"/>
      <c r="T250" s="28"/>
      <c r="U250" s="28"/>
      <c r="V250" s="28"/>
      <c r="W250" s="28"/>
      <c r="X250" s="28"/>
      <c r="Y250" s="28"/>
      <c r="Z250" s="28"/>
      <c r="AA250" s="28"/>
      <c r="AB250" s="28"/>
    </row>
    <row r="251">
      <c r="A251" s="21" t="s">
        <v>839</v>
      </c>
      <c r="B251" s="22" t="s">
        <v>840</v>
      </c>
      <c r="C251" s="23" t="str">
        <f>IFERROR(__xludf.DUMMYFUNCTION("GOOGLETRANSLATE(B251, ""en"", ""fr"")"),"Faire défiler du vent arrière")</f>
        <v>Faire défiler du vent arrière</v>
      </c>
      <c r="D251" s="23" t="str">
        <f>IFERROR(__xludf.DUMMYFUNCTION("GOOGLETRANSLATE(B251, ""en"", ""es"")"),"Desplazarse de Tailwind")</f>
        <v>Desplazarse de Tailwind</v>
      </c>
      <c r="E251" s="23" t="str">
        <f>IFERROR(__xludf.DUMMYFUNCTION("GOOGLETRANSLATE(B251, ""en"", ""ru"")"),"Свиток хвостовой ветки")</f>
        <v>Свиток хвостовой ветки</v>
      </c>
      <c r="F251" s="23" t="str">
        <f>IFERROR(__xludf.DUMMYFUNCTION("GOOGLETRANSLATE(B251, ""en"", ""tr"")"),"Tailwind kaydırma")</f>
        <v>Tailwind kaydırma</v>
      </c>
      <c r="G251" s="23" t="str">
        <f>IFERROR(__xludf.DUMMYFUNCTION("GOOGLETRANSLATE(B251, ""en"", ""pt"")"),"Rolo de vento de cauda")</f>
        <v>Rolo de vento de cauda</v>
      </c>
      <c r="H251" s="24" t="str">
        <f>IFERROR(__xludf.DUMMYFUNCTION("GOOGLETRANSLATE(B251, ""en"", ""de"")"),"Blättern von RADWIND.")</f>
        <v>Blättern von RADWIND.</v>
      </c>
      <c r="I251" s="23" t="str">
        <f>IFERROR(__xludf.DUMMYFUNCTION("GOOGLETRANSLATE(B251, ""en"", ""pl"")"),"Przewiń Tailwind.")</f>
        <v>Przewiń Tailwind.</v>
      </c>
      <c r="J251" s="25" t="str">
        <f>IFERROR(__xludf.DUMMYFUNCTION("GOOGLETRANSLATE(B251, ""en"", ""zh"")"),"邮轮卷轴")</f>
        <v>邮轮卷轴</v>
      </c>
      <c r="K251" s="25" t="str">
        <f>IFERROR(__xludf.DUMMYFUNCTION("GOOGLETRANSLATE(B251, ""en"", ""vi"")"),"Cuộn Tailwind.")</f>
        <v>Cuộn Tailwind.</v>
      </c>
      <c r="L251" s="26" t="str">
        <f>IFERROR(__xludf.DUMMYFUNCTION("GOOGLETRANSLATE(B251, ""en"", ""hr"")"),"Svitak repa")</f>
        <v>Svitak repa</v>
      </c>
      <c r="M251" s="28"/>
      <c r="N251" s="28"/>
      <c r="O251" s="28"/>
      <c r="P251" s="28"/>
      <c r="Q251" s="28"/>
      <c r="R251" s="28"/>
      <c r="S251" s="28"/>
      <c r="T251" s="28"/>
      <c r="U251" s="28"/>
      <c r="V251" s="28"/>
      <c r="W251" s="28"/>
      <c r="X251" s="28"/>
      <c r="Y251" s="28"/>
      <c r="Z251" s="28"/>
      <c r="AA251" s="28"/>
      <c r="AB251" s="28"/>
    </row>
    <row r="252">
      <c r="A252" s="21" t="s">
        <v>841</v>
      </c>
      <c r="B252" s="22" t="s">
        <v>842</v>
      </c>
      <c r="C252" s="23" t="str">
        <f>IFERROR(__xludf.DUMMYFUNCTION("GOOGLETRANSLATE(B252, ""en"", ""fr"")"),"Crée du vent qui vous explose en avant.")</f>
        <v>Crée du vent qui vous explose en avant.</v>
      </c>
      <c r="D252" s="23" t="str">
        <f>IFERROR(__xludf.DUMMYFUNCTION("GOOGLETRANSLATE(B252, ""en"", ""es"")"),"Crea viento que te sopla hacia adelante.")</f>
        <v>Crea viento que te sopla hacia adelante.</v>
      </c>
      <c r="E252" s="23" t="str">
        <f>IFERROR(__xludf.DUMMYFUNCTION("GOOGLETRANSLATE(B252, ""en"", ""ru"")"),"Создает ветер, который поражает вас вперед.")</f>
        <v>Создает ветер, который поражает вас вперед.</v>
      </c>
      <c r="F252" s="23" t="str">
        <f>IFERROR(__xludf.DUMMYFUNCTION("GOOGLETRANSLATE(B252, ""en"", ""tr"")"),"Sizi ilerleten rüzgar yaratır.")</f>
        <v>Sizi ilerleten rüzgar yaratır.</v>
      </c>
      <c r="G252" s="23" t="str">
        <f>IFERROR(__xludf.DUMMYFUNCTION("GOOGLETRANSLATE(B252, ""en"", ""pt"")"),"Cria vento que te lança para frente.")</f>
        <v>Cria vento que te lança para frente.</v>
      </c>
      <c r="H252" s="24" t="str">
        <f>IFERROR(__xludf.DUMMYFUNCTION("GOOGLETRANSLATE(B252, ""en"", ""de"")"),"Erzeugt Wind, der Sie nach vorne bläst.")</f>
        <v>Erzeugt Wind, der Sie nach vorne bläst.</v>
      </c>
      <c r="I252" s="23" t="str">
        <f>IFERROR(__xludf.DUMMYFUNCTION("GOOGLETRANSLATE(B252, ""en"", ""pl"")"),"Tworzy wiatr, który ciosuje cię do przodu.")</f>
        <v>Tworzy wiatr, który ciosuje cię do przodu.</v>
      </c>
      <c r="J252" s="25" t="str">
        <f>IFERROR(__xludf.DUMMYFUNCTION("GOOGLETRANSLATE(B252, ""en"", ""zh"")"),"创造吹向你的风。")</f>
        <v>创造吹向你的风。</v>
      </c>
      <c r="K252" s="25" t="str">
        <f>IFERROR(__xludf.DUMMYFUNCTION("GOOGLETRANSLATE(B252, ""en"", ""vi"")"),"Tạo ra gió thổi bạn về phía trước.")</f>
        <v>Tạo ra gió thổi bạn về phía trước.</v>
      </c>
      <c r="L252" s="26" t="str">
        <f>IFERROR(__xludf.DUMMYFUNCTION("GOOGLETRANSLATE(B252, ""en"", ""hr"")"),"Stvara vjetar koji vas puše naprijed.")</f>
        <v>Stvara vjetar koji vas puše naprijed.</v>
      </c>
      <c r="M252" s="28"/>
      <c r="N252" s="28"/>
      <c r="O252" s="28"/>
      <c r="P252" s="28"/>
      <c r="Q252" s="28"/>
      <c r="R252" s="28"/>
      <c r="S252" s="28"/>
      <c r="T252" s="28"/>
      <c r="U252" s="28"/>
      <c r="V252" s="28"/>
      <c r="W252" s="28"/>
      <c r="X252" s="28"/>
      <c r="Y252" s="28"/>
      <c r="Z252" s="28"/>
      <c r="AA252" s="28"/>
      <c r="AB252" s="28"/>
    </row>
    <row r="253">
      <c r="A253" s="21" t="s">
        <v>843</v>
      </c>
      <c r="B253" s="22" t="s">
        <v>844</v>
      </c>
      <c r="C253" s="23" t="str">
        <f>IFERROR(__xludf.DUMMYFUNCTION("GOOGLETRANSLATE(B253, ""en"", ""fr"")"),"Faire défiler de la réanimation")</f>
        <v>Faire défiler de la réanimation</v>
      </c>
      <c r="D253" s="23" t="str">
        <f>IFERROR(__xludf.DUMMYFUNCTION("GOOGLETRANSLATE(B253, ""en"", ""es"")"),"Desplazamiento de reanimación")</f>
        <v>Desplazamiento de reanimación</v>
      </c>
      <c r="E253" s="23" t="str">
        <f>IFERROR(__xludf.DUMMYFUNCTION("GOOGLETRANSLATE(B253, ""en"", ""ru"")"),"Свиток реанимации")</f>
        <v>Свиток реанимации</v>
      </c>
      <c r="F253" s="23" t="str">
        <f>IFERROR(__xludf.DUMMYFUNCTION("GOOGLETRANSLATE(B253, ""en"", ""tr"")"),"Reanimasyonun kaydırılması")</f>
        <v>Reanimasyonun kaydırılması</v>
      </c>
      <c r="G253" s="23" t="str">
        <f>IFERROR(__xludf.DUMMYFUNCTION("GOOGLETRANSLATE(B253, ""en"", ""pt"")"),"Rolo de reanimação")</f>
        <v>Rolo de reanimação</v>
      </c>
      <c r="H253" s="24" t="str">
        <f>IFERROR(__xludf.DUMMYFUNCTION("GOOGLETRANSLATE(B253, ""en"", ""de"")"),"Rüde von REANIMATION.")</f>
        <v>Rüde von REANIMATION.</v>
      </c>
      <c r="I253" s="23" t="str">
        <f>IFERROR(__xludf.DUMMYFUNCTION("GOOGLETRANSLATE(B253, ""en"", ""pl"")"),"Przewiń reanimacji")</f>
        <v>Przewiń reanimacji</v>
      </c>
      <c r="J253" s="25" t="str">
        <f>IFERROR(__xludf.DUMMYFUNCTION("GOOGLETRANSLATE(B253, ""en"", ""zh"")"),"卷合恢复")</f>
        <v>卷合恢复</v>
      </c>
      <c r="K253" s="25" t="str">
        <f>IFERROR(__xludf.DUMMYFUNCTION("GOOGLETRANSLATE(B253, ""en"", ""vi"")"),"Cuộn Reanimation")</f>
        <v>Cuộn Reanimation</v>
      </c>
      <c r="L253" s="26" t="str">
        <f>IFERROR(__xludf.DUMMYFUNCTION("GOOGLETRANSLATE(B253, ""en"", ""hr"")"),"Pomicanje od reanimacije")</f>
        <v>Pomicanje od reanimacije</v>
      </c>
      <c r="M253" s="28"/>
      <c r="N253" s="28"/>
      <c r="O253" s="28"/>
      <c r="P253" s="28"/>
      <c r="Q253" s="28"/>
      <c r="R253" s="28"/>
      <c r="S253" s="28"/>
      <c r="T253" s="28"/>
      <c r="U253" s="28"/>
      <c r="V253" s="28"/>
      <c r="W253" s="28"/>
      <c r="X253" s="28"/>
      <c r="Y253" s="28"/>
      <c r="Z253" s="28"/>
      <c r="AA253" s="28"/>
      <c r="AB253" s="28"/>
    </row>
    <row r="254">
      <c r="A254" s="21" t="s">
        <v>845</v>
      </c>
      <c r="B254" s="22" t="s">
        <v>846</v>
      </c>
      <c r="C254" s="23" t="str">
        <f>IFERROR(__xludf.DUMMYFUNCTION("GOOGLETRANSLATE(B254, ""en"", ""fr"")"),"Lève tous les cadavres autour de soi comme des minions du type de créature qu'ils étaient avant leur mort qui vous servira.")</f>
        <v>Lève tous les cadavres autour de soi comme des minions du type de créature qu'ils étaient avant leur mort qui vous servira.</v>
      </c>
      <c r="D254" s="23" t="str">
        <f>IFERROR(__xludf.DUMMYFUNCTION("GOOGLETRANSLATE(B254, ""en"", ""es"")"),"Levanta todos los cadáveres a su alrededor como Minions del tipo de criatura que estaban antes de morir, eso le servirá.")</f>
        <v>Levanta todos los cadáveres a su alrededor como Minions del tipo de criatura que estaban antes de morir, eso le servirá.</v>
      </c>
      <c r="E254" s="23" t="str">
        <f>IFERROR(__xludf.DUMMYFUNCTION("GOOGLETRANSLATE(B254,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4" s="23" t="str">
        <f>IFERROR(__xludf.DUMMYFUNCTION("GOOGLETRANSLATE(B254,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4" s="23" t="str">
        <f>IFERROR(__xludf.DUMMYFUNCTION("GOOGLETRANSLATE(B254,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4" s="24" t="str">
        <f>IFERROR(__xludf.DUMMYFUNCTION("GOOGLETRANSLATE(B254, ""en"", ""de"")"),"Erhöht alle Leichen um sich selbst als Zerwälte der Art der Kreatur, die sie waren, bevor sie starben, werden Sie dienen.")</f>
        <v>Erhöht alle Leichen um sich selbst als Zerwälte der Art der Kreatur, die sie waren, bevor sie starben, werden Sie dienen.</v>
      </c>
      <c r="I254" s="23" t="str">
        <f>IFERROR(__xludf.DUMMYFUNCTION("GOOGLETRANSLATE(B254, ""en"", ""pl"")"),"Podnosi wszystkie zwłoki wokół siebie jako minionych rodzaju stworzenia, które były, zanim umarli, które ci posługują.")</f>
        <v>Podnosi wszystkie zwłoki wokół siebie jako minionych rodzaju stworzenia, które były, zanim umarli, które ci posługują.</v>
      </c>
      <c r="J254" s="25" t="str">
        <f>IFERROR(__xludf.DUMMYFUNCTION("GOOGLETRANSLATE(B254, ""en"", ""zh"")"),"作为他们在他们死亡之前的生物类型的奴才来提升周围的所有尸体，这将为您服务。")</f>
        <v>作为他们在他们死亡之前的生物类型的奴才来提升周围的所有尸体，这将为您服务。</v>
      </c>
      <c r="K254" s="25" t="str">
        <f>IFERROR(__xludf.DUMMYFUNCTION("GOOGLETRANSLATE(B254,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4" s="26" t="str">
        <f>IFERROR(__xludf.DUMMYFUNCTION("GOOGLETRANSLATE(B254, ""en"", ""hr"")"),"Podiže sve leševe oko sebe kao minions vrste stvorenja koje su bile prije nego što su umrli da će vam poslužiti.")</f>
        <v>Podiže sve leševe oko sebe kao minions vrste stvorenja koje su bile prije nego što su umrli da će vam poslužiti.</v>
      </c>
      <c r="M254" s="28"/>
      <c r="N254" s="28"/>
      <c r="O254" s="28"/>
      <c r="P254" s="28"/>
      <c r="Q254" s="28"/>
      <c r="R254" s="28"/>
      <c r="S254" s="28"/>
      <c r="T254" s="28"/>
      <c r="U254" s="28"/>
      <c r="V254" s="28"/>
      <c r="W254" s="28"/>
      <c r="X254" s="28"/>
      <c r="Y254" s="28"/>
      <c r="Z254" s="28"/>
      <c r="AA254" s="28"/>
      <c r="AB254" s="28"/>
    </row>
    <row r="255">
      <c r="A255" s="21" t="s">
        <v>847</v>
      </c>
      <c r="B255" s="22" t="s">
        <v>848</v>
      </c>
      <c r="C255" s="23" t="str">
        <f>IFERROR(__xludf.DUMMYFUNCTION("GOOGLETRANSLATE(B255, ""en"", ""fr"")"),"Faire défiler de consommer")</f>
        <v>Faire défiler de consommer</v>
      </c>
      <c r="D255" s="23" t="str">
        <f>IFERROR(__xludf.DUMMYFUNCTION("GOOGLETRANSLATE(B255, ""en"", ""es"")"),"Desplazamiento de consumo")</f>
        <v>Desplazamiento de consumo</v>
      </c>
      <c r="E255" s="23" t="str">
        <f>IFERROR(__xludf.DUMMYFUNCTION("GOOGLETRANSLATE(B255, ""en"", ""ru"")"),"Свиток потребления")</f>
        <v>Свиток потребления</v>
      </c>
      <c r="F255" s="23" t="str">
        <f>IFERROR(__xludf.DUMMYFUNCTION("GOOGLETRANSLATE(B255, ""en"", ""tr"")"),"Tüketmek kaydırma")</f>
        <v>Tüketmek kaydırma</v>
      </c>
      <c r="G255" s="23" t="str">
        <f>IFERROR(__xludf.DUMMYFUNCTION("GOOGLETRANSLATE(B255, ""en"", ""pt"")"),"Rolar de consumo")</f>
        <v>Rolar de consumo</v>
      </c>
      <c r="H255" s="24" t="str">
        <f>IFERROR(__xludf.DUMMYFUNCTION("GOOGLETRANSLATE(B255, ""en"", ""de"")"),"Scrollen von Konsume.")</f>
        <v>Scrollen von Konsume.</v>
      </c>
      <c r="I255" s="23" t="str">
        <f>IFERROR(__xludf.DUMMYFUNCTION("GOOGLETRANSLATE(B255, ""en"", ""pl"")"),"Zwój konsumacji")</f>
        <v>Zwój konsumacji</v>
      </c>
      <c r="J255" s="25" t="str">
        <f>IFERROR(__xludf.DUMMYFUNCTION("GOOGLETRANSLATE(B255, ""en"", ""zh"")"),"滚动消费")</f>
        <v>滚动消费</v>
      </c>
      <c r="K255" s="25" t="str">
        <f>IFERROR(__xludf.DUMMYFUNCTION("GOOGLETRANSLATE(B255, ""en"", ""vi"")"),"Cuộn tiêu thụ")</f>
        <v>Cuộn tiêu thụ</v>
      </c>
      <c r="L255" s="26" t="str">
        <f>IFERROR(__xludf.DUMMYFUNCTION("GOOGLETRANSLATE(B255, ""en"", ""hr"")"),"Pomicanje po konzumiranju")</f>
        <v>Pomicanje po konzumiranju</v>
      </c>
      <c r="M255" s="28"/>
      <c r="N255" s="28"/>
      <c r="O255" s="28"/>
      <c r="P255" s="28"/>
      <c r="Q255" s="28"/>
      <c r="R255" s="28"/>
      <c r="S255" s="28"/>
      <c r="T255" s="28"/>
      <c r="U255" s="28"/>
      <c r="V255" s="28"/>
      <c r="W255" s="28"/>
      <c r="X255" s="28"/>
      <c r="Y255" s="28"/>
      <c r="Z255" s="28"/>
      <c r="AA255" s="28"/>
      <c r="AB255" s="28"/>
    </row>
    <row r="256">
      <c r="A256" s="21" t="s">
        <v>849</v>
      </c>
      <c r="B256" s="22" t="s">
        <v>850</v>
      </c>
      <c r="C256" s="23" t="str">
        <f>IFERROR(__xludf.DUMMYFUNCTION("GOOGLETRANSLATE(B256, ""en"", ""fr"")"),"Détruisez une minion que vous contrôlez dans la direction de la cible pour vous guérir.")</f>
        <v>Détruisez une minion que vous contrôlez dans la direction de la cible pour vous guérir.</v>
      </c>
      <c r="D256" s="23" t="str">
        <f>IFERROR(__xludf.DUMMYFUNCTION("GOOGLETRANSLATE(B256, ""en"", ""es"")"),"Destruye un minio que controlas en la dirección del objetivo para curarse a ti mismo.")</f>
        <v>Destruye un minio que controlas en la dirección del objetivo para curarse a ti mismo.</v>
      </c>
      <c r="E256" s="23" t="str">
        <f>IFERROR(__xludf.DUMMYFUNCTION("GOOGLETRANSLATE(B256,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56" s="23" t="str">
        <f>IFERROR(__xludf.DUMMYFUNCTION("GOOGLETRANSLATE(B256, ""en"", ""tr"")"),"Kendinizi iyileştirmek için hedef yönünde kontrol ettiğiniz bir minyonu yok edin.")</f>
        <v>Kendinizi iyileştirmek için hedef yönünde kontrol ettiğiniz bir minyonu yok edin.</v>
      </c>
      <c r="G256" s="23" t="str">
        <f>IFERROR(__xludf.DUMMYFUNCTION("GOOGLETRANSLATE(B256, ""en"", ""pt"")"),"Destrua um minion que você controle na direção do alvo para se curar.")</f>
        <v>Destrua um minion que você controle na direção do alvo para se curar.</v>
      </c>
      <c r="H256" s="24" t="str">
        <f>IFERROR(__xludf.DUMMYFUNCTION("GOOGLETRANSLATE(B256, ""en"", ""de"")"),"Zerstöre einen Minion, den du in der Zielrichtung kontrollierst, um dich selbst zu heilen.")</f>
        <v>Zerstöre einen Minion, den du in der Zielrichtung kontrollierst, um dich selbst zu heilen.</v>
      </c>
      <c r="I256" s="23" t="str">
        <f>IFERROR(__xludf.DUMMYFUNCTION("GOOGLETRANSLATE(B256, ""en"", ""pl"")"),"Zniszcz sługę, którą kontrolujesz w kierunku docelowym, aby się uleczyć.")</f>
        <v>Zniszcz sługę, którą kontrolujesz w kierunku docelowym, aby się uleczyć.</v>
      </c>
      <c r="J256" s="25" t="str">
        <f>IFERROR(__xludf.DUMMYFUNCTION("GOOGLETRANSLATE(B256, ""en"", ""zh"")"),"摧毁你在目标方向上控制的仆从来治愈自己。")</f>
        <v>摧毁你在目标方向上控制的仆从来治愈自己。</v>
      </c>
      <c r="K256" s="25" t="str">
        <f>IFERROR(__xludf.DUMMYFUNCTION("GOOGLETRANSLATE(B256, ""en"", ""vi"")"),"Phá hủy một minion mà bạn kiểm soát theo hướng mục tiêu để chữa lành bản thân.")</f>
        <v>Phá hủy một minion mà bạn kiểm soát theo hướng mục tiêu để chữa lành bản thân.</v>
      </c>
      <c r="L256" s="26" t="str">
        <f>IFERROR(__xludf.DUMMYFUNCTION("GOOGLETRANSLATE(B256, ""en"", ""hr"")"),"Uništite minion koji kontrolirate u ciljnom smjeru kako biste se izliječili.")</f>
        <v>Uništite minion koji kontrolirate u ciljnom smjeru kako biste se izliječili.</v>
      </c>
      <c r="M256" s="28"/>
      <c r="N256" s="28"/>
      <c r="O256" s="28"/>
      <c r="P256" s="28"/>
      <c r="Q256" s="28"/>
      <c r="R256" s="28"/>
      <c r="S256" s="28"/>
      <c r="T256" s="28"/>
      <c r="U256" s="28"/>
      <c r="V256" s="28"/>
      <c r="W256" s="28"/>
      <c r="X256" s="28"/>
      <c r="Y256" s="28"/>
      <c r="Z256" s="28"/>
      <c r="AA256" s="28"/>
      <c r="AB256" s="28"/>
    </row>
    <row r="257">
      <c r="A257" s="21" t="s">
        <v>851</v>
      </c>
      <c r="B257" s="22" t="s">
        <v>852</v>
      </c>
      <c r="C257" s="23" t="str">
        <f>IFERROR(__xludf.DUMMYFUNCTION("GOOGLETRANSLATE(B257, ""en"", ""fr"")"),"Faire défiler de la mort")</f>
        <v>Faire défiler de la mort</v>
      </c>
      <c r="D257" s="23" t="str">
        <f>IFERROR(__xludf.DUMMYFUNCTION("GOOGLETRANSLATE(B257, ""en"", ""es"")"),"Desplazamiento de Deathbind")</f>
        <v>Desplazamiento de Deathbind</v>
      </c>
      <c r="E257" s="23" t="str">
        <f>IFERROR(__xludf.DUMMYFUNCTION("GOOGLETRANSLATE(B257, ""en"", ""ru"")"),"Свиток Deathbind")</f>
        <v>Свиток Deathbind</v>
      </c>
      <c r="F257" s="23" t="str">
        <f>IFERROR(__xludf.DUMMYFUNCTION("GOOGLETRANSLATE(B257, ""en"", ""tr"")"),"Deathbind'un kaydırılması")</f>
        <v>Deathbind'un kaydırılması</v>
      </c>
      <c r="G257" s="23" t="str">
        <f>IFERROR(__xludf.DUMMYFUNCTION("GOOGLETRANSLATE(B257, ""en"", ""pt"")"),"Pergaminho de Deathbind")</f>
        <v>Pergaminho de Deathbind</v>
      </c>
      <c r="H257" s="24" t="str">
        <f>IFERROR(__xludf.DUMMYFUNCTION("GOOGLETRANSLATE(B257, ""en"", ""de"")"),"Blättern Sie nach der Todesbinder")</f>
        <v>Blättern Sie nach der Todesbinder</v>
      </c>
      <c r="I257" s="23" t="str">
        <f>IFERROR(__xludf.DUMMYFUNCTION("GOOGLETRANSLATE(B257, ""en"", ""pl"")"),"Przewiń DeathBind.")</f>
        <v>Przewiń DeathBind.</v>
      </c>
      <c r="J257" s="25" t="str">
        <f>IFERROR(__xludf.DUMMYFUNCTION("GOOGLETRANSLATE(B257, ""en"", ""zh"")"),"Deathbind卷轴")</f>
        <v>Deathbind卷轴</v>
      </c>
      <c r="K257" s="25" t="str">
        <f>IFERROR(__xludf.DUMMYFUNCTION("GOOGLETRANSLATE(B257, ""en"", ""vi"")"),"Cuộn deathbind.")</f>
        <v>Cuộn deathbind.</v>
      </c>
      <c r="L257" s="26" t="str">
        <f>IFERROR(__xludf.DUMMYFUNCTION("GOOGLETRANSLATE(B257, ""en"", ""hr"")"),"Pomicanje od smrti")</f>
        <v>Pomicanje od smrti</v>
      </c>
      <c r="M257" s="28"/>
      <c r="N257" s="28"/>
      <c r="O257" s="28"/>
      <c r="P257" s="28"/>
      <c r="Q257" s="28"/>
      <c r="R257" s="28"/>
      <c r="S257" s="28"/>
      <c r="T257" s="28"/>
      <c r="U257" s="28"/>
      <c r="V257" s="28"/>
      <c r="W257" s="28"/>
      <c r="X257" s="28"/>
      <c r="Y257" s="28"/>
      <c r="Z257" s="28"/>
      <c r="AA257" s="28"/>
      <c r="AB257" s="28"/>
    </row>
    <row r="258">
      <c r="A258" s="21" t="s">
        <v>853</v>
      </c>
      <c r="B258" s="22" t="s">
        <v>854</v>
      </c>
      <c r="C258" s="23" t="str">
        <f>IFERROR(__xludf.DUMMYFUNCTION("GOOGLETRANSLATE(B258, ""en"", ""fr"")"),"Maudire la cible. Quand ils meurent, ils se transforment automatiquement en une minion undead non réclamée.")</f>
        <v>Maudire la cible. Quand ils meurent, ils se transforment automatiquement en une minion undead non réclamée.</v>
      </c>
      <c r="D258" s="23" t="str">
        <f>IFERROR(__xludf.DUMMYFUNCTION("GOOGLETRANSLATE(B258, ""en"", ""es"")"),"Maldecir el objetivo. Cuando mueren, se convierten en un no-muerto no reclamado automáticamente.")</f>
        <v>Maldecir el objetivo. Cuando mueren, se convierten en un no-muerto no reclamado automáticamente.</v>
      </c>
      <c r="E258" s="23" t="str">
        <f>IFERROR(__xludf.DUMMYFUNCTION("GOOGLETRANSLATE(B258,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58" s="23" t="str">
        <f>IFERROR(__xludf.DUMMYFUNCTION("GOOGLETRANSLATE(B258, ""en"", ""tr"")"),"Hedefi lanetleyin. Öldüklerinde, otomatik olarak belirtilmemiş bir ölümsüz minyona dönüşürler.")</f>
        <v>Hedefi lanetleyin. Öldüklerinde, otomatik olarak belirtilmemiş bir ölümsüz minyona dönüşürler.</v>
      </c>
      <c r="G258" s="23" t="str">
        <f>IFERROR(__xludf.DUMMYFUNCTION("GOOGLETRANSLATE(B258, ""en"", ""pt"")"),"Amaldiçoe o alvo. Quando eles morrem, eles se transformam em uma miniço morto-vivo não reclamado automaticamente.")</f>
        <v>Amaldiçoe o alvo. Quando eles morrem, eles se transformam em uma miniço morto-vivo não reclamado automaticamente.</v>
      </c>
      <c r="H258" s="24" t="str">
        <f>IFERROR(__xludf.DUMMYFUNCTION("GOOGLETRANSLATE(B258, ""en"", ""de"")"),"Verfluchen Sie das Ziel. Wenn sie sterben, werden sie automatisch in einen nicht beanspruchten Untote-Minion.")</f>
        <v>Verfluchen Sie das Ziel. Wenn sie sterben, werden sie automatisch in einen nicht beanspruchten Untote-Minion.</v>
      </c>
      <c r="I258" s="23" t="str">
        <f>IFERROR(__xludf.DUMMYFUNCTION("GOOGLETRANSLATE(B258, ""en"", ""pl"")"),"Przeklinać cel. Kiedy umierają, odwracają się w nieograniczony nieumarły Minion automatycznie.")</f>
        <v>Przeklinać cel. Kiedy umierają, odwracają się w nieograniczony nieumarły Minion automatycznie.</v>
      </c>
      <c r="J258" s="25" t="str">
        <f>IFERROR(__xludf.DUMMYFUNCTION("GOOGLETRANSLATE(B258, ""en"", ""zh"")"),"诅咒目标。当他们死去时，他们会自动变成一个无人认领的亡灵群。")</f>
        <v>诅咒目标。当他们死去时，他们会自动变成一个无人认领的亡灵群。</v>
      </c>
      <c r="K258" s="25" t="str">
        <f>IFERROR(__xludf.DUMMYFUNCTION("GOOGLETRANSLATE(B258, ""en"", ""vi"")"),"Nguyền rủa mục tiêu. Khi họ chết, họ tự động biến thành một Minion Undead không có người nhận.")</f>
        <v>Nguyền rủa mục tiêu. Khi họ chết, họ tự động biến thành một Minion Undead không có người nhận.</v>
      </c>
      <c r="L258" s="26" t="str">
        <f>IFERROR(__xludf.DUMMYFUNCTION("GOOGLETRANSLATE(B258, ""en"", ""hr"")"),"Prokleti cilj. Kada umru, automatski se pretvaraju u nepovratni undead Minion automatski.")</f>
        <v>Prokleti cilj. Kada umru, automatski se pretvaraju u nepovratni undead Minion automatski.</v>
      </c>
      <c r="M258" s="28"/>
      <c r="N258" s="28"/>
      <c r="O258" s="28"/>
      <c r="P258" s="28"/>
      <c r="Q258" s="28"/>
      <c r="R258" s="28"/>
      <c r="S258" s="28"/>
      <c r="T258" s="28"/>
      <c r="U258" s="28"/>
      <c r="V258" s="28"/>
      <c r="W258" s="28"/>
      <c r="X258" s="28"/>
      <c r="Y258" s="28"/>
      <c r="Z258" s="28"/>
      <c r="AA258" s="28"/>
      <c r="AB258" s="28"/>
    </row>
    <row r="259">
      <c r="A259" s="21" t="s">
        <v>855</v>
      </c>
      <c r="B259" s="22" t="s">
        <v>856</v>
      </c>
      <c r="C259" s="23" t="str">
        <f>IFERROR(__xludf.DUMMYFUNCTION("GOOGLETRANSLATE(B259, ""en"", ""fr"")"),"Faire défiler de l'écart")</f>
        <v>Faire défiler de l'écart</v>
      </c>
      <c r="D259" s="23" t="str">
        <f>IFERROR(__xludf.DUMMYFUNCTION("GOOGLETRANSLATE(B259, ""en"", ""es"")"),"Desplazamiento de armas")</f>
        <v>Desplazamiento de armas</v>
      </c>
      <c r="E259" s="23" t="str">
        <f>IFERROR(__xludf.DUMMYFUNCTION("GOOGLETRANSLATE(B259, ""en"", ""ru"")"),"Свиток enthrall")</f>
        <v>Свиток enthrall</v>
      </c>
      <c r="F259" s="23" t="str">
        <f>IFERROR(__xludf.DUMMYFUNCTION("GOOGLETRANSLATE(B259, ""en"", ""tr"")"),"Engellinin kaydırılması")</f>
        <v>Engellinin kaydırılması</v>
      </c>
      <c r="G259" s="23" t="str">
        <f>IFERROR(__xludf.DUMMYFUNCTION("GOOGLETRANSLATE(B259, ""en"", ""pt"")"),"Rolo de enthrall.")</f>
        <v>Rolo de enthrall.</v>
      </c>
      <c r="H259" s="24" t="str">
        <f>IFERROR(__xludf.DUMMYFUNCTION("GOOGLETRANSLATE(B259, ""en"", ""de"")"),"Blättern von Mittrall.")</f>
        <v>Blättern von Mittrall.</v>
      </c>
      <c r="I259" s="23" t="str">
        <f>IFERROR(__xludf.DUMMYFUNCTION("GOOGLETRANSLATE(B259, ""en"", ""pl"")"),"Przewiń israll.")</f>
        <v>Przewiń israll.</v>
      </c>
      <c r="J259" s="25" t="str">
        <f>IFERROR(__xludf.DUMMYFUNCTION("GOOGLETRANSLATE(B259, ""en"", ""zh"")"),"scr")</f>
        <v>scr</v>
      </c>
      <c r="K259" s="25" t="str">
        <f>IFERROR(__xludf.DUMMYFUNCTION("GOOGLETRANSLATE(B259, ""en"", ""vi"")"),"Cuộn admrall.")</f>
        <v>Cuộn admrall.</v>
      </c>
      <c r="L259" s="26" t="str">
        <f>IFERROR(__xludf.DUMMYFUNCTION("GOOGLETRANSLATE(B259, ""en"", ""hr"")"),"Pomicanje od očaranja")</f>
        <v>Pomicanje od očaranja</v>
      </c>
      <c r="M259" s="28"/>
      <c r="N259" s="28"/>
      <c r="O259" s="28"/>
      <c r="P259" s="28"/>
      <c r="Q259" s="28"/>
      <c r="R259" s="28"/>
      <c r="S259" s="28"/>
      <c r="T259" s="28"/>
      <c r="U259" s="28"/>
      <c r="V259" s="28"/>
      <c r="W259" s="28"/>
      <c r="X259" s="28"/>
      <c r="Y259" s="28"/>
      <c r="Z259" s="28"/>
      <c r="AA259" s="28"/>
      <c r="AB259" s="28"/>
    </row>
    <row r="260">
      <c r="A260" s="21" t="s">
        <v>857</v>
      </c>
      <c r="B260" s="22" t="s">
        <v>858</v>
      </c>
      <c r="C260" s="23" t="str">
        <f>IFERROR(__xludf.DUMMYFUNCTION("GOOGLETRANSLATE(B260, ""en"", ""fr"")"),"Faites toutes les créatures non réclamées des morts-vivants autour de vous devenez vos minions.")</f>
        <v>Faites toutes les créatures non réclamées des morts-vivants autour de vous devenez vos minions.</v>
      </c>
      <c r="D260" s="23" t="str">
        <f>IFERROR(__xludf.DUMMYFUNCTION("GOOGLETRANSLATE(B260, ""en"", ""es"")"),"Haz que todas las criaturas no muertas no deseadas a tu alrededor se conviertan en tus secuaces.")</f>
        <v>Haz que todas las criaturas no muertas no deseadas a tu alrededor se conviertan en tus secuaces.</v>
      </c>
      <c r="E260" s="23" t="str">
        <f>IFERROR(__xludf.DUMMYFUNCTION("GOOGLETRANSLATE(B260,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0" s="23" t="str">
        <f>IFERROR(__xludf.DUMMYFUNCTION("GOOGLETRANSLATE(B260, ""en"", ""tr"")"),"Sahipsiz olmayan tüm yaşayan yaratıkları etrafınızdaki köleleriniz haline getirin.")</f>
        <v>Sahipsiz olmayan tüm yaşayan yaratıkları etrafınızdaki köleleriniz haline getirin.</v>
      </c>
      <c r="G260" s="23" t="str">
        <f>IFERROR(__xludf.DUMMYFUNCTION("GOOGLETRANSLATE(B260, ""en"", ""pt"")"),"Faça todas as criaturas mortas-moradas não reclamadas ao seu redor se tornarem seus lacaios.")</f>
        <v>Faça todas as criaturas mortas-moradas não reclamadas ao seu redor se tornarem seus lacaios.</v>
      </c>
      <c r="H260" s="24" t="str">
        <f>IFERROR(__xludf.DUMMYFUNCTION("GOOGLETRANSLATE(B260, ""en"", ""de"")"),"Machen Sie alle nicht beanspruchten Untotenkreaturen um Sie, um Ihre Scherz zu werden.")</f>
        <v>Machen Sie alle nicht beanspruchten Untotenkreaturen um Sie, um Ihre Scherz zu werden.</v>
      </c>
      <c r="I260" s="23" t="str">
        <f>IFERROR(__xludf.DUMMYFUNCTION("GOOGLETRANSLATE(B260, ""en"", ""pl"")"),"Spraw, by wszystkie nieodebrane istoty nieumarłych stały się twoimi sługami.")</f>
        <v>Spraw, by wszystkie nieodebrane istoty nieumarłych stały się twoimi sługami.</v>
      </c>
      <c r="J260" s="25" t="str">
        <f>IFERROR(__xludf.DUMMYFUNCTION("GOOGLETRANSLATE(B260, ""en"", ""zh"")"),"让所有无人认领的亡灵生物成为你的仆从。")</f>
        <v>让所有无人认领的亡灵生物成为你的仆从。</v>
      </c>
      <c r="K260" s="25" t="str">
        <f>IFERROR(__xludf.DUMMYFUNCTION("GOOGLETRANSLATE(B260, ""en"", ""vi"")"),"Làm cho tất cả các sinh vật Undead không có người nhận xung quanh bạn trở thành tay sai của bạn.")</f>
        <v>Làm cho tất cả các sinh vật Undead không có người nhận xung quanh bạn trở thành tay sai của bạn.</v>
      </c>
      <c r="L260" s="26" t="str">
        <f>IFERROR(__xludf.DUMMYFUNCTION("GOOGLETRANSLATE(B260, ""en"", ""hr"")"),"Učinite sve ne undead ne undead stvorenja oko vas postaju vaši slutići.")</f>
        <v>Učinite sve ne undead ne undead stvorenja oko vas postaju vaši slutići.</v>
      </c>
      <c r="M260" s="28"/>
      <c r="N260" s="28"/>
      <c r="O260" s="28"/>
      <c r="P260" s="28"/>
      <c r="Q260" s="28"/>
      <c r="R260" s="28"/>
      <c r="S260" s="28"/>
      <c r="T260" s="28"/>
      <c r="U260" s="28"/>
      <c r="V260" s="28"/>
      <c r="W260" s="28"/>
      <c r="X260" s="28"/>
      <c r="Y260" s="28"/>
      <c r="Z260" s="28"/>
      <c r="AA260" s="28"/>
      <c r="AB260" s="28"/>
    </row>
    <row r="261">
      <c r="A261" s="21" t="s">
        <v>859</v>
      </c>
      <c r="B261" s="22" t="s">
        <v>860</v>
      </c>
      <c r="C261" s="23" t="str">
        <f>IFERROR(__xludf.DUMMYFUNCTION("GOOGLETRANSLATE(B261, ""en"", ""fr"")"),"Marteau de gloire")</f>
        <v>Marteau de gloire</v>
      </c>
      <c r="D261" s="23" t="str">
        <f>IFERROR(__xludf.DUMMYFUNCTION("GOOGLETRANSLATE(B261, ""en"", ""es"")"),"Martillo de gloria")</f>
        <v>Martillo de gloria</v>
      </c>
      <c r="E261" s="23" t="str">
        <f>IFERROR(__xludf.DUMMYFUNCTION("GOOGLETRANSLATE(B261, ""en"", ""ru"")"),"Молоток славы")</f>
        <v>Молоток славы</v>
      </c>
      <c r="F261" s="23" t="str">
        <f>IFERROR(__xludf.DUMMYFUNCTION("GOOGLETRANSLATE(B261, ""en"", ""tr"")"),"Zafer çekiç")</f>
        <v>Zafer çekiç</v>
      </c>
      <c r="G261" s="23" t="str">
        <f>IFERROR(__xludf.DUMMYFUNCTION("GOOGLETRANSLATE(B261, ""en"", ""pt"")"),"Martelo de glória")</f>
        <v>Martelo de glória</v>
      </c>
      <c r="H261" s="24" t="str">
        <f>IFERROR(__xludf.DUMMYFUNCTION("GOOGLETRANSLATE(B261, ""en"", ""de"")"),"Ruhmhammer")</f>
        <v>Ruhmhammer</v>
      </c>
      <c r="I261" s="23" t="str">
        <f>IFERROR(__xludf.DUMMYFUNCTION("GOOGLETRANSLATE(B261, ""en"", ""pl"")"),"Hammer of Glory.")</f>
        <v>Hammer of Glory.</v>
      </c>
      <c r="J261" s="25" t="str">
        <f>IFERROR(__xludf.DUMMYFUNCTION("GOOGLETRANSLATE(B261, ""en"", ""zh"")"),"荣耀的锤子")</f>
        <v>荣耀的锤子</v>
      </c>
      <c r="K261" s="25" t="str">
        <f>IFERROR(__xludf.DUMMYFUNCTION("GOOGLETRANSLATE(B261, ""en"", ""vi"")"),"Búa vinh quang")</f>
        <v>Búa vinh quang</v>
      </c>
      <c r="L261" s="26" t="str">
        <f>IFERROR(__xludf.DUMMYFUNCTION("GOOGLETRANSLATE(B261, ""en"", ""hr"")"),"Čekić slave")</f>
        <v>Čekić slave</v>
      </c>
      <c r="M261" s="28"/>
      <c r="N261" s="28"/>
      <c r="O261" s="28"/>
      <c r="P261" s="28"/>
      <c r="Q261" s="28"/>
      <c r="R261" s="28"/>
      <c r="S261" s="28"/>
      <c r="T261" s="28"/>
      <c r="U261" s="28"/>
      <c r="V261" s="28"/>
      <c r="W261" s="28"/>
      <c r="X261" s="28"/>
      <c r="Y261" s="28"/>
      <c r="Z261" s="28"/>
      <c r="AA261" s="28"/>
      <c r="AB261" s="28"/>
    </row>
    <row r="262">
      <c r="A262" s="21" t="s">
        <v>861</v>
      </c>
      <c r="B262" s="22" t="s">
        <v>862</v>
      </c>
      <c r="C262" s="23" t="str">
        <f>IFERROR(__xludf.DUMMYFUNCTION("GOOGLETRANSLATE(B262,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62" s="23" t="str">
        <f>IFERROR(__xludf.DUMMYFUNCTION("GOOGLETRANSLATE(B262,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2" s="23" t="str">
        <f>IFERROR(__xludf.DUMMYFUNCTION("GOOGLETRANSLATE(B262,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2" s="23" t="str">
        <f>IFERROR(__xludf.DUMMYFUNCTION("GOOGLETRANSLATE(B262,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2" s="23" t="str">
        <f>IFERROR(__xludf.DUMMYFUNCTION("GOOGLETRANSLATE(B262,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2" s="24" t="str">
        <f>IFERROR(__xludf.DUMMYFUNCTION("GOOGLETRANSLATE(B262,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2" s="23" t="str">
        <f>IFERROR(__xludf.DUMMYFUNCTION("GOOGLETRANSLATE(B262,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2" s="25" t="str">
        <f>IFERROR(__xludf.DUMMYFUNCTION("GOOGLETRANSLATE(B262, ""en"", ""zh"")"),"遗迹。古代英雄使用的强大武器。在目标上造成破碎的骨头，并在周围的任何内容上，并将用户推回。")</f>
        <v>遗迹。古代英雄使用的强大武器。在目标上造成破碎的骨头，并在周围的任何内容上，并将用户推回。</v>
      </c>
      <c r="K262" s="25" t="str">
        <f>IFERROR(__xludf.DUMMYFUNCTION("GOOGLETRANSLATE(B262,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2" s="26" t="str">
        <f>IFERROR(__xludf.DUMMYFUNCTION("GOOGLETRANSLATE(B262, ""en"", ""hr"")"),"Relikvija. Moćno oružje koje koristi drevni heroji. Nanosi slomljena kosti na meti i na bilo čemu oko njih i gura korisnik natrag.")</f>
        <v>Relikvija. Moćno oružje koje koristi drevni heroji. Nanosi slomljena kosti na meti i na bilo čemu oko njih i gura korisnik natrag.</v>
      </c>
      <c r="M262" s="28"/>
      <c r="N262" s="28"/>
      <c r="O262" s="28"/>
      <c r="P262" s="28"/>
      <c r="Q262" s="28"/>
      <c r="R262" s="28"/>
      <c r="S262" s="28"/>
      <c r="T262" s="28"/>
      <c r="U262" s="28"/>
      <c r="V262" s="28"/>
      <c r="W262" s="28"/>
      <c r="X262" s="28"/>
      <c r="Y262" s="28"/>
      <c r="Z262" s="28"/>
      <c r="AA262" s="28"/>
      <c r="AB262" s="28"/>
    </row>
    <row r="263">
      <c r="A263" s="21" t="s">
        <v>863</v>
      </c>
      <c r="B263" s="22" t="s">
        <v>864</v>
      </c>
      <c r="C263" s="23" t="str">
        <f>IFERROR(__xludf.DUMMYFUNCTION("GOOGLETRANSLATE(B263, ""en"", ""fr"")"),"Armure de colère")</f>
        <v>Armure de colère</v>
      </c>
      <c r="D263" s="23" t="str">
        <f>IFERROR(__xludf.DUMMYFUNCTION("GOOGLETRANSLATE(B263, ""en"", ""es"")"),"Armadura de la ira")</f>
        <v>Armadura de la ira</v>
      </c>
      <c r="E263" s="23" t="str">
        <f>IFERROR(__xludf.DUMMYFUNCTION("GOOGLETRANSLATE(B263, ""en"", ""ru"")"),"Доспехи IRE.")</f>
        <v>Доспехи IRE.</v>
      </c>
      <c r="F263" s="23" t="str">
        <f>IFERROR(__xludf.DUMMYFUNCTION("GOOGLETRANSLATE(B263, ""en"", ""tr"")"),"İrin zırhı")</f>
        <v>İrin zırhı</v>
      </c>
      <c r="G263" s="23" t="str">
        <f>IFERROR(__xludf.DUMMYFUNCTION("GOOGLETRANSLATE(B263, ""en"", ""pt"")"),"Armadura de IRE.")</f>
        <v>Armadura de IRE.</v>
      </c>
      <c r="H263" s="24" t="str">
        <f>IFERROR(__xludf.DUMMYFUNCTION("GOOGLETRANSLATE(B263, ""en"", ""de"")"),"Rüstung von IRE.")</f>
        <v>Rüstung von IRE.</v>
      </c>
      <c r="I263" s="23" t="str">
        <f>IFERROR(__xludf.DUMMYFUNCTION("GOOGLETRANSLATE(B263, ""en"", ""pl"")"),"Armor Iri.")</f>
        <v>Armor Iri.</v>
      </c>
      <c r="J263" s="25" t="str">
        <f>IFERROR(__xludf.DUMMYFUNCTION("GOOGLETRANSLATE(B263, ""en"", ""zh"")"),"艾尔盔甲")</f>
        <v>艾尔盔甲</v>
      </c>
      <c r="K263" s="25" t="str">
        <f>IFERROR(__xludf.DUMMYFUNCTION("GOOGLETRANSLATE(B263, ""en"", ""vi"")"),"Áo giáp của ire.")</f>
        <v>Áo giáp của ire.</v>
      </c>
      <c r="L263" s="26" t="str">
        <f>IFERROR(__xludf.DUMMYFUNCTION("GOOGLETRANSLATE(B263, ""en"", ""hr"")"),"Oklop ire")</f>
        <v>Oklop ire</v>
      </c>
      <c r="M263" s="28"/>
      <c r="N263" s="28"/>
      <c r="O263" s="28"/>
      <c r="P263" s="28"/>
      <c r="Q263" s="28"/>
      <c r="R263" s="28"/>
      <c r="S263" s="28"/>
      <c r="T263" s="28"/>
      <c r="U263" s="28"/>
      <c r="V263" s="28"/>
      <c r="W263" s="28"/>
      <c r="X263" s="28"/>
      <c r="Y263" s="28"/>
      <c r="Z263" s="28"/>
      <c r="AA263" s="28"/>
      <c r="AB263" s="28"/>
    </row>
    <row r="264">
      <c r="A264" s="21" t="s">
        <v>865</v>
      </c>
      <c r="B264" s="22" t="s">
        <v>866</v>
      </c>
      <c r="C264" s="23" t="str">
        <f>IFERROR(__xludf.DUMMYFUNCTION("GOOGLETRANSLATE(B264,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4" s="23" t="str">
        <f>IFERROR(__xludf.DUMMYFUNCTION("GOOGLETRANSLATE(B264,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4" s="23" t="str">
        <f>IFERROR(__xludf.DUMMYFUNCTION("GOOGLETRANSLATE(B264,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4" s="23" t="str">
        <f>IFERROR(__xludf.DUMMYFUNCTION("GOOGLETRANSLATE(B264,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4" s="23" t="str">
        <f>IFERROR(__xludf.DUMMYFUNCTION("GOOGLETRANSLATE(B264,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4" s="24" t="str">
        <f>IFERROR(__xludf.DUMMYFUNCTION("GOOGLETRANSLATE(B264,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4" s="23" t="str">
        <f>IFERROR(__xludf.DUMMYFUNCTION("GOOGLETRANSLATE(B264,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4" s="25" t="str">
        <f>IFERROR(__xludf.DUMMYFUNCTION("GOOGLETRANSLATE(B264, ""en"", ""zh"")"),"遗迹。 Slain Demon Lord的外骨骼，他们的看法精神仍然存在。反映回到源的一部分损坏。")</f>
        <v>遗迹。 Slain Demon Lord的外骨骼，他们的看法精神仍然存在。反映回到源的一部分损坏。</v>
      </c>
      <c r="K264" s="25" t="str">
        <f>IFERROR(__xludf.DUMMYFUNCTION("GOOGLETRANSLATE(B264,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4" s="26" t="str">
        <f>IFERROR(__xludf.DUMMYFUNCTION("GOOGLETRANSLATE(B264,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4" s="28"/>
      <c r="N264" s="28"/>
      <c r="O264" s="28"/>
      <c r="P264" s="28"/>
      <c r="Q264" s="28"/>
      <c r="R264" s="28"/>
      <c r="S264" s="28"/>
      <c r="T264" s="28"/>
      <c r="U264" s="28"/>
      <c r="V264" s="28"/>
      <c r="W264" s="28"/>
      <c r="X264" s="28"/>
      <c r="Y264" s="28"/>
      <c r="Z264" s="28"/>
      <c r="AA264" s="28"/>
      <c r="AB264" s="28"/>
    </row>
    <row r="265">
      <c r="A265" s="21" t="s">
        <v>867</v>
      </c>
      <c r="B265" s="22" t="s">
        <v>868</v>
      </c>
      <c r="C265" s="23" t="str">
        <f>IFERROR(__xludf.DUMMYFUNCTION("GOOGLETRANSLATE(B265, ""en"", ""fr"")"),"Hellérant")</f>
        <v>Hellérant</v>
      </c>
      <c r="D265" s="23" t="str">
        <f>IFERROR(__xludf.DUMMYFUNCTION("GOOGLETRANSLATE(B265, ""en"", ""es"")"),"Hellraiser")</f>
        <v>Hellraiser</v>
      </c>
      <c r="E265" s="23" t="str">
        <f>IFERROR(__xludf.DUMMYFUNCTION("GOOGLETRANSLATE(B265, ""en"", ""ru"")"),"Эллизер")</f>
        <v>Эллизер</v>
      </c>
      <c r="F265" s="23" t="str">
        <f>IFERROR(__xludf.DUMMYFUNCTION("GOOGLETRANSLATE(B265, ""en"", ""tr"")"),"Hellraiser")</f>
        <v>Hellraiser</v>
      </c>
      <c r="G265" s="23" t="str">
        <f>IFERROR(__xludf.DUMMYFUNCTION("GOOGLETRANSLATE(B265, ""en"", ""pt"")"),"Hellraiser")</f>
        <v>Hellraiser</v>
      </c>
      <c r="H265" s="24" t="str">
        <f>IFERROR(__xludf.DUMMYFUNCTION("GOOGLETRANSLATE(B265, ""en"", ""de"")"),"Hellraiser")</f>
        <v>Hellraiser</v>
      </c>
      <c r="I265" s="23" t="str">
        <f>IFERROR(__xludf.DUMMYFUNCTION("GOOGLETRANSLATE(B265, ""en"", ""pl"")"),"Hellraiser.")</f>
        <v>Hellraiser.</v>
      </c>
      <c r="J265" s="25" t="str">
        <f>IFERROR(__xludf.DUMMYFUNCTION("GOOGLETRANSLATE(B265, ""en"", ""zh"")"),"hellraiser.")</f>
        <v>hellraiser.</v>
      </c>
      <c r="K265" s="25" t="str">
        <f>IFERROR(__xludf.DUMMYFUNCTION("GOOGLETRANSLATE(B265, ""en"", ""vi"")"),"Hellraiser.")</f>
        <v>Hellraiser.</v>
      </c>
      <c r="L265" s="26" t="str">
        <f>IFERROR(__xludf.DUMMYFUNCTION("GOOGLETRANSLATE(B265, ""en"", ""hr"")"),"Hellaiser")</f>
        <v>Hellaiser</v>
      </c>
      <c r="M265" s="28"/>
      <c r="N265" s="28"/>
      <c r="O265" s="28"/>
      <c r="P265" s="28"/>
      <c r="Q265" s="28"/>
      <c r="R265" s="28"/>
      <c r="S265" s="28"/>
      <c r="T265" s="28"/>
      <c r="U265" s="28"/>
      <c r="V265" s="28"/>
      <c r="W265" s="28"/>
      <c r="X265" s="28"/>
      <c r="Y265" s="28"/>
      <c r="Z265" s="28"/>
      <c r="AA265" s="28"/>
      <c r="AB265" s="28"/>
    </row>
    <row r="266">
      <c r="A266" s="21" t="s">
        <v>869</v>
      </c>
      <c r="B266" s="22" t="s">
        <v>870</v>
      </c>
      <c r="C266" s="23" t="str">
        <f>IFERROR(__xludf.DUMMYFUNCTION("GOOGLETRANSLATE(B266,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66" s="23" t="str">
        <f>IFERROR(__xludf.DUMMYFUNCTION("GOOGLETRANSLATE(B266,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66" s="23" t="str">
        <f>IFERROR(__xludf.DUMMYFUNCTION("GOOGLETRANSLATE(B266,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66" s="23" t="str">
        <f>IFERROR(__xludf.DUMMYFUNCTION("GOOGLETRANSLATE(B266,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66" s="23" t="str">
        <f>IFERROR(__xludf.DUMMYFUNCTION("GOOGLETRANSLATE(B266,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66" s="24" t="str">
        <f>IFERROR(__xludf.DUMMYFUNCTION("GOOGLETRANSLATE(B266,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66" s="23" t="str">
        <f>IFERROR(__xludf.DUMMYFUNCTION("GOOGLETRANSLATE(B266, ""en"", ""pl"")"),"Relikt. Oderwija szczelinę w podziemia, pozwalając płomieniom w wybuchu. Strzela fala ognia, ale także pali użytkownika.")</f>
        <v>Relikt. Oderwija szczelinę w podziemia, pozwalając płomieniom w wybuchu. Strzela fala ognia, ale także pali użytkownika.</v>
      </c>
      <c r="J266" s="25" t="str">
        <f>IFERROR(__xludf.DUMMYFUNCTION("GOOGLETRANSLATE(B266, ""en"", ""zh"")"),"遗迹。撕裂进入黑社会，让火焰爆发。拍摄一波火，也烧伤了用户。")</f>
        <v>遗迹。撕裂进入黑社会，让火焰爆发。拍摄一波火，也烧伤了用户。</v>
      </c>
      <c r="K266" s="25" t="str">
        <f>IFERROR(__xludf.DUMMYFUNCTION("GOOGLETRANSLATE(B266,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66" s="26" t="str">
        <f>IFERROR(__xludf.DUMMYFUNCTION("GOOGLETRANSLATE(B266, ""en"", ""hr"")"),"Relikvija. Suze raskol u podzemni svijet, dopuštajući plamenu uprskati. Pucajte val vatre, ali također gori korisnik.")</f>
        <v>Relikvija. Suze raskol u podzemni svijet, dopuštajući plamenu uprskati. Pucajte val vatre, ali također gori korisnik.</v>
      </c>
      <c r="M266" s="28"/>
      <c r="N266" s="28"/>
      <c r="O266" s="28"/>
      <c r="P266" s="28"/>
      <c r="Q266" s="28"/>
      <c r="R266" s="28"/>
      <c r="S266" s="28"/>
      <c r="T266" s="28"/>
      <c r="U266" s="28"/>
      <c r="V266" s="28"/>
      <c r="W266" s="28"/>
      <c r="X266" s="28"/>
      <c r="Y266" s="28"/>
      <c r="Z266" s="28"/>
      <c r="AA266" s="28"/>
      <c r="AB266" s="28"/>
    </row>
    <row r="267">
      <c r="A267" s="21" t="s">
        <v>871</v>
      </c>
      <c r="B267" s="22" t="s">
        <v>872</v>
      </c>
      <c r="C267" s="23" t="str">
        <f>IFERROR(__xludf.DUMMYFUNCTION("GOOGLETRANSLATE(B267, ""en"", ""fr"")"),"Galest")</f>
        <v>Galest</v>
      </c>
      <c r="D267" s="23" t="str">
        <f>IFERROR(__xludf.DUMMYFUNCTION("GOOGLETRANSLATE(B267, ""en"", ""es"")"),"Galestorm")</f>
        <v>Galestorm</v>
      </c>
      <c r="E267" s="23" t="str">
        <f>IFERROR(__xludf.DUMMYFUNCTION("GOOGLETRANSLATE(B267, ""en"", ""ru"")"),"Галсторм")</f>
        <v>Галсторм</v>
      </c>
      <c r="F267" s="23" t="str">
        <f>IFERROR(__xludf.DUMMYFUNCTION("GOOGLETRANSLATE(B267, ""en"", ""tr"")"),"Galesit")</f>
        <v>Galesit</v>
      </c>
      <c r="G267" s="23" t="str">
        <f>IFERROR(__xludf.DUMMYFUNCTION("GOOGLETRANSLATE(B267, ""en"", ""pt"")"),"GALESTORM.")</f>
        <v>GALESTORM.</v>
      </c>
      <c r="H267" s="24" t="str">
        <f>IFERROR(__xludf.DUMMYFUNCTION("GOOGLETRANSLATE(B267, ""en"", ""de"")"),"Galestorm.")</f>
        <v>Galestorm.</v>
      </c>
      <c r="I267" s="23" t="str">
        <f>IFERROR(__xludf.DUMMYFUNCTION("GOOGLETRANSLATE(B267, ""en"", ""pl"")"),"Galestorm")</f>
        <v>Galestorm</v>
      </c>
      <c r="J267" s="25" t="str">
        <f>IFERROR(__xludf.DUMMYFUNCTION("GOOGLETRANSLATE(B267, ""en"", ""zh"")"),"Galestorm.")</f>
        <v>Galestorm.</v>
      </c>
      <c r="K267" s="25" t="str">
        <f>IFERROR(__xludf.DUMMYFUNCTION("GOOGLETRANSLATE(B267, ""en"", ""vi"")"),"Galestorm.")</f>
        <v>Galestorm.</v>
      </c>
      <c r="L267" s="26" t="str">
        <f>IFERROR(__xludf.DUMMYFUNCTION("GOOGLETRANSLATE(B267, ""en"", ""hr"")"),"Galestorm")</f>
        <v>Galestorm</v>
      </c>
      <c r="M267" s="28"/>
      <c r="N267" s="28"/>
      <c r="O267" s="28"/>
      <c r="P267" s="28"/>
      <c r="Q267" s="28"/>
      <c r="R267" s="28"/>
      <c r="S267" s="28"/>
      <c r="T267" s="28"/>
      <c r="U267" s="28"/>
      <c r="V267" s="28"/>
      <c r="W267" s="28"/>
      <c r="X267" s="28"/>
      <c r="Y267" s="28"/>
      <c r="Z267" s="28"/>
      <c r="AA267" s="28"/>
      <c r="AB267" s="28"/>
    </row>
    <row r="268">
      <c r="A268" s="21" t="s">
        <v>873</v>
      </c>
      <c r="B268" s="22" t="s">
        <v>874</v>
      </c>
      <c r="C268" s="23" t="str">
        <f>IFERROR(__xludf.DUMMYFUNCTION("GOOGLETRANSLATE(B268,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68" s="23" t="str">
        <f>IFERROR(__xludf.DUMMYFUNCTION("GOOGLETRANSLATE(B268,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68" s="23" t="str">
        <f>IFERROR(__xludf.DUMMYFUNCTION("GOOGLETRANSLATE(B268,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68" s="23" t="str">
        <f>IFERROR(__xludf.DUMMYFUNCTION("GOOGLETRANSLATE(B268,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68" s="23" t="str">
        <f>IFERROR(__xludf.DUMMYFUNCTION("GOOGLETRANSLATE(B268,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68" s="24" t="str">
        <f>IFERROR(__xludf.DUMMYFUNCTION("GOOGLETRANSLATE(B268,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68" s="23" t="str">
        <f>IFERROR(__xludf.DUMMYFUNCTION("GOOGLETRANSLATE(B268,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68" s="25" t="str">
        <f>IFERROR(__xludf.DUMMYFUNCTION("GOOGLETRANSLATE(B268, ""en"", ""zh"")"),"遗迹。海盗水手用于推动他们的船只。通过收集它创造的龙卷风，射击一股风流。")</f>
        <v>遗迹。海盗水手用于推动他们的船只。通过收集它创造的龙卷风，射击一股风流。</v>
      </c>
      <c r="K268" s="25" t="str">
        <f>IFERROR(__xludf.DUMMYFUNCTION("GOOGLETRANSLATE(B268,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68" s="26" t="str">
        <f>IFERROR(__xludf.DUMMYFUNCTION("GOOGLETRANSLATE(B268,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68" s="28"/>
      <c r="N268" s="28"/>
      <c r="O268" s="28"/>
      <c r="P268" s="28"/>
      <c r="Q268" s="28"/>
      <c r="R268" s="28"/>
      <c r="S268" s="28"/>
      <c r="T268" s="28"/>
      <c r="U268" s="28"/>
      <c r="V268" s="28"/>
      <c r="W268" s="28"/>
      <c r="X268" s="28"/>
      <c r="Y268" s="28"/>
      <c r="Z268" s="28"/>
      <c r="AA268" s="28"/>
      <c r="AB268" s="28"/>
    </row>
    <row r="269">
      <c r="A269" s="21" t="s">
        <v>875</v>
      </c>
      <c r="B269" s="22" t="s">
        <v>876</v>
      </c>
      <c r="C269" s="23" t="str">
        <f>IFERROR(__xludf.DUMMYFUNCTION("GOOGLETRANSLATE(B269, ""en"", ""fr"")"),"Étherweave")</f>
        <v>Étherweave</v>
      </c>
      <c r="D269" s="23" t="str">
        <f>IFERROR(__xludf.DUMMYFUNCTION("GOOGLETRANSLATE(B269, ""en"", ""es"")"),"Etherweave")</f>
        <v>Etherweave</v>
      </c>
      <c r="E269" s="23" t="str">
        <f>IFERROR(__xludf.DUMMYFUNCTION("GOOGLETRANSLATE(B269, ""en"", ""ru"")"),"Etherweave.")</f>
        <v>Etherweave.</v>
      </c>
      <c r="F269" s="23" t="str">
        <f>IFERROR(__xludf.DUMMYFUNCTION("GOOGLETRANSLATE(B269, ""en"", ""tr"")"),"Etherweave")</f>
        <v>Etherweave</v>
      </c>
      <c r="G269" s="23" t="str">
        <f>IFERROR(__xludf.DUMMYFUNCTION("GOOGLETRANSLATE(B269, ""en"", ""pt"")"),"Etherweave")</f>
        <v>Etherweave</v>
      </c>
      <c r="H269" s="24" t="str">
        <f>IFERROR(__xludf.DUMMYFUNCTION("GOOGLETRANSLATE(B269, ""en"", ""de"")"),"Etherweave.")</f>
        <v>Etherweave.</v>
      </c>
      <c r="I269" s="23" t="str">
        <f>IFERROR(__xludf.DUMMYFUNCTION("GOOGLETRANSLATE(B269, ""en"", ""pl"")"),"Eterowy")</f>
        <v>Eterowy</v>
      </c>
      <c r="J269" s="25" t="str">
        <f>IFERROR(__xludf.DUMMYFUNCTION("GOOGLETRANSLATE(B269, ""en"", ""zh"")"),"以太织物")</f>
        <v>以太织物</v>
      </c>
      <c r="K269" s="25" t="str">
        <f>IFERROR(__xludf.DUMMYFUNCTION("GOOGLETRANSLATE(B269, ""en"", ""vi"")"),"Etherweave.")</f>
        <v>Etherweave.</v>
      </c>
      <c r="L269" s="26" t="str">
        <f>IFERROR(__xludf.DUMMYFUNCTION("GOOGLETRANSLATE(B269, ""en"", ""hr"")"),"Etherweave")</f>
        <v>Etherweave</v>
      </c>
      <c r="M269" s="28"/>
      <c r="N269" s="28"/>
      <c r="O269" s="28"/>
      <c r="P269" s="28"/>
      <c r="Q269" s="28"/>
      <c r="R269" s="28"/>
      <c r="S269" s="28"/>
      <c r="T269" s="28"/>
      <c r="U269" s="28"/>
      <c r="V269" s="28"/>
      <c r="W269" s="28"/>
      <c r="X269" s="28"/>
      <c r="Y269" s="28"/>
      <c r="Z269" s="28"/>
      <c r="AA269" s="28"/>
      <c r="AB269" s="28"/>
    </row>
    <row r="270">
      <c r="A270" s="21" t="s">
        <v>877</v>
      </c>
      <c r="B270" s="22" t="s">
        <v>878</v>
      </c>
      <c r="C270" s="23" t="str">
        <f>IFERROR(__xludf.DUMMYFUNCTION("GOOGLETRANSLATE(B270, ""en"", ""fr"")"),"Relique. Un vêtement porté par des habitants de l'avion astral. Restaure l'énergie du porteur lorsqu'il est endommagé.")</f>
        <v>Relique. Un vêtement porté par des habitants de l'avion astral. Restaure l'énergie du porteur lorsqu'il est endommagé.</v>
      </c>
      <c r="D270" s="23" t="str">
        <f>IFERROR(__xludf.DUMMYFUNCTION("GOOGLETRANSLATE(B270, ""en"", ""es"")"),"Reliquia. Una prenda usada por los habitantes del plano astral. Restaura la energía del usuario cuando está dañado.")</f>
        <v>Reliquia. Una prenda usada por los habitantes del plano astral. Restaura la energía del usuario cuando está dañado.</v>
      </c>
      <c r="E270" s="23" t="str">
        <f>IFERROR(__xludf.DUMMYFUNCTION("GOOGLETRANSLATE(B270,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0" s="23" t="str">
        <f>IFERROR(__xludf.DUMMYFUNCTION("GOOGLETRANSLATE(B270, ""en"", ""tr"")"),"Kalıntı. Astral uçağın sakinleri tarafından giyilen bir giysi. Hasar gördüğünde kullanıcının enerjisini geri yükler.")</f>
        <v>Kalıntı. Astral uçağın sakinleri tarafından giyilen bir giysi. Hasar gördüğünde kullanıcının enerjisini geri yükler.</v>
      </c>
      <c r="G270" s="23" t="str">
        <f>IFERROR(__xludf.DUMMYFUNCTION("GOOGLETRANSLATE(B270, ""en"", ""pt"")"),"Relíquia. Uma vestimenta usada por habitantes do plano astral. Restaura a energia do usuário quando danificada.")</f>
        <v>Relíquia. Uma vestimenta usada por habitantes do plano astral. Restaura a energia do usuário quando danificada.</v>
      </c>
      <c r="H270" s="24" t="str">
        <f>IFERROR(__xludf.DUMMYFUNCTION("GOOGLETRANSLATE(B270,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0" s="23" t="str">
        <f>IFERROR(__xludf.DUMMYFUNCTION("GOOGLETRANSLATE(B270, ""en"", ""pl"")"),"Relikt. Odzież noszona przez mieszkańców samolotu astralnego. Przywraca energię użytkownika, gdy zostanie uszkodzony.")</f>
        <v>Relikt. Odzież noszona przez mieszkańców samolotu astralnego. Przywraca energię użytkownika, gdy zostanie uszkodzony.</v>
      </c>
      <c r="J270" s="25" t="str">
        <f>IFERROR(__xludf.DUMMYFUNCTION("GOOGLETRANSLATE(B270, ""en"", ""zh"")"),"遗迹。居住者穿着星空飞机的衣服。损坏时恢复佩戴者的能量。")</f>
        <v>遗迹。居住者穿着星空飞机的衣服。损坏时恢复佩戴者的能量。</v>
      </c>
      <c r="K270" s="25" t="str">
        <f>IFERROR(__xludf.DUMMYFUNCTION("GOOGLETRANSLATE(B270,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0" s="26" t="str">
        <f>IFERROR(__xludf.DUMMYFUNCTION("GOOGLETRANSLATE(B270, ""en"", ""hr"")"),"Relikvija. Odjeću koju nosi stanovnici astralne ravnine. Vraća energiju nositelja kada je oštećena.")</f>
        <v>Relikvija. Odjeću koju nosi stanovnici astralne ravnine. Vraća energiju nositelja kada je oštećena.</v>
      </c>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879</v>
      </c>
      <c r="B9" s="22" t="s">
        <v>880</v>
      </c>
      <c r="C9" s="23" t="str">
        <f>IFERROR(__xludf.DUMMYFUNCTION("GOOGLETRANSLATE(B9, ""en"", ""fr"")"),"Formation mannequin")</f>
        <v>Formation mannequin</v>
      </c>
      <c r="D9" s="23" t="str">
        <f>IFERROR(__xludf.DUMMYFUNCTION("GOOGLETRANSLATE(B9, ""en"", ""es"")"),"Maniquí de entrenamiento")</f>
        <v>Maniquí de entrenamiento</v>
      </c>
      <c r="E9" s="23" t="s">
        <v>881</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882</v>
      </c>
      <c r="B10" s="22" t="s">
        <v>883</v>
      </c>
      <c r="C10" s="23" t="str">
        <f>IFERROR(__xludf.DUMMYFUNCTION("GOOGLETRANSLATE(B10, ""en"", ""fr"")"),"Bandit")</f>
        <v>Bandit</v>
      </c>
      <c r="D10" s="23" t="str">
        <f>IFERROR(__xludf.DUMMYFUNCTION("GOOGLETRANSLATE(B10, ""en"", ""es"")"),"Bandido")</f>
        <v>Bandido</v>
      </c>
      <c r="E10" s="23" t="s">
        <v>884</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885</v>
      </c>
      <c r="B11" s="22" t="s">
        <v>886</v>
      </c>
      <c r="C11" s="23" t="str">
        <f>IFERROR(__xludf.DUMMYFUNCTION("GOOGLETRANSLATE(B11, ""en"", ""fr"")"),"Chef de bandit")</f>
        <v>Chef de bandit</v>
      </c>
      <c r="D11" s="23" t="str">
        <f>IFERROR(__xludf.DUMMYFUNCTION("GOOGLETRANSLATE(B11, ""en"", ""es"")"),"Líder de bandidos")</f>
        <v>Líder de bandidos</v>
      </c>
      <c r="E11" s="23" t="s">
        <v>887</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888</v>
      </c>
      <c r="B12" s="22" t="s">
        <v>889</v>
      </c>
      <c r="C12" s="23" t="str">
        <f>IFERROR(__xludf.DUMMYFUNCTION("GOOGLETRANSLATE(B12, ""en"", ""fr"")"),"Assassin")</f>
        <v>Assassin</v>
      </c>
      <c r="D12" s="23" t="str">
        <f>IFERROR(__xludf.DUMMYFUNCTION("GOOGLETRANSLATE(B12, ""en"", ""es"")"),"Asesino")</f>
        <v>Asesino</v>
      </c>
      <c r="E12" s="23" t="s">
        <v>890</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891</v>
      </c>
      <c r="B13" s="22" t="s">
        <v>892</v>
      </c>
      <c r="C13" s="23" t="str">
        <f>IFERROR(__xludf.DUMMYFUNCTION("GOOGLETRANSLATE(B13, ""en"", ""fr"")"),"Assassin principal")</f>
        <v>Assassin principal</v>
      </c>
      <c r="D13" s="23" t="str">
        <f>IFERROR(__xludf.DUMMYFUNCTION("GOOGLETRANSLATE(B13, ""en"", ""es"")"),"Asesino maestro")</f>
        <v>Asesino maestro</v>
      </c>
      <c r="E13" s="23" t="s">
        <v>893</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894</v>
      </c>
      <c r="B14" s="22" t="s">
        <v>895</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896</v>
      </c>
      <c r="B15" s="22" t="s">
        <v>897</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898</v>
      </c>
      <c r="B16" s="22" t="s">
        <v>899</v>
      </c>
      <c r="C16" s="23" t="str">
        <f>IFERROR(__xludf.DUMMYFUNCTION("GOOGLETRANSLATE(B16, ""en"", ""fr"")"),"Aubergiste")</f>
        <v>Aubergiste</v>
      </c>
      <c r="D16" s="23" t="str">
        <f>IFERROR(__xludf.DUMMYFUNCTION("GOOGLETRANSLATE(B16, ""en"", ""es"")"),"Posadero")</f>
        <v>Posadero</v>
      </c>
      <c r="E16" s="23" t="s">
        <v>900</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901</v>
      </c>
      <c r="B17" s="22" t="s">
        <v>902</v>
      </c>
      <c r="C17" s="23" t="str">
        <f>IFERROR(__xludf.DUMMYFUNCTION("GOOGLETRANSLATE(B17, ""en"", ""fr"")"),"Arène maître")</f>
        <v>Arène maître</v>
      </c>
      <c r="D17" s="23" t="str">
        <f>IFERROR(__xludf.DUMMYFUNCTION("GOOGLETRANSLATE(B17, ""en"", ""es"")"),"Arena Maestro")</f>
        <v>Arena Maestro</v>
      </c>
      <c r="E17" s="23" t="s">
        <v>903</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904</v>
      </c>
      <c r="B18" s="22" t="s">
        <v>905</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906</v>
      </c>
      <c r="B19" s="22" t="s">
        <v>907</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908</v>
      </c>
      <c r="B20" s="22" t="s">
        <v>909</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910</v>
      </c>
      <c r="B21" s="22" t="s">
        <v>911</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912</v>
      </c>
      <c r="B22" s="22" t="s">
        <v>913</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914</v>
      </c>
      <c r="B23" s="22" t="s">
        <v>915</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916</v>
      </c>
      <c r="B24" s="22" t="s">
        <v>917</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918</v>
      </c>
      <c r="B25" s="22" t="s">
        <v>919</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920</v>
      </c>
      <c r="B26" s="22" t="s">
        <v>921</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922</v>
      </c>
      <c r="B27" s="22" t="s">
        <v>923</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924</v>
      </c>
      <c r="B28" s="22" t="s">
        <v>925</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926</v>
      </c>
      <c r="B29" s="22" t="s">
        <v>927</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928</v>
      </c>
      <c r="B30" s="22" t="s">
        <v>929</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930</v>
      </c>
      <c r="B31" s="22" t="s">
        <v>931</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932</v>
      </c>
      <c r="B32" s="22" t="s">
        <v>933</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934</v>
      </c>
      <c r="B33" s="22" t="s">
        <v>935</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936</v>
      </c>
      <c r="B34" s="22" t="s">
        <v>937</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938</v>
      </c>
      <c r="B35" s="22" t="s">
        <v>939</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940</v>
      </c>
      <c r="B36" s="22" t="s">
        <v>941</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942</v>
      </c>
      <c r="B37" s="22" t="s">
        <v>943</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944</v>
      </c>
      <c r="B38" s="22" t="s">
        <v>945</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946</v>
      </c>
      <c r="B39" s="22" t="s">
        <v>947</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948</v>
      </c>
      <c r="B40" s="22" t="s">
        <v>949</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950</v>
      </c>
      <c r="B41" s="22" t="s">
        <v>951</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952</v>
      </c>
      <c r="B42" s="22" t="s">
        <v>953</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954</v>
      </c>
      <c r="B43" s="22" t="s">
        <v>955</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956</v>
      </c>
      <c r="B44" s="22" t="s">
        <v>957</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958</v>
      </c>
      <c r="B45" s="22" t="s">
        <v>959</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960</v>
      </c>
      <c r="B46" s="22" t="s">
        <v>961</v>
      </c>
      <c r="C46" s="23" t="str">
        <f>IFERROR(__xludf.DUMMYFUNCTION("GOOGLETRANSLATE(B46, ""en"", ""fr"")"),"Momie")</f>
        <v>Momie</v>
      </c>
      <c r="D46" s="23" t="str">
        <f>IFERROR(__xludf.DUMMYFUNCTION("GOOGLETRANSLATE(B46, ""en"", ""es"")"),"Momia")</f>
        <v>Momia</v>
      </c>
      <c r="E46" s="23" t="s">
        <v>962</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963</v>
      </c>
      <c r="B47" s="22" t="s">
        <v>964</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965</v>
      </c>
      <c r="B48" s="22" t="s">
        <v>966</v>
      </c>
      <c r="C48" s="23" t="str">
        <f>IFERROR(__xludf.DUMMYFUNCTION("GOOGLETRANSLATE(B48, ""en"", ""fr"")"),"pharaon")</f>
        <v>pharaon</v>
      </c>
      <c r="D48" s="23" t="str">
        <f>IFERROR(__xludf.DUMMYFUNCTION("GOOGLETRANSLATE(B48, ""en"", ""es"")"),"faraón")</f>
        <v>faraón</v>
      </c>
      <c r="E48" s="23" t="s">
        <v>967</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968</v>
      </c>
      <c r="B49" s="22" t="s">
        <v>969</v>
      </c>
      <c r="C49" s="23" t="str">
        <f>IFERROR(__xludf.DUMMYFUNCTION("GOOGLETRANSLATE(B49, ""en"", ""fr"")"),"Vampire")</f>
        <v>Vampire</v>
      </c>
      <c r="D49" s="23" t="str">
        <f>IFERROR(__xludf.DUMMYFUNCTION("GOOGLETRANSLATE(B49, ""en"", ""es"")"),"Vampiro")</f>
        <v>Vampiro</v>
      </c>
      <c r="E49" s="23" t="s">
        <v>970</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971</v>
      </c>
      <c r="B50" s="22" t="s">
        <v>972</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973</v>
      </c>
      <c r="B51" s="22" t="s">
        <v>974</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975</v>
      </c>
      <c r="B52" s="22" t="s">
        <v>976</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977</v>
      </c>
      <c r="B53" s="22" t="s">
        <v>978</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979</v>
      </c>
      <c r="B54" s="22" t="s">
        <v>980</v>
      </c>
      <c r="C54" s="23" t="str">
        <f>IFERROR(__xludf.DUMMYFUNCTION("GOOGLETRANSLATE(B54, ""en"", ""fr"")"),"mage")</f>
        <v>mage</v>
      </c>
      <c r="D54" s="23" t="str">
        <f>IFERROR(__xludf.DUMMYFUNCTION("GOOGLETRANSLATE(B54, ""en"", ""es"")"),"Mago")</f>
        <v>Mago</v>
      </c>
      <c r="E54" s="23" t="s">
        <v>981</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982</v>
      </c>
      <c r="B55" s="22" t="s">
        <v>983</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984</v>
      </c>
      <c r="B56" s="22" t="s">
        <v>985</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""de"")"),"Eisengolem.")</f>
        <v>Eisengolem.</v>
      </c>
      <c r="I56" s="23" t="str">
        <f>IFERROR(__xludf.DUMMYFUNCTION("GOOGLETRANSLATE(B56, ""en"", ""pl"")"),"Żelazny golem")</f>
        <v>Żelazny golem</v>
      </c>
      <c r="J56" s="25" t="str">
        <f>IFERROR(__xludf.DUMMYFUNCTION("GOOGLETRANSLATE(B56, ""en"", ""zh"")"),"铁巨人")</f>
        <v>铁巨人</v>
      </c>
      <c r="K56" s="25" t="str">
        <f>IFERROR(__xludf.DUMMYFUNCTION("GOOGLETRANSLATE(B56, ""en"", ""vi"")"),"Sắt golem.")</f>
        <v>Sắt golem.</v>
      </c>
      <c r="L56" s="26" t="str">
        <f>IFERROR(__xludf.DUMMYFUNCTION("GOOGLETRANSLATE(B56, ""en"", ""hr"")"),"Željezo golem")</f>
        <v>Željezo golem</v>
      </c>
      <c r="M56" s="28"/>
      <c r="N56" s="28"/>
      <c r="O56" s="28"/>
      <c r="P56" s="28"/>
      <c r="Q56" s="28"/>
      <c r="R56" s="28"/>
      <c r="S56" s="28"/>
      <c r="T56" s="28"/>
      <c r="U56" s="28"/>
      <c r="V56" s="28"/>
      <c r="W56" s="28"/>
      <c r="X56" s="28"/>
      <c r="Y56" s="28"/>
      <c r="Z56" s="28"/>
      <c r="AA56" s="28"/>
      <c r="AB56" s="28"/>
    </row>
    <row r="57">
      <c r="A57" s="21" t="s">
        <v>986</v>
      </c>
      <c r="B57" s="22" t="s">
        <v>987</v>
      </c>
      <c r="C57" s="23" t="str">
        <f>IFERROR(__xludf.DUMMYFUNCTION("GOOGLETRANSLATE(B57, ""en"", ""fr"")"),"Additionnel")</f>
        <v>Additionnel</v>
      </c>
      <c r="D57" s="23" t="str">
        <f>IFERROR(__xludf.DUMMYFUNCTION("GOOGLETRANSLATE(B57, ""en"", ""es"")"),"Adumbral")</f>
        <v>Adumbral</v>
      </c>
      <c r="E57" s="23" t="str">
        <f>IFERROR(__xludf.DUMMYFUNCTION("GOOGLETRANSLATE(B57, ""en"", ""ru"")"),"Адумбрал")</f>
        <v>Адумбрал</v>
      </c>
      <c r="F57" s="23" t="str">
        <f>IFERROR(__xludf.DUMMYFUNCTION("GOOGLETRANSLATE(B57, ""en"", ""tr"")"),"Haydut")</f>
        <v>Haydut</v>
      </c>
      <c r="G57" s="23" t="str">
        <f>IFERROR(__xludf.DUMMYFUNCTION("GOOGLETRANSLATE(B57, ""en"", ""pt"")"),"Adumbral.")</f>
        <v>Adumbral.</v>
      </c>
      <c r="H57" s="24" t="str">
        <f>IFERROR(__xludf.DUMMYFUNCTION("GOOGLETRANSLATE(B57, ""en"", ""de"")"),"Adumbral")</f>
        <v>Adumbral</v>
      </c>
      <c r="I57" s="23" t="str">
        <f>IFERROR(__xludf.DUMMYFUNCTION("GOOGLETRANSLATE(B57, ""en"", ""pl"")"),"Adumbral.")</f>
        <v>Adumbral.</v>
      </c>
      <c r="J57" s="25" t="str">
        <f>IFERROR(__xludf.DUMMYFUNCTION("GOOGLETRANSLATE(B57, ""en"", ""zh"")"),"adumbral.")</f>
        <v>adumbral.</v>
      </c>
      <c r="K57" s="25" t="str">
        <f>IFERROR(__xludf.DUMMYFUNCTION("GOOGLETRANSLATE(B57, ""en"", ""vi"")"),"Adumbral.")</f>
        <v>Adumbral.</v>
      </c>
      <c r="L57" s="26" t="str">
        <f>IFERROR(__xludf.DUMMYFUNCTION("GOOGLETRANSLATE(B57, ""en"", ""hr"")"),"Adumbralan")</f>
        <v>Adumbralan</v>
      </c>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988</v>
      </c>
      <c r="B9" s="22" t="s">
        <v>989</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990</v>
      </c>
      <c r="B10" s="22" t="s">
        <v>991</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levar antes de morrer. Recupere Hitpoints mais rápido usando certas poções e feitiços.")</f>
        <v>HITPOINTS: Quanto dano você pode levar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992</v>
      </c>
      <c r="B11" s="22" t="s">
        <v>993</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994</v>
      </c>
      <c r="B12" s="22" t="s">
        <v>995</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996</v>
      </c>
      <c r="B13" s="22" t="s">
        <v>997</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998</v>
      </c>
      <c r="B14" s="22" t="s">
        <v>999</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1000</v>
      </c>
      <c r="B15" s="22" t="s">
        <v>1001</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1002</v>
      </c>
      <c r="B16" s="22" t="s">
        <v>1003</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1004</v>
      </c>
      <c r="B17" s="22" t="s">
        <v>1005</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1006</v>
      </c>
      <c r="B18" s="22" t="s">
        <v>1007</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1008</v>
      </c>
      <c r="B19" s="22" t="s">
        <v>1009</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Zauberwaffen. Reduziert, wie viel Haltbarkeit magische Waffen verlieren, wenn sie verwendet werden. Verbessern Sie die Verwendung von magischen Gegenständen wie Mitarbeitern und Zauberbüchern.")</f>
        <v>Ihre Effektivität mit Zauberwaffen.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""zh"")"),"你对魔法武器的效力。减少了使用时耐用的魔法武器减少了多少。使用员工和拼写书等魔法物品改善。")</f>
        <v>你对魔法武器的效力。减少了使用时耐用的魔法武器减少了多少。使用员工和拼写书等魔法物品改善。</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1010</v>
      </c>
      <c r="B20" s="22" t="s">
        <v>202</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1011</v>
      </c>
      <c r="B21" s="22" t="s">
        <v>1012</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21" s="28"/>
      <c r="N21" s="28"/>
      <c r="O21" s="28"/>
      <c r="P21" s="28"/>
      <c r="Q21" s="28"/>
      <c r="R21" s="28"/>
      <c r="S21" s="28"/>
      <c r="T21" s="28"/>
      <c r="U21" s="28"/>
      <c r="V21" s="28"/>
      <c r="W21" s="28"/>
      <c r="X21" s="28"/>
      <c r="Y21" s="28"/>
      <c r="Z21" s="28"/>
      <c r="AA21" s="28"/>
      <c r="AB21" s="28"/>
    </row>
    <row r="22">
      <c r="A22" s="21" t="s">
        <v>1013</v>
      </c>
      <c r="B22" s="22" t="s">
        <v>1014</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1015</v>
      </c>
      <c r="B23" s="22" t="s">
        <v>1016</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1017</v>
      </c>
      <c r="B24" s="22" t="s">
        <v>1018</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1019</v>
      </c>
      <c r="B25" s="22" t="s">
        <v>1020</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1021</v>
      </c>
      <c r="B26" s="22" t="s">
        <v>1022</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1023</v>
      </c>
      <c r="B27" s="22" t="s">
        <v>1024</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1025</v>
      </c>
      <c r="B28" s="22" t="s">
        <v>1026</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1027</v>
      </c>
      <c r="B29" s="22" t="s">
        <v>1028</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1029</v>
      </c>
      <c r="B30" s="22" t="s">
        <v>1030</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1031</v>
      </c>
      <c r="B31" s="22" t="s">
        <v>1032</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1033</v>
      </c>
      <c r="B9" s="22" t="s">
        <v>1034</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1035</v>
      </c>
      <c r="B10" s="22" t="s">
        <v>1036</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1037</v>
      </c>
      <c r="B11" s="22" t="s">
        <v>1038</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1039</v>
      </c>
      <c r="B12" s="22" t="s">
        <v>1040</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1041</v>
      </c>
      <c r="B13" s="22" t="s">
        <v>1042</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1043</v>
      </c>
      <c r="B14" s="22" t="s">
        <v>1044</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1045</v>
      </c>
      <c r="B15" s="22" t="s">
        <v>1046</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1047</v>
      </c>
      <c r="B16" s="22" t="s">
        <v>1048</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1049</v>
      </c>
      <c r="B17" s="22" t="s">
        <v>1050</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1051</v>
      </c>
      <c r="B18" s="22" t="s">
        <v>1052</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1053</v>
      </c>
      <c r="B19" s="22" t="s">
        <v>1054</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1055</v>
      </c>
      <c r="B20" s="22" t="s">
        <v>1056</v>
      </c>
      <c r="C20" s="23" t="str">
        <f>IFERROR(__xludf.DUMMYFUNCTION("GOOGLETRANSLATE(B20, ""en"", ""fr"")"),"Tuer des golems")</f>
        <v>Tuer des golems</v>
      </c>
      <c r="D20" s="23" t="str">
        <f>IFERROR(__xludf.DUMMYFUNCTION("GOOGLETRANSLATE(B20, ""en"", ""es"")"),"Matar golems")</f>
        <v>Matar golems</v>
      </c>
      <c r="E20" s="23" t="str">
        <f>IFERROR(__xludf.DUMMYFUNCTION("GOOGLETRANSLATE(B20, ""en"", ""ru"")"),"Убить Големы")</f>
        <v>Убить Големы</v>
      </c>
      <c r="F20" s="23" t="str">
        <f>IFERROR(__xludf.DUMMYFUNCTION("GOOGLETRANSLATE(B20, ""en"", ""tr"")"),"Golemleri öldür")</f>
        <v>Golemleri öldür</v>
      </c>
      <c r="G20" s="23" t="str">
        <f>IFERROR(__xludf.DUMMYFUNCTION("GOOGLETRANSLATE(B20, ""en"", ""pt"")"),"Mate Golems.")</f>
        <v>Mate Golems.</v>
      </c>
      <c r="H20" s="24" t="str">
        <f>IFERROR(__xludf.DUMMYFUNCTION("GOOGLETRANSLATE(B20, ""en"", ""de"")"),"Kill Golems")</f>
        <v>Kill Golems</v>
      </c>
      <c r="I20" s="23" t="str">
        <f>IFERROR(__xludf.DUMMYFUNCTION("GOOGLETRANSLATE(B20, ""en"", ""pl"")"),"Zabij Golems.")</f>
        <v>Zabij Golems.</v>
      </c>
      <c r="J20" s="25" t="str">
        <f>IFERROR(__xludf.DUMMYFUNCTION("GOOGLETRANSLATE(B20, ""en"", ""zh"")"),"杀死golems.")</f>
        <v>杀死golems.</v>
      </c>
      <c r="K20" s="25" t="str">
        <f>IFERROR(__xludf.DUMMYFUNCTION("GOOGLETRANSLATE(B20, ""en"", ""vi"")"),"Giết golems.")</f>
        <v>Giết golems.</v>
      </c>
      <c r="L20" s="26" t="str">
        <f>IFERROR(__xludf.DUMMYFUNCTION("GOOGLETRANSLATE(B20, ""en"", ""hr"")"),"Ubijte goleme")</f>
        <v>Ubijte goleme</v>
      </c>
      <c r="M20" s="28"/>
      <c r="N20" s="28"/>
      <c r="O20" s="28"/>
      <c r="P20" s="28"/>
      <c r="Q20" s="28"/>
      <c r="R20" s="28"/>
      <c r="S20" s="28"/>
      <c r="T20" s="28"/>
      <c r="U20" s="28"/>
      <c r="V20" s="28"/>
      <c r="W20" s="28"/>
      <c r="X20" s="28"/>
      <c r="Y20" s="28"/>
      <c r="Z20" s="28"/>
      <c r="AA20" s="28"/>
      <c r="AB20" s="28"/>
    </row>
    <row r="21">
      <c r="A21" s="21" t="s">
        <v>1057</v>
      </c>
      <c r="B21" s="22" t="s">
        <v>1058</v>
      </c>
      <c r="C21" s="23" t="str">
        <f>IFERROR(__xludf.DUMMYFUNCTION("GOOGLETRANSLATE(B21, ""en"", ""fr"")"),"Tuer des ordures")</f>
        <v>Tuer des ordures</v>
      </c>
      <c r="D21" s="23" t="str">
        <f>IFERROR(__xludf.DUMMYFUNCTION("GOOGLETRANSLATE(B21, ""en"", ""es"")"),"Matar adumbrals")</f>
        <v>Matar adumbrals</v>
      </c>
      <c r="E21" s="23" t="str">
        <f>IFERROR(__xludf.DUMMYFUNCTION("GOOGLETRANSLATE(B21, ""en"", ""ru"")"),"Убить адумбралов")</f>
        <v>Убить адумбралов</v>
      </c>
      <c r="F21" s="23" t="str">
        <f>IFERROR(__xludf.DUMMYFUNCTION("GOOGLETRANSLATE(B21, ""en"", ""tr"")"),"Haydut öldürmek")</f>
        <v>Haydut öldürmek</v>
      </c>
      <c r="G21" s="23" t="str">
        <f>IFERROR(__xludf.DUMMYFUNCTION("GOOGLETRANSLATE(B21, ""en"", ""pt"")"),"Matar adumbrals.")</f>
        <v>Matar adumbrals.</v>
      </c>
      <c r="H21" s="24" t="str">
        <f>IFERROR(__xludf.DUMMYFUNCTION("GOOGLETRANSLATE(B21, ""en"", ""de"")"),"Kill Adumbals")</f>
        <v>Kill Adumbals</v>
      </c>
      <c r="I21" s="23" t="str">
        <f>IFERROR(__xludf.DUMMYFUNCTION("GOOGLETRANSLATE(B21, ""en"", ""pl"")"),"Zabij Adumbrals.")</f>
        <v>Zabij Adumbrals.</v>
      </c>
      <c r="J21" s="25" t="str">
        <f>IFERROR(__xludf.DUMMYFUNCTION("GOOGLETRANSLATE(B21, ""en"", ""zh"")"),"杀死Adumbrals.")</f>
        <v>杀死Adumbrals.</v>
      </c>
      <c r="K21" s="25" t="str">
        <f>IFERROR(__xludf.DUMMYFUNCTION("GOOGLETRANSLATE(B21, ""en"", ""vi"")"),"Giết Adumbrals.")</f>
        <v>Giết Adumbrals.</v>
      </c>
      <c r="L21" s="26" t="str">
        <f>IFERROR(__xludf.DUMMYFUNCTION("GOOGLETRANSLATE(B21, ""en"", ""hr"")"),"Ubiti adumbrale")</f>
        <v>Ubiti adumbrale</v>
      </c>
      <c r="M21" s="28"/>
      <c r="N21" s="28"/>
      <c r="O21" s="28"/>
      <c r="P21" s="28"/>
      <c r="Q21" s="28"/>
      <c r="R21" s="28"/>
      <c r="S21" s="28"/>
      <c r="T21" s="28"/>
      <c r="U21" s="28"/>
      <c r="V21" s="28"/>
      <c r="W21" s="28"/>
      <c r="X21" s="28"/>
      <c r="Y21" s="28"/>
      <c r="Z21" s="28"/>
      <c r="AA21" s="28"/>
      <c r="AB21" s="28"/>
    </row>
    <row r="22">
      <c r="A22" s="21" t="s">
        <v>1059</v>
      </c>
      <c r="B22" s="22" t="s">
        <v>1060</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""ru"")"),"Уборка хлопка")</f>
        <v>Уборка хлопка</v>
      </c>
      <c r="F22" s="23" t="str">
        <f>IFERROR(__xludf.DUMMYFUNCTION("GOOGLETRANSLATE(B22, ""en"", ""tr"")"),"Hasat pamuk")</f>
        <v>Hasat pamuk</v>
      </c>
      <c r="G22" s="23" t="str">
        <f>IFERROR(__xludf.DUMMYFUNCTION("GOOGLETRANSLATE(B22, ""en"", ""pt"")"),"Algodão de colheita")</f>
        <v>Algodão de colheita</v>
      </c>
      <c r="H22" s="24" t="str">
        <f>IFERROR(__xludf.DUMMYFUNCTION("GOOGLETRANSLATE(B22, ""en"", ""de"")"),"Ernte Baumwolle")</f>
        <v>Ernte Baumwolle</v>
      </c>
      <c r="I22" s="23" t="str">
        <f>IFERROR(__xludf.DUMMYFUNCTION("GOOGLETRANSLATE(B22, ""en"", ""pl"")"),"Bawełna zbiorowa")</f>
        <v>Bawełna zbiorowa</v>
      </c>
      <c r="J22" s="25" t="str">
        <f>IFERROR(__xludf.DUMMYFUNCTION("GOOGLETRANSLATE(B22, ""en"", ""zh"")"),"收获棉花")</f>
        <v>收获棉花</v>
      </c>
      <c r="K22" s="25" t="str">
        <f>IFERROR(__xludf.DUMMYFUNCTION("GOOGLETRANSLATE(B22, ""en"", ""vi"")"),"Bông thu hoạch")</f>
        <v>Bông thu hoạch</v>
      </c>
      <c r="L22" s="26" t="str">
        <f>IFERROR(__xludf.DUMMYFUNCTION("GOOGLETRANSLATE(B22, ""en"", ""hr"")"),"Pamuk")</f>
        <v>Pamuk</v>
      </c>
      <c r="M22" s="28"/>
      <c r="N22" s="28"/>
      <c r="O22" s="28"/>
      <c r="P22" s="28"/>
      <c r="Q22" s="28"/>
      <c r="R22" s="28"/>
      <c r="S22" s="28"/>
      <c r="T22" s="28"/>
      <c r="U22" s="28"/>
      <c r="V22" s="28"/>
      <c r="W22" s="28"/>
      <c r="X22" s="28"/>
      <c r="Y22" s="28"/>
      <c r="Z22" s="28"/>
      <c r="AA22" s="28"/>
      <c r="AB22" s="28"/>
    </row>
    <row r="23">
      <c r="A23" s="21" t="s">
        <v>1061</v>
      </c>
      <c r="B23" s="22" t="s">
        <v>1062</v>
      </c>
      <c r="C23" s="23" t="str">
        <f>IFERROR(__xludf.DUMMYFUNCTION("GOOGLETRANSLATE(B23, ""en"", ""fr"")"),"Récolte Redcaps")</f>
        <v>Récolte Redcaps</v>
      </c>
      <c r="D23" s="23" t="str">
        <f>IFERROR(__xludf.DUMMYFUNCTION("GOOGLETRANSLATE(B23, ""en"", ""es"")"),"Cosecha Redcaps")</f>
        <v>Cosecha Redcaps</v>
      </c>
      <c r="E23" s="23" t="str">
        <f>IFERROR(__xludf.DUMMYFUNCTION("GOOGLETRANSLATE(B23, ""en"", ""ru"")"),"Сбор урожая Redcaps.")</f>
        <v>Сбор урожая Redcaps.</v>
      </c>
      <c r="F23" s="23" t="str">
        <f>IFERROR(__xludf.DUMMYFUNCTION("GOOGLETRANSLATE(B23, ""en"", ""tr"")"),"Hasat redcaps")</f>
        <v>Hasat redcaps</v>
      </c>
      <c r="G23" s="23" t="str">
        <f>IFERROR(__xludf.DUMMYFUNCTION("GOOGLETRANSLATE(B23, ""en"", ""pt"")"),"Colheita redcaps.")</f>
        <v>Colheita redcaps.</v>
      </c>
      <c r="H23" s="24" t="str">
        <f>IFERROR(__xludf.DUMMYFUNCTION("GOOGLETRANSLATE(B23, ""en"", ""de"")"),"Ernte Redcaps.")</f>
        <v>Ernte Redcaps.</v>
      </c>
      <c r="I23" s="23" t="str">
        <f>IFERROR(__xludf.DUMMYFUNCTION("GOOGLETRANSLATE(B23, ""en"", ""pl"")"),"RedCaps zbiorów")</f>
        <v>RedCaps zbiorów</v>
      </c>
      <c r="J23" s="25" t="str">
        <f>IFERROR(__xludf.DUMMYFUNCTION("GOOGLETRANSLATE(B23, ""en"", ""zh"")"),"收获红板")</f>
        <v>收获红板</v>
      </c>
      <c r="K23" s="25" t="str">
        <f>IFERROR(__xludf.DUMMYFUNCTION("GOOGLETRANSLATE(B23, ""en"", ""vi"")"),"Thu hoạch redcaps.")</f>
        <v>Thu hoạch redcaps.</v>
      </c>
      <c r="L23" s="26" t="str">
        <f>IFERROR(__xludf.DUMMYFUNCTION("GOOGLETRANSLATE(B23, ""en"", ""hr"")"),"Žetva Redcaps")</f>
        <v>Žetva Redcaps</v>
      </c>
      <c r="M23" s="28"/>
      <c r="N23" s="28"/>
      <c r="O23" s="28"/>
      <c r="P23" s="28"/>
      <c r="Q23" s="28"/>
      <c r="R23" s="28"/>
      <c r="S23" s="28"/>
      <c r="T23" s="28"/>
      <c r="U23" s="28"/>
      <c r="V23" s="28"/>
      <c r="W23" s="28"/>
      <c r="X23" s="28"/>
      <c r="Y23" s="28"/>
      <c r="Z23" s="28"/>
      <c r="AA23" s="28"/>
      <c r="AB23" s="28"/>
    </row>
    <row r="24">
      <c r="A24" s="21" t="s">
        <v>1063</v>
      </c>
      <c r="B24" s="22" t="s">
        <v>1064</v>
      </c>
      <c r="C24" s="23" t="str">
        <f>IFERROR(__xludf.DUMMYFUNCTION("GOOGLETRANSLATE(B24, ""en"", ""fr"")"),"Harvest Greenps")</f>
        <v>Harvest Greenps</v>
      </c>
      <c r="D24" s="23" t="str">
        <f>IFERROR(__xludf.DUMMYFUNCTION("GOOGLETRANSLATE(B24, ""en"", ""es"")"),"Cosechar greencaps")</f>
        <v>Cosechar greencaps</v>
      </c>
      <c r="E24" s="23" t="str">
        <f>IFERROR(__xludf.DUMMYFUNCTION("GOOGLETRANSLATE(B24, ""en"", ""ru"")"),"Урожай Гренкапс")</f>
        <v>Урожай Гренкапс</v>
      </c>
      <c r="F24" s="23" t="str">
        <f>IFERROR(__xludf.DUMMYFUNCTION("GOOGLETRANSLATE(B24, ""en"", ""tr"")"),"Hasat serası")</f>
        <v>Hasat serası</v>
      </c>
      <c r="G24" s="23" t="str">
        <f>IFERROR(__xludf.DUMMYFUNCTION("GOOGLETRANSLATE(B24, ""en"", ""pt"")"),"Colheita Greencaps.")</f>
        <v>Colheita Greencaps.</v>
      </c>
      <c r="H24" s="24" t="str">
        <f>IFERROR(__xludf.DUMMYFUNCTION("GOOGLETRANSLATE(B24, ""en"", ""de"")"),"Erntegrünkappen.")</f>
        <v>Erntegrünkappen.</v>
      </c>
      <c r="I24" s="23" t="str">
        <f>IFERROR(__xludf.DUMMYFUNCTION("GOOGLETRANSLATE(B24, ""en"", ""pl"")"),"Zbiory GreenCaps.")</f>
        <v>Zbiory GreenCaps.</v>
      </c>
      <c r="J24" s="25" t="str">
        <f>IFERROR(__xludf.DUMMYFUNCTION("GOOGLETRANSLATE(B24, ""en"", ""zh"")"),"收获绿盖")</f>
        <v>收获绿盖</v>
      </c>
      <c r="K24" s="25" t="str">
        <f>IFERROR(__xludf.DUMMYFUNCTION("GOOGLETRANSLATE(B24, ""en"", ""vi"")"),"Thu hoạch greencaps.")</f>
        <v>Thu hoạch greencaps.</v>
      </c>
      <c r="L24" s="26" t="str">
        <f>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c r="A25" s="21" t="s">
        <v>1065</v>
      </c>
      <c r="B25" s="22" t="s">
        <v>1066</v>
      </c>
      <c r="C25" s="23" t="str">
        <f>IFERROR(__xludf.DUMMYFUNCTION("GOOGLETRANSLATE(B25, ""en"", ""fr"")"),"Harvest Bluecaps")</f>
        <v>Harvest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""pt"")"),"Colheita BlueCaps.")</f>
        <v>Colheita BlueCaps.</v>
      </c>
      <c r="H25" s="24" t="str">
        <f>IFERROR(__xludf.DUMMYFUNCTION("GOOGLETRANSLATE(B25, ""en"", ""de"")"),"Ernteblüten")</f>
        <v>Ernteblüten</v>
      </c>
      <c r="I25" s="23" t="str">
        <f>IFERROR(__xludf.DUMMYFUNCTION("GOOGLETRANSLATE(B25, ""en"", ""pl"")"),"Żniwo Bluecaps.")</f>
        <v>Żniwo Bluecaps.</v>
      </c>
      <c r="J25" s="25" t="str">
        <f>IFERROR(__xludf.DUMMYFUNCTION("GOOGLETRANSLATE(B25, ""en"", ""zh"")"),"收获Blueapaps.")</f>
        <v>收获Blueapaps.</v>
      </c>
      <c r="K25" s="25" t="str">
        <f>IFERROR(__xludf.DUMMYFUNCTION("GOOGLETRANSLATE(B25, ""en"", ""vi"")"),"Thu hoạch BlueCaps.")</f>
        <v>Thu hoạch BlueCaps.</v>
      </c>
      <c r="L25" s="26" t="str">
        <f>IFERROR(__xludf.DUMMYFUNCTION("GOOGLETRANSLATE(B25, ""en"", ""hr"")"),"Berba bluecaps")</f>
        <v>Berba bluecaps</v>
      </c>
      <c r="M25" s="28"/>
      <c r="N25" s="28"/>
      <c r="O25" s="28"/>
      <c r="P25" s="28"/>
      <c r="Q25" s="28"/>
      <c r="R25" s="28"/>
      <c r="S25" s="28"/>
      <c r="T25" s="28"/>
      <c r="U25" s="28"/>
      <c r="V25" s="28"/>
      <c r="W25" s="28"/>
      <c r="X25" s="28"/>
      <c r="Y25" s="28"/>
      <c r="Z25" s="28"/>
      <c r="AA25" s="28"/>
      <c r="AB25" s="28"/>
    </row>
    <row r="26">
      <c r="A26" s="21" t="s">
        <v>1067</v>
      </c>
      <c r="B26" s="22" t="s">
        <v>1068</v>
      </c>
      <c r="C26" s="23" t="str">
        <f>IFERROR(__xludf.DUMMYFUNCTION("GOOGLETRANSLATE(B26, ""en"", ""fr"")"),"Récolte FrostCaps")</f>
        <v>Récolte FrostCaps</v>
      </c>
      <c r="D26" s="23" t="str">
        <f>IFERROR(__xludf.DUMMYFUNCTION("GOOGLETRANSLATE(B26, ""en"", ""es"")"),"Cosecha FrostCaps")</f>
        <v>Cosecha FrostCaps</v>
      </c>
      <c r="E26" s="23" t="str">
        <f>IFERROR(__xludf.DUMMYFUNCTION("GOOGLETRANSLATE(B26, ""en"", ""ru"")"),"Урожай морозования")</f>
        <v>Урожай морозования</v>
      </c>
      <c r="F26" s="23" t="str">
        <f>IFERROR(__xludf.DUMMYFUNCTION("GOOGLETRANSLATE(B26, ""en"", ""tr"")"),"Frostcaps hasat")</f>
        <v>Frostcaps hasat</v>
      </c>
      <c r="G26" s="23" t="str">
        <f>IFERROR(__xludf.DUMMYFUNCTION("GOOGLETRANSLATE(B26, ""en"", ""pt"")"),"Colheita Frostcaps.")</f>
        <v>Colheita Frostcaps.</v>
      </c>
      <c r="H26" s="24" t="str">
        <f>IFERROR(__xludf.DUMMYFUNCTION("GOOGLETRANSLATE(B26, ""en"", ""de"")"),"Ernte Frostcaps.")</f>
        <v>Ernte Frostcaps.</v>
      </c>
      <c r="I26" s="23" t="str">
        <f>IFERROR(__xludf.DUMMYFUNCTION("GOOGLETRANSLATE(B26, ""en"", ""pl"")"),"Mropraps zbiorów")</f>
        <v>Mropraps zbiorów</v>
      </c>
      <c r="J26" s="25" t="str">
        <f>IFERROR(__xludf.DUMMYFUNCTION("GOOGLETRANSLATE(B26, ""en"", ""zh"")"),"收获霜冻")</f>
        <v>收获霜冻</v>
      </c>
      <c r="K26" s="25" t="str">
        <f>IFERROR(__xludf.DUMMYFUNCTION("GOOGLETRANSLATE(B26, ""en"", ""vi"")"),"Thu hoạch frostcaps.")</f>
        <v>Thu hoạch frostcaps.</v>
      </c>
      <c r="L26" s="26" t="str">
        <f>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c r="A27" s="21" t="s">
        <v>1069</v>
      </c>
      <c r="B27" s="22" t="s">
        <v>1070</v>
      </c>
      <c r="C27" s="23" t="str">
        <f>IFERROR(__xludf.DUMMYFUNCTION("GOOGLETRANSLATE(B27, ""en"", ""fr"")"),"Hacher les pins")</f>
        <v>Hacher les pins</v>
      </c>
      <c r="D27" s="23" t="str">
        <f>IFERROR(__xludf.DUMMYFUNCTION("GOOGLETRANSLATE(B27, ""en"", ""es"")"),"Picar árboles de pino")</f>
        <v>Picar árboles de pino</v>
      </c>
      <c r="E27" s="23" t="str">
        <f>IFERROR(__xludf.DUMMYFUNCTION("GOOGLETRANSLATE(B27, ""en"", ""ru"")"),"Нарезать сосны")</f>
        <v>Нарезать сосны</v>
      </c>
      <c r="F27" s="23" t="str">
        <f>IFERROR(__xludf.DUMMYFUNCTION("GOOGLETRANSLATE(B27, ""en"", ""tr"")"),"Çam ağaçları doğrayın")</f>
        <v>Çam ağaçları doğrayın</v>
      </c>
      <c r="G27" s="23" t="str">
        <f>IFERROR(__xludf.DUMMYFUNCTION("GOOGLETRANSLATE(B27, ""en"", ""pt"")"),"Pinhal de pinheiros")</f>
        <v>Pinhal de pinheiros</v>
      </c>
      <c r="H27" s="24" t="str">
        <f>IFERROR(__xludf.DUMMYFUNCTION("GOOGLETRANSLATE(B27, ""en"", ""de"")"),"Kiefern hacken")</f>
        <v>Kiefern hacken</v>
      </c>
      <c r="I27" s="23" t="str">
        <f>IFERROR(__xludf.DUMMYFUNCTION("GOOGLETRANSLATE(B27, ""en"", ""pl"")"),"Posiekać sosny")</f>
        <v>Posiekać sosny</v>
      </c>
      <c r="J27" s="25" t="str">
        <f>IFERROR(__xludf.DUMMYFUNCTION("GOOGLETRANSLATE(B27, ""en"", ""zh"")"),"砍松树")</f>
        <v>砍松树</v>
      </c>
      <c r="K27" s="25" t="str">
        <f>IFERROR(__xludf.DUMMYFUNCTION("GOOGLETRANSLATE(B27, ""en"", ""vi"")"),"Chặt cây thông")</f>
        <v>Chặt cây thông</v>
      </c>
      <c r="L27" s="26" t="str">
        <f>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c r="A28" s="21" t="s">
        <v>1071</v>
      </c>
      <c r="B28" s="22" t="s">
        <v>1072</v>
      </c>
      <c r="C28" s="23" t="str">
        <f>IFERROR(__xludf.DUMMYFUNCTION("GOOGLETRANSLATE(B28, ""en"", ""fr"")"),"Hacher les arbres saule")</f>
        <v>Hacher les arbres saule</v>
      </c>
      <c r="D28" s="23" t="str">
        <f>IFERROR(__xludf.DUMMYFUNCTION("GOOGLETRANSLATE(B28, ""en"", ""es"")"),"Picar árboles de sauces")</f>
        <v>Picar árboles de sauces</v>
      </c>
      <c r="E28" s="23" t="str">
        <f>IFERROR(__xludf.DUMMYFUNCTION("GOOGLETRANSLATE(B28, ""en"", ""ru"")"),"Направьте деревья ивы")</f>
        <v>Направьте деревья ивы</v>
      </c>
      <c r="F28" s="23" t="str">
        <f>IFERROR(__xludf.DUMMYFUNCTION("GOOGLETRANSLATE(B28, ""en"", ""tr"")"),"Söğüt ağaçları doğrayın")</f>
        <v>Söğüt ağaçları doğrayın</v>
      </c>
      <c r="G28" s="23" t="str">
        <f>IFERROR(__xludf.DUMMYFUNCTION("GOOGLETRANSLATE(B28, ""en"", ""pt"")"),"Pique salgueiro")</f>
        <v>Pique salgueiro</v>
      </c>
      <c r="H28" s="24" t="str">
        <f>IFERROR(__xludf.DUMMYFUNCTION("GOOGLETRANSLATE(B28, ""en"", ""de"")"),"Willow Bäume hacken")</f>
        <v>Willow Bäume hacken</v>
      </c>
      <c r="I28" s="23" t="str">
        <f>IFERROR(__xludf.DUMMYFUNCTION("GOOGLETRANSLATE(B28, ""en"", ""pl"")"),"Kręcić wierzby")</f>
        <v>Kręcić wierzby</v>
      </c>
      <c r="J28" s="25" t="str">
        <f>IFERROR(__xludf.DUMMYFUNCTION("GOOGLETRANSLATE(B28, ""en"", ""zh"")"),"砍柳树")</f>
        <v>砍柳树</v>
      </c>
      <c r="K28" s="25" t="str">
        <f>IFERROR(__xludf.DUMMYFUNCTION("GOOGLETRANSLATE(B28, ""en"", ""vi"")"),"Cây liễu")</f>
        <v>Cây liễu</v>
      </c>
      <c r="L28" s="26" t="str">
        <f>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c r="A29" s="21" t="s">
        <v>1073</v>
      </c>
      <c r="B29" s="22" t="s">
        <v>1074</v>
      </c>
      <c r="C29" s="23" t="str">
        <f>IFERROR(__xludf.DUMMYFUNCTION("GOOGLETRANSLATE(B29, ""en"", ""fr"")"),"Hacher les chênes")</f>
        <v>Hacher les chênes</v>
      </c>
      <c r="D29" s="23" t="str">
        <f>IFERROR(__xludf.DUMMYFUNCTION("GOOGLETRANSLATE(B29, ""en"", ""es"")"),"Picar robles")</f>
        <v>Picar robles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 carvalho")</f>
        <v>Pique o carvalho</v>
      </c>
      <c r="H29" s="24" t="str">
        <f>IFERROR(__xludf.DUMMYFUNCTION("GOOGLETRANSLATE(B29, ""en"", ""de"")"),"Eiche hacken")</f>
        <v>Eiche hacken</v>
      </c>
      <c r="I29" s="23" t="str">
        <f>IFERROR(__xludf.DUMMYFUNCTION("GOOGLETRANSLATE(B29, ""en"", ""pl"")"),"Dębowe drzewa")</f>
        <v>Dębowe drzewa</v>
      </c>
      <c r="J29" s="25" t="str">
        <f>IFERROR(__xludf.DUMMYFUNCTION("GOOGLETRANSLATE(B29, ""en"", ""zh"")"),"砍橡树")</f>
        <v>砍橡树</v>
      </c>
      <c r="K29" s="25" t="str">
        <f>IFERROR(__xludf.DUMMYFUNCTION("GOOGLETRANSLATE(B29, ""en"", ""vi"")"),"Cây sồi cây")</f>
        <v>Cây sồi cây</v>
      </c>
      <c r="L29" s="26" t="str">
        <f>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c r="A30" s="21" t="s">
        <v>1075</v>
      </c>
      <c r="B30" s="22" t="s">
        <v>1076</v>
      </c>
      <c r="C30" s="23" t="str">
        <f>IFERROR(__xludf.DUMMYFUNCTION("GOOGLETRANSLATE(B30, ""en"", ""fr"")"),"Minerai de fer")</f>
        <v>Minerai de fer</v>
      </c>
      <c r="D30" s="23" t="str">
        <f>IFERROR(__xludf.DUMMYFUNCTION("GOOGLETRANSLATE(B30, ""en"", ""es"")"),"Mineral de hierro minero")</f>
        <v>Mineral de hierro minero</v>
      </c>
      <c r="E30" s="23" t="str">
        <f>IFERROR(__xludf.DUMMYFUNCTION("GOOGLETRANSLATE(B30, ""en"", ""ru"")"),"Минимая железная руда")</f>
        <v>Минимая железная руда</v>
      </c>
      <c r="F30" s="23" t="str">
        <f>IFERROR(__xludf.DUMMYFUNCTION("GOOGLETRANSLATE(B30, ""en"", ""tr"")"),"Maden demir cevheri")</f>
        <v>Maden demir cevheri</v>
      </c>
      <c r="G30" s="23" t="str">
        <f>IFERROR(__xludf.DUMMYFUNCTION("GOOGLETRANSLATE(B30, ""en"", ""pt"")"),"Minério de ferro de minas")</f>
        <v>Minério de ferro de minas</v>
      </c>
      <c r="H30" s="24" t="str">
        <f>IFERROR(__xludf.DUMMYFUNCTION("GOOGLETRANSLATE(B30, ""en"", ""de"")"),"Mineneisenerz.")</f>
        <v>Mineneisenerz.</v>
      </c>
      <c r="I30" s="23" t="str">
        <f>IFERROR(__xludf.DUMMYFUNCTION("GOOGLETRANSLATE(B30, ""en"", ""pl"")"),"Mój żelaza rudy")</f>
        <v>Mój żelaza rudy</v>
      </c>
      <c r="J30" s="25" t="str">
        <f>IFERROR(__xludf.DUMMYFUNCTION("GOOGLETRANSLATE(B30, ""en"", ""zh"")"),"矿铁矿石")</f>
        <v>矿铁矿石</v>
      </c>
      <c r="K30" s="25" t="str">
        <f>IFERROR(__xludf.DUMMYFUNCTION("GOOGLETRANSLATE(B30, ""en"", ""vi"")"),"Mỏ sắt quặng")</f>
        <v>Mỏ sắt quặng</v>
      </c>
      <c r="L30" s="26" t="str">
        <f>IFERROR(__xludf.DUMMYFUNCTION("GOOGLETRANSLATE(B30, ""en"", ""hr"")"),"Ruda od mina")</f>
        <v>Ruda od mina</v>
      </c>
      <c r="M30" s="28"/>
      <c r="N30" s="28"/>
      <c r="O30" s="28"/>
      <c r="P30" s="28"/>
      <c r="Q30" s="28"/>
      <c r="R30" s="28"/>
      <c r="S30" s="28"/>
      <c r="T30" s="28"/>
      <c r="U30" s="28"/>
      <c r="V30" s="28"/>
      <c r="W30" s="28"/>
      <c r="X30" s="28"/>
      <c r="Y30" s="28"/>
      <c r="Z30" s="28"/>
      <c r="AA30" s="28"/>
      <c r="AB30" s="28"/>
    </row>
    <row r="31">
      <c r="A31" s="21" t="s">
        <v>1077</v>
      </c>
      <c r="B31" s="22" t="s">
        <v>1078</v>
      </c>
      <c r="C31" s="23" t="str">
        <f>IFERROR(__xludf.DUMMYFUNCTION("GOOGLETRANSLATE(B31, ""en"", ""fr"")"),"Minez le minerai de Dungium")</f>
        <v>Minez le minerai de Dungium</v>
      </c>
      <c r="D31" s="23" t="str">
        <f>IFERROR(__xludf.DUMMYFUNCTION("GOOGLETRANSLATE(B31, ""en"", ""es"")"),"Mineral de dungium de la mina")</f>
        <v>Mineral de dungium de la mina</v>
      </c>
      <c r="E31" s="23" t="str">
        <f>IFERROR(__xludf.DUMMYFUNCTION("GOOGLETRANSLATE(B31, ""en"", ""ru"")"),"Шахта дюнгуйской руды")</f>
        <v>Шахта дюнгуйской руды</v>
      </c>
      <c r="F31" s="23" t="str">
        <f>IFERROR(__xludf.DUMMYFUNCTION("GOOGLETRANSLATE(B31, ""en"", ""tr"")"),"Mine Dungium cevheri")</f>
        <v>Mine Dungium cevheri</v>
      </c>
      <c r="G31" s="23" t="str">
        <f>IFERROR(__xludf.DUMMYFUNCTION("GOOGLETRANSLATE(B31, ""en"", ""pt"")"),"Meu minério de dungium")</f>
        <v>Meu minério de dungium</v>
      </c>
      <c r="H31" s="24" t="str">
        <f>IFERROR(__xludf.DUMMYFUNCTION("GOOGLETRANSLATE(B31, ""en"", ""de"")"),"Mine Dungiumerz.")</f>
        <v>Mine Dungiumerz.</v>
      </c>
      <c r="I31" s="23" t="str">
        <f>IFERROR(__xludf.DUMMYFUNCTION("GOOGLETRANSLATE(B31, ""en"", ""pl"")"),"Kopalnia Ore Dungium.")</f>
        <v>Kopalnia Ore Dungium.</v>
      </c>
      <c r="J31" s="25" t="str">
        <f>IFERROR(__xludf.DUMMYFUNCTION("GOOGLETRANSLATE(B31, ""en"", ""zh"")"),"矿山矿石")</f>
        <v>矿山矿石</v>
      </c>
      <c r="K31" s="25" t="str">
        <f>IFERROR(__xludf.DUMMYFUNCTION("GOOGLETRANSLATE(B31, ""en"", ""vi"")"),"Khai thác dầu dunge")</f>
        <v>Khai thác dầu dunge</v>
      </c>
      <c r="L31" s="26" t="str">
        <f>IFERROR(__xludf.DUMMYFUNCTION("GOOGLETRANSLATE(B31, ""en"", ""hr"")"),"Rudnik rude")</f>
        <v>Rudnik rude</v>
      </c>
      <c r="M31" s="28"/>
      <c r="N31" s="28"/>
      <c r="O31" s="28"/>
      <c r="P31" s="28"/>
      <c r="Q31" s="28"/>
      <c r="R31" s="28"/>
      <c r="S31" s="28"/>
      <c r="T31" s="28"/>
      <c r="U31" s="28"/>
      <c r="V31" s="28"/>
      <c r="W31" s="28"/>
      <c r="X31" s="28"/>
      <c r="Y31" s="28"/>
      <c r="Z31" s="28"/>
      <c r="AA31" s="28"/>
      <c r="AB31" s="28"/>
    </row>
    <row r="32">
      <c r="A32" s="21" t="s">
        <v>1079</v>
      </c>
      <c r="B32" s="22" t="s">
        <v>1080</v>
      </c>
      <c r="C32" s="23" t="str">
        <f>IFERROR(__xludf.DUMMYFUNCTION("GOOGLETRANSLATE(B32, ""en"", ""fr"")"),"Minez l'agonite minerai")</f>
        <v>Minez l'agonite minerai</v>
      </c>
      <c r="D32" s="23" t="str">
        <f>IFERROR(__xludf.DUMMYFUNCTION("GOOGLETRANSLATE(B32, ""en"", ""es"")"),"Mina agonita mineral")</f>
        <v>Mina agonita mineral</v>
      </c>
      <c r="E32" s="23" t="str">
        <f>IFERROR(__xludf.DUMMYFUNCTION("GOOGLETRANSLATE(B32, ""en"", ""ru"")"),"Шахта агонита руды")</f>
        <v>Шахта агонита руды</v>
      </c>
      <c r="F32" s="23" t="str">
        <f>IFERROR(__xludf.DUMMYFUNCTION("GOOGLETRANSLATE(B32, ""en"", ""tr"")"),"Maden Agonite cevheri")</f>
        <v>Maden Agonite cevheri</v>
      </c>
      <c r="G32" s="23" t="str">
        <f>IFERROR(__xludf.DUMMYFUNCTION("GOOGLETRANSLATE(B32, ""en"", ""pt"")"),"Minério de agonite da mina")</f>
        <v>Minério de agonite da mina</v>
      </c>
      <c r="H32" s="24" t="str">
        <f>IFERROR(__xludf.DUMMYFUNCTION("GOOGLETRANSLATE(B32, ""en"", ""de"")"),"Mine Agoniteerz.")</f>
        <v>Mine Agoniteerz.</v>
      </c>
      <c r="I32" s="23" t="str">
        <f>IFERROR(__xludf.DUMMYFUNCTION("GOOGLETRANSLATE(B32, ""en"", ""pl"")"),"Kopalnia Agonite Ore.")</f>
        <v>Kopalnia Agonite Ore.</v>
      </c>
      <c r="J32" s="25" t="str">
        <f>IFERROR(__xludf.DUMMYFUNCTION("GOOGLETRANSLATE(B32, ""en"", ""zh"")"),"矿山艾莫矿")</f>
        <v>矿山艾莫矿</v>
      </c>
      <c r="K32" s="25" t="str">
        <f>IFERROR(__xludf.DUMMYFUNCTION("GOOGLETRANSLATE(B32, ""en"", ""vi"")"),"Quặng agonite của tôi")</f>
        <v>Quặng agonite của tôi</v>
      </c>
      <c r="L32" s="26" t="str">
        <f>IFERROR(__xludf.DUMMYFUNCTION("GOOGLETRANSLATE(B32, ""en"", ""hr"")"),"Rudni agonit")</f>
        <v>Rudni agonit</v>
      </c>
      <c r="M32" s="28"/>
      <c r="N32" s="28"/>
      <c r="O32" s="28"/>
      <c r="P32" s="28"/>
      <c r="Q32" s="28"/>
      <c r="R32" s="28"/>
      <c r="S32" s="28"/>
      <c r="T32" s="28"/>
      <c r="U32" s="28"/>
      <c r="V32" s="28"/>
      <c r="W32" s="28"/>
      <c r="X32" s="28"/>
      <c r="Y32" s="28"/>
      <c r="Z32" s="28"/>
      <c r="AA32" s="28"/>
      <c r="AB32" s="28"/>
    </row>
    <row r="33">
      <c r="A33" s="21" t="s">
        <v>1081</v>
      </c>
      <c r="B33" s="22" t="s">
        <v>1082</v>
      </c>
      <c r="C33" s="23" t="str">
        <f>IFERROR(__xludf.DUMMYFUNCTION("GOOGLETRANSLATE(B33, ""en"", ""fr"")"),"Minier noctis minerai")</f>
        <v>Minier noctis minerai</v>
      </c>
      <c r="D33" s="23" t="str">
        <f>IFERROR(__xludf.DUMMYFUNCTION("GOOGLETRANSLATE(B33, ""en"", ""es"")"),"Mina noctis mineral")</f>
        <v>Mina noctis mineral</v>
      </c>
      <c r="E33" s="23" t="str">
        <f>IFERROR(__xludf.DUMMYFUNCTION("GOOGLETRANSLATE(B33, ""en"", ""ru"")"),"Шахта ноктиса руды")</f>
        <v>Шахта ноктиса руды</v>
      </c>
      <c r="F33" s="23" t="str">
        <f>IFERROR(__xludf.DUMMYFUNCTION("GOOGLETRANSLATE(B33, ""en"", ""tr"")"),"Mayın noctis cevheri")</f>
        <v>Mayın noctis cevheri</v>
      </c>
      <c r="G33" s="23" t="str">
        <f>IFERROR(__xludf.DUMMYFUNCTION("GOOGLETRANSLATE(B33, ""en"", ""pt"")"),"Mine noctis minério.")</f>
        <v>Mine noctis minério.</v>
      </c>
      <c r="H33" s="24" t="str">
        <f>IFERROR(__xludf.DUMMYFUNCTION("GOOGLETRANSLATE(B33, ""en"", ""de"")"),"MINE NOCTIS ORE.")</f>
        <v>MINE NOCTIS ORE.</v>
      </c>
      <c r="I33" s="23" t="str">
        <f>IFERROR(__xludf.DUMMYFUNCTION("GOOGLETRANSLATE(B33, ""en"", ""pl"")"),"Mine Noctis Ore.")</f>
        <v>Mine Noctis Ore.</v>
      </c>
      <c r="J33" s="25" t="str">
        <f>IFERROR(__xludf.DUMMYFUNCTION("GOOGLETRANSLATE(B33, ""en"", ""zh"")"),"矿山夜岛矿石")</f>
        <v>矿山夜岛矿石</v>
      </c>
      <c r="K33" s="25" t="str">
        <f>IFERROR(__xludf.DUMMYFUNCTION("GOOGLETRANSLATE(B33, ""en"", ""vi"")"),"Mỏ Noctis Ore.")</f>
        <v>Mỏ Noctis Ore.</v>
      </c>
      <c r="L33" s="26" t="str">
        <f>IFERROR(__xludf.DUMMYFUNCTION("GOOGLETRANSLATE(B33, ""en"", ""hr"")"),"Ruda od mina")</f>
        <v>Ruda od mina</v>
      </c>
      <c r="M33" s="28"/>
      <c r="N33" s="28"/>
      <c r="O33" s="28"/>
      <c r="P33" s="28"/>
      <c r="Q33" s="28"/>
      <c r="R33" s="28"/>
      <c r="S33" s="28"/>
      <c r="T33" s="28"/>
      <c r="U33" s="28"/>
      <c r="V33" s="28"/>
      <c r="W33" s="28"/>
      <c r="X33" s="28"/>
      <c r="Y33" s="28"/>
      <c r="Z33" s="28"/>
      <c r="AA33" s="28"/>
      <c r="AB33" s="28"/>
    </row>
    <row r="34">
      <c r="A34" s="21" t="s">
        <v>1083</v>
      </c>
      <c r="B34" s="22" t="s">
        <v>1084</v>
      </c>
      <c r="C34" s="23" t="str">
        <f>IFERROR(__xludf.DUMMYFUNCTION("GOOGLETRANSLATE(B34, ""en"", ""fr"")"),"Flèches d'artisanat")</f>
        <v>Flèches d'artisanat</v>
      </c>
      <c r="D34" s="23" t="str">
        <f>IFERROR(__xludf.DUMMYFUNCTION("GOOGLETRANSLATE(B34, ""en"", ""es"")"),"Flechas artesanales")</f>
        <v>Flechas artesanales</v>
      </c>
      <c r="E34" s="23" t="str">
        <f>IFERROR(__xludf.DUMMYFUNCTION("GOOGLETRANSLATE(B34, ""en"", ""ru"")"),"Стрелки ремесло")</f>
        <v>Стрелки ремесло</v>
      </c>
      <c r="F34" s="23" t="str">
        <f>IFERROR(__xludf.DUMMYFUNCTION("GOOGLETRANSLATE(B34, ""en"", ""tr"")"),"Zanaat okları")</f>
        <v>Zanaat okları</v>
      </c>
      <c r="G34" s="23" t="str">
        <f>IFERROR(__xludf.DUMMYFUNCTION("GOOGLETRANSLATE(B34, ""en"", ""pt"")"),"Flechas de artesanato")</f>
        <v>Flechas de artesanato</v>
      </c>
      <c r="H34" s="24" t="str">
        <f>IFERROR(__xludf.DUMMYFUNCTION("GOOGLETRANSLATE(B34, ""en"", ""de"")"),"Bastelpfeile")</f>
        <v>Bastelpfeile</v>
      </c>
      <c r="I34" s="23" t="str">
        <f>IFERROR(__xludf.DUMMYFUNCTION("GOOGLETRANSLATE(B34, ""en"", ""pl"")"),"Strzałki rzemieślnicze.")</f>
        <v>Strzałki rzemieślnicze.</v>
      </c>
      <c r="J34" s="25" t="str">
        <f>IFERROR(__xludf.DUMMYFUNCTION("GOOGLETRANSLATE(B34, ""en"", ""zh"")"),"工艺箭头")</f>
        <v>工艺箭头</v>
      </c>
      <c r="K34" s="25" t="str">
        <f>IFERROR(__xludf.DUMMYFUNCTION("GOOGLETRANSLATE(B34, ""en"", ""vi"")"),"Mũi tên thủ công")</f>
        <v>Mũi tên thủ công</v>
      </c>
      <c r="L34" s="26" t="str">
        <f>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c r="A35" s="21" t="s">
        <v>1085</v>
      </c>
      <c r="B35" s="22" t="s">
        <v>1086</v>
      </c>
      <c r="C35" s="23" t="str">
        <f>IFERROR(__xludf.DUMMYFUNCTION("GOOGLETRANSLATE(B35, ""en"", ""fr"")"),"Craft Daggers")</f>
        <v>Craft Daggers</v>
      </c>
      <c r="D35" s="23" t="str">
        <f>IFERROR(__xludf.DUMMYFUNCTION("GOOGLETRANSLATE(B35, ""en"", ""es"")"),"Dagas artesanales")</f>
        <v>Dagas artesanales</v>
      </c>
      <c r="E35" s="23" t="str">
        <f>IFERROR(__xludf.DUMMYFUNCTION("GOOGLETRANSLATE(B35, ""en"", ""ru"")"),"Ремесленники")</f>
        <v>Ремесленники</v>
      </c>
      <c r="F35" s="23" t="str">
        <f>IFERROR(__xludf.DUMMYFUNCTION("GOOGLETRANSLATE(B35, ""en"", ""tr"")"),"Zanaat hançerleri")</f>
        <v>Zanaat hançerleri</v>
      </c>
      <c r="G35" s="23" t="str">
        <f>IFERROR(__xludf.DUMMYFUNCTION("GOOGLETRANSLATE(B35, ""en"", ""pt"")"),"Adagas de artesanato")</f>
        <v>Adagas de artesanato</v>
      </c>
      <c r="H35" s="24" t="str">
        <f>IFERROR(__xludf.DUMMYFUNCTION("GOOGLETRANSLATE(B35, ""en"", ""de"")"),"Handwerkliche Dolche")</f>
        <v>Handwerkliche Dolche</v>
      </c>
      <c r="I35" s="23" t="str">
        <f>IFERROR(__xludf.DUMMYFUNCTION("GOOGLETRANSLATE(B35, ""en"", ""pl"")"),"Rzemiosły sztylety")</f>
        <v>Rzemiosły sztylety</v>
      </c>
      <c r="J35" s="25" t="str">
        <f>IFERROR(__xludf.DUMMYFUNCTION("GOOGLETRANSLATE(B35, ""en"", ""zh"")"),"工艺匕首")</f>
        <v>工艺匕首</v>
      </c>
      <c r="K35" s="25" t="str">
        <f>IFERROR(__xludf.DUMMYFUNCTION("GOOGLETRANSLATE(B35, ""en"", ""vi"")"),"Craft Daggers.")</f>
        <v>Craft Daggers.</v>
      </c>
      <c r="L35" s="26" t="str">
        <f>IFERROR(__xludf.DUMMYFUNCTION("GOOGLETRANSLATE(B35, ""en"", ""hr"")"),"Djela")</f>
        <v>Djela</v>
      </c>
      <c r="M35" s="28"/>
      <c r="N35" s="28"/>
      <c r="O35" s="28"/>
      <c r="P35" s="28"/>
      <c r="Q35" s="28"/>
      <c r="R35" s="28"/>
      <c r="S35" s="28"/>
      <c r="T35" s="28"/>
      <c r="U35" s="28"/>
      <c r="V35" s="28"/>
      <c r="W35" s="28"/>
      <c r="X35" s="28"/>
      <c r="Y35" s="28"/>
      <c r="Z35" s="28"/>
      <c r="AA35" s="28"/>
      <c r="AB35" s="28"/>
    </row>
    <row r="36">
      <c r="A36" s="21" t="s">
        <v>1087</v>
      </c>
      <c r="B36" s="22" t="s">
        <v>1088</v>
      </c>
      <c r="C36" s="23" t="str">
        <f>IFERROR(__xludf.DUMMYFUNCTION("GOOGLETRANSLATE(B36, ""en"", ""fr"")"),"Épées d'artisanat")</f>
        <v>Épées d'artisanat</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f>
        <v>Zanaat kılıç</v>
      </c>
      <c r="G36" s="23" t="str">
        <f>IFERROR(__xludf.DUMMYFUNCTION("GOOGLETRANSLATE(B36, ""en"", ""pt"")"),"Espadas de artesanato")</f>
        <v>Espadas de artesanato</v>
      </c>
      <c r="H36" s="24" t="str">
        <f>IFERROR(__xludf.DUMMYFUNCTION("GOOGLETRANSLATE(B36, ""en"", ""de"")"),"Handwerksschwerter")</f>
        <v>Handwerksschwerter</v>
      </c>
      <c r="I36" s="23" t="str">
        <f>IFERROR(__xludf.DUMMYFUNCTION("GOOGLETRANSLATE(B36, ""en"", ""pl"")"),"Craft Swords.")</f>
        <v>Craft Swords.</v>
      </c>
      <c r="J36" s="25" t="str">
        <f>IFERROR(__xludf.DUMMYFUNCTION("GOOGLETRANSLATE(B36, ""en"", ""zh"")"),"工艺剑")</f>
        <v>工艺剑</v>
      </c>
      <c r="K36" s="25" t="str">
        <f>IFERROR(__xludf.DUMMYFUNCTION("GOOGLETRANSLATE(B36, ""en"", ""vi"")"),"Swords thủ công.")</f>
        <v>Swords thủ công.</v>
      </c>
      <c r="L36" s="26" t="str">
        <f>IFERROR(__xludf.DUMMYFUNCTION("GOOGLETRANSLATE(B36, ""en"", ""hr"")"),"Obrtni mačevi")</f>
        <v>Obrtni mačevi</v>
      </c>
      <c r="M36" s="28"/>
      <c r="N36" s="28"/>
      <c r="O36" s="28"/>
      <c r="P36" s="28"/>
      <c r="Q36" s="28"/>
      <c r="R36" s="28"/>
      <c r="S36" s="28"/>
      <c r="T36" s="28"/>
      <c r="U36" s="28"/>
      <c r="V36" s="28"/>
      <c r="W36" s="28"/>
      <c r="X36" s="28"/>
      <c r="Y36" s="28"/>
      <c r="Z36" s="28"/>
      <c r="AA36" s="28"/>
      <c r="AB36" s="28"/>
    </row>
    <row r="37">
      <c r="A37" s="21" t="s">
        <v>1089</v>
      </c>
      <c r="B37" s="22" t="s">
        <v>1090</v>
      </c>
      <c r="C37" s="23" t="str">
        <f>IFERROR(__xludf.DUMMYFUNCTION("GOOGLETRANSLATE(B37, ""en"", ""fr"")"),"Marteaux artisanaux")</f>
        <v>Marteaux artisanaux</v>
      </c>
      <c r="D37" s="23" t="str">
        <f>IFERROR(__xludf.DUMMYFUNCTION("GOOGLETRANSLATE(B37, ""en"", ""es"")"),"Martillos artesanales")</f>
        <v>Martillos artesanales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de artesanato")</f>
        <v>Martelos de artesanato</v>
      </c>
      <c r="H37" s="24" t="str">
        <f>IFERROR(__xludf.DUMMYFUNCTION("GOOGLETRANSLATE(B37, ""en"", ""de"")"),"Craft Hammers.")</f>
        <v>Craft Hammers.</v>
      </c>
      <c r="I37" s="23" t="str">
        <f>IFERROR(__xludf.DUMMYFUNCTION("GOOGLETRANSLATE(B37, ""en"", ""pl"")"),"Rzemiosło młotki")</f>
        <v>Rzemiosło młotki</v>
      </c>
      <c r="J37" s="25" t="str">
        <f>IFERROR(__xludf.DUMMYFUNCTION("GOOGLETRANSLATE(B37, ""en"", ""zh"")"),"工艺锤子")</f>
        <v>工艺锤子</v>
      </c>
      <c r="K37" s="25" t="str">
        <f>IFERROR(__xludf.DUMMYFUNCTION("GOOGLETRANSLATE(B37, ""en"", ""vi"")"),"Hammer thủ công")</f>
        <v>Hammer thủ công</v>
      </c>
      <c r="L37" s="26" t="str">
        <f>IFERROR(__xludf.DUMMYFUNCTION("GOOGLETRANSLATE(B37, ""en"", ""hr"")"),"Obrtnici")</f>
        <v>Obrtnici</v>
      </c>
      <c r="M37" s="28"/>
      <c r="N37" s="28"/>
      <c r="O37" s="28"/>
      <c r="P37" s="28"/>
      <c r="Q37" s="28"/>
      <c r="R37" s="28"/>
      <c r="S37" s="28"/>
      <c r="T37" s="28"/>
      <c r="U37" s="28"/>
      <c r="V37" s="28"/>
      <c r="W37" s="28"/>
      <c r="X37" s="28"/>
      <c r="Y37" s="28"/>
      <c r="Z37" s="28"/>
      <c r="AA37" s="28"/>
      <c r="AB37" s="28"/>
    </row>
    <row r="38">
      <c r="A38" s="21" t="s">
        <v>1091</v>
      </c>
      <c r="B38" s="22" t="s">
        <v>1092</v>
      </c>
      <c r="C38" s="23" t="str">
        <f>IFERROR(__xludf.DUMMYFUNCTION("GOOGLETRANSLATE(B38, ""en"", ""fr"")"),"Artisanat Shurikens")</f>
        <v>Artisanat Shurikens</v>
      </c>
      <c r="D38" s="23" t="str">
        <f>IFERROR(__xludf.DUMMYFUNCTION("GOOGLETRANSLATE(B38, ""en"", ""es"")"),"Manualidades shurikens")</f>
        <v>Manualidades shurikens</v>
      </c>
      <c r="E38" s="23" t="str">
        <f>IFERROR(__xludf.DUMMYFUNCTION("GOOGLETRANSLATE(B38, ""en"", ""ru"")"),"Craft Shurikens")</f>
        <v>Craft Shurikens</v>
      </c>
      <c r="F38" s="23" t="str">
        <f>IFERROR(__xludf.DUMMYFUNCTION("GOOGLETRANSLATE(B38, ""en"", ""tr"")"),"Zanaat shurikens")</f>
        <v>Zanaat shurikens</v>
      </c>
      <c r="G38" s="23" t="str">
        <f>IFERROR(__xludf.DUMMYFUNCTION("GOOGLETRANSLATE(B38, ""en"", ""pt"")"),"Shurikens de artesanato")</f>
        <v>Shurikens de artesanato</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""zh"")"),"工艺shurikens")</f>
        <v>工艺shurikens</v>
      </c>
      <c r="K38" s="25" t="str">
        <f>IFERROR(__xludf.DUMMYFUNCTION("GOOGLETRANSLATE(B38, ""en"", ""vi"")"),"Craft Shurikens.")</f>
        <v>Craft Shurikens.</v>
      </c>
      <c r="L38" s="26" t="str">
        <f>IFERROR(__xludf.DUMMYFUNCTION("GOOGLETRANSLATE(B38, ""en"", ""hr"")"),"Širikens")</f>
        <v>Širikens</v>
      </c>
      <c r="M38" s="28"/>
      <c r="N38" s="28"/>
      <c r="O38" s="28"/>
      <c r="P38" s="28"/>
      <c r="Q38" s="28"/>
      <c r="R38" s="28"/>
      <c r="S38" s="28"/>
      <c r="T38" s="28"/>
      <c r="U38" s="28"/>
      <c r="V38" s="28"/>
      <c r="W38" s="28"/>
      <c r="X38" s="28"/>
      <c r="Y38" s="28"/>
      <c r="Z38" s="28"/>
      <c r="AA38" s="28"/>
      <c r="AB38" s="28"/>
    </row>
    <row r="39">
      <c r="A39" s="21" t="s">
        <v>1093</v>
      </c>
      <c r="B39" s="22" t="s">
        <v>1094</v>
      </c>
      <c r="C39" s="23" t="str">
        <f>IFERROR(__xludf.DUMMYFUNCTION("GOOGLETRANSLATE(B39, ""en"", ""fr"")"),"Artisanat arcs")</f>
        <v>Artisanat arcs</v>
      </c>
      <c r="D39" s="23" t="str">
        <f>IFERROR(__xludf.DUMMYFUNCTION("GOOGLETRANSLATE(B39, ""en"", ""es"")"),"Artesanía")</f>
        <v>Artesanía</v>
      </c>
      <c r="E39" s="23" t="str">
        <f>IFERROR(__xludf.DUMMYFUNCTION("GOOGLETRANSLATE(B39, ""en"", ""ru"")"),"Луки ремесла")</f>
        <v>Луки ремесла</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""de"")"),"CRAFT BOWS.")</f>
        <v>CRAFT BOWS.</v>
      </c>
      <c r="I39" s="23" t="str">
        <f>IFERROR(__xludf.DUMMYFUNCTION("GOOGLETRANSLATE(B39, ""en"", ""pl"")"),"Łęki rzemiosła")</f>
        <v>Łęki rzemiosła</v>
      </c>
      <c r="J39" s="25" t="str">
        <f>IFERROR(__xludf.DUMMYFUNCTION("GOOGLETRANSLATE(B39, ""en"", ""zh"")"),"工艺弓")</f>
        <v>工艺弓</v>
      </c>
      <c r="K39" s="25" t="str">
        <f>IFERROR(__xludf.DUMMYFUNCTION("GOOGLETRANSLATE(B39, ""en"", ""vi"")"),"Cung thủ công")</f>
        <v>Cung thủ công</v>
      </c>
      <c r="L39" s="26" t="str">
        <f>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c r="A40" s="21" t="s">
        <v>1095</v>
      </c>
      <c r="B40" s="22" t="s">
        <v>1096</v>
      </c>
      <c r="C40" s="23" t="str">
        <f>IFERROR(__xludf.DUMMYFUNCTION("GOOGLETRANSLATE(B40, ""en"", ""fr"")"),"Staff artisanat")</f>
        <v>Staff artisanat</v>
      </c>
      <c r="D40" s="23" t="str">
        <f>IFERROR(__xludf.DUMMYFUNCTION("GOOGLETRANSLATE(B40, ""en"", ""es"")"),"Personal de artesanía")</f>
        <v>Personal de artesanía</v>
      </c>
      <c r="E40" s="23" t="str">
        <f>IFERROR(__xludf.DUMMYFUNCTION("GOOGLETRANSLATE(B40, ""en"", ""ru"")"),"Сотрудники ремесла")</f>
        <v>Сотрудники ремесла</v>
      </c>
      <c r="F40" s="23" t="str">
        <f>IFERROR(__xludf.DUMMYFUNCTION("GOOGLETRANSLATE(B40, ""en"", ""tr"")"),"Zanaat personel")</f>
        <v>Zanaat personel</v>
      </c>
      <c r="G40" s="23" t="str">
        <f>IFERROR(__xludf.DUMMYFUNCTION("GOOGLETRANSLATE(B40, ""en"", ""pt"")"),"Equipes de artesanato")</f>
        <v>Equipes de artesanato</v>
      </c>
      <c r="H40" s="24" t="str">
        <f>IFERROR(__xludf.DUMMYFUNCTION("GOOGLETRANSLATE(B40, ""en"", ""de"")"),"Handwerkliche Mitarbeiter")</f>
        <v>Handwerkliche Mitarbeiter</v>
      </c>
      <c r="I40" s="23" t="str">
        <f>IFERROR(__xludf.DUMMYFUNCTION("GOOGLETRANSLATE(B40, ""en"", ""pl"")"),"Sztabki rzemieślnicze")</f>
        <v>Sztabki rzemieślnicze</v>
      </c>
      <c r="J40" s="25" t="str">
        <f>IFERROR(__xludf.DUMMYFUNCTION("GOOGLETRANSLATE(B40, ""en"", ""zh"")"),"工艺人员")</f>
        <v>工艺人员</v>
      </c>
      <c r="K40" s="25" t="str">
        <f>IFERROR(__xludf.DUMMYFUNCTION("GOOGLETRANSLATE(B40, ""en"", ""vi"")"),"Nhân viên thủ công")</f>
        <v>Nhân viên thủ công</v>
      </c>
      <c r="L40" s="26" t="str">
        <f>IFERROR(__xludf.DUMMYFUNCTION("GOOGLETRANSLATE(B40, ""en"", ""hr"")"),"Plovilo")</f>
        <v>Plovilo</v>
      </c>
      <c r="M40" s="28"/>
      <c r="N40" s="28"/>
      <c r="O40" s="28"/>
      <c r="P40" s="28"/>
      <c r="Q40" s="28"/>
      <c r="R40" s="28"/>
      <c r="S40" s="28"/>
      <c r="T40" s="28"/>
      <c r="U40" s="28"/>
      <c r="V40" s="28"/>
      <c r="W40" s="28"/>
      <c r="X40" s="28"/>
      <c r="Y40" s="28"/>
      <c r="Z40" s="28"/>
      <c r="AA40" s="28"/>
      <c r="AB40" s="28"/>
    </row>
    <row r="41">
      <c r="A41" s="21" t="s">
        <v>1097</v>
      </c>
      <c r="B41" s="22" t="s">
        <v>1098</v>
      </c>
      <c r="C41" s="23" t="str">
        <f>IFERROR(__xludf.DUMMYFUNCTION("GOOGLETRANSLATE(B41, ""en"", ""fr"")"),"Hache d'artisanat")</f>
        <v>Hache d'artisanat</v>
      </c>
      <c r="D41" s="23" t="str">
        <f>IFERROR(__xludf.DUMMYFUNCTION("GOOGLETRANSLATE(B41, ""en"", ""es"")"),"Hachas de artesanía")</f>
        <v>Hachas de artesanía</v>
      </c>
      <c r="E41" s="23" t="str">
        <f>IFERROR(__xludf.DUMMYFUNCTION("GOOGLETRANSLATE(B41, ""en"", ""ru"")"),"Ремесленные топорки")</f>
        <v>Ремесленные топорки</v>
      </c>
      <c r="F41" s="23" t="str">
        <f>IFERROR(__xludf.DUMMYFUNCTION("GOOGLETRANSLATE(B41, ""en"", ""tr"")"),"Zanaat baltaları")</f>
        <v>Zanaat baltaları</v>
      </c>
      <c r="G41" s="23" t="str">
        <f>IFERROR(__xludf.DUMMYFUNCTION("GOOGLETRANSLATE(B41, ""en"", ""pt"")"),"Machados artesanais.")</f>
        <v>Machados artesanais.</v>
      </c>
      <c r="H41" s="24" t="str">
        <f>IFERROR(__xludf.DUMMYFUNCTION("GOOGLETRANSLATE(B41, ""en"", ""de"")"),"Bastel-Hüter")</f>
        <v>Bastel-Hüter</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""vi"")"),"Craft hatchets.")</f>
        <v>Craft hatchets.</v>
      </c>
      <c r="L41" s="26" t="str">
        <f>IFERROR(__xludf.DUMMYFUNCTION("GOOGLETRANSLATE(B41, ""en"", ""hr"")"),"Plovila")</f>
        <v>Plovila</v>
      </c>
      <c r="M41" s="28"/>
      <c r="N41" s="28"/>
      <c r="O41" s="28"/>
      <c r="P41" s="28"/>
      <c r="Q41" s="28"/>
      <c r="R41" s="28"/>
      <c r="S41" s="28"/>
      <c r="T41" s="28"/>
      <c r="U41" s="28"/>
      <c r="V41" s="28"/>
      <c r="W41" s="28"/>
      <c r="X41" s="28"/>
      <c r="Y41" s="28"/>
      <c r="Z41" s="28"/>
      <c r="AA41" s="28"/>
      <c r="AB41" s="28"/>
    </row>
    <row r="42">
      <c r="A42" s="21" t="s">
        <v>1099</v>
      </c>
      <c r="B42" s="22" t="s">
        <v>1100</v>
      </c>
      <c r="C42" s="23" t="str">
        <f>IFERROR(__xludf.DUMMYFUNCTION("GOOGLETRANSLATE(B42, ""en"", ""fr"")"),"Pickaxes artisanales")</f>
        <v>Pickaxes artisanales</v>
      </c>
      <c r="D42" s="23" t="str">
        <f>IFERROR(__xludf.DUMMYFUNCTION("GOOGLETRANSLATE(B42, ""en"", ""es"")"),"Picos de artesanía")</f>
        <v>Picos de artesanía</v>
      </c>
      <c r="E42" s="23" t="str">
        <f>IFERROR(__xludf.DUMMYFUNCTION("GOOGLETRANSLATE(B42, ""en"", ""ru"")"),"Ремесленные кирка")</f>
        <v>Ремесленные кирка</v>
      </c>
      <c r="F42" s="23" t="str">
        <f>IFERROR(__xludf.DUMMYFUNCTION("GOOGLETRANSLATE(B42, ""en"", ""tr"")"),"Zanaat kazakları")</f>
        <v>Zanaat kazakları</v>
      </c>
      <c r="G42" s="23" t="str">
        <f>IFERROR(__xludf.DUMMYFUNCTION("GOOGLETRANSLATE(B42, ""en"", ""pt"")"),"CRAFT PICKAXS.")</f>
        <v>CRAFT PICKAXS.</v>
      </c>
      <c r="H42" s="24" t="str">
        <f>IFERROR(__xludf.DUMMYFUNCTION("GOOGLETRANSLATE(B42, ""en"", ""de"")"),"Handwerkspaket")</f>
        <v>Handwerkspaket</v>
      </c>
      <c r="I42" s="23" t="str">
        <f>IFERROR(__xludf.DUMMYFUNCTION("GOOGLETRANSLATE(B42, ""en"", ""pl"")"),"Craft Picksaxes.")</f>
        <v>Craft Picksaxes.</v>
      </c>
      <c r="J42" s="25" t="str">
        <f>IFERROR(__xludf.DUMMYFUNCTION("GOOGLETRANSLATE(B42, ""en"", ""zh"")"),"工艺镐")</f>
        <v>工艺镐</v>
      </c>
      <c r="K42" s="25" t="str">
        <f>IFERROR(__xludf.DUMMYFUNCTION("GOOGLETRANSLATE(B42, ""en"", ""vi"")"),"CRAFT PICKAXES.")</f>
        <v>CRAFT PICKAXES.</v>
      </c>
      <c r="L42" s="26" t="str">
        <f>IFERROR(__xludf.DUMMYFUNCTION("GOOGLETRANSLATE(B42, ""en"", ""hr"")"),"Craft Pickees")</f>
        <v>Craft Pickees</v>
      </c>
      <c r="M42" s="28"/>
      <c r="N42" s="28"/>
      <c r="O42" s="28"/>
      <c r="P42" s="28"/>
      <c r="Q42" s="28"/>
      <c r="R42" s="28"/>
      <c r="S42" s="28"/>
      <c r="T42" s="28"/>
      <c r="U42" s="28"/>
      <c r="V42" s="28"/>
      <c r="W42" s="28"/>
      <c r="X42" s="28"/>
      <c r="Y42" s="28"/>
      <c r="Z42" s="28"/>
      <c r="AA42" s="28"/>
      <c r="AB42" s="28"/>
    </row>
    <row r="43">
      <c r="A43" s="21" t="s">
        <v>1101</v>
      </c>
      <c r="B43" s="22" t="s">
        <v>1102</v>
      </c>
      <c r="C43" s="23" t="str">
        <f>IFERROR(__xludf.DUMMYFUNCTION("GOOGLETRANSLATE(B43, ""en"", ""fr"")"),"Armure métallique artisanale")</f>
        <v>Armure métallique artisanale</v>
      </c>
      <c r="D43" s="23" t="str">
        <f>IFERROR(__xludf.DUMMYFUNCTION("GOOGLETRANSLATE(B43, ""en"", ""es"")"),"Armadura de metal artesanal")</f>
        <v>Armadura de metal artesanal</v>
      </c>
      <c r="E43" s="23" t="str">
        <f>IFERROR(__xludf.DUMMYFUNCTION("GOOGLETRANSLATE(B43, ""en"", ""ru"")"),"Ремесло металлическая доспеха")</f>
        <v>Ремесло металлическая доспеха</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 Metall Rüstung.")</f>
        <v>Handwerk Metall Rüstung.</v>
      </c>
      <c r="I43" s="23" t="str">
        <f>IFERROR(__xludf.DUMMYFUNCTION("GOOGLETRANSLATE(B43, ""en"", ""pl"")"),"Rzemiosła metalowa zbroja")</f>
        <v>Rzemiosła metalowa zbroja</v>
      </c>
      <c r="J43" s="25" t="str">
        <f>IFERROR(__xludf.DUMMYFUNCTION("GOOGLETRANSLATE(B43, ""en"", ""zh"")"),"工艺金属盔甲")</f>
        <v>工艺金属盔甲</v>
      </c>
      <c r="K43" s="25" t="str">
        <f>IFERROR(__xludf.DUMMYFUNCTION("GOOGLETRANSLATE(B43, ""en"", ""vi"")"),"Giáp kim loại thủ công")</f>
        <v>Giáp kim loại thủ công</v>
      </c>
      <c r="L43" s="26" t="str">
        <f>IFERROR(__xludf.DUMMYFUNCTION("GOOGLETRANSLATE(B43, ""en"", ""hr"")"),"Oklopna oklop")</f>
        <v>Oklopna oklop</v>
      </c>
      <c r="M43" s="28"/>
      <c r="N43" s="28"/>
      <c r="O43" s="28"/>
      <c r="P43" s="28"/>
      <c r="Q43" s="28"/>
      <c r="R43" s="28"/>
      <c r="S43" s="28"/>
      <c r="T43" s="28"/>
      <c r="U43" s="28"/>
      <c r="V43" s="28"/>
      <c r="W43" s="28"/>
      <c r="X43" s="28"/>
      <c r="Y43" s="28"/>
      <c r="Z43" s="28"/>
      <c r="AA43" s="28"/>
      <c r="AB43" s="28"/>
    </row>
    <row r="44">
      <c r="A44" s="21" t="s">
        <v>1103</v>
      </c>
      <c r="B44" s="22" t="s">
        <v>1104</v>
      </c>
      <c r="C44" s="23" t="str">
        <f>IFERROR(__xludf.DUMMYFUNCTION("GOOGLETRANSLATE(B44, ""en"", ""fr"")"),"Cafres de cafres")</f>
        <v>Cafres de cafres</v>
      </c>
      <c r="D44" s="23" t="str">
        <f>IFERROR(__xludf.DUMMYFUNCTION("GOOGLETRANSLATE(B44, ""en"", ""es"")"),"Capas de artesanía")</f>
        <v>Capas de artesanía</v>
      </c>
      <c r="E44" s="23" t="str">
        <f>IFERROR(__xludf.DUMMYFUNCTION("GOOGLETRANSLATE(B44, ""en"", ""ru"")"),"Craft Cloaks")</f>
        <v>Craft Cloaks</v>
      </c>
      <c r="F44" s="23" t="str">
        <f>IFERROR(__xludf.DUMMYFUNCTION("GOOGLETRANSLATE(B44, ""en"", ""tr"")"),"Zanaat pelerinler")</f>
        <v>Zanaat pelerinler</v>
      </c>
      <c r="G44" s="23" t="str">
        <f>IFERROR(__xludf.DUMMYFUNCTION("GOOGLETRANSLATE(B44, ""en"", ""pt"")"),"Cloaks de artesanato")</f>
        <v>Cloaks de artesanato</v>
      </c>
      <c r="H44" s="24" t="str">
        <f>IFERROR(__xludf.DUMMYFUNCTION("GOOGLETRANSLATE(B44, ""en"", ""de"")"),"Craft Cloaks.")</f>
        <v>Craft Cloaks.</v>
      </c>
      <c r="I44" s="23" t="str">
        <f>IFERROR(__xludf.DUMMYFUNCTION("GOOGLETRANSLATE(B44, ""en"", ""pl"")"),"Craft Cloaks.")</f>
        <v>Craft Cloaks.</v>
      </c>
      <c r="J44" s="25" t="str">
        <f>IFERROR(__xludf.DUMMYFUNCTION("GOOGLETRANSLATE(B44, ""en"", ""zh"")"),"工艺斗篷")</f>
        <v>工艺斗篷</v>
      </c>
      <c r="K44" s="25" t="str">
        <f>IFERROR(__xludf.DUMMYFUNCTION("GOOGLETRANSLATE(B44, ""en"", ""vi"")"),"Craft Cloaks.")</f>
        <v>Craft Cloaks.</v>
      </c>
      <c r="L44" s="26" t="str">
        <f>IFERROR(__xludf.DUMMYFUNCTION("GOOGLETRANSLATE(B44, ""en"", ""hr"")"),"Obrtni ogrtači")</f>
        <v>Obrtni ogrtači</v>
      </c>
      <c r="M44" s="28"/>
      <c r="N44" s="28"/>
      <c r="O44" s="28"/>
      <c r="P44" s="28"/>
      <c r="Q44" s="28"/>
      <c r="R44" s="28"/>
      <c r="S44" s="28"/>
      <c r="T44" s="28"/>
      <c r="U44" s="28"/>
      <c r="V44" s="28"/>
      <c r="W44" s="28"/>
      <c r="X44" s="28"/>
      <c r="Y44" s="28"/>
      <c r="Z44" s="28"/>
      <c r="AA44" s="28"/>
      <c r="AB44" s="28"/>
    </row>
    <row r="45">
      <c r="A45" s="21" t="s">
        <v>1105</v>
      </c>
      <c r="B45" s="22" t="s">
        <v>1106</v>
      </c>
      <c r="C45" s="23" t="str">
        <f>IFERROR(__xludf.DUMMYFUNCTION("GOOGLETRANSLATE(B45, ""en"", ""fr"")"),"Robes d'artisanat")</f>
        <v>Robes d'artisanat</v>
      </c>
      <c r="D45" s="23" t="str">
        <f>IFERROR(__xludf.DUMMYFUNCTION("GOOGLETRANSLATE(B45, ""en"", ""es"")"),"Túnicas de artesanía")</f>
        <v>Túnicas de artesanía</v>
      </c>
      <c r="E45" s="23" t="str">
        <f>IFERROR(__xludf.DUMMYFUNCTION("GOOGLETRANSLATE(B45, ""en"", ""ru"")"),"Ремесленные халаты")</f>
        <v>Ремесленные халаты</v>
      </c>
      <c r="F45" s="23" t="str">
        <f>IFERROR(__xludf.DUMMYFUNCTION("GOOGLETRANSLATE(B45, ""en"", ""tr"")"),"Zanaat bornozları")</f>
        <v>Zanaat bornozları</v>
      </c>
      <c r="G45" s="23" t="str">
        <f>IFERROR(__xludf.DUMMYFUNCTION("GOOGLETRANSLATE(B45, ""en"", ""pt"")"),"Vestes artesanais")</f>
        <v>Vestes artesanais</v>
      </c>
      <c r="H45" s="24" t="str">
        <f>IFERROR(__xludf.DUMMYFUNCTION("GOOGLETRANSLATE(B45, ""en"", ""de"")"),"Handwerkliche Roben")</f>
        <v>Handwerkliche Roben</v>
      </c>
      <c r="I45" s="23" t="str">
        <f>IFERROR(__xludf.DUMMYFUNCTION("GOOGLETRANSLATE(B45, ""en"", ""pl"")"),"Szaty rzemiosła.")</f>
        <v>Szaty rzemiosła.</v>
      </c>
      <c r="J45" s="25" t="str">
        <f>IFERROR(__xludf.DUMMYFUNCTION("GOOGLETRANSLATE(B45, ""en"", ""zh"")"),"工艺长袍")</f>
        <v>工艺长袍</v>
      </c>
      <c r="K45" s="25" t="str">
        <f>IFERROR(__xludf.DUMMYFUNCTION("GOOGLETRANSLATE(B45, ""en"", ""vi"")"),"Craft Robes.")</f>
        <v>Craft Robes.</v>
      </c>
      <c r="L45" s="26" t="str">
        <f>IFERROR(__xludf.DUMMYFUNCTION("GOOGLETRANSLATE(B45, ""en"", ""hr"")"),"Obrtne haljine")</f>
        <v>Obrtne haljine</v>
      </c>
      <c r="M45" s="28"/>
      <c r="N45" s="28"/>
      <c r="O45" s="28"/>
      <c r="P45" s="28"/>
      <c r="Q45" s="28"/>
      <c r="R45" s="28"/>
      <c r="S45" s="28"/>
      <c r="T45" s="28"/>
      <c r="U45" s="28"/>
      <c r="V45" s="28"/>
      <c r="W45" s="28"/>
      <c r="X45" s="28"/>
      <c r="Y45" s="28"/>
      <c r="Z45" s="28"/>
      <c r="AA45" s="28"/>
      <c r="AB45" s="28"/>
    </row>
    <row r="46">
      <c r="A46" s="21" t="s">
        <v>1107</v>
      </c>
      <c r="B46" s="22" t="s">
        <v>1108</v>
      </c>
      <c r="C46" s="23" t="str">
        <f>IFERROR(__xludf.DUMMYFUNCTION("GOOGLETRANSLATE(B46, ""en"", ""fr"")"),"Équipement de fer d'artisanat")</f>
        <v>Équipement de fer d'artisanat</v>
      </c>
      <c r="D46" s="23" t="str">
        <f>IFERROR(__xludf.DUMMYFUNCTION("GOOGLETRANSLATE(B46, ""en"", ""es"")"),"Equipo de hierro artesanal")</f>
        <v>Equipo de hierro artesanal</v>
      </c>
      <c r="E46" s="23" t="str">
        <f>IFERROR(__xludf.DUMMYFUNCTION("GOOGLETRANSLATE(B46, ""en"", ""ru"")"),"Ремесло железное снаряжение")</f>
        <v>Ремесло железное снаряжение</v>
      </c>
      <c r="F46" s="23" t="str">
        <f>IFERROR(__xludf.DUMMYFUNCTION("GOOGLETRANSLATE(B46, ""en"", ""tr"")"),"Zanaat demir dişli")</f>
        <v>Zanaat demir dişli</v>
      </c>
      <c r="G46" s="23" t="str">
        <f>IFERROR(__xludf.DUMMYFUNCTION("GOOGLETRANSLATE(B46, ""en"", ""pt"")"),"Engrenagem de ferro artesanal")</f>
        <v>Engrenagem de ferro artesanal</v>
      </c>
      <c r="H46" s="24" t="str">
        <f>IFERROR(__xludf.DUMMYFUNCTION("GOOGLETRANSLATE(B46, ""en"", ""de"")"),"Handwerkeisengetriebe")</f>
        <v>Handwerkeisengetriebe</v>
      </c>
      <c r="I46" s="23" t="str">
        <f>IFERROR(__xludf.DUMMYFUNCTION("GOOGLETRANSLATE(B46, ""en"", ""pl"")"),"Rzemiosło żelazne")</f>
        <v>Rzemiosło żelazne</v>
      </c>
      <c r="J46" s="25" t="str">
        <f>IFERROR(__xludf.DUMMYFUNCTION("GOOGLETRANSLATE(B46, ""en"", ""zh"")"),"工艺铁齿轮")</f>
        <v>工艺铁齿轮</v>
      </c>
      <c r="K46" s="25" t="str">
        <f>IFERROR(__xludf.DUMMYFUNCTION("GOOGLETRANSLATE(B46, ""en"", ""vi"")"),"Thiết bị sắt thủ công")</f>
        <v>Thiết bị sắt thủ công</v>
      </c>
      <c r="L46" s="26" t="str">
        <f>IFERROR(__xludf.DUMMYFUNCTION("GOOGLETRANSLATE(B46, ""en"", ""hr"")"),"Oprema za obrt")</f>
        <v>Oprema za obrt</v>
      </c>
      <c r="M46" s="28"/>
      <c r="N46" s="28"/>
      <c r="O46" s="28"/>
      <c r="P46" s="28"/>
      <c r="Q46" s="28"/>
      <c r="R46" s="28"/>
      <c r="S46" s="28"/>
      <c r="T46" s="28"/>
      <c r="U46" s="28"/>
      <c r="V46" s="28"/>
      <c r="W46" s="28"/>
      <c r="X46" s="28"/>
      <c r="Y46" s="28"/>
      <c r="Z46" s="28"/>
      <c r="AA46" s="28"/>
      <c r="AB46" s="28"/>
    </row>
    <row r="47">
      <c r="A47" s="21" t="s">
        <v>1109</v>
      </c>
      <c r="B47" s="22" t="s">
        <v>1110</v>
      </c>
      <c r="C47" s="23" t="str">
        <f>IFERROR(__xludf.DUMMYFUNCTION("GOOGLETRANSLATE(B47, ""en"", ""fr"")"),"Craft Dungium Gear")</f>
        <v>Craft Dungium Gear</v>
      </c>
      <c r="D47" s="23" t="str">
        <f>IFERROR(__xludf.DUMMYFUNCTION("GOOGLETRANSLATE(B47, ""en"", ""es"")"),"Artesanía engranaje de dungium")</f>
        <v>Artesanía engranaje de dungium</v>
      </c>
      <c r="E47" s="23" t="str">
        <f>IFERROR(__xludf.DUMMYFUNCTION("GOOGLETRANSLATE(B47, ""en"", ""ru"")"),"Ремесленничество Dungium Gear.")</f>
        <v>Ремесленничество Dungium Gear.</v>
      </c>
      <c r="F47" s="23" t="str">
        <f>IFERROR(__xludf.DUMMYFUNCTION("GOOGLETRANSLATE(B47, ""en"", ""tr"")"),"Zanaat dungium dişli")</f>
        <v>Zanaat dungium dişli</v>
      </c>
      <c r="G47" s="23" t="str">
        <f>IFERROR(__xludf.DUMMYFUNCTION("GOOGLETRANSLATE(B47, ""en"", ""pt"")"),"Engrenagem de Dungium de artesanato")</f>
        <v>Engrenagem de Dungium de artesanato</v>
      </c>
      <c r="H47" s="24" t="str">
        <f>IFERROR(__xludf.DUMMYFUNCTION("GOOGLETRANSLATE(B47, ""en"", ""de"")"),"Handwerk Dungium-Gang")</f>
        <v>Handwerk Dungium-Gang</v>
      </c>
      <c r="I47" s="23" t="str">
        <f>IFERROR(__xludf.DUMMYFUNCTION("GOOGLETRANSLATE(B47, ""en"", ""pl"")"),"Craft Dungium Gear.")</f>
        <v>Craft Dungium Gear.</v>
      </c>
      <c r="J47" s="25" t="str">
        <f>IFERROR(__xludf.DUMMYFUNCTION("GOOGLETRANSLATE(B47, ""en"", ""zh"")"),"工艺量舱装备")</f>
        <v>工艺量舱装备</v>
      </c>
      <c r="K47" s="25" t="str">
        <f>IFERROR(__xludf.DUMMYFUNCTION("GOOGLETRANSLATE(B47, ""en"", ""vi"")"),"Gear Dungium Craft.")</f>
        <v>Gear Dungium Craft.</v>
      </c>
      <c r="L47" s="26" t="str">
        <f>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c r="A48" s="21" t="s">
        <v>1111</v>
      </c>
      <c r="B48" s="22" t="s">
        <v>1112</v>
      </c>
      <c r="C48" s="23" t="str">
        <f>IFERROR(__xludf.DUMMYFUNCTION("GOOGLETRANSLATE(B48, ""en"", ""fr"")"),"Craft Agonite Gear")</f>
        <v>Craft Agonite Gear</v>
      </c>
      <c r="D48" s="23" t="str">
        <f>IFERROR(__xludf.DUMMYFUNCTION("GOOGLETRANSLATE(B48, ""en"", ""es"")"),"Equipo de agonita artesanal")</f>
        <v>Equipo de agonita artesanal</v>
      </c>
      <c r="E48" s="23" t="str">
        <f>IFERROR(__xludf.DUMMYFUNCTION("GOOGLETRANSLATE(B48, ""en"", ""ru"")"),"Ремеслогонитное снаряжение")</f>
        <v>Ремеслогонитное снаряжение</v>
      </c>
      <c r="F48" s="23" t="str">
        <f>IFERROR(__xludf.DUMMYFUNCTION("GOOGLETRANSLATE(B48, ""en"", ""tr"")"),"Zanaat agonit dişli")</f>
        <v>Zanaat agonit dişli</v>
      </c>
      <c r="G48" s="23" t="str">
        <f>IFERROR(__xludf.DUMMYFUNCTION("GOOGLETRANSLATE(B48, ""en"", ""pt"")"),"Engrenagem de agonite artesanal")</f>
        <v>Engrenagem de agonite artesanal</v>
      </c>
      <c r="H48" s="24" t="str">
        <f>IFERROR(__xludf.DUMMYFUNCTION("GOOGLETRANSLATE(B48, ""en"", ""de"")"),"Craft-Agonite-Gang.")</f>
        <v>Craft-Agonite-Gang.</v>
      </c>
      <c r="I48" s="23" t="str">
        <f>IFERROR(__xludf.DUMMYFUNCTION("GOOGLETRANSLATE(B48, ""en"", ""pl"")"),"Craft Agonite Gear.")</f>
        <v>Craft Agonite Gear.</v>
      </c>
      <c r="J48" s="25" t="str">
        <f>IFERROR(__xludf.DUMMYFUNCTION("GOOGLETRANSLATE(B48, ""en"", ""zh"")"),"工艺艾奇石齿轮")</f>
        <v>工艺艾奇石齿轮</v>
      </c>
      <c r="K48" s="25" t="str">
        <f>IFERROR(__xludf.DUMMYFUNCTION("GOOGLETRANSLATE(B48, ""en"", ""vi"")"),"Craft Agonite Gear.")</f>
        <v>Craft Agonite Gear.</v>
      </c>
      <c r="L48" s="26" t="str">
        <f>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c r="A49" s="21" t="s">
        <v>1113</v>
      </c>
      <c r="B49" s="22" t="s">
        <v>1114</v>
      </c>
      <c r="C49" s="23" t="str">
        <f>IFERROR(__xludf.DUMMYFUNCTION("GOOGLETRANSLATE(B49, ""en"", ""fr"")"),"CRAFT NOCTIS GEAR")</f>
        <v>CRAFT NOCTIS GEAR</v>
      </c>
      <c r="D49" s="23" t="str">
        <f>IFERROR(__xludf.DUMMYFUNCTION("GOOGLETRANSLATE(B49, ""en"", ""es"")"),"Equipo de noctura artesanal")</f>
        <v>Equipo de noctura artesanal</v>
      </c>
      <c r="E49" s="23" t="str">
        <f>IFERROR(__xludf.DUMMYFUNCTION("GOOGLETRANSLATE(B49, ""en"", ""ru"")"),"Craft Noctis Gear.")</f>
        <v>Craft Noctis Gear.</v>
      </c>
      <c r="F49" s="23" t="str">
        <f>IFERROR(__xludf.DUMMYFUNCTION("GOOGLETRANSLATE(B49, ""en"", ""tr"")"),"Zanaat noctis dişli")</f>
        <v>Zanaat noctis dişli</v>
      </c>
      <c r="G49" s="23" t="str">
        <f>IFERROR(__xludf.DUMMYFUNCTION("GOOGLETRANSLATE(B49, ""en"", ""pt"")"),"Engrenagem de noctis de artesanato")</f>
        <v>Engrenagem de noctis de artesanato</v>
      </c>
      <c r="H49" s="24" t="str">
        <f>IFERROR(__xludf.DUMMYFUNCTION("GOOGLETRANSLATE(B49, ""en"", ""de"")"),"Craft Noctis-Gang")</f>
        <v>Craft Noctis-Gang</v>
      </c>
      <c r="I49" s="23" t="str">
        <f>IFERROR(__xludf.DUMMYFUNCTION("GOOGLETRANSLATE(B49, ""en"", ""pl"")"),"Craft Noctis Gear.")</f>
        <v>Craft Noctis Gear.</v>
      </c>
      <c r="J49" s="25" t="str">
        <f>IFERROR(__xludf.DUMMYFUNCTION("GOOGLETRANSLATE(B49, ""en"", ""zh"")"),"工艺夜胶装备")</f>
        <v>工艺夜胶装备</v>
      </c>
      <c r="K49" s="25" t="str">
        <f>IFERROR(__xludf.DUMMYFUNCTION("GOOGLETRANSLATE(B49, ""en"", ""vi"")"),"Craft Noctis Gear.")</f>
        <v>Craft Noctis Gear.</v>
      </c>
      <c r="L49" s="26" t="str">
        <f>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c r="A50" s="21" t="s">
        <v>1115</v>
      </c>
      <c r="B50" s="22" t="s">
        <v>1116</v>
      </c>
      <c r="C50" s="23" t="str">
        <f>IFERROR(__xludf.DUMMYFUNCTION("GOOGLETRANSLATE(B50, ""en"", ""fr"")"),"Équipement de tissu artisanal")</f>
        <v>Équipement de tissu artisanal</v>
      </c>
      <c r="D50" s="23" t="str">
        <f>IFERROR(__xludf.DUMMYFUNCTION("GOOGLETRANSLATE(B50, ""en"", ""es"")"),"Equipo de tela artesanal")</f>
        <v>Equipo de tela artesanal</v>
      </c>
      <c r="E50" s="23" t="str">
        <f>IFERROR(__xludf.DUMMYFUNCTION("GOOGLETRANSLATE(B50, ""en"", ""ru"")"),"Ремесло тканевая шестерня")</f>
        <v>Ремесло тканевая шестерня</v>
      </c>
      <c r="F50" s="23" t="str">
        <f>IFERROR(__xludf.DUMMYFUNCTION("GOOGLETRANSLATE(B50, ""en"", ""tr"")"),"Zanaat kumaş dişli")</f>
        <v>Zanaat kumaş dişli</v>
      </c>
      <c r="G50" s="23" t="str">
        <f>IFERROR(__xludf.DUMMYFUNCTION("GOOGLETRANSLATE(B50, ""en"", ""pt"")"),"Engrenagem de tecido de artesanato")</f>
        <v>Engrenagem de tecido de artesanato</v>
      </c>
      <c r="H50" s="24" t="str">
        <f>IFERROR(__xludf.DUMMYFUNCTION("GOOGLETRANSLATE(B50, ""en"", ""de"")"),"Kunsthandwerkzeuggetriebe.")</f>
        <v>Kunsthandwerkzeuggetriebe.</v>
      </c>
      <c r="I50" s="23" t="str">
        <f>IFERROR(__xludf.DUMMYFUNCTION("GOOGLETRANSLATE(B50, ""en"", ""pl"")"),"Przekładnia tkaniny rzemieślniczej")</f>
        <v>Przekładnia tkaniny rzemieślniczej</v>
      </c>
      <c r="J50" s="25" t="str">
        <f>IFERROR(__xludf.DUMMYFUNCTION("GOOGLETRANSLATE(B50, ""en"", ""zh"")"),"工艺织物装备")</f>
        <v>工艺织物装备</v>
      </c>
      <c r="K50" s="25" t="str">
        <f>IFERROR(__xludf.DUMMYFUNCTION("GOOGLETRANSLATE(B50, ""en"", ""vi"")"),"Bánh răng vải thủ công")</f>
        <v>Bánh răng vải thủ công</v>
      </c>
      <c r="L50" s="26" t="str">
        <f>IFERROR(__xludf.DUMMYFUNCTION("GOOGLETRANSLATE(B50, ""en"", ""hr"")"),"Oprema za obrt")</f>
        <v>Oprema za obrt</v>
      </c>
      <c r="M50" s="28"/>
      <c r="N50" s="28"/>
      <c r="O50" s="28"/>
      <c r="P50" s="28"/>
      <c r="Q50" s="28"/>
      <c r="R50" s="28"/>
      <c r="S50" s="28"/>
      <c r="T50" s="28"/>
      <c r="U50" s="28"/>
      <c r="V50" s="28"/>
      <c r="W50" s="28"/>
      <c r="X50" s="28"/>
      <c r="Y50" s="28"/>
      <c r="Z50" s="28"/>
      <c r="AA50" s="28"/>
      <c r="AB50" s="28"/>
    </row>
    <row r="51">
      <c r="A51" s="21" t="s">
        <v>1117</v>
      </c>
      <c r="B51" s="22" t="s">
        <v>1118</v>
      </c>
      <c r="C51" s="23" t="str">
        <f>IFERROR(__xludf.DUMMYFUNCTION("GOOGLETRANSLATE(B51, ""en"", ""fr"")"),"Potions d'artisanat")</f>
        <v>Potions d'artisanat</v>
      </c>
      <c r="D51" s="23" t="str">
        <f>IFERROR(__xludf.DUMMYFUNCTION("GOOGLETRANSLATE(B51, ""en"", ""es"")"),"Pociones artesanales")</f>
        <v>Pociones artesanales</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de artesanato")</f>
        <v>Poções de artesanato</v>
      </c>
      <c r="H51" s="24" t="str">
        <f>IFERROR(__xludf.DUMMYFUNCTION("GOOGLETRANSLATE(B51, ""en"", ""de"")"),"Handkrafttränke")</f>
        <v>Handkrafttränke</v>
      </c>
      <c r="I51" s="23" t="str">
        <f>IFERROR(__xludf.DUMMYFUNCTION("GOOGLETRANSLATE(B51, ""en"", ""pl"")"),"Eliksir rzemieślniczy")</f>
        <v>Eliksir rzemieślniczy</v>
      </c>
      <c r="J51" s="25" t="str">
        <f>IFERROR(__xludf.DUMMYFUNCTION("GOOGLETRANSLATE(B51, ""en"", ""zh"")"),"工艺药水")</f>
        <v>工艺药水</v>
      </c>
      <c r="K51" s="25" t="str">
        <f>IFERROR(__xludf.DUMMYFUNCTION("GOOGLETRANSLATE(B51, ""en"", ""vi"")"),"Độc dược thủ công")</f>
        <v>Độc dược thủ công</v>
      </c>
      <c r="L51" s="26" t="str">
        <f>IFERROR(__xludf.DUMMYFUNCTION("GOOGLETRANSLATE(B51, ""en"", ""hr"")"),"Obrtnici")</f>
        <v>Obrtnici</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