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<sst xmlns="http://schemas.openxmlformats.org/spreadsheetml/2006/main" count="1765" uniqueCount="1650">
  <si>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</si>
  <si>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</si>
  <si>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</si>
  <si>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</si>
  <si>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</si>
  <si>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</si>
  <si>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</si>
  <si>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</si>
  <si>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</si>
  <si>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</si>
  <si>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</si>
  <si>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</si>
  <si>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</si>
  <si>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</si>
  <si>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</si>
  <si>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</si>
  <si>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</si>
  <si>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</si>
  <si>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</si>
  <si>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</si>
  <si>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</si>
  <si>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</si>
  <si>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</si>
  <si>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</si>
  <si>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</si>
  <si>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</si>
  <si>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</si>
  <si>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</si>
  <si>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</si>
  <si>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</si>
  <si>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</si>
  <si>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</si>
  <si>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</si>
  <si>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</si>
  <si>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</si>
  <si>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</si>
  <si>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</si>
  <si>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</si>
  <si>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</si>
  <si>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</si>
  <si>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</si>
  <si>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</si>
  <si>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</si>
  <si>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</si>
  <si>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</si>
  <si>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</si>
  <si>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</si>
  <si>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</si>
  <si>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</si>
  <si>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</si>
  <si>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</si>
  <si>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</si>
  <si>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</si>
  <si>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</si>
  <si>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</si>
  <si>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</si>
  <si>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</si>
  <si>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</si>
  <si>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</si>
  <si>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</si>
  <si>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</si>
  <si>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</si>
  <si>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</si>
  <si>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</si>
  <si>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</si>
  <si>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</si>
  <si>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</si>
  <si>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</si>
  <si>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</si>
  <si>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</si>
  <si>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</si>
  <si>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</si>
  <si>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</si>
  <si>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</si>
  <si>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</si>
  <si>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</si>
  <si>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</si>
  <si>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</si>
  <si>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</si>
  <si>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</si>
  <si>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</si>
  <si>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</si>
  <si>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</si>
  <si>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</si>
  <si>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</si>
  <si>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</si>
  <si>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</si>
  <si>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</si>
  <si>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</si>
  <si>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</si>
  <si>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</si>
  <si>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</si>
  <si>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</si>
  <si>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</si>
  <si>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</si>
  <si>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</si>
  <si>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</si>
  <si>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</si>
  <si>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</si>
  <si>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</si>
  <si>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</si>
  <si>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</si>
  <si>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</si>
  <si>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</si>
  <si>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</si>
  <si>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</si>
  <si>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</si>
  <si>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</si>
  <si>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</si>
  <si>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</si>
  <si>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</si>
  <si>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</si>
  <si>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</si>
  <si>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</si>
  <si>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</si>
  <si>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</si>
  <si>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</si>
  <si>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</si>
  <si>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</si>
  <si>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</si>
  <si>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</si>
  <si>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</si>
  <si>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</si>
  <si>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</si>
  <si>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</si>
  <si>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</si>
  <si>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</si>
  <si>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</si>
  <si>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</si>
  <si>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</si>
  <si>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</si>
  <si>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</si>
  <si>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</si>
  <si>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</si>
  <si>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</si>
  <si>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</si>
  <si>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</si>
  <si>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</si>
  <si>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</si>
  <si>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</si>
  <si>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</si>
  <si>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</si>
  <si>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</si>
  <si>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</si>
  <si>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</si>
  <si>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</si>
  <si>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</si>
  <si>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</si>
  <si>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</si>
  <si>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</si>
  <si>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</si>
  <si>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</si>
  <si>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</si>
  <si>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</si>
  <si>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</si>
  <si>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</si>
  <si>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</si>
  <si>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</si>
  <si>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</si>
  <si>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</si>
  <si>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</si>
  <si>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</si>
  <si>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</si>
  <si>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</si>
  <si>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</si>
  <si>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</si>
  <si>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</si>
  <si>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</si>
  <si>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</si>
  <si>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</si>
  <si>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</si>
  <si>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</si>
  <si>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</si>
  <si>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</si>
  <si>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</si>
  <si>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</si>
  <si>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</si>
  <si>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</si>
  <si>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</si>
  <si>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</si>
  <si>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</si>
  <si>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</si>
  <si>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</si>
  <si>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</si>
  <si>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</si>
  <si>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</si>
  <si>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</si>
  <si>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</si>
  <si>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</si>
  <si>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</si>
  <si>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</si>
  <si>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</si>
  <si>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</si>
  <si>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</si>
  <si>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</si>
  <si>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</si>
  <si>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</si>
  <si>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</si>
  <si>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</si>
  <si>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</si>
  <si>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</si>
  <si>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</si>
  <si>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</si>
  <si>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</si>
  <si>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</si>
  <si>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</si>
  <si>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</si>
  <si>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</si>
  <si>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</si>
  <si>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</si>
  <si>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</si>
  <si>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</si>
  <si>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</si>
  <si>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</si>
  <si>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</si>
  <si>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</si>
  <si>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</si>
  <si>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</si>
  <si>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</si>
  <si>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</si>
  <si>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</si>
  <si>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</si>
  <si>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</si>
  <si>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</si>
  <si>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</si>
  <si>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</si>
  <si>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</si>
  <si>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</si>
  <si>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</si>
  <si>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</si>
  <si>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</si>
  <si>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</si>
  <si>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</si>
  <si>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</si>
  <si>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</si>
  <si>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</si>
  <si>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</si>
  <si>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</si>
  <si>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</si>
  <si>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</si>
  <si>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</si>
  <si>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</si>
  <si>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</si>
  <si>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</si>
  <si>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</si>
  <si>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</si>
  <si>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</si>
  <si>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</si>
  <si>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</si>
  <si>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</si>
  <si>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</si>
  <si>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</si>
  <si>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</si>
  <si>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</si>
  <si>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</si>
  <si>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</si>
  <si>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</si>
  <si>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</si>
  <si>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</si>
  <si>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</si>
  <si>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</si>
  <si>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</si>
  <si>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</si>
  <si>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</si>
  <si>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</si>
  <si>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</si>
  <si>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</si>
  <si>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</si>
  <si>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</si>
  <si>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</si>
  <si>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</si>
  <si>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</si>
  <si>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</si>
  <si>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</si>
  <si>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</si>
  <si>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</si>
  <si>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</si>
  <si>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</si>
  <si>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</si>
  <si>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</si>
  <si>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</si>
  <si>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</si>
  <si>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</si>
  <si>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</si>
  <si>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</si>
  <si>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</si>
  <si>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</si>
  <si>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</si>
  <si>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</si>
  <si>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</si>
  <si>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</si>
  <si>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</si>
  <si>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</si>
  <si>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</si>
  <si>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</si>
  <si>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</si>
  <si>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</si>
  <si>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</si>
  <si>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</si>
  <si>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</si>
  <si>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</si>
  <si>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</si>
  <si>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</si>
  <si>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</si>
  <si>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</si>
  <si>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</si>
  <si>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</si>
  <si>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</si>
  <si>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</si>
  <si>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</si>
  <si>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</si>
  <si>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</si>
  <si>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</si>
  <si>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</si>
  <si>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</si>
  <si>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</si>
  <si>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</si>
  <si>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</si>
  <si>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</si>
  <si>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</si>
  <si>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</si>
  <si>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</si>
  <si>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</si>
  <si>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</si>
  <si>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</si>
  <si>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</si>
  <si>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</si>
  <si>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</si>
  <si>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</si>
  <si>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</si>
  <si>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</si>
  <si>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</si>
  <si>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</si>
  <si>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</si>
  <si>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Buy bank space</t>
  </si>
  <si>
    <t>Upgrade bank storage</t>
  </si>
  <si>
    <t>Storage</t>
  </si>
  <si>
    <t>Storage weight</t>
  </si>
  <si>
    <t>Total storage weight</t>
  </si>
  <si>
    <t>Empty storage</t>
  </si>
  <si>
    <t>Storage is empty.</t>
  </si>
  <si>
    <t>Deposit</t>
  </si>
  <si>
    <t>Withdraw</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</si>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</sst>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""fr"")"),"Continuez")</f>
        <v>Continuez</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Gênant... :/")</f>
        <v>Quelque chose a mal tourné.
Gênant...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""fr"")"),"Rassemblement")</f>
        <v>Rassemblement</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""fr"")"),"Quitter le jeu")</f>
        <v>Quitter le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333</v>
      </c>
      <c r="C75" s="23"/>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334</v>
      </c>
      <c r="B76" s="22" t="s">
        <v>335</v>
      </c>
      <c r="C76" s="23"/>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336</v>
      </c>
      <c r="B77" s="22" t="s">
        <v>336</v>
      </c>
      <c r="C77" s="23"/>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338</v>
      </c>
      <c r="C78" s="23"/>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339</v>
      </c>
      <c r="B79" s="22" t="s">
        <v>340</v>
      </c>
      <c r="C79" s="23"/>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341</v>
      </c>
      <c r="B80" s="22" t="s">
        <v>341</v>
      </c>
      <c r="C80" s="23"/>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342</v>
      </c>
      <c r="B81" s="22" t="s">
        <v>342</v>
      </c>
      <c r="C81" s="23"/>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343</v>
      </c>
      <c r="B82" s="22" t="s">
        <v>228</v>
      </c>
      <c r="C82" s="23" t="str">
        <f>IFERROR(__xludf.DUMMYFUNCTION("GOOGLETRANSLATE(B82, ""en"", ""fr"")"),"Inventaire")</f>
        <v>Inventaire</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344</v>
      </c>
      <c r="B83" s="22" t="s">
        <v>345</v>
      </c>
      <c r="C83" s="23" t="str">
        <f>IFERROR(__xludf.DUMMYFUNCTION("GOOGLETRANSLATE(B83, ""en"", ""fr"")"),"Poids total des stocks")</f>
        <v>Poids total des stocks</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346</v>
      </c>
      <c r="B84" s="22" t="s">
        <v>347</v>
      </c>
      <c r="C84" s="23" t="str">
        <f>IFERROR(__xludf.DUMMYFUNCTION("GOOGLETRANSLATE(B84, ""en"", ""fr"")"),"Chercher")</f>
        <v>Chercher</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348</v>
      </c>
      <c r="B85" s="22" t="s">
        <v>349</v>
      </c>
      <c r="C85" s="23" t="str">
        <f>IFERROR(__xludf.DUMMYFUNCTION("GOOGLETRANSLATE(B85, ""en"", ""fr"")"),"L'inventaire est vide.")</f>
        <v>L'inventaire est vide.</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350</v>
      </c>
      <c r="B86" s="22" t="s">
        <v>350</v>
      </c>
      <c r="C86" s="23" t="str">
        <f>IFERROR(__xludf.DUMMYFUNCTION("GOOGLETRANSLATE(B86, ""en"", ""fr"")"),"Retirer du Hotbar")</f>
        <v>Retirer du Hotbar</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351</v>
      </c>
      <c r="B87" s="22" t="s">
        <v>351</v>
      </c>
      <c r="C87" s="23" t="str">
        <f>IFERROR(__xludf.DUMMYFUNCTION("GOOGLETRANSLATE(B87, ""en"", ""fr"")"),"Hotbar complète")</f>
        <v>Hotbar complète</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352</v>
      </c>
      <c r="B88" s="22" t="s">
        <v>352</v>
      </c>
      <c r="C88" s="23" t="str">
        <f>IFERROR(__xludf.DUMMYFUNCTION("GOOGLETRANSLATE(B88, ""en"", ""fr"")"),"Ajouter à Hotbar")</f>
        <v>Ajouter à Hotbar</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353</v>
      </c>
      <c r="B89" s="22" t="s">
        <v>353</v>
      </c>
      <c r="C89" s="23" t="str">
        <f>IFERROR(__xludf.DUMMYFUNCTION("GOOGLETRANSLATE(B89, ""en"", ""fr"")"),"Equip rapide")</f>
        <v>Equip rapide</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354</v>
      </c>
      <c r="B90" s="22" t="s">
        <v>354</v>
      </c>
      <c r="C90" s="23" t="str">
        <f>IFERROR(__xludf.DUMMYFUNCTION("GOOGLETRANSLATE(B90, ""en"", ""fr"")"),"utilisation rapide")</f>
        <v>utilisation rapide</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355</v>
      </c>
      <c r="B91" s="22" t="s">
        <v>355</v>
      </c>
      <c r="C91" s="23" t="str">
        <f>IFERROR(__xludf.DUMMYFUNCTION("GOOGLETRANSLATE(B91, ""en"", ""fr"")"),"Laissez tomber")</f>
        <v>Laissez tomber</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356</v>
      </c>
      <c r="B92" s="22" t="s">
        <v>356</v>
      </c>
      <c r="C92" s="23" t="str">
        <f>IFERROR(__xludf.DUMMYFUNCTION("GOOGLETRANSLATE(B92, ""en"", ""fr"")"),"Afficher les détails du produit")</f>
        <v>Afficher les détails du produit</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357</v>
      </c>
      <c r="B93" s="22" t="s">
        <v>358</v>
      </c>
      <c r="C93" s="23" t="str">
        <f>IFERROR(__xludf.DUMMYFUNCTION("GOOGLETRANSLATE(B93, ""en"", ""fr"")"),"Aucun élément trouvé.")</f>
        <v>Aucun élément trouvé.</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359</v>
      </c>
      <c r="B94" s="22" t="s">
        <v>360</v>
      </c>
      <c r="C94" s="23" t="str">
        <f>IFERROR(__xludf.DUMMYFUNCTION("GOOGLETRANSLATE(B94, ""en"", ""fr"")"),"Aucune option disponible artisanat.")</f>
        <v>Aucune option disponible artisanat.</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361</v>
      </c>
      <c r="B95" s="22" t="s">
        <v>361</v>
      </c>
      <c r="C95" s="23" t="str">
        <f>IFERROR(__xludf.DUMMYFUNCTION("GOOGLETRANSLATE(B95, ""en"", ""fr"")"),"Artisanat")</f>
        <v>Artisanat</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362</v>
      </c>
      <c r="B96" s="22" t="s">
        <v>363</v>
      </c>
      <c r="C96" s="23" t="str">
        <f>IFERROR(__xludf.DUMMYFUNCTION("GOOGLETRANSLATE(B96, ""en"", ""fr"")"),"Mêlée")</f>
        <v>Mêlée</v>
      </c>
      <c r="D96" s="23" t="s">
        <v>363</v>
      </c>
      <c r="E96" s="29"/>
      <c r="F96" s="23" t="s">
        <v>364</v>
      </c>
      <c r="G96" s="29"/>
      <c r="H96" s="24" t="s">
        <v>365</v>
      </c>
      <c r="I96" s="29"/>
      <c r="J96" s="30"/>
      <c r="K96" s="30"/>
      <c r="L96" s="35"/>
      <c r="M96" s="28"/>
      <c r="N96" s="28"/>
      <c r="O96" s="28"/>
      <c r="P96" s="28"/>
      <c r="Q96" s="28"/>
      <c r="R96" s="28"/>
      <c r="S96" s="28"/>
      <c r="T96" s="28"/>
      <c r="U96" s="28"/>
      <c r="V96" s="28"/>
      <c r="W96" s="28"/>
      <c r="X96" s="28"/>
      <c r="Y96" s="28"/>
      <c r="Z96" s="28"/>
      <c r="AA96" s="28"/>
      <c r="AB96" s="28"/>
    </row>
    <row r="97">
      <c r="A97" s="21" t="s">
        <v>366</v>
      </c>
      <c r="B97" s="22" t="s">
        <v>367</v>
      </c>
      <c r="C97" s="23" t="str">
        <f>IFERROR(__xludf.DUMMYFUNCTION("GOOGLETRANSLATE(B97,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97" s="23"/>
      <c r="E97" s="29"/>
      <c r="F97" s="23" t="s">
        <v>368</v>
      </c>
      <c r="G97" s="29"/>
      <c r="H97" s="24" t="s">
        <v>369</v>
      </c>
      <c r="I97" s="29"/>
      <c r="J97" s="30"/>
      <c r="K97" s="30"/>
      <c r="L97" s="35"/>
      <c r="M97" s="28"/>
      <c r="N97" s="28"/>
      <c r="O97" s="28"/>
      <c r="P97" s="28"/>
      <c r="Q97" s="28"/>
      <c r="R97" s="28"/>
      <c r="S97" s="28"/>
      <c r="T97" s="28"/>
      <c r="U97" s="28"/>
      <c r="V97" s="28"/>
      <c r="W97" s="28"/>
      <c r="X97" s="28"/>
      <c r="Y97" s="28"/>
      <c r="Z97" s="28"/>
      <c r="AA97" s="28"/>
      <c r="AB97" s="28"/>
    </row>
    <row r="98">
      <c r="A98" s="21" t="s">
        <v>370</v>
      </c>
      <c r="B98" s="22" t="s">
        <v>371</v>
      </c>
      <c r="C98" s="23" t="str">
        <f>IFERROR(__xludf.DUMMYFUNCTION("GOOGLETRANSLATE(B98, ""en"", ""fr"")"),"Combat à distance")</f>
        <v>Combat à distance</v>
      </c>
      <c r="D98" s="23"/>
      <c r="E98" s="29"/>
      <c r="F98" s="23" t="s">
        <v>372</v>
      </c>
      <c r="G98" s="29"/>
      <c r="H98" s="24" t="s">
        <v>373</v>
      </c>
      <c r="I98" s="23" t="s">
        <v>374</v>
      </c>
      <c r="J98" s="30"/>
      <c r="K98" s="30"/>
      <c r="L98" s="35"/>
      <c r="M98" s="28"/>
      <c r="N98" s="28"/>
      <c r="O98" s="28"/>
      <c r="P98" s="28"/>
      <c r="Q98" s="28"/>
      <c r="R98" s="28"/>
      <c r="S98" s="28"/>
      <c r="T98" s="28"/>
      <c r="U98" s="28"/>
      <c r="V98" s="28"/>
      <c r="W98" s="28"/>
      <c r="X98" s="28"/>
      <c r="Y98" s="28"/>
      <c r="Z98" s="28"/>
      <c r="AA98" s="28"/>
      <c r="AB98" s="28"/>
    </row>
    <row r="99">
      <c r="A99" s="21" t="s">
        <v>375</v>
      </c>
      <c r="B99" s="22" t="s">
        <v>376</v>
      </c>
      <c r="C99" s="23" t="str">
        <f>IFERROR(__xludf.DUMMYFUNCTION("GOOGLETRANSLATE(B99,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99" s="23"/>
      <c r="E99" s="29"/>
      <c r="F99" s="23" t="s">
        <v>377</v>
      </c>
      <c r="G99" s="29"/>
      <c r="H99" s="36"/>
      <c r="I99" s="29"/>
      <c r="J99" s="30"/>
      <c r="K99" s="30"/>
      <c r="L99" s="35"/>
      <c r="M99" s="28"/>
      <c r="N99" s="28"/>
      <c r="O99" s="28"/>
      <c r="P99" s="28"/>
      <c r="Q99" s="28"/>
      <c r="R99" s="28"/>
      <c r="S99" s="28"/>
      <c r="T99" s="28"/>
      <c r="U99" s="28"/>
      <c r="V99" s="28"/>
      <c r="W99" s="28"/>
      <c r="X99" s="28"/>
      <c r="Y99" s="28"/>
      <c r="Z99" s="28"/>
      <c r="AA99" s="28"/>
      <c r="AB99" s="28"/>
    </row>
    <row r="100">
      <c r="A100" s="21" t="s">
        <v>378</v>
      </c>
      <c r="B100" s="22" t="s">
        <v>379</v>
      </c>
      <c r="C100" s="23" t="str">
        <f>IFERROR(__xludf.DUMMYFUNCTION("GOOGLETRANSLATE(B100, ""en"", ""fr"")"),"la magie")</f>
        <v>la magie</v>
      </c>
      <c r="D100" s="23" t="s">
        <v>380</v>
      </c>
      <c r="E100" s="29"/>
      <c r="F100" s="23" t="s">
        <v>381</v>
      </c>
      <c r="G100" s="29"/>
      <c r="H100" s="36"/>
      <c r="I100" s="29"/>
      <c r="J100" s="30"/>
      <c r="K100" s="30"/>
      <c r="L100" s="35"/>
      <c r="M100" s="28"/>
      <c r="N100" s="28"/>
      <c r="O100" s="28"/>
      <c r="P100" s="28"/>
      <c r="Q100" s="28"/>
      <c r="R100" s="28"/>
      <c r="S100" s="28"/>
      <c r="T100" s="28"/>
      <c r="U100" s="28"/>
      <c r="V100" s="28"/>
      <c r="W100" s="28"/>
      <c r="X100" s="28"/>
      <c r="Y100" s="28"/>
      <c r="Z100" s="28"/>
      <c r="AA100" s="28"/>
      <c r="AB100" s="28"/>
    </row>
    <row r="101">
      <c r="A101" s="21" t="s">
        <v>382</v>
      </c>
      <c r="B101" s="22" t="s">
        <v>383</v>
      </c>
      <c r="C101" s="23" t="str">
        <f>IFERROR(__xludf.DUMMYFUNCTION("GOOGLETRANSLATE(B101,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01" s="23"/>
      <c r="E101" s="29"/>
      <c r="F101" s="23" t="s">
        <v>384</v>
      </c>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21" t="s">
        <v>385</v>
      </c>
      <c r="B102" s="22" t="s">
        <v>303</v>
      </c>
      <c r="C102" s="23" t="str">
        <f>IFERROR(__xludf.DUMMYFUNCTION("GOOGLETRANSLATE(B102, ""en"", ""fr"")"),"Rassemblement")</f>
        <v>Rassemblement</v>
      </c>
      <c r="D102" s="23"/>
      <c r="E102" s="29"/>
      <c r="F102" s="23" t="s">
        <v>304</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386</v>
      </c>
      <c r="B103" s="22" t="s">
        <v>387</v>
      </c>
      <c r="C103" s="23" t="str">
        <f>IFERROR(__xludf.DUMMYFUNCTION("GOOGLETRANSLATE(B103,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03" s="23"/>
      <c r="E103" s="29"/>
      <c r="F103" s="23" t="s">
        <v>388</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389</v>
      </c>
      <c r="B104" s="22" t="s">
        <v>390</v>
      </c>
      <c r="C104" s="23" t="str">
        <f>IFERROR(__xludf.DUMMYFUNCTION("GOOGLETRANSLATE(B104, ""en"", ""fr"")"),"Armes")</f>
        <v>Armes</v>
      </c>
      <c r="D104" s="23"/>
      <c r="E104" s="29"/>
      <c r="F104" s="23" t="s">
        <v>391</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37" t="s">
        <v>392</v>
      </c>
      <c r="B105" s="22" t="s">
        <v>393</v>
      </c>
      <c r="C105" s="23" t="str">
        <f>IFERROR(__xludf.DUMMYFUNCTION("GOOGLETRANSLATE(B105,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05" s="23"/>
      <c r="E105" s="29"/>
      <c r="F105" s="23" t="s">
        <v>394</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395</v>
      </c>
      <c r="B106" s="22" t="s">
        <v>396</v>
      </c>
      <c r="C106" s="23" t="str">
        <f>IFERROR(__xludf.DUMMYFUNCTION("GOOGLETRANSLATE(B106, ""en"", ""fr"")"),"Arsenal")</f>
        <v>Arsenal</v>
      </c>
      <c r="D106" s="23"/>
      <c r="E106" s="29"/>
      <c r="F106" s="23" t="s">
        <v>397</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37" t="s">
        <v>398</v>
      </c>
      <c r="B107" s="22" t="s">
        <v>399</v>
      </c>
      <c r="C107" s="23" t="str">
        <f>IFERROR(__xludf.DUMMYFUNCTION("GOOGLETRANSLATE(B107,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07" s="23"/>
      <c r="E107" s="29"/>
      <c r="F107" s="23" t="s">
        <v>400</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21" t="s">
        <v>401</v>
      </c>
      <c r="B108" s="22" t="s">
        <v>402</v>
      </c>
      <c r="C108" s="23" t="str">
        <f>IFERROR(__xludf.DUMMYFUNCTION("GOOGLETRANSLATE(B108, ""en"", ""fr"")"),"Toolery")</f>
        <v>Toolery</v>
      </c>
      <c r="D108" s="23"/>
      <c r="E108" s="29"/>
      <c r="F108" s="23" t="s">
        <v>403</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37" t="s">
        <v>404</v>
      </c>
      <c r="B109" s="22" t="s">
        <v>405</v>
      </c>
      <c r="C109" s="23" t="str">
        <f>IFERROR(__xludf.DUMMYFUNCTION("GOOGLETRANSLATE(B109,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09" s="23"/>
      <c r="E109" s="29"/>
      <c r="F109" s="23" t="s">
        <v>406</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21" t="s">
        <v>407</v>
      </c>
      <c r="B110" s="22" t="s">
        <v>408</v>
      </c>
      <c r="C110" s="23" t="str">
        <f>IFERROR(__xludf.DUMMYFUNCTION("GOOGLETRANSLATE(B110, ""en"", ""fr"")"),"Potionry")</f>
        <v>Potionry</v>
      </c>
      <c r="D110" s="23"/>
      <c r="E110" s="29"/>
      <c r="F110" s="23" t="s">
        <v>409</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37" t="s">
        <v>410</v>
      </c>
      <c r="B111" s="22" t="s">
        <v>411</v>
      </c>
      <c r="C111" s="23" t="str">
        <f>IFERROR(__xludf.DUMMYFUNCTION("GOOGLETRANSLATE(B111,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11" s="23"/>
      <c r="E111" s="29"/>
      <c r="F111" s="23" t="s">
        <v>412</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37" t="s">
        <v>413</v>
      </c>
      <c r="B112" s="22" t="s">
        <v>414</v>
      </c>
      <c r="C112" s="23" t="str">
        <f>IFERROR(__xludf.DUMMYFUNCTION("GOOGLETRANSLATE(B112, ""en"", ""fr"")"),"Clanship")</f>
        <v>Clanship</v>
      </c>
      <c r="D112" s="23"/>
      <c r="E112" s="29"/>
      <c r="F112" s="23" t="s">
        <v>415</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37" t="s">
        <v>416</v>
      </c>
      <c r="B113" s="22" t="s">
        <v>417</v>
      </c>
      <c r="C113" s="23" t="str">
        <f>IFERROR(__xludf.DUMMYFUNCTION("GOOGLETRANSLATE(B113,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13" s="23"/>
      <c r="E113" s="29"/>
      <c r="F113" s="23" t="s">
        <v>418</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37" t="s">
        <v>419</v>
      </c>
      <c r="B114" s="22" t="s">
        <v>419</v>
      </c>
      <c r="C114" s="23" t="str">
        <f>IFERROR(__xludf.DUMMYFUNCTION("GOOGLETRANSLATE(B114, ""en"", ""fr"")"),"Niveau")</f>
        <v>Niveau</v>
      </c>
      <c r="D114" s="23" t="s">
        <v>420</v>
      </c>
      <c r="E114" s="29"/>
      <c r="F114" s="23" t="s">
        <v>421</v>
      </c>
      <c r="G114" s="29"/>
      <c r="H114" s="36"/>
      <c r="I114" s="23" t="s">
        <v>422</v>
      </c>
      <c r="J114" s="30"/>
      <c r="K114" s="30"/>
      <c r="L114" s="35"/>
      <c r="M114" s="28"/>
      <c r="N114" s="28"/>
      <c r="O114" s="28"/>
      <c r="P114" s="28"/>
      <c r="Q114" s="28"/>
      <c r="R114" s="28"/>
      <c r="S114" s="28"/>
      <c r="T114" s="28"/>
      <c r="U114" s="28"/>
      <c r="V114" s="28"/>
      <c r="W114" s="28"/>
      <c r="X114" s="28"/>
      <c r="Y114" s="28"/>
      <c r="Z114" s="28"/>
      <c r="AA114" s="28"/>
      <c r="AB114" s="28"/>
    </row>
    <row r="115">
      <c r="A115" s="37" t="s">
        <v>423</v>
      </c>
      <c r="B115" s="22" t="s">
        <v>423</v>
      </c>
      <c r="C115" s="23" t="str">
        <f>IFERROR(__xludf.DUMMYFUNCTION("GOOGLETRANSLATE(B115, ""en"", ""fr"")"),"Exp")</f>
        <v>Exp</v>
      </c>
      <c r="D115" s="23" t="s">
        <v>424</v>
      </c>
      <c r="E115" s="29"/>
      <c r="F115" s="23" t="s">
        <v>425</v>
      </c>
      <c r="G115" s="29"/>
      <c r="H115" s="36"/>
      <c r="I115" s="23" t="s">
        <v>426</v>
      </c>
      <c r="J115" s="30"/>
      <c r="K115" s="30"/>
      <c r="L115" s="35"/>
      <c r="M115" s="28"/>
      <c r="N115" s="28"/>
      <c r="O115" s="28"/>
      <c r="P115" s="28"/>
      <c r="Q115" s="28"/>
      <c r="R115" s="28"/>
      <c r="S115" s="28"/>
      <c r="T115" s="28"/>
      <c r="U115" s="28"/>
      <c r="V115" s="28"/>
      <c r="W115" s="28"/>
      <c r="X115" s="28"/>
      <c r="Y115" s="28"/>
      <c r="Z115" s="28"/>
      <c r="AA115" s="28"/>
      <c r="AB115" s="28"/>
    </row>
    <row r="116">
      <c r="A116" s="37" t="s">
        <v>214</v>
      </c>
      <c r="B116" s="22" t="s">
        <v>214</v>
      </c>
      <c r="C116" s="23" t="str">
        <f>IFERROR(__xludf.DUMMYFUNCTION("GOOGLETRANSLATE(B116, ""en"", ""fr"")"),"Tâches")</f>
        <v>Tâches</v>
      </c>
      <c r="D116" s="23" t="s">
        <v>427</v>
      </c>
      <c r="E116" s="29"/>
      <c r="F116" s="23" t="s">
        <v>215</v>
      </c>
      <c r="G116" s="29"/>
      <c r="H116" s="36"/>
      <c r="I116" s="23" t="s">
        <v>428</v>
      </c>
      <c r="J116" s="30"/>
      <c r="K116" s="30"/>
      <c r="L116" s="35"/>
      <c r="M116" s="28"/>
      <c r="N116" s="28"/>
      <c r="O116" s="28"/>
      <c r="P116" s="28"/>
      <c r="Q116" s="28"/>
      <c r="R116" s="28"/>
      <c r="S116" s="28"/>
      <c r="T116" s="28"/>
      <c r="U116" s="28"/>
      <c r="V116" s="28"/>
      <c r="W116" s="28"/>
      <c r="X116" s="28"/>
      <c r="Y116" s="28"/>
      <c r="Z116" s="28"/>
      <c r="AA116" s="28"/>
      <c r="AB116" s="28"/>
    </row>
    <row r="117">
      <c r="A117" s="37" t="s">
        <v>429</v>
      </c>
      <c r="B117" s="22" t="s">
        <v>429</v>
      </c>
      <c r="C117" s="23" t="str">
        <f>IFERROR(__xludf.DUMMYFUNCTION("GOOGLETRANSLATE(B117, ""en"", ""fr"")"),"Tâche")</f>
        <v>Tâche</v>
      </c>
      <c r="D117" s="23" t="s">
        <v>430</v>
      </c>
      <c r="E117" s="29"/>
      <c r="F117" s="23" t="s">
        <v>431</v>
      </c>
      <c r="G117" s="29"/>
      <c r="H117" s="36"/>
      <c r="I117" s="23" t="s">
        <v>432</v>
      </c>
      <c r="J117" s="30"/>
      <c r="K117" s="30"/>
      <c r="L117" s="35"/>
      <c r="M117" s="28"/>
      <c r="N117" s="28"/>
      <c r="O117" s="28"/>
      <c r="P117" s="28"/>
      <c r="Q117" s="28"/>
      <c r="R117" s="28"/>
      <c r="S117" s="28"/>
      <c r="T117" s="28"/>
      <c r="U117" s="28"/>
      <c r="V117" s="28"/>
      <c r="W117" s="28"/>
      <c r="X117" s="28"/>
      <c r="Y117" s="28"/>
      <c r="Z117" s="28"/>
      <c r="AA117" s="28"/>
      <c r="AB117" s="28"/>
    </row>
    <row r="118">
      <c r="A118" s="21" t="s">
        <v>433</v>
      </c>
      <c r="B118" s="22" t="s">
        <v>433</v>
      </c>
      <c r="C118" s="23" t="str">
        <f>IFERROR(__xludf.DUMMYFUNCTION("GOOGLETRANSLATE(B118, ""en"", ""fr"")"),"Le progrès")</f>
        <v>Le progrès</v>
      </c>
      <c r="D118" s="23" t="s">
        <v>434</v>
      </c>
      <c r="E118" s="29"/>
      <c r="F118" s="23" t="s">
        <v>435</v>
      </c>
      <c r="G118" s="29"/>
      <c r="H118" s="36"/>
      <c r="I118" s="29"/>
      <c r="J118" s="30"/>
      <c r="K118" s="30"/>
      <c r="L118" s="35"/>
      <c r="M118" s="28"/>
      <c r="N118" s="28"/>
      <c r="O118" s="28"/>
      <c r="P118" s="28"/>
      <c r="Q118" s="28"/>
      <c r="R118" s="28"/>
      <c r="S118" s="28"/>
      <c r="T118" s="28"/>
      <c r="U118" s="28"/>
      <c r="V118" s="28"/>
      <c r="W118" s="28"/>
      <c r="X118" s="28"/>
      <c r="Y118" s="28"/>
      <c r="Z118" s="28"/>
      <c r="AA118" s="28"/>
      <c r="AB118" s="28"/>
    </row>
    <row r="119">
      <c r="A119" s="21" t="s">
        <v>436</v>
      </c>
      <c r="B119" s="22" t="s">
        <v>436</v>
      </c>
      <c r="C119" s="23" t="str">
        <f>IFERROR(__xludf.DUMMYFUNCTION("GOOGLETRANSLATE(B119, ""en"", ""fr"")"),"Récompense")</f>
        <v>Récompense</v>
      </c>
      <c r="D119" s="23" t="s">
        <v>437</v>
      </c>
      <c r="E119" s="29"/>
      <c r="F119" s="23" t="s">
        <v>438</v>
      </c>
      <c r="G119" s="29"/>
      <c r="H119" s="36"/>
      <c r="I119" s="23" t="s">
        <v>439</v>
      </c>
      <c r="J119" s="30"/>
      <c r="K119" s="30"/>
      <c r="L119" s="35"/>
      <c r="M119" s="28"/>
      <c r="N119" s="28"/>
      <c r="O119" s="28"/>
      <c r="P119" s="28"/>
      <c r="Q119" s="28"/>
      <c r="R119" s="28"/>
      <c r="S119" s="28"/>
      <c r="T119" s="28"/>
      <c r="U119" s="28"/>
      <c r="V119" s="28"/>
      <c r="W119" s="28"/>
      <c r="X119" s="28"/>
      <c r="Y119" s="28"/>
      <c r="Z119" s="28"/>
      <c r="AA119" s="28"/>
      <c r="AB119" s="28"/>
    </row>
    <row r="120">
      <c r="A120" s="21" t="s">
        <v>440</v>
      </c>
      <c r="B120" s="22" t="s">
        <v>440</v>
      </c>
      <c r="C120" s="23" t="str">
        <f>IFERROR(__xludf.DUMMYFUNCTION("GOOGLETRANSLATE(B120, ""en"", ""fr"")"),"Pister")</f>
        <v>Pister</v>
      </c>
      <c r="D120" s="23"/>
      <c r="E120" s="29"/>
      <c r="F120" s="23" t="s">
        <v>441</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442</v>
      </c>
      <c r="B121" s="22" t="s">
        <v>442</v>
      </c>
      <c r="C121" s="23" t="str">
        <f>IFERROR(__xludf.DUMMYFUNCTION("GOOGLETRANSLATE(B121, ""en"", ""fr"")"),"Prétendre")</f>
        <v>Prétendre</v>
      </c>
      <c r="D121" s="23" t="s">
        <v>443</v>
      </c>
      <c r="E121" s="29"/>
      <c r="F121" s="23" t="s">
        <v>444</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445</v>
      </c>
      <c r="B122" s="22" t="s">
        <v>446</v>
      </c>
      <c r="C122" s="23" t="str">
        <f>IFERROR(__xludf.DUMMYFUNCTION("GOOGLETRANSLATE(B122, ""en"", ""fr"")"),"Tâche terminée!")</f>
        <v>Tâche terminée!</v>
      </c>
      <c r="D122" s="23" t="s">
        <v>447</v>
      </c>
      <c r="E122" s="29"/>
      <c r="F122" s="23" t="s">
        <v>448</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449</v>
      </c>
      <c r="B123" s="22" t="s">
        <v>450</v>
      </c>
      <c r="C123" s="23" t="str">
        <f>IFERROR(__xludf.DUMMYFUNCTION("GOOGLETRANSLATE(B123, ""en"", ""fr"")"),"rats tuer")</f>
        <v>rats tuer</v>
      </c>
      <c r="D123" s="23" t="s">
        <v>451</v>
      </c>
      <c r="E123" s="29"/>
      <c r="F123" s="23" t="s">
        <v>452</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453</v>
      </c>
      <c r="B124" s="22" t="s">
        <v>454</v>
      </c>
      <c r="C124" s="23" t="str">
        <f>IFERROR(__xludf.DUMMYFUNCTION("GOOGLETRANSLATE(B124, ""en"", ""fr"")"),"chauves-souris Tuez")</f>
        <v>chauves-souris Tuez</v>
      </c>
      <c r="D124" s="23" t="s">
        <v>455</v>
      </c>
      <c r="E124" s="29"/>
      <c r="F124" s="23" t="s">
        <v>456</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457</v>
      </c>
      <c r="B125" s="22" t="s">
        <v>458</v>
      </c>
      <c r="C125" s="23" t="str">
        <f>IFERROR(__xludf.DUMMYFUNCTION("GOOGLETRANSLATE(B125, ""en"", ""fr"")"),"Tuer des éperviers")</f>
        <v>Tuer des éperviers</v>
      </c>
      <c r="D125" s="23"/>
      <c r="E125" s="29"/>
      <c r="F125" s="23" t="s">
        <v>459</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460</v>
      </c>
      <c r="B126" s="22" t="s">
        <v>461</v>
      </c>
      <c r="C126" s="23" t="str">
        <f>IFERROR(__xludf.DUMMYFUNCTION("GOOGLETRANSLATE(B126, ""en"", ""fr"")"),"Tuer snoovirs")</f>
        <v>Tuer snoovirs</v>
      </c>
      <c r="D126" s="23"/>
      <c r="E126" s="29"/>
      <c r="F126" s="23" t="s">
        <v>462</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463</v>
      </c>
      <c r="B127" s="22" t="s">
        <v>464</v>
      </c>
      <c r="C127" s="23" t="str">
        <f>IFERROR(__xludf.DUMMYFUNCTION("GOOGLETRANSLATE(B127, ""en"", ""fr"")"),"Tuer garnements")</f>
        <v>Tuer garnements</v>
      </c>
      <c r="D127" s="23"/>
      <c r="E127" s="29"/>
      <c r="F127" s="23" t="s">
        <v>465</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466</v>
      </c>
      <c r="B128" s="22" t="s">
        <v>467</v>
      </c>
      <c r="C128" s="23" t="str">
        <f>IFERROR(__xludf.DUMMYFUNCTION("GOOGLETRANSLATE(B128, ""en"", ""fr"")"),"Tuer des zombies")</f>
        <v>Tuer des zombies</v>
      </c>
      <c r="D128" s="23" t="s">
        <v>468</v>
      </c>
      <c r="E128" s="29"/>
      <c r="F128" s="23" t="s">
        <v>469</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470</v>
      </c>
      <c r="B129" s="22" t="s">
        <v>471</v>
      </c>
      <c r="C129" s="23" t="str">
        <f>IFERROR(__xludf.DUMMYFUNCTION("GOOGLETRANSLATE(B129, ""en"", ""fr"")"),"vampires tuer")</f>
        <v>vampires tuer</v>
      </c>
      <c r="D129" s="23" t="s">
        <v>472</v>
      </c>
      <c r="E129" s="29"/>
      <c r="F129" s="23" t="s">
        <v>473</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474</v>
      </c>
      <c r="B130" s="22" t="s">
        <v>475</v>
      </c>
      <c r="C130" s="23" t="str">
        <f>IFERROR(__xludf.DUMMYFUNCTION("GOOGLETRANSLATE(B130, ""en"", ""fr"")"),"Outlaws tuer")</f>
        <v>Outlaws tuer</v>
      </c>
      <c r="D130" s="23"/>
      <c r="E130" s="29"/>
      <c r="F130" s="23" t="s">
        <v>476</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477</v>
      </c>
      <c r="B131" s="22" t="s">
        <v>478</v>
      </c>
      <c r="C131" s="23" t="str">
        <f>IFERROR(__xludf.DUMMYFUNCTION("GOOGLETRANSLATE(B131, ""en"", ""fr"")"),"guerriers tuer")</f>
        <v>guerriers tuer</v>
      </c>
      <c r="D131" s="23" t="s">
        <v>479</v>
      </c>
      <c r="E131" s="29"/>
      <c r="F131" s="23" t="s">
        <v>480</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481</v>
      </c>
      <c r="B132" s="22" t="s">
        <v>482</v>
      </c>
      <c r="C132" s="23" t="str">
        <f>IFERROR(__xludf.DUMMYFUNCTION("GOOGLETRANSLATE(B132, ""en"", ""fr"")"),"Tuez les gobelins")</f>
        <v>Tuez les gobelins</v>
      </c>
      <c r="D132" s="23"/>
      <c r="E132" s="29"/>
      <c r="F132" s="23"/>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483</v>
      </c>
      <c r="B133" s="22" t="s">
        <v>484</v>
      </c>
      <c r="C133" s="23" t="str">
        <f>IFERROR(__xludf.DUMMYFUNCTION("GOOGLETRANSLATE(B133, ""en"", ""fr"")"),"Tuer Gnarls")</f>
        <v>Tuer Gnarls</v>
      </c>
      <c r="D133" s="23"/>
      <c r="E133" s="29"/>
      <c r="F133" s="23" t="s">
        <v>485</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486</v>
      </c>
      <c r="B134" s="22" t="s">
        <v>487</v>
      </c>
      <c r="C134" s="23" t="str">
        <f>IFERROR(__xludf.DUMMYFUNCTION("GOOGLETRANSLATE(B134, ""en"", ""fr"")"),"Tuer adumbrals")</f>
        <v>Tuer adumbrals</v>
      </c>
      <c r="D134" s="23"/>
      <c r="E134" s="29"/>
      <c r="F134" s="23"/>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488</v>
      </c>
      <c r="B135" s="22" t="s">
        <v>489</v>
      </c>
      <c r="C135" s="23" t="str">
        <f>IFERROR(__xludf.DUMMYFUNCTION("GOOGLETRANSLATE(B135, ""en"", ""fr"")"),"coton récolte")</f>
        <v>coton récolte</v>
      </c>
      <c r="D135" s="23" t="s">
        <v>490</v>
      </c>
      <c r="E135" s="29"/>
      <c r="F135" s="23" t="s">
        <v>491</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492</v>
      </c>
      <c r="B136" s="22" t="s">
        <v>493</v>
      </c>
      <c r="C136" s="23" t="str">
        <f>IFERROR(__xludf.DUMMYFUNCTION("GOOGLETRANSLATE(B136, ""en"", ""fr"")"),"champignons rouge récolte")</f>
        <v>champignons rouge récolte</v>
      </c>
      <c r="D136" s="23" t="s">
        <v>494</v>
      </c>
      <c r="E136" s="29"/>
      <c r="F136" s="23" t="s">
        <v>495</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496</v>
      </c>
      <c r="B137" s="22" t="s">
        <v>497</v>
      </c>
      <c r="C137" s="23" t="str">
        <f>IFERROR(__xludf.DUMMYFUNCTION("GOOGLETRANSLATE(B137, ""en"", ""fr"")"),"champignons verts récolte")</f>
        <v>champignons verts récolte</v>
      </c>
      <c r="D137" s="23" t="s">
        <v>498</v>
      </c>
      <c r="E137" s="29"/>
      <c r="F137" s="23" t="s">
        <v>499</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500</v>
      </c>
      <c r="B138" s="22" t="s">
        <v>501</v>
      </c>
      <c r="C138" s="23" t="str">
        <f>IFERROR(__xludf.DUMMYFUNCTION("GOOGLETRANSLATE(B138, ""en"", ""fr"")"),"champignons bleus récolte")</f>
        <v>champignons bleus récolte</v>
      </c>
      <c r="D138" s="23" t="s">
        <v>502</v>
      </c>
      <c r="E138" s="29"/>
      <c r="F138" s="23" t="s">
        <v>503</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504</v>
      </c>
      <c r="B139" s="22" t="s">
        <v>505</v>
      </c>
      <c r="C139" s="23" t="str">
        <f>IFERROR(__xludf.DUMMYFUNCTION("GOOGLETRANSLATE(B139, ""en"", ""fr"")"),"Chop chênes")</f>
        <v>Chop chênes</v>
      </c>
      <c r="D139" s="23" t="s">
        <v>506</v>
      </c>
      <c r="E139" s="29"/>
      <c r="F139" s="23" t="s">
        <v>507</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508</v>
      </c>
      <c r="B140" s="22" t="s">
        <v>509</v>
      </c>
      <c r="C140" s="23" t="str">
        <f>IFERROR(__xludf.DUMMYFUNCTION("GOOGLETRANSLATE(B140, ""en"", ""fr"")"),"le minerai de fer")</f>
        <v>le minerai de fer</v>
      </c>
      <c r="D140" s="23" t="s">
        <v>510</v>
      </c>
      <c r="E140" s="29"/>
      <c r="F140" s="23" t="s">
        <v>511</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512</v>
      </c>
      <c r="B141" s="22" t="s">
        <v>513</v>
      </c>
      <c r="C141" s="23" t="str">
        <f>IFERROR(__xludf.DUMMYFUNCTION("GOOGLETRANSLATE(B141, ""en"", ""fr"")"),"Mine de minerai dungium")</f>
        <v>Mine de minerai dungium</v>
      </c>
      <c r="D141" s="23" t="s">
        <v>514</v>
      </c>
      <c r="E141" s="29"/>
      <c r="F141" s="23" t="s">
        <v>515</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516</v>
      </c>
      <c r="B142" s="22" t="s">
        <v>517</v>
      </c>
      <c r="C142" s="23" t="str">
        <f>IFERROR(__xludf.DUMMYFUNCTION("GOOGLETRANSLATE(B142, ""en"", ""fr"")"),"Le minerai de la mine")</f>
        <v>Le minerai de la mine</v>
      </c>
      <c r="D142" s="23" t="s">
        <v>518</v>
      </c>
      <c r="E142" s="29"/>
      <c r="F142" s="23" t="s">
        <v>519</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520</v>
      </c>
      <c r="B143" s="22" t="s">
        <v>521</v>
      </c>
      <c r="C143" s="23" t="str">
        <f>IFERROR(__xludf.DUMMYFUNCTION("GOOGLETRANSLATE(B143, ""en"", ""fr"")"),"Craft flèches en fer")</f>
        <v>Craft flèches en fer</v>
      </c>
      <c r="D143" s="23" t="s">
        <v>522</v>
      </c>
      <c r="E143" s="29"/>
      <c r="F143" s="23" t="s">
        <v>523</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524</v>
      </c>
      <c r="B144" s="22" t="s">
        <v>525</v>
      </c>
      <c r="C144" s="23" t="str">
        <f>IFERROR(__xludf.DUMMYFUNCTION("GOOGLETRANSLATE(B144, ""en"", ""fr"")"),"Craft poignards de fer")</f>
        <v>Craft poignards de fer</v>
      </c>
      <c r="D144" s="23" t="s">
        <v>526</v>
      </c>
      <c r="E144" s="29"/>
      <c r="F144" s="23" t="s">
        <v>527</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528</v>
      </c>
      <c r="B145" s="22" t="s">
        <v>529</v>
      </c>
      <c r="C145" s="23" t="str">
        <f>IFERROR(__xludf.DUMMYFUNCTION("GOOGLETRANSLATE(B145, ""en"", ""fr"")"),"Craft épées de fer")</f>
        <v>Craft épées de fer</v>
      </c>
      <c r="D145" s="23" t="s">
        <v>530</v>
      </c>
      <c r="E145" s="29"/>
      <c r="F145" s="23" t="s">
        <v>531</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532</v>
      </c>
      <c r="B146" s="22" t="s">
        <v>533</v>
      </c>
      <c r="C146" s="23" t="str">
        <f>IFERROR(__xludf.DUMMYFUNCTION("GOOGLETRANSLATE(B146, ""en"", ""fr"")"),"Craft marteaux de fer")</f>
        <v>Craft marteaux de fer</v>
      </c>
      <c r="D146" s="23" t="s">
        <v>534</v>
      </c>
      <c r="E146" s="29"/>
      <c r="F146" s="23" t="s">
        <v>535</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536</v>
      </c>
      <c r="B147" s="22" t="s">
        <v>537</v>
      </c>
      <c r="C147" s="23" t="str">
        <f>IFERROR(__xludf.DUMMYFUNCTION("GOOGLETRANSLATE(B147, ""en"", ""fr"")"),"Artisanat armure de fer")</f>
        <v>Artisanat armure de fer</v>
      </c>
      <c r="D147" s="23" t="s">
        <v>538</v>
      </c>
      <c r="E147" s="29"/>
      <c r="F147" s="23" t="s">
        <v>539</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540</v>
      </c>
      <c r="B148" s="22" t="s">
        <v>541</v>
      </c>
      <c r="C148" s="23" t="str">
        <f>IFERROR(__xludf.DUMMYFUNCTION("GOOGLETRANSLATE(B148, ""en"", ""fr"")"),"Craft hachettes de fer")</f>
        <v>Craft hachettes de fer</v>
      </c>
      <c r="D148" s="23" t="s">
        <v>542</v>
      </c>
      <c r="E148" s="29"/>
      <c r="F148" s="38" t="s">
        <v>543</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544</v>
      </c>
      <c r="B149" s="22" t="s">
        <v>545</v>
      </c>
      <c r="C149" s="23" t="str">
        <f>IFERROR(__xludf.DUMMYFUNCTION("GOOGLETRANSLATE(B149, ""en"", ""fr"")"),"Craft pioches en fer")</f>
        <v>Craft pioches en fer</v>
      </c>
      <c r="D149" s="23" t="s">
        <v>546</v>
      </c>
      <c r="E149" s="29"/>
      <c r="F149" s="23" t="s">
        <v>547</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548</v>
      </c>
      <c r="B150" s="22" t="s">
        <v>549</v>
      </c>
      <c r="C150" s="23" t="str">
        <f>IFERROR(__xludf.DUMMYFUNCTION("GOOGLETRANSLATE(B150, ""en"", ""fr"")"),"Craft flèches dungium")</f>
        <v>Craft flèches dungium</v>
      </c>
      <c r="D150" s="23" t="s">
        <v>550</v>
      </c>
      <c r="E150" s="29"/>
      <c r="F150" s="23" t="s">
        <v>551</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552</v>
      </c>
      <c r="B151" s="22" t="s">
        <v>553</v>
      </c>
      <c r="C151" s="23" t="str">
        <f>IFERROR(__xludf.DUMMYFUNCTION("GOOGLETRANSLATE(B151, ""en"", ""fr"")"),"Craft poignards dungium")</f>
        <v>Craft poignards dungium</v>
      </c>
      <c r="D151" s="23" t="s">
        <v>554</v>
      </c>
      <c r="E151" s="29"/>
      <c r="F151" s="23" t="s">
        <v>555</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556</v>
      </c>
      <c r="B152" s="22" t="s">
        <v>557</v>
      </c>
      <c r="C152" s="23" t="str">
        <f>IFERROR(__xludf.DUMMYFUNCTION("GOOGLETRANSLATE(B152, ""en"", ""fr"")"),"Craft épées dungium")</f>
        <v>Craft épées dungium</v>
      </c>
      <c r="D152" s="23" t="s">
        <v>558</v>
      </c>
      <c r="E152" s="29"/>
      <c r="F152" s="23" t="s">
        <v>559</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560</v>
      </c>
      <c r="B153" s="22" t="s">
        <v>561</v>
      </c>
      <c r="C153" s="23" t="str">
        <f>IFERROR(__xludf.DUMMYFUNCTION("GOOGLETRANSLATE(B153, ""en"", ""fr"")"),"Craft marteaux dungium")</f>
        <v>Craft marteaux dungium</v>
      </c>
      <c r="D153" s="23" t="s">
        <v>562</v>
      </c>
      <c r="E153" s="29"/>
      <c r="F153" s="23" t="s">
        <v>563</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564</v>
      </c>
      <c r="B154" s="22" t="s">
        <v>565</v>
      </c>
      <c r="C154" s="23" t="str">
        <f>IFERROR(__xludf.DUMMYFUNCTION("GOOGLETRANSLATE(B154, ""en"", ""fr"")"),"Artisanat armure dungium")</f>
        <v>Artisanat armure dungium</v>
      </c>
      <c r="D154" s="23" t="s">
        <v>566</v>
      </c>
      <c r="E154" s="29"/>
      <c r="F154" s="23" t="s">
        <v>567</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568</v>
      </c>
      <c r="B155" s="22" t="s">
        <v>569</v>
      </c>
      <c r="C155" s="23" t="str">
        <f>IFERROR(__xludf.DUMMYFUNCTION("GOOGLETRANSLATE(B155, ""en"", ""fr"")"),"Craft dungium hachettes")</f>
        <v>Craft dungium hachettes</v>
      </c>
      <c r="D155" s="23" t="s">
        <v>570</v>
      </c>
      <c r="E155" s="29"/>
      <c r="F155" s="23" t="s">
        <v>571</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572</v>
      </c>
      <c r="B156" s="22" t="s">
        <v>573</v>
      </c>
      <c r="C156" s="23" t="str">
        <f>IFERROR(__xludf.DUMMYFUNCTION("GOOGLETRANSLATE(B156, ""en"", ""fr"")"),"Craft dungium pioches")</f>
        <v>Craft dungium pioches</v>
      </c>
      <c r="D156" s="23" t="s">
        <v>574</v>
      </c>
      <c r="E156" s="29"/>
      <c r="F156" s="23" t="s">
        <v>575</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576</v>
      </c>
      <c r="B157" s="22" t="s">
        <v>577</v>
      </c>
      <c r="C157" s="23" t="str">
        <f>IFERROR(__xludf.DUMMYFUNCTION("GOOGLETRANSLATE(B157, ""en"", ""fr"")"),"Artisanat Noctis flèches")</f>
        <v>Artisanat Noctis flèches</v>
      </c>
      <c r="D157" s="23" t="s">
        <v>578</v>
      </c>
      <c r="E157" s="29"/>
      <c r="F157" s="23" t="s">
        <v>579</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580</v>
      </c>
      <c r="B158" s="22" t="s">
        <v>581</v>
      </c>
      <c r="C158" s="23" t="str">
        <f>IFERROR(__xludf.DUMMYFUNCTION("GOOGLETRANSLATE(B158, ""en"", ""fr"")"),"Artisanat Noctis poignards")</f>
        <v>Artisanat Noctis poignards</v>
      </c>
      <c r="D158" s="23" t="s">
        <v>582</v>
      </c>
      <c r="E158" s="29"/>
      <c r="F158" s="23" t="s">
        <v>583</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584</v>
      </c>
      <c r="B159" s="22" t="s">
        <v>585</v>
      </c>
      <c r="C159" s="23" t="str">
        <f>IFERROR(__xludf.DUMMYFUNCTION("GOOGLETRANSLATE(B159, ""en"", ""fr"")"),"Artisanat Noctis épées")</f>
        <v>Artisanat Noctis épées</v>
      </c>
      <c r="D159" s="23" t="s">
        <v>586</v>
      </c>
      <c r="E159" s="29"/>
      <c r="F159" s="23" t="s">
        <v>587</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588</v>
      </c>
      <c r="B160" s="22" t="s">
        <v>589</v>
      </c>
      <c r="C160" s="23" t="str">
        <f>IFERROR(__xludf.DUMMYFUNCTION("GOOGLETRANSLATE(B160, ""en"", ""fr"")"),"Artisanat Noctis marteaux")</f>
        <v>Artisanat Noctis marteaux</v>
      </c>
      <c r="D160" s="23" t="s">
        <v>590</v>
      </c>
      <c r="E160" s="29"/>
      <c r="F160" s="23" t="s">
        <v>591</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592</v>
      </c>
      <c r="B161" s="22" t="s">
        <v>593</v>
      </c>
      <c r="C161" s="23" t="str">
        <f>IFERROR(__xludf.DUMMYFUNCTION("GOOGLETRANSLATE(B161, ""en"", ""fr"")"),"Craft armure de")</f>
        <v>Craft armure de</v>
      </c>
      <c r="D161" s="23" t="s">
        <v>594</v>
      </c>
      <c r="E161" s="29"/>
      <c r="F161" s="23" t="s">
        <v>595</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596</v>
      </c>
      <c r="B162" s="22" t="s">
        <v>597</v>
      </c>
      <c r="C162" s="23" t="str">
        <f>IFERROR(__xludf.DUMMYFUNCTION("GOOGLETRANSLATE(B162, ""en"", ""fr"")"),"Artisanat Noctis hachettes")</f>
        <v>Artisanat Noctis hachettes</v>
      </c>
      <c r="D162" s="23" t="s">
        <v>598</v>
      </c>
      <c r="E162" s="29"/>
      <c r="F162" s="23" t="s">
        <v>599</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600</v>
      </c>
      <c r="B163" s="22" t="s">
        <v>601</v>
      </c>
      <c r="C163" s="23" t="str">
        <f>IFERROR(__xludf.DUMMYFUNCTION("GOOGLETRANSLATE(B163, ""en"", ""fr"")"),"Artisanat Noctis pioches")</f>
        <v>Artisanat Noctis pioches</v>
      </c>
      <c r="D163" s="23" t="s">
        <v>602</v>
      </c>
      <c r="E163" s="29"/>
      <c r="F163" s="23" t="s">
        <v>603</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604</v>
      </c>
      <c r="B164" s="22" t="s">
        <v>605</v>
      </c>
      <c r="C164" s="23" t="str">
        <f>IFERROR(__xludf.DUMMYFUNCTION("GOOGLETRANSLATE(B164, ""en"", ""fr"")"),"états-majors de vent Craft")</f>
        <v>états-majors de vent Craft</v>
      </c>
      <c r="D164" s="23" t="s">
        <v>606</v>
      </c>
      <c r="E164" s="29"/>
      <c r="F164" s="23" t="s">
        <v>607</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608</v>
      </c>
      <c r="B165" s="22" t="s">
        <v>609</v>
      </c>
      <c r="C165" s="23" t="str">
        <f>IFERROR(__xludf.DUMMYFUNCTION("GOOGLETRANSLATE(B165, ""en"", ""fr"")"),"états-majors de feu Craft")</f>
        <v>états-majors de feu Craft</v>
      </c>
      <c r="D165" s="23" t="s">
        <v>610</v>
      </c>
      <c r="E165" s="29"/>
      <c r="F165" s="23" t="s">
        <v>611</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612</v>
      </c>
      <c r="B166" s="22" t="s">
        <v>613</v>
      </c>
      <c r="C166" s="23" t="str">
        <f>IFERROR(__xludf.DUMMYFUNCTION("GOOGLETRANSLATE(B166, ""en"", ""fr"")"),"états-majors de sang Craft")</f>
        <v>états-majors de sang Craft</v>
      </c>
      <c r="D166" s="23" t="s">
        <v>614</v>
      </c>
      <c r="E166" s="29"/>
      <c r="F166" s="23" t="s">
        <v>615</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616</v>
      </c>
      <c r="B167" s="22" t="s">
        <v>617</v>
      </c>
      <c r="C167" s="23" t="str">
        <f>IFERROR(__xludf.DUMMYFUNCTION("GOOGLETRANSLATE(B167, ""en"", ""fr"")"),"Craft potions de santé")</f>
        <v>Craft potions de santé</v>
      </c>
      <c r="D167" s="23" t="s">
        <v>618</v>
      </c>
      <c r="E167" s="29"/>
      <c r="F167" s="23" t="s">
        <v>619</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620</v>
      </c>
      <c r="B168" s="22" t="s">
        <v>621</v>
      </c>
      <c r="C168" s="23" t="str">
        <f>IFERROR(__xludf.DUMMYFUNCTION("GOOGLETRANSLATE(B168, ""en"", ""fr"")"),"Craft potions d'énergie")</f>
        <v>Craft potions d'énergie</v>
      </c>
      <c r="D168" s="23" t="s">
        <v>622</v>
      </c>
      <c r="E168" s="29"/>
      <c r="F168" s="23" t="s">
        <v>623</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624</v>
      </c>
      <c r="B169" s="22" t="s">
        <v>625</v>
      </c>
      <c r="C169" s="23" t="str">
        <f>IFERROR(__xludf.DUMMYFUNCTION("GOOGLETRANSLATE(B169, ""en"", ""fr"")"),"potions de guérison Craft")</f>
        <v>potions de guérison Craft</v>
      </c>
      <c r="D169" s="23" t="s">
        <v>626</v>
      </c>
      <c r="E169" s="29"/>
      <c r="F169" s="23" t="s">
        <v>627</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628</v>
      </c>
      <c r="B170" s="22" t="s">
        <v>629</v>
      </c>
      <c r="C170" s="23" t="str">
        <f>IFERROR(__xludf.DUMMYFUNCTION("GOOGLETRANSLATE(B170, ""en"", ""fr"")"),"Craft arcs de chêne")</f>
        <v>Craft arcs de chêne</v>
      </c>
      <c r="D170" s="23" t="s">
        <v>630</v>
      </c>
      <c r="E170" s="29"/>
      <c r="F170" s="23" t="s">
        <v>631</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632</v>
      </c>
      <c r="B171" s="22" t="s">
        <v>633</v>
      </c>
      <c r="C171" s="23" t="str">
        <f>IFERROR(__xludf.DUMMYFUNCTION("GOOGLETRANSLATE(B171, ""en"", ""fr"")"),"Craft shurikens")</f>
        <v>Craft shurikens</v>
      </c>
      <c r="D171" s="23" t="s">
        <v>634</v>
      </c>
      <c r="E171" s="29"/>
      <c r="F171" s="23" t="s">
        <v>635</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636</v>
      </c>
      <c r="B172" s="22" t="s">
        <v>637</v>
      </c>
      <c r="C172" s="23" t="str">
        <f>IFERROR(__xludf.DUMMYFUNCTION("GOOGLETRANSLATE(B172, ""en"", ""fr"")"),"capes Craft")</f>
        <v>capes Craft</v>
      </c>
      <c r="D172" s="23"/>
      <c r="E172" s="29"/>
      <c r="F172" s="23" t="s">
        <v>638</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639</v>
      </c>
      <c r="B173" s="22" t="s">
        <v>640</v>
      </c>
      <c r="C173" s="23" t="str">
        <f>IFERROR(__xludf.DUMMYFUNCTION("GOOGLETRANSLATE(B173, ""en"", ""fr"")"),"ninja gerbes de blé Craft")</f>
        <v>ninja gerbes de blé Craft</v>
      </c>
      <c r="D173" s="23"/>
      <c r="E173" s="29"/>
      <c r="F173" s="23" t="s">
        <v>641</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642</v>
      </c>
      <c r="B174" s="22" t="s">
        <v>643</v>
      </c>
      <c r="C174" s="23" t="str">
        <f>IFERROR(__xludf.DUMMYFUNCTION("GOOGLETRANSLATE(B174, ""en"", ""fr"")"),"Craft robes simples")</f>
        <v>Craft robes simples</v>
      </c>
      <c r="D174" s="23"/>
      <c r="E174" s="29"/>
      <c r="F174" s="23" t="s">
        <v>644</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645</v>
      </c>
      <c r="B175" s="22" t="s">
        <v>646</v>
      </c>
      <c r="C175" s="23" t="str">
        <f>IFERROR(__xludf.DUMMYFUNCTION("GOOGLETRANSLATE(B175, ""en"", ""fr"")"),"Craft robes de mage")</f>
        <v>Craft robes de mage</v>
      </c>
      <c r="D175" s="23"/>
      <c r="E175" s="29"/>
      <c r="F175" s="23" t="s">
        <v>647</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648</v>
      </c>
      <c r="B176" s="22" t="s">
        <v>649</v>
      </c>
      <c r="C176" s="23" t="str">
        <f>IFERROR(__xludf.DUMMYFUNCTION("GOOGLETRANSLATE(B176, ""en"", ""fr"")"),"Craft robes de Nécromant")</f>
        <v>Craft robes de Nécromant</v>
      </c>
      <c r="D176" s="23"/>
      <c r="E176" s="29"/>
      <c r="F176" s="23" t="s">
        <v>650</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651</v>
      </c>
      <c r="B177" s="22" t="s">
        <v>652</v>
      </c>
      <c r="C177" s="23" t="str">
        <f>IFERROR(__xludf.DUMMYFUNCTION("GOOGLETRANSLATE(B177, ""en"", ""fr"")"),"Tu es mort!")</f>
        <v>Tu es mort!</v>
      </c>
      <c r="D177" s="23"/>
      <c r="E177" s="29"/>
      <c r="F177" s="23" t="s">
        <v>653</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654</v>
      </c>
      <c r="B178" s="22" t="s">
        <v>655</v>
      </c>
      <c r="C178" s="23" t="str">
        <f>IFERROR(__xludf.DUMMYFUNCTION("GOOGLETRANSLATE(B178, ""en"", ""fr"")"),"Mieux préparé la prochaine fois. Les produits durent plus longtemps lorsqu'elle est faite avec des stats de craft plus.")</f>
        <v>Mieux préparé la prochaine fois. Les produits durent plus longtemps lorsqu'elle est faite avec des stats de craft plus.</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656</v>
      </c>
      <c r="B179" s="22" t="s">
        <v>657</v>
      </c>
      <c r="C179" s="23" t="str">
        <f>IFERROR(__xludf.DUMMYFUNCTION("GOOGLETRANSLATE(B179, ""en"", ""fr"")"),"Essayez de travailler avec d'autres joueurs lorsque vous faites quelque chose de dangereux.")</f>
        <v>Essayez de travailler avec d'autres joueurs lorsque vous faites quelque chose de dangereux.</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658</v>
      </c>
      <c r="B180" s="22" t="s">
        <v>659</v>
      </c>
      <c r="C180" s="23" t="str">
        <f>IFERROR(__xludf.DUMMYFUNCTION("GOOGLETRANSLATE(B180, ""en"", ""fr"")"),"De nombreuses créatures dangereuses apparaissent seulement la nuit.")</f>
        <v>De nombreuses créatures dangereuses apparaissent seulement la nuit.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660</v>
      </c>
      <c r="B181" s="22" t="s">
        <v>660</v>
      </c>
      <c r="C181" s="23" t="str">
        <f>IFERROR(__xludf.DUMMYFUNCTION("GOOGLETRANSLATE(B181, ""en"", ""fr"")"),"respawn")</f>
        <v>respawn</v>
      </c>
      <c r="D181" s="23"/>
      <c r="E181" s="29"/>
      <c r="F181" s="23" t="s">
        <v>661</v>
      </c>
      <c r="G181" s="29"/>
      <c r="H181" s="36"/>
      <c r="I181" s="23" t="s">
        <v>662</v>
      </c>
      <c r="J181" s="30"/>
      <c r="K181" s="30"/>
      <c r="L181" s="35"/>
      <c r="M181" s="28"/>
      <c r="N181" s="28"/>
      <c r="O181" s="28"/>
      <c r="P181" s="28"/>
      <c r="Q181" s="28"/>
      <c r="R181" s="28"/>
      <c r="S181" s="28"/>
      <c r="T181" s="28"/>
      <c r="U181" s="28"/>
      <c r="V181" s="28"/>
      <c r="W181" s="28"/>
      <c r="X181" s="28"/>
      <c r="Y181" s="28"/>
      <c r="Z181" s="28"/>
      <c r="AA181" s="28"/>
      <c r="AB181" s="28"/>
    </row>
    <row r="182">
      <c r="A182" s="21" t="s">
        <v>663</v>
      </c>
      <c r="B182" s="22" t="s">
        <v>664</v>
      </c>
      <c r="C182" s="23" t="str">
        <f>IFERROR(__xludf.DUMMYFUNCTION("GOOGLETRANSLATE(B182, ""en"", ""fr"")"),"Mise en garde!
Vous êtes sur le point de quitter la sécurité de la ville.
D'autres joueurs peuvent vous attaquer dans la nature.")</f>
        <v>Mise en garde!
Vous êtes sur le point de quitter la sécurité de la ville.
D'autres joueurs peuvent vous attaquer dans la nature.</v>
      </c>
      <c r="D182" s="23" t="s">
        <v>665</v>
      </c>
      <c r="E182" s="29"/>
      <c r="F182" s="23" t="s">
        <v>666</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667</v>
      </c>
      <c r="B183" s="22" t="s">
        <v>668</v>
      </c>
      <c r="C183" s="23" t="str">
        <f>IFERROR(__xludf.DUMMYFUNCTION("GOOGLETRANSLATE(B183, ""en"", ""fr"")"),"Avertissement!")</f>
        <v>Avertissement!</v>
      </c>
      <c r="D183" s="23" t="s">
        <v>669</v>
      </c>
      <c r="E183" s="29"/>
      <c r="F183" s="23" t="s">
        <v>670</v>
      </c>
      <c r="G183" s="29"/>
      <c r="H183" s="36"/>
      <c r="I183" s="23" t="s">
        <v>671</v>
      </c>
      <c r="J183" s="30"/>
      <c r="K183" s="30"/>
      <c r="L183" s="35"/>
      <c r="M183" s="28"/>
      <c r="N183" s="28"/>
      <c r="O183" s="28"/>
      <c r="P183" s="28"/>
      <c r="Q183" s="28"/>
      <c r="R183" s="28"/>
      <c r="S183" s="28"/>
      <c r="T183" s="28"/>
      <c r="U183" s="28"/>
      <c r="V183" s="28"/>
      <c r="W183" s="28"/>
      <c r="X183" s="28"/>
      <c r="Y183" s="28"/>
      <c r="Z183" s="28"/>
      <c r="AA183" s="28"/>
      <c r="AB183" s="28"/>
    </row>
    <row r="184">
      <c r="A184" s="21" t="s">
        <v>672</v>
      </c>
      <c r="B184" s="22" t="s">
        <v>673</v>
      </c>
      <c r="C184" s="23" t="str">
        <f>IFERROR(__xludf.DUMMYFUNCTION("GOOGLETRANSLATE(B184, ""en"", ""fr"")"),"C'est une entrée du donjon. Une fois que vous entrez, vous ne pouvez pas quitter jusqu'à ce que le patron est vaincu.")</f>
        <v>C'est une entrée du donjon. Une fois que vous entrez, vous ne pouvez pas quitter jusqu'à ce que le patron est vaincu.</v>
      </c>
      <c r="D184" s="23" t="s">
        <v>674</v>
      </c>
      <c r="E184" s="29"/>
      <c r="F184" s="23" t="s">
        <v>675</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676</v>
      </c>
      <c r="B185" s="22" t="s">
        <v>676</v>
      </c>
      <c r="C185" s="23" t="str">
        <f>IFERROR(__xludf.DUMMYFUNCTION("GOOGLETRANSLATE(B185, ""en"", ""fr"")"),"Donjon")</f>
        <v>Donjon</v>
      </c>
      <c r="D185" s="23" t="s">
        <v>677</v>
      </c>
      <c r="E185" s="29"/>
      <c r="F185" s="23" t="s">
        <v>678</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679</v>
      </c>
      <c r="B186" s="22" t="s">
        <v>679</v>
      </c>
      <c r="C186" s="23" t="str">
        <f>IFERROR(__xludf.DUMMYFUNCTION("GOOGLETRANSLATE(B186, ""en"", ""fr"")"),"Difficulté")</f>
        <v>Difficulté</v>
      </c>
      <c r="D186" s="23" t="s">
        <v>680</v>
      </c>
      <c r="E186" s="29"/>
      <c r="F186" s="23" t="s">
        <v>681</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682</v>
      </c>
      <c r="B187" s="22" t="s">
        <v>682</v>
      </c>
      <c r="C187" s="23" t="str">
        <f>IFERROR(__xludf.DUMMYFUNCTION("GOOGLETRANSLATE(B187, ""en"", ""fr"")"),"Débutant")</f>
        <v>Débutant</v>
      </c>
      <c r="D187" s="23" t="s">
        <v>683</v>
      </c>
      <c r="E187" s="29"/>
      <c r="F187" s="23" t="s">
        <v>684</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685</v>
      </c>
      <c r="B188" s="22" t="s">
        <v>685</v>
      </c>
      <c r="C188" s="23" t="str">
        <f>IFERROR(__xludf.DUMMYFUNCTION("GOOGLETRANSLATE(B188, ""en"", ""fr"")"),"Avancée")</f>
        <v>Avancée</v>
      </c>
      <c r="D188" s="23" t="s">
        <v>686</v>
      </c>
      <c r="E188" s="29"/>
      <c r="F188" s="23" t="s">
        <v>687</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688</v>
      </c>
      <c r="B189" s="22" t="s">
        <v>688</v>
      </c>
      <c r="C189" s="23" t="str">
        <f>IFERROR(__xludf.DUMMYFUNCTION("GOOGLETRANSLATE(B189, ""en"", ""fr"")"),"Expert")</f>
        <v>Expert</v>
      </c>
      <c r="D189" s="23" t="s">
        <v>689</v>
      </c>
      <c r="E189" s="29"/>
      <c r="F189" s="23" t="s">
        <v>690</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691</v>
      </c>
      <c r="B190" s="22" t="s">
        <v>691</v>
      </c>
      <c r="C190" s="23" t="str">
        <f>IFERROR(__xludf.DUMMYFUNCTION("GOOGLETRANSLATE(B190, ""en"", ""fr"")"),"Maître")</f>
        <v>Maître</v>
      </c>
      <c r="D190" s="23" t="s">
        <v>692</v>
      </c>
      <c r="E190" s="29"/>
      <c r="F190" s="23" t="s">
        <v>693</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694</v>
      </c>
      <c r="B191" s="22" t="s">
        <v>694</v>
      </c>
      <c r="C191" s="23" t="str">
        <f>IFERROR(__xludf.DUMMYFUNCTION("GOOGLETRANSLATE(B191, ""en"", ""fr"")"),"coût d'entrée")</f>
        <v>coût d'entrée</v>
      </c>
      <c r="D191" s="23" t="s">
        <v>695</v>
      </c>
      <c r="E191" s="29"/>
      <c r="F191" s="23" t="s">
        <v>696</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697</v>
      </c>
      <c r="B192" s="22" t="s">
        <v>697</v>
      </c>
      <c r="C192" s="23" t="str">
        <f>IFERROR(__xludf.DUMMYFUNCTION("GOOGLETRANSLATE(B192, ""en"", ""fr"")"),"le maximum de joueurs")</f>
        <v>le maximum de joueurs</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698</v>
      </c>
      <c r="B193" s="22" t="s">
        <v>698</v>
      </c>
      <c r="C193" s="23" t="str">
        <f>IFERROR(__xludf.DUMMYFUNCTION("GOOGLETRANSLATE(B193, ""en"", ""fr"")"),"Créer")</f>
        <v>Créer</v>
      </c>
      <c r="D193" s="23" t="s">
        <v>699</v>
      </c>
      <c r="E193" s="29"/>
      <c r="F193" s="23" t="s">
        <v>700</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701</v>
      </c>
      <c r="B194" s="22" t="s">
        <v>701</v>
      </c>
      <c r="C194" s="23" t="str">
        <f>IFERROR(__xludf.DUMMYFUNCTION("GOOGLETRANSLATE(B194, ""en"", ""fr"")"),"Quitter")</f>
        <v>Quitter</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702</v>
      </c>
      <c r="B195" s="22" t="s">
        <v>702</v>
      </c>
      <c r="C195" s="23" t="str">
        <f>IFERROR(__xludf.DUMMYFUNCTION("GOOGLETRANSLATE(B195, ""en"", ""fr"")"),"Début")</f>
        <v>Début</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703</v>
      </c>
      <c r="B196" s="22" t="s">
        <v>703</v>
      </c>
      <c r="C196" s="23" t="str">
        <f>IFERROR(__xludf.DUMMYFUNCTION("GOOGLETRANSLATE(B196, ""en"", ""fr"")"),"Annuler")</f>
        <v>Annuler</v>
      </c>
      <c r="D196" s="23" t="s">
        <v>704</v>
      </c>
      <c r="E196" s="29"/>
      <c r="F196" s="23" t="s">
        <v>705</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706</v>
      </c>
      <c r="B197" s="22" t="s">
        <v>706</v>
      </c>
      <c r="C197" s="23" t="str">
        <f>IFERROR(__xludf.DUMMYFUNCTION("GOOGLETRANSLATE(B197, ""en"", ""fr"")"),"Faire la fête")</f>
        <v>Faire la fête</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707</v>
      </c>
      <c r="B198" s="22" t="s">
        <v>707</v>
      </c>
      <c r="C198" s="23" t="str">
        <f>IFERROR(__xludf.DUMMYFUNCTION("GOOGLETRANSLATE(B198, ""en"", ""fr"")"),"Des soirées")</f>
        <v>Des soirées</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708</v>
      </c>
      <c r="B199" s="22" t="s">
        <v>694</v>
      </c>
      <c r="C199" s="23" t="str">
        <f>IFERROR(__xludf.DUMMYFUNCTION("GOOGLETRANSLATE(B199, ""en"", ""fr"")"),"coût d'entrée")</f>
        <v>coût d'entrée</v>
      </c>
      <c r="D199" s="23"/>
      <c r="E199" s="29"/>
      <c r="F199" s="23" t="s">
        <v>709</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710</v>
      </c>
      <c r="B200" s="22" t="s">
        <v>711</v>
      </c>
      <c r="C200" s="23" t="str">
        <f>IFERROR(__xludf.DUMMYFUNCTION("GOOGLETRANSLATE(B200, ""en"", ""fr"")"),"égouts de la ville")</f>
        <v>égouts de la ville</v>
      </c>
      <c r="D200" s="23"/>
      <c r="E200" s="29"/>
      <c r="F200" s="23" t="s">
        <v>712</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713</v>
      </c>
      <c r="B201" s="22" t="s">
        <v>714</v>
      </c>
      <c r="C201" s="23" t="str">
        <f>IFERROR(__xludf.DUMMYFUNCTION("GOOGLETRANSLATE(B201, ""en"", ""fr"")"),"domaine de la formation Chevalier")</f>
        <v>domaine de la formation Chevalier</v>
      </c>
      <c r="D201" s="23"/>
      <c r="E201" s="29"/>
      <c r="F201" s="23" t="s">
        <v>715</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716</v>
      </c>
      <c r="B202" s="22" t="s">
        <v>717</v>
      </c>
      <c r="C202" s="23" t="str">
        <f>IFERROR(__xludf.DUMMYFUNCTION("GOOGLETRANSLATE(B202, ""en"", ""fr"")"),"planque Bandit")</f>
        <v>planque Bandit</v>
      </c>
      <c r="D202" s="23"/>
      <c r="E202" s="29"/>
      <c r="F202" s="23" t="s">
        <v>718</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719</v>
      </c>
      <c r="B203" s="22" t="s">
        <v>720</v>
      </c>
      <c r="C203" s="23" t="str">
        <f>IFERROR(__xludf.DUMMYFUNCTION("GOOGLETRANSLATE(B203, ""en"", ""fr"")"),"pyramide Ouest")</f>
        <v>pyramide Ouest</v>
      </c>
      <c r="D203" s="23"/>
      <c r="E203" s="29"/>
      <c r="F203" s="23" t="s">
        <v>721</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722</v>
      </c>
      <c r="B204" s="22" t="s">
        <v>723</v>
      </c>
      <c r="C204" s="23" t="str">
        <f>IFERROR(__xludf.DUMMYFUNCTION("GOOGLETRANSLATE(B204, ""en"", ""fr"")"),"pyramide Est")</f>
        <v>pyramide Est</v>
      </c>
      <c r="D204" s="23"/>
      <c r="E204" s="29"/>
      <c r="F204" s="23" t="s">
        <v>724</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725</v>
      </c>
      <c r="B205" s="22" t="s">
        <v>726</v>
      </c>
      <c r="C205" s="23" t="str">
        <f>IFERROR(__xludf.DUMMYFUNCTION("GOOGLETRANSLATE(B205, ""en"", ""fr"")"),"salles de sang")</f>
        <v>salles de sang</v>
      </c>
      <c r="D205" s="23"/>
      <c r="E205" s="29"/>
      <c r="F205" s="23" t="s">
        <v>727</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728</v>
      </c>
      <c r="B206" s="22" t="s">
        <v>729</v>
      </c>
      <c r="C206" s="23" t="str">
        <f>IFERROR(__xludf.DUMMYFUNCTION("GOOGLETRANSLATE(B206, ""en"", ""fr"")"),"ombre dōjō")</f>
        <v>ombre dōjō</v>
      </c>
      <c r="D206" s="23"/>
      <c r="E206" s="29"/>
      <c r="F206" s="23" t="s">
        <v>730</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731</v>
      </c>
      <c r="B207" s="22" t="s">
        <v>732</v>
      </c>
      <c r="C207" s="23" t="str">
        <f>IFERROR(__xludf.DUMMYFUNCTION("GOOGLETRANSLATE(B207, ""en"", ""fr"")"),"labyrinthe forestier")</f>
        <v>labyrinthe forestier</v>
      </c>
      <c r="D207" s="23"/>
      <c r="E207" s="29"/>
      <c r="F207" s="23" t="s">
        <v>733</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734</v>
      </c>
      <c r="B208" s="22" t="s">
        <v>735</v>
      </c>
      <c r="C208" s="23" t="str">
        <f>IFERROR(__xludf.DUMMYFUNCTION("GOOGLETRANSLATE(B208, ""en"", ""fr"")"),"domaine de la formation Mage")</f>
        <v>domaine de la formation Mage</v>
      </c>
      <c r="D208" s="23"/>
      <c r="E208" s="29"/>
      <c r="F208" s="23" t="s">
        <v>736</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737</v>
      </c>
      <c r="B209" s="22" t="s">
        <v>738</v>
      </c>
      <c r="C209" s="23" t="str">
        <f>IFERROR(__xludf.DUMMYFUNCTION("GOOGLETRANSLATE(B209, ""en"", ""fr"")"),"Coup")</f>
        <v>Coup</v>
      </c>
      <c r="D209" s="23"/>
      <c r="E209" s="29"/>
      <c r="F209" s="23" t="s">
        <v>739</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740</v>
      </c>
      <c r="B210" s="22" t="s">
        <v>741</v>
      </c>
      <c r="C210" s="23" t="str">
        <f>IFERROR(__xludf.DUMMYFUNCTION("GOOGLETRANSLATE(B210, ""en"", ""fr"")"),"Promouvoir")</f>
        <v>Promouvoir</v>
      </c>
      <c r="D210" s="23" t="s">
        <v>742</v>
      </c>
      <c r="E210" s="29"/>
      <c r="F210" s="23" t="s">
        <v>743</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744</v>
      </c>
      <c r="B211" s="22" t="s">
        <v>701</v>
      </c>
      <c r="C211" s="23" t="str">
        <f>IFERROR(__xludf.DUMMYFUNCTION("GOOGLETRANSLATE(B211, ""en"", ""fr"")"),"Quitter")</f>
        <v>Quitter</v>
      </c>
      <c r="D211" s="23" t="s">
        <v>745</v>
      </c>
      <c r="E211" s="29"/>
      <c r="F211" s="23" t="s">
        <v>746</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225</v>
      </c>
      <c r="B212" s="22" t="s">
        <v>225</v>
      </c>
      <c r="C212" s="23" t="str">
        <f>IFERROR(__xludf.DUMMYFUNCTION("GOOGLETRANSLATE(B212, ""en"", ""fr"")"),"Clan")</f>
        <v>Clan</v>
      </c>
      <c r="D212" s="23" t="s">
        <v>225</v>
      </c>
      <c r="E212" s="29"/>
      <c r="F212" s="23" t="s">
        <v>226</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747</v>
      </c>
      <c r="B213" s="22" t="s">
        <v>748</v>
      </c>
      <c r="C213" s="23" t="str">
        <f>IFERROR(__xludf.DUMMYFUNCTION("GOOGLETRANSLATE(B213, ""en"", ""fr"")"),"Vous êtes déjà dans un clan.")</f>
        <v>Vous êtes déjà dans un clan.</v>
      </c>
      <c r="D213" s="23" t="s">
        <v>749</v>
      </c>
      <c r="E213" s="29"/>
      <c r="F213" s="23" t="s">
        <v>750</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751</v>
      </c>
      <c r="B214" s="22" t="s">
        <v>752</v>
      </c>
      <c r="C214" s="23" t="str">
        <f>IFERROR(__xludf.DUMMYFUNCTION("GOOGLETRANSLATE(B214, ""en"", ""fr"")"),"Clan a rejoint!")</f>
        <v>Clan a rejoint!</v>
      </c>
      <c r="D214" s="23" t="s">
        <v>753</v>
      </c>
      <c r="E214" s="29"/>
      <c r="F214" s="23" t="s">
        <v>754</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755</v>
      </c>
      <c r="B215" s="22" t="s">
        <v>756</v>
      </c>
      <c r="C215" s="23" t="str">
        <f>IFERROR(__xludf.DUMMYFUNCTION("GOOGLETRANSLATE(B215, ""en"", ""fr"")"),"limite de la structure du clan atteint.")</f>
        <v>limite de la structure du clan atteint.</v>
      </c>
      <c r="D215" s="23"/>
      <c r="E215" s="29"/>
      <c r="F215" s="23" t="s">
        <v>757</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758</v>
      </c>
      <c r="B216" s="22" t="s">
        <v>759</v>
      </c>
      <c r="C216" s="23" t="str">
        <f>IFERROR(__xludf.DUMMYFUNCTION("GOOGLETRANSLATE(B216, ""en"", ""fr"")"),"Votre clan a été détruit!")</f>
        <v>Votre clan a été détruit!</v>
      </c>
      <c r="D216" s="23"/>
      <c r="E216" s="29"/>
      <c r="F216" s="23" t="s">
        <v>760</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761</v>
      </c>
      <c r="B217" s="22" t="s">
        <v>762</v>
      </c>
      <c r="C217" s="23" t="str">
        <f>IFERROR(__xludf.DUMMYFUNCTION("GOOGLETRANSLATE(B217, ""en"", ""fr"")"),"membre du clan a lancé:")</f>
        <v>membre du clan a lancé:</v>
      </c>
      <c r="D217" s="23"/>
      <c r="E217" s="29"/>
      <c r="F217" s="23" t="s">
        <v>763</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764</v>
      </c>
      <c r="B218" s="22" t="s">
        <v>765</v>
      </c>
      <c r="C218" s="23" t="str">
        <f>IFERROR(__xludf.DUMMYFUNCTION("GOOGLETRANSLATE(B218, ""en"", ""fr"")"),"Vous avez été promu dans votre clan.")</f>
        <v>Vous avez été promu dans votre clan.</v>
      </c>
      <c r="D218" s="23"/>
      <c r="E218" s="29"/>
      <c r="F218" s="23" t="s">
        <v>766</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767</v>
      </c>
      <c r="B219" s="22" t="s">
        <v>768</v>
      </c>
      <c r="C219" s="23" t="str">
        <f>IFERROR(__xludf.DUMMYFUNCTION("GOOGLETRANSLATE(B219, ""en"", ""fr"")"),"Pioche nécessaire pour extraire le minerai.")</f>
        <v>Pioche nécessaire pour extraire le minerai.</v>
      </c>
      <c r="D219" s="23" t="s">
        <v>769</v>
      </c>
      <c r="E219" s="29"/>
      <c r="F219" s="23" t="s">
        <v>770</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771</v>
      </c>
      <c r="B220" s="22" t="s">
        <v>772</v>
      </c>
      <c r="C220" s="23" t="str">
        <f>IFERROR(__xludf.DUMMYFUNCTION("GOOGLETRANSLATE(B220, ""en"", ""fr"")"),"Hatchet nécessaire pour couper l'arbre.")</f>
        <v>Hatchet nécessaire pour couper l'arbre.</v>
      </c>
      <c r="D220" s="23" t="s">
        <v>773</v>
      </c>
      <c r="E220" s="29"/>
      <c r="F220" s="23" t="s">
        <v>774</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775</v>
      </c>
      <c r="B221" s="22" t="s">
        <v>775</v>
      </c>
      <c r="C221" s="23" t="str">
        <f>IFERROR(__xludf.DUMMYFUNCTION("GOOGLETRANSLATE(B221, ""en"", ""fr"")"),"Base")</f>
        <v>Base</v>
      </c>
      <c r="D221" s="23"/>
      <c r="E221" s="29"/>
      <c r="F221" s="23" t="s">
        <v>776</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777</v>
      </c>
      <c r="B222" s="22" t="s">
        <v>777</v>
      </c>
      <c r="C222" s="23" t="str">
        <f>IFERROR(__xludf.DUMMYFUNCTION("GOOGLETRANSLATE(B222, ""en"", ""fr"")"),"Enclume")</f>
        <v>Enclume</v>
      </c>
      <c r="D222" s="23" t="s">
        <v>778</v>
      </c>
      <c r="E222" s="29"/>
      <c r="F222" s="23" t="s">
        <v>779</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780</v>
      </c>
      <c r="B223" s="22" t="s">
        <v>780</v>
      </c>
      <c r="C223" s="23" t="str">
        <f>IFERROR(__xludf.DUMMYFUNCTION("GOOGLETRANSLATE(B223, ""en"", ""fr"")"),"fourneau")</f>
        <v>fourneau</v>
      </c>
      <c r="D223" s="23" t="s">
        <v>781</v>
      </c>
      <c r="E223" s="29"/>
      <c r="F223" s="23" t="s">
        <v>782</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783</v>
      </c>
      <c r="B224" s="22" t="s">
        <v>783</v>
      </c>
      <c r="C224" s="23" t="str">
        <f>IFERROR(__xludf.DUMMYFUNCTION("GOOGLETRANSLATE(B224, ""en"", ""fr"")"),"Laboratoire")</f>
        <v>Laboratoire</v>
      </c>
      <c r="D224" s="23" t="s">
        <v>784</v>
      </c>
      <c r="E224" s="29"/>
      <c r="F224" s="23" t="s">
        <v>785</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786</v>
      </c>
      <c r="B225" s="22" t="s">
        <v>786</v>
      </c>
      <c r="C225" s="23" t="str">
        <f>IFERROR(__xludf.DUMMYFUNCTION("GOOGLETRANSLATE(B225, ""en"", ""fr"")"),"Table de travail")</f>
        <v>Table de travail</v>
      </c>
      <c r="D225" s="23" t="s">
        <v>787</v>
      </c>
      <c r="E225" s="29"/>
      <c r="F225" s="23" t="s">
        <v>788</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789</v>
      </c>
      <c r="B226" s="22" t="s">
        <v>790</v>
      </c>
      <c r="C226" s="23" t="str">
        <f>IFERROR(__xludf.DUMMYFUNCTION("GOOGLETRANSLATE(B226, ""en"", ""fr"")"),"Votre inventaire est plein.")</f>
        <v>Votre inventaire est plein.</v>
      </c>
      <c r="D226" s="23" t="s">
        <v>791</v>
      </c>
      <c r="E226" s="29"/>
      <c r="F226" s="23" t="s">
        <v>792</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793</v>
      </c>
      <c r="B227" s="22" t="s">
        <v>794</v>
      </c>
      <c r="C227" s="23" t="str">
        <f>IFERROR(__xludf.DUMMYFUNCTION("GOOGLETRANSLATE(B227, ""en"", ""fr"")"),"Vous ne pouvez pas laisser tomber cet article ici.
Il y a quelque chose de la manière.")</f>
        <v>Vous ne pouvez pas laisser tomber cet article ici.
Il y a quelque chose de la manière.</v>
      </c>
      <c r="D227" s="23" t="s">
        <v>795</v>
      </c>
      <c r="E227" s="29"/>
      <c r="F227" s="23" t="s">
        <v>796</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797</v>
      </c>
      <c r="B228" s="22" t="s">
        <v>798</v>
      </c>
      <c r="C228" s="23" t="str">
        <f>IFERROR(__xludf.DUMMYFUNCTION("GOOGLETRANSLATE(B228, ""en"", ""fr"")"),"L'élément que vous avez utilisé est cassé.")</f>
        <v>L'élément que vous avez utilisé est cassé.</v>
      </c>
      <c r="D228" s="23" t="s">
        <v>799</v>
      </c>
      <c r="E228" s="29"/>
      <c r="F228" s="23" t="s">
        <v>800</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801</v>
      </c>
      <c r="B229" s="22" t="s">
        <v>802</v>
      </c>
      <c r="C229" s="23" t="str">
        <f>IFERROR(__xludf.DUMMYFUNCTION("GOOGLETRANSLATE(B229, ""en"", ""fr"")"),"zone de guérison")</f>
        <v>zone de guérison</v>
      </c>
      <c r="D229" s="23" t="s">
        <v>803</v>
      </c>
      <c r="E229" s="29"/>
      <c r="F229" s="23" t="s">
        <v>804</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805</v>
      </c>
      <c r="B230" s="22" t="s">
        <v>806</v>
      </c>
      <c r="C230" s="23" t="str">
        <f>IFERROR(__xludf.DUMMYFUNCTION("GOOGLETRANSLATE(B230, ""en"", ""fr"")"),"Guérit toutes les créatures autour de vous.")</f>
        <v>Guérit toutes les créatures autour de vous.</v>
      </c>
      <c r="D230" s="23" t="s">
        <v>807</v>
      </c>
      <c r="E230" s="29"/>
      <c r="F230" s="23" t="s">
        <v>808</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809</v>
      </c>
      <c r="B231" s="22" t="s">
        <v>810</v>
      </c>
      <c r="C231" s="23" t="str">
        <f>IFERROR(__xludf.DUMMYFUNCTION("GOOGLETRANSLATE(B231, ""en"", ""fr"")"),"quartier")</f>
        <v>quartier</v>
      </c>
      <c r="D231" s="23"/>
      <c r="E231" s="29"/>
      <c r="F231" s="23" t="s">
        <v>811</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812</v>
      </c>
      <c r="B232" s="22" t="s">
        <v>813</v>
      </c>
      <c r="C232" s="23" t="str">
        <f>IFERROR(__xludf.DUMMYFUNCTION("GOOGLETRANSLATE(B232, ""en"", ""fr"")"),"Enchante toutes les créatures autour de vous. Ces créatures prennent aucun dommage la prochaine fois qu'ils seraient endommagés.")</f>
        <v>Enchante toutes les créatures autour de vous. Ces créatures prennent aucun dommage la prochaine fois qu'ils seraient endommagés.</v>
      </c>
      <c r="D232" s="23"/>
      <c r="E232" s="29"/>
      <c r="F232" s="23" t="s">
        <v>814</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815</v>
      </c>
      <c r="B233" s="22" t="s">
        <v>816</v>
      </c>
      <c r="C233" s="23" t="str">
        <f>IFERROR(__xludf.DUMMYFUNCTION("GOOGLETRANSLATE(B233, ""en"", ""fr"")"),"Purifier")</f>
        <v>Purifier</v>
      </c>
      <c r="D233" s="23"/>
      <c r="E233" s="29"/>
      <c r="F233" s="23" t="s">
        <v>817</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818</v>
      </c>
      <c r="B234" s="22" t="s">
        <v>819</v>
      </c>
      <c r="C234" s="23" t="str">
        <f>IFERROR(__xludf.DUMMYFUNCTION("GOOGLETRANSLATE(B234, ""en"", ""fr"")"),"Supprime malédictions sur toutes les créatures autour de vous.")</f>
        <v>Supprime malédictions sur toutes les créatures autour de vous.</v>
      </c>
      <c r="D234" s="23"/>
      <c r="E234" s="29"/>
      <c r="F234" s="23" t="s">
        <v>820</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821</v>
      </c>
      <c r="B235" s="22" t="s">
        <v>822</v>
      </c>
      <c r="C235" s="23" t="str">
        <f>IFERROR(__xludf.DUMMYFUNCTION("GOOGLETRANSLATE(B235, ""en"", ""fr"")"),"Pacifier")</f>
        <v>Pacifier</v>
      </c>
      <c r="D235" s="23"/>
      <c r="E235" s="29"/>
      <c r="F235" s="23" t="s">
        <v>823</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824</v>
      </c>
      <c r="B236" s="22" t="s">
        <v>825</v>
      </c>
      <c r="C236" s="23" t="str">
        <f>IFERROR(__xludf.DUMMYFUNCTION("GOOGLETRANSLATE(B236, ""en"", ""fr"")"),"Maudit la cible. Pour une courte durée, la cible ne peut pas utiliser leur élément en attente.")</f>
        <v>Maudit la cible. Pour une courte durée, la cible ne peut pas utiliser leur élément en attente.</v>
      </c>
      <c r="D236" s="23"/>
      <c r="E236" s="29"/>
      <c r="F236" s="23" t="s">
        <v>826</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827</v>
      </c>
      <c r="B237" s="22" t="s">
        <v>828</v>
      </c>
      <c r="C237" s="23" t="str">
        <f>IFERROR(__xludf.DUMMYFUNCTION("GOOGLETRANSLATE(B237, ""en"", ""fr"")"),"Ranimer")</f>
        <v>Ranimer</v>
      </c>
      <c r="D237" s="23"/>
      <c r="E237" s="29"/>
      <c r="F237" s="23" t="s">
        <v>829</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830</v>
      </c>
      <c r="B238" s="22" t="s">
        <v>831</v>
      </c>
      <c r="C238" s="23" t="str">
        <f>IFERROR(__xludf.DUMMYFUNCTION("GOOGLETRANSLATE(B238, ""en"", ""fr"")"),"Soulève tous les cadavres autour de vous comme sbires du type de créature qu'ils étaient avant leur mort qui vous servira.")</f>
        <v>Soulève tous les cadavres autour de vous comme sbires du type de créature qu'ils étaient avant leur mort qui vous servira.</v>
      </c>
      <c r="D238" s="23"/>
      <c r="E238" s="29"/>
      <c r="F238" s="23" t="s">
        <v>832</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833</v>
      </c>
      <c r="B239" s="22" t="s">
        <v>834</v>
      </c>
      <c r="C239" s="23" t="str">
        <f>IFERROR(__xludf.DUMMYFUNCTION("GOOGLETRANSLATE(B239, ""en"", ""fr"")"),"Consommer")</f>
        <v>Consommer</v>
      </c>
      <c r="D239" s="23"/>
      <c r="E239" s="29"/>
      <c r="F239" s="23" t="s">
        <v>835</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836</v>
      </c>
      <c r="B240" s="22" t="s">
        <v>837</v>
      </c>
      <c r="C240" s="23" t="str">
        <f>IFERROR(__xludf.DUMMYFUNCTION("GOOGLETRANSLATE(B240, ""en"", ""fr"")"),"Détruire un sbire que vous contrôlez dans la direction cible pour vous guérir.")</f>
        <v>Détruire un sbire que vous contrôlez dans la direction cible pour vous guérir.</v>
      </c>
      <c r="D240" s="23"/>
      <c r="E240" s="29"/>
      <c r="F240" s="23" t="s">
        <v>838</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839</v>
      </c>
      <c r="B241" s="22" t="s">
        <v>840</v>
      </c>
      <c r="C241" s="23" t="str">
        <f>IFERROR(__xludf.DUMMYFUNCTION("GOOGLETRANSLATE(B241, ""en"", ""fr"")"),"Deathbind")</f>
        <v>Deathbind</v>
      </c>
      <c r="D241" s="23"/>
      <c r="E241" s="29"/>
      <c r="F241" s="23" t="s">
        <v>841</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842</v>
      </c>
      <c r="B242" s="22" t="s">
        <v>843</v>
      </c>
      <c r="C242" s="23" t="str">
        <f>IFERROR(__xludf.DUMMYFUNCTION("GOOGLETRANSLATE(B242, ""en"", ""fr"")"),"Malédiction la cible. Quand ils meurent, ils se transforment en un sbire de morts-vivants non réclamés automatiquement.")</f>
        <v>Malédiction la cible. Quand ils meurent, ils se transforment en un sbire de morts-vivants non réclamés automatiquement.</v>
      </c>
      <c r="D242" s="23"/>
      <c r="E242" s="29"/>
      <c r="F242" s="23" t="s">
        <v>844</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845</v>
      </c>
      <c r="B243" s="22" t="s">
        <v>846</v>
      </c>
      <c r="C243" s="23" t="str">
        <f>IFERROR(__xludf.DUMMYFUNCTION("GOOGLETRANSLATE(B243, ""en"", ""fr"")"),"Captiver")</f>
        <v>Captiver</v>
      </c>
      <c r="D243" s="23"/>
      <c r="E243" s="29"/>
      <c r="F243" s="23" t="s">
        <v>847</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848</v>
      </c>
      <c r="B244" s="22" t="s">
        <v>849</v>
      </c>
      <c r="C244" s="23" t="str">
        <f>IFERROR(__xludf.DUMMYFUNCTION("GOOGLETRANSLATE(B244, ""en"", ""fr"")"),"Faire toutes les créatures de morts-vivants non réclamés autour de vous devenez vos sbires.")</f>
        <v>Faire toutes les créatures de morts-vivants non réclamés autour de vous devenez vos sbires.</v>
      </c>
      <c r="D244" s="23"/>
      <c r="E244" s="29"/>
      <c r="F244" s="23" t="s">
        <v>850</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851</v>
      </c>
      <c r="B245" s="22" t="s">
        <v>852</v>
      </c>
      <c r="C245" s="23" t="str">
        <f>IFERROR(__xludf.DUMMYFUNCTION("GOOGLETRANSLATE(B245, ""en"", ""fr"")"),"orbe respawn")</f>
        <v>orbe respawn</v>
      </c>
      <c r="D245" s="23"/>
      <c r="E245" s="29"/>
      <c r="F245" s="23" t="s">
        <v>853</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854</v>
      </c>
      <c r="B246" s="22" t="s">
        <v>855</v>
      </c>
      <c r="C246" s="23" t="str">
        <f>IFERROR(__xludf.DUMMYFUNCTION("GOOGLETRANSLATE(B246, ""en"", ""fr"")"),"Donne une autre respawn lorsqu'il est utilisé.")</f>
        <v>Donne une autre respawn lorsqu'il est utilisé.</v>
      </c>
      <c r="D246" s="23"/>
      <c r="E246" s="29"/>
      <c r="F246" s="23" t="s">
        <v>856</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857</v>
      </c>
      <c r="B247" s="22" t="s">
        <v>858</v>
      </c>
      <c r="C247" s="23" t="str">
        <f>IFERROR(__xludf.DUMMYFUNCTION("GOOGLETRANSLATE(B247, ""en"", ""fr"")"),"Exp orbe: Melee")</f>
        <v>Exp orbe: Melee</v>
      </c>
      <c r="D247" s="23"/>
      <c r="E247" s="29"/>
      <c r="F247" s="23" t="s">
        <v>859</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860</v>
      </c>
      <c r="B248" s="22" t="s">
        <v>861</v>
      </c>
      <c r="C248" s="23" t="str">
        <f>IFERROR(__xludf.DUMMYFUNCTION("GOOGLETRANSLATE(B248, ""en"", ""fr"")"),"Donne beaucoup d'exp stat de mêlée quand il est utilisé.")</f>
        <v>Donne beaucoup d'exp stat de mêlée quand il est utilisé.</v>
      </c>
      <c r="D248" s="23"/>
      <c r="E248" s="29"/>
      <c r="F248" s="23" t="s">
        <v>862</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863</v>
      </c>
      <c r="B249" s="22" t="s">
        <v>864</v>
      </c>
      <c r="C249" s="23" t="str">
        <f>IFERROR(__xludf.DUMMYFUNCTION("GOOGLETRANSLATE(B249, ""en"", ""fr"")"),"Exp orbe: Ranged")</f>
        <v>Exp orbe: Ranged</v>
      </c>
      <c r="D249" s="23"/>
      <c r="E249" s="29"/>
      <c r="F249" s="23" t="s">
        <v>865</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866</v>
      </c>
      <c r="B250" s="22" t="s">
        <v>867</v>
      </c>
      <c r="C250" s="23" t="str">
        <f>IFERROR(__xludf.DUMMYFUNCTION("GOOGLETRANSLATE(B250, ""en"", ""fr"")"),"Donne beaucoup d'exp stat à distance quand il est utilisé.")</f>
        <v>Donne beaucoup d'exp stat à distance quand il est utilisé.</v>
      </c>
      <c r="D250" s="23"/>
      <c r="E250" s="29"/>
      <c r="F250" s="23" t="s">
        <v>868</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869</v>
      </c>
      <c r="B251" s="22" t="s">
        <v>870</v>
      </c>
      <c r="C251" s="23" t="str">
        <f>IFERROR(__xludf.DUMMYFUNCTION("GOOGLETRANSLATE(B251, ""en"", ""fr"")"),"Exp orbe: Magic")</f>
        <v>Exp orbe: Magic</v>
      </c>
      <c r="D251" s="23"/>
      <c r="E251" s="29"/>
      <c r="F251" s="23" t="s">
        <v>871</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872</v>
      </c>
      <c r="B252" s="22" t="s">
        <v>873</v>
      </c>
      <c r="C252" s="23" t="str">
        <f>IFERROR(__xludf.DUMMYFUNCTION("GOOGLETRANSLATE(B252, ""en"", ""fr"")"),"Donne beaucoup de magie stat exp quand il est utilisé.")</f>
        <v>Donne beaucoup de magie stat exp quand il est utilisé.</v>
      </c>
      <c r="D252" s="23"/>
      <c r="E252" s="29"/>
      <c r="F252" s="23" t="s">
        <v>874</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875</v>
      </c>
      <c r="B253" s="22" t="s">
        <v>876</v>
      </c>
      <c r="C253" s="23" t="str">
        <f>IFERROR(__xludf.DUMMYFUNCTION("GOOGLETRANSLATE(B253, ""en"", ""fr"")"),"Exp orbe: Rassemblement")</f>
        <v>Exp orbe: Rassemblement</v>
      </c>
      <c r="D253" s="23"/>
      <c r="E253" s="29"/>
      <c r="F253" s="23" t="s">
        <v>877</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878</v>
      </c>
      <c r="B254" s="22" t="s">
        <v>879</v>
      </c>
      <c r="C254" s="23" t="str">
        <f>IFERROR(__xludf.DUMMYFUNCTION("GOOGLETRANSLATE(B254, ""en"", ""fr"")"),"Donne beaucoup de collecte exp stat quand il est utilisé.")</f>
        <v>Donne beaucoup de collecte exp stat quand il est utilisé.</v>
      </c>
      <c r="D254" s="23"/>
      <c r="E254" s="29"/>
      <c r="F254" s="23" t="s">
        <v>880</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881</v>
      </c>
      <c r="B255" s="22" t="s">
        <v>882</v>
      </c>
      <c r="C255" s="23" t="str">
        <f>IFERROR(__xludf.DUMMYFUNCTION("GOOGLETRANSLATE(B255, ""en"", ""fr"")"),"Exp orbe: Weaponry")</f>
        <v>Exp orbe: Weaponry</v>
      </c>
      <c r="D255" s="23"/>
      <c r="E255" s="29"/>
      <c r="F255" s="23" t="s">
        <v>883</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884</v>
      </c>
      <c r="B256" s="22" t="s">
        <v>885</v>
      </c>
      <c r="C256" s="23" t="str">
        <f>IFERROR(__xludf.DUMMYFUNCTION("GOOGLETRANSLATE(B256, ""en"", ""fr"")"),"Donne beaucoup d'armes exp stat quand il est utilisé.")</f>
        <v>Donne beaucoup d'armes exp stat quand il est utilisé.</v>
      </c>
      <c r="D256" s="23"/>
      <c r="E256" s="29"/>
      <c r="F256" s="23" t="s">
        <v>886</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887</v>
      </c>
      <c r="B257" s="22" t="s">
        <v>888</v>
      </c>
      <c r="C257" s="23" t="str">
        <f>IFERROR(__xludf.DUMMYFUNCTION("GOOGLETRANSLATE(B257, ""en"", ""fr"")"),"Exp orbe: Armurerie")</f>
        <v>Exp orbe: Armurerie</v>
      </c>
      <c r="D257" s="23"/>
      <c r="E257" s="29"/>
      <c r="F257" s="23" t="s">
        <v>889</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890</v>
      </c>
      <c r="B258" s="22" t="s">
        <v>891</v>
      </c>
      <c r="C258" s="23" t="str">
        <f>IFERROR(__xludf.DUMMYFUNCTION("GOOGLETRANSLATE(B258, ""en"", ""fr"")"),"Donne beaucoup d'exp armurerie stat quand il est utilisé.")</f>
        <v>Donne beaucoup d'exp armurerie stat quand il est utilisé.</v>
      </c>
      <c r="D258" s="23"/>
      <c r="E258" s="29"/>
      <c r="F258" s="23" t="s">
        <v>892</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893</v>
      </c>
      <c r="B259" s="22" t="s">
        <v>894</v>
      </c>
      <c r="C259" s="23" t="str">
        <f>IFERROR(__xludf.DUMMYFUNCTION("GOOGLETRANSLATE(B259, ""en"", ""fr"")"),"Exp orbe: Toolery")</f>
        <v>Exp orbe: Toolery</v>
      </c>
      <c r="D259" s="23"/>
      <c r="E259" s="29"/>
      <c r="F259" s="23" t="s">
        <v>895</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896</v>
      </c>
      <c r="B260" s="22" t="s">
        <v>897</v>
      </c>
      <c r="C260" s="23" t="str">
        <f>IFERROR(__xludf.DUMMYFUNCTION("GOOGLETRANSLATE(B260, ""en"", ""fr"")"),"Donne beaucoup de toolery stat exp quand il est utilisé.")</f>
        <v>Donne beaucoup de toolery stat exp quand il est utilisé.</v>
      </c>
      <c r="D260" s="23"/>
      <c r="E260" s="29"/>
      <c r="F260" s="23" t="s">
        <v>898</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899</v>
      </c>
      <c r="B261" s="22" t="s">
        <v>900</v>
      </c>
      <c r="C261" s="23" t="str">
        <f>IFERROR(__xludf.DUMMYFUNCTION("GOOGLETRANSLATE(B261, ""en"", ""fr"")"),"Exp orbe: Potionry")</f>
        <v>Exp orbe: Potionry</v>
      </c>
      <c r="D261" s="23"/>
      <c r="E261" s="29"/>
      <c r="F261" s="23" t="s">
        <v>901</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902</v>
      </c>
      <c r="B262" s="22" t="s">
        <v>903</v>
      </c>
      <c r="C262" s="23" t="str">
        <f>IFERROR(__xludf.DUMMYFUNCTION("GOOGLETRANSLATE(B262, ""en"", ""fr"")"),"Donne beaucoup de potionry stat exp quand il est utilisé.")</f>
        <v>Donne beaucoup de potionry stat exp quand il est utilisé.</v>
      </c>
      <c r="D262" s="23"/>
      <c r="E262" s="29"/>
      <c r="F262" s="23" t="s">
        <v>904</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905</v>
      </c>
      <c r="B263" s="22" t="s">
        <v>906</v>
      </c>
      <c r="C263" s="23" t="str">
        <f>IFERROR(__xludf.DUMMYFUNCTION("GOOGLETRANSLATE(B263, ""en"", ""fr"")"),"Minerai de fer")</f>
        <v>Minerai de fer</v>
      </c>
      <c r="D263" s="23"/>
      <c r="E263" s="29"/>
      <c r="F263" s="23" t="s">
        <v>907</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39" t="s">
        <v>908</v>
      </c>
      <c r="B264" s="22" t="s">
        <v>909</v>
      </c>
      <c r="C264" s="23" t="str">
        <f>IFERROR(__xludf.DUMMYFUNCTION("GOOGLETRANSLATE(B264, ""en"", ""fr"")"),"Peut être conçu dans une barre de fer à un four.")</f>
        <v>Peut être conçu dans une barre de fer à un four.</v>
      </c>
      <c r="D264" s="23"/>
      <c r="E264" s="29"/>
      <c r="F264" s="23" t="s">
        <v>910</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39" t="s">
        <v>911</v>
      </c>
      <c r="B265" s="22" t="s">
        <v>912</v>
      </c>
      <c r="C265" s="23" t="str">
        <f>IFERROR(__xludf.DUMMYFUNCTION("GOOGLETRANSLATE(B265, ""en"", ""fr"")"),"Barre de fer")</f>
        <v>Barre de fer</v>
      </c>
      <c r="D265" s="23"/>
      <c r="E265" s="29"/>
      <c r="F265" s="23" t="s">
        <v>913</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39" t="s">
        <v>914</v>
      </c>
      <c r="B266" s="22" t="s">
        <v>915</v>
      </c>
      <c r="C266" s="23" t="str">
        <f>IFERROR(__xludf.DUMMYFUNCTION("GOOGLETRANSLATE(B266, ""en"", ""fr"")"),"Peut être conçu dans l'équipement de fer.")</f>
        <v>Peut être conçu dans l'équipement de fer.</v>
      </c>
      <c r="D266" s="23"/>
      <c r="E266" s="29"/>
      <c r="F266" s="23" t="s">
        <v>916</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39" t="s">
        <v>917</v>
      </c>
      <c r="B267" s="22" t="s">
        <v>918</v>
      </c>
      <c r="C267" s="23" t="str">
        <f>IFERROR(__xludf.DUMMYFUNCTION("GOOGLETRANSLATE(B267, ""en"", ""fr"")"),"Barre de fer")</f>
        <v>Barre de fer</v>
      </c>
      <c r="D267" s="23"/>
      <c r="E267" s="29"/>
      <c r="F267" s="23" t="s">
        <v>919</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39" t="s">
        <v>920</v>
      </c>
      <c r="B268" s="22" t="s">
        <v>921</v>
      </c>
      <c r="C268" s="23" t="str">
        <f>IFERROR(__xludf.DUMMYFUNCTION("GOOGLETRANSLATE(B268, ""en"", ""fr"")"),"Un bâton de fer.")</f>
        <v>Un bâton de fer.</v>
      </c>
      <c r="D268" s="23"/>
      <c r="E268" s="29"/>
      <c r="F268" s="23" t="s">
        <v>922</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39" t="s">
        <v>923</v>
      </c>
      <c r="B269" s="22" t="s">
        <v>924</v>
      </c>
      <c r="C269" s="23" t="str">
        <f>IFERROR(__xludf.DUMMYFUNCTION("GOOGLETRANSLATE(B269, ""en"", ""fr"")"),"Feuille de fer")</f>
        <v>Feuille de fer</v>
      </c>
      <c r="D269" s="23"/>
      <c r="E269" s="29"/>
      <c r="F269" s="23" t="s">
        <v>925</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39" t="s">
        <v>926</v>
      </c>
      <c r="B270" s="22" t="s">
        <v>927</v>
      </c>
      <c r="C270" s="23" t="str">
        <f>IFERROR(__xludf.DUMMYFUNCTION("GOOGLETRANSLATE(B270, ""en"", ""fr"")"),"Une plaque plate de fer.")</f>
        <v>Une plaque plate de fer.</v>
      </c>
      <c r="D270" s="23"/>
      <c r="E270" s="29"/>
      <c r="F270" s="23" t="s">
        <v>928</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929</v>
      </c>
      <c r="B271" s="22" t="s">
        <v>930</v>
      </c>
      <c r="C271" s="23" t="str">
        <f>IFERROR(__xludf.DUMMYFUNCTION("GOOGLETRANSLATE(B271, ""en"", ""fr"")"),"minerai Dungium")</f>
        <v>minerai Dungium</v>
      </c>
      <c r="D271" s="23"/>
      <c r="E271" s="29"/>
      <c r="F271" s="23" t="s">
        <v>931</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39" t="s">
        <v>932</v>
      </c>
      <c r="B272" s="22" t="s">
        <v>933</v>
      </c>
      <c r="C272" s="23" t="str">
        <f>IFERROR(__xludf.DUMMYFUNCTION("GOOGLETRANSLATE(B272, ""en"", ""fr"")"),"Peut être conçu dans une barre de dungium à un four.")</f>
        <v>Peut être conçu dans une barre de dungium à un four.</v>
      </c>
      <c r="D272" s="23"/>
      <c r="E272" s="29"/>
      <c r="F272" s="23" t="s">
        <v>934</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40" t="s">
        <v>935</v>
      </c>
      <c r="B273" s="22" t="s">
        <v>936</v>
      </c>
      <c r="C273" s="23" t="str">
        <f>IFERROR(__xludf.DUMMYFUNCTION("GOOGLETRANSLATE(B273, ""en"", ""fr"")"),"bar Dungium")</f>
        <v>bar Dungium</v>
      </c>
      <c r="D273" s="23"/>
      <c r="E273" s="29"/>
      <c r="F273" s="23" t="s">
        <v>937</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39" t="s">
        <v>938</v>
      </c>
      <c r="B274" s="22" t="s">
        <v>939</v>
      </c>
      <c r="C274" s="23" t="str">
        <f>IFERROR(__xludf.DUMMYFUNCTION("GOOGLETRANSLATE(B274, ""en"", ""fr"")"),"Peut être conçu dans l'équipement dungium.")</f>
        <v>Peut être conçu dans l'équipement dungium.</v>
      </c>
      <c r="D274" s="23"/>
      <c r="E274" s="29"/>
      <c r="F274" s="23" t="s">
        <v>940</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39" t="s">
        <v>941</v>
      </c>
      <c r="B275" s="22" t="s">
        <v>942</v>
      </c>
      <c r="C275" s="23" t="str">
        <f>IFERROR(__xludf.DUMMYFUNCTION("GOOGLETRANSLATE(B275, ""en"", ""fr"")"),"tige Dungium")</f>
        <v>tige Dungium</v>
      </c>
      <c r="D275" s="23"/>
      <c r="E275" s="29"/>
      <c r="F275" s="23" t="s">
        <v>943</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944</v>
      </c>
      <c r="B276" s="22" t="s">
        <v>945</v>
      </c>
      <c r="C276" s="23" t="str">
        <f>IFERROR(__xludf.DUMMYFUNCTION("GOOGLETRANSLATE(B276, ""en"", ""fr"")"),"Un bâton de dungium.")</f>
        <v>Un bâton de dungium.</v>
      </c>
      <c r="D276" s="23"/>
      <c r="E276" s="29"/>
      <c r="F276" s="23" t="s">
        <v>946</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39" t="s">
        <v>947</v>
      </c>
      <c r="B277" s="22" t="s">
        <v>948</v>
      </c>
      <c r="C277" s="23" t="str">
        <f>IFERROR(__xludf.DUMMYFUNCTION("GOOGLETRANSLATE(B277, ""en"", ""fr"")"),"fiche Dungium")</f>
        <v>fiche Dungium</v>
      </c>
      <c r="D277" s="23"/>
      <c r="E277" s="29"/>
      <c r="F277" s="23" t="s">
        <v>949</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950</v>
      </c>
      <c r="B278" s="22" t="s">
        <v>951</v>
      </c>
      <c r="C278" s="23" t="str">
        <f>IFERROR(__xludf.DUMMYFUNCTION("GOOGLETRANSLATE(B278, ""en"", ""fr"")"),"Une plaque plate de dungium.")</f>
        <v>Une plaque plate de dungium.</v>
      </c>
      <c r="D278" s="23"/>
      <c r="E278" s="29"/>
      <c r="F278" s="23" t="s">
        <v>952</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953</v>
      </c>
      <c r="B279" s="22" t="s">
        <v>954</v>
      </c>
      <c r="C279" s="23" t="str">
        <f>IFERROR(__xludf.DUMMYFUNCTION("GOOGLETRANSLATE(B279, ""en"", ""fr"")"),"minerai Noctis")</f>
        <v>minerai Noctis</v>
      </c>
      <c r="D279" s="23"/>
      <c r="E279" s="29"/>
      <c r="F279" s="23" t="s">
        <v>955</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956</v>
      </c>
      <c r="B280" s="22" t="s">
        <v>957</v>
      </c>
      <c r="C280" s="23" t="str">
        <f>IFERROR(__xludf.DUMMYFUNCTION("GOOGLETRANSLATE(B280, ""en"", ""fr"")"),"Peut être conçu dans une barre de noctis à un four.")</f>
        <v>Peut être conçu dans une barre de noctis à un four.</v>
      </c>
      <c r="D280" s="23"/>
      <c r="E280" s="29"/>
      <c r="F280" s="23" t="s">
        <v>958</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39" t="s">
        <v>959</v>
      </c>
      <c r="B281" s="22" t="s">
        <v>960</v>
      </c>
      <c r="C281" s="23" t="str">
        <f>IFERROR(__xludf.DUMMYFUNCTION("GOOGLETRANSLATE(B281, ""en"", ""fr"")"),"bar Noctis")</f>
        <v>bar Noctis</v>
      </c>
      <c r="D281" s="23"/>
      <c r="E281" s="29"/>
      <c r="F281" s="23" t="s">
        <v>961</v>
      </c>
      <c r="G281" s="29"/>
      <c r="H281" s="36"/>
      <c r="I281" s="29"/>
      <c r="J281" s="25" t="s">
        <v>962</v>
      </c>
      <c r="K281" s="30"/>
      <c r="L281" s="35"/>
      <c r="M281" s="28"/>
      <c r="N281" s="28"/>
      <c r="O281" s="28"/>
      <c r="P281" s="28"/>
      <c r="Q281" s="28"/>
      <c r="R281" s="28"/>
      <c r="S281" s="28"/>
      <c r="T281" s="28"/>
      <c r="U281" s="28"/>
      <c r="V281" s="28"/>
      <c r="W281" s="28"/>
      <c r="X281" s="28"/>
      <c r="Y281" s="28"/>
      <c r="Z281" s="28"/>
      <c r="AA281" s="28"/>
      <c r="AB281" s="28"/>
    </row>
    <row r="282">
      <c r="A282" s="39" t="s">
        <v>963</v>
      </c>
      <c r="B282" s="22" t="s">
        <v>964</v>
      </c>
      <c r="C282" s="23" t="str">
        <f>IFERROR(__xludf.DUMMYFUNCTION("GOOGLETRANSLATE(B282, ""en"", ""fr"")"),"Peut être conçu dans l'équipement noctis.")</f>
        <v>Peut être conçu dans l'équipement noctis.</v>
      </c>
      <c r="D282" s="23"/>
      <c r="E282" s="29"/>
      <c r="F282" s="23" t="s">
        <v>965</v>
      </c>
      <c r="G282" s="29"/>
      <c r="H282" s="36"/>
      <c r="I282" s="29"/>
      <c r="J282" s="25" t="s">
        <v>966</v>
      </c>
      <c r="K282" s="30"/>
      <c r="L282" s="35"/>
      <c r="M282" s="28"/>
      <c r="N282" s="28"/>
      <c r="O282" s="28"/>
      <c r="P282" s="28"/>
      <c r="Q282" s="28"/>
      <c r="R282" s="28"/>
      <c r="S282" s="28"/>
      <c r="T282" s="28"/>
      <c r="U282" s="28"/>
      <c r="V282" s="28"/>
      <c r="W282" s="28"/>
      <c r="X282" s="28"/>
      <c r="Y282" s="28"/>
      <c r="Z282" s="28"/>
      <c r="AA282" s="28"/>
      <c r="AB282" s="28"/>
    </row>
    <row r="283">
      <c r="A283" s="39" t="s">
        <v>967</v>
      </c>
      <c r="B283" s="22" t="s">
        <v>968</v>
      </c>
      <c r="C283" s="23" t="str">
        <f>IFERROR(__xludf.DUMMYFUNCTION("GOOGLETRANSLATE(B283, ""en"", ""fr"")"),"tige Noctis")</f>
        <v>tige Noctis</v>
      </c>
      <c r="D283" s="23"/>
      <c r="E283" s="29"/>
      <c r="F283" s="23" t="s">
        <v>969</v>
      </c>
      <c r="G283" s="29"/>
      <c r="H283" s="36"/>
      <c r="I283" s="29"/>
      <c r="J283" s="25" t="s">
        <v>970</v>
      </c>
      <c r="K283" s="30"/>
      <c r="L283" s="35"/>
      <c r="M283" s="28"/>
      <c r="N283" s="28"/>
      <c r="O283" s="28"/>
      <c r="P283" s="28"/>
      <c r="Q283" s="28"/>
      <c r="R283" s="28"/>
      <c r="S283" s="28"/>
      <c r="T283" s="28"/>
      <c r="U283" s="28"/>
      <c r="V283" s="28"/>
      <c r="W283" s="28"/>
      <c r="X283" s="28"/>
      <c r="Y283" s="28"/>
      <c r="Z283" s="28"/>
      <c r="AA283" s="28"/>
      <c r="AB283" s="28"/>
    </row>
    <row r="284">
      <c r="A284" s="39" t="s">
        <v>971</v>
      </c>
      <c r="B284" s="22" t="s">
        <v>972</v>
      </c>
      <c r="C284" s="23" t="str">
        <f>IFERROR(__xludf.DUMMYFUNCTION("GOOGLETRANSLATE(B284, ""en"", ""fr"")"),"Un bâton de Noctis.")</f>
        <v>Un bâton de Noctis.</v>
      </c>
      <c r="D284" s="23"/>
      <c r="E284" s="29"/>
      <c r="F284" s="23" t="s">
        <v>973</v>
      </c>
      <c r="G284" s="29"/>
      <c r="H284" s="36"/>
      <c r="I284" s="29"/>
      <c r="J284" s="25" t="s">
        <v>974</v>
      </c>
      <c r="K284" s="30"/>
      <c r="L284" s="35"/>
      <c r="M284" s="28"/>
      <c r="N284" s="28"/>
      <c r="O284" s="28"/>
      <c r="P284" s="28"/>
      <c r="Q284" s="28"/>
      <c r="R284" s="28"/>
      <c r="S284" s="28"/>
      <c r="T284" s="28"/>
      <c r="U284" s="28"/>
      <c r="V284" s="28"/>
      <c r="W284" s="28"/>
      <c r="X284" s="28"/>
      <c r="Y284" s="28"/>
      <c r="Z284" s="28"/>
      <c r="AA284" s="28"/>
      <c r="AB284" s="28"/>
    </row>
    <row r="285">
      <c r="A285" s="39" t="s">
        <v>975</v>
      </c>
      <c r="B285" s="22" t="s">
        <v>976</v>
      </c>
      <c r="C285" s="23" t="str">
        <f>IFERROR(__xludf.DUMMYFUNCTION("GOOGLETRANSLATE(B285, ""en"", ""fr"")"),"fiche Noctis")</f>
        <v>fiche Noctis</v>
      </c>
      <c r="D285" s="23"/>
      <c r="E285" s="29"/>
      <c r="F285" s="23" t="s">
        <v>977</v>
      </c>
      <c r="G285" s="29"/>
      <c r="H285" s="36"/>
      <c r="I285" s="29"/>
      <c r="J285" s="25" t="s">
        <v>978</v>
      </c>
      <c r="K285" s="30"/>
      <c r="L285" s="35"/>
      <c r="M285" s="28"/>
      <c r="N285" s="28"/>
      <c r="O285" s="28"/>
      <c r="P285" s="28"/>
      <c r="Q285" s="28"/>
      <c r="R285" s="28"/>
      <c r="S285" s="28"/>
      <c r="T285" s="28"/>
      <c r="U285" s="28"/>
      <c r="V285" s="28"/>
      <c r="W285" s="28"/>
      <c r="X285" s="28"/>
      <c r="Y285" s="28"/>
      <c r="Z285" s="28"/>
      <c r="AA285" s="28"/>
      <c r="AB285" s="28"/>
    </row>
    <row r="286">
      <c r="A286" s="39" t="s">
        <v>979</v>
      </c>
      <c r="B286" s="22" t="s">
        <v>980</v>
      </c>
      <c r="C286" s="23" t="str">
        <f>IFERROR(__xludf.DUMMYFUNCTION("GOOGLETRANSLATE(B286, ""en"", ""fr"")"),"Une plaque plate de noctis.")</f>
        <v>Une plaque plate de noctis.</v>
      </c>
      <c r="D286" s="23"/>
      <c r="E286" s="29"/>
      <c r="F286" s="23" t="s">
        <v>981</v>
      </c>
      <c r="G286" s="29"/>
      <c r="H286" s="36"/>
      <c r="I286" s="29"/>
      <c r="J286" s="25" t="s">
        <v>982</v>
      </c>
      <c r="K286" s="30"/>
      <c r="L286" s="35"/>
      <c r="M286" s="28"/>
      <c r="N286" s="28"/>
      <c r="O286" s="28"/>
      <c r="P286" s="28"/>
      <c r="Q286" s="28"/>
      <c r="R286" s="28"/>
      <c r="S286" s="28"/>
      <c r="T286" s="28"/>
      <c r="U286" s="28"/>
      <c r="V286" s="28"/>
      <c r="W286" s="28"/>
      <c r="X286" s="28"/>
      <c r="Y286" s="28"/>
      <c r="Z286" s="28"/>
      <c r="AA286" s="28"/>
      <c r="AB286" s="28"/>
    </row>
    <row r="287">
      <c r="A287" s="39" t="s">
        <v>983</v>
      </c>
      <c r="B287" s="22" t="s">
        <v>984</v>
      </c>
      <c r="C287" s="23" t="str">
        <f>IFERROR(__xludf.DUMMYFUNCTION("GOOGLETRANSLATE(B287, ""en"", ""fr"")"),"journaux")</f>
        <v>journaux</v>
      </c>
      <c r="D287" s="23" t="s">
        <v>985</v>
      </c>
      <c r="E287" s="29"/>
      <c r="F287" s="23" t="s">
        <v>986</v>
      </c>
      <c r="G287" s="29"/>
      <c r="H287" s="36"/>
      <c r="I287" s="29"/>
      <c r="J287" s="25" t="s">
        <v>987</v>
      </c>
      <c r="K287" s="30"/>
      <c r="L287" s="35"/>
      <c r="M287" s="28"/>
      <c r="N287" s="28"/>
      <c r="O287" s="28"/>
      <c r="P287" s="28"/>
      <c r="Q287" s="28"/>
      <c r="R287" s="28"/>
      <c r="S287" s="28"/>
      <c r="T287" s="28"/>
      <c r="U287" s="28"/>
      <c r="V287" s="28"/>
      <c r="W287" s="28"/>
      <c r="X287" s="28"/>
      <c r="Y287" s="28"/>
      <c r="Z287" s="28"/>
      <c r="AA287" s="28"/>
      <c r="AB287" s="28"/>
    </row>
    <row r="288">
      <c r="A288" s="39" t="s">
        <v>988</v>
      </c>
      <c r="B288" s="22" t="s">
        <v>989</v>
      </c>
      <c r="C288" s="23" t="str">
        <f>IFERROR(__xludf.DUMMYFUNCTION("GOOGLETRANSLATE(B288, ""en"", ""fr"")"),"Un matériau d'artisanat de base.")</f>
        <v>Un matériau d'artisanat de base.</v>
      </c>
      <c r="D288" s="23" t="s">
        <v>990</v>
      </c>
      <c r="E288" s="29"/>
      <c r="F288" s="23" t="s">
        <v>991</v>
      </c>
      <c r="G288" s="29"/>
      <c r="H288" s="36"/>
      <c r="I288" s="29"/>
      <c r="J288" s="25" t="s">
        <v>992</v>
      </c>
      <c r="K288" s="30"/>
      <c r="L288" s="35"/>
      <c r="M288" s="28"/>
      <c r="N288" s="28"/>
      <c r="O288" s="28"/>
      <c r="P288" s="28"/>
      <c r="Q288" s="28"/>
      <c r="R288" s="28"/>
      <c r="S288" s="28"/>
      <c r="T288" s="28"/>
      <c r="U288" s="28"/>
      <c r="V288" s="28"/>
      <c r="W288" s="28"/>
      <c r="X288" s="28"/>
      <c r="Y288" s="28"/>
      <c r="Z288" s="28"/>
      <c r="AA288" s="28"/>
      <c r="AB288" s="28"/>
    </row>
    <row r="289">
      <c r="A289" s="39" t="s">
        <v>993</v>
      </c>
      <c r="B289" s="22" t="s">
        <v>994</v>
      </c>
      <c r="C289" s="23" t="str">
        <f>IFERROR(__xludf.DUMMYFUNCTION("GOOGLETRANSLATE(B289, ""en"", ""fr"")"),"Planche de bois")</f>
        <v>Planche de bois</v>
      </c>
      <c r="D289" s="23"/>
      <c r="E289" s="29"/>
      <c r="F289" s="23" t="s">
        <v>995</v>
      </c>
      <c r="G289" s="29"/>
      <c r="H289" s="36"/>
      <c r="I289" s="29"/>
      <c r="J289" s="25" t="s">
        <v>996</v>
      </c>
      <c r="K289" s="30"/>
      <c r="L289" s="35"/>
      <c r="M289" s="28"/>
      <c r="N289" s="28"/>
      <c r="O289" s="28"/>
      <c r="P289" s="28"/>
      <c r="Q289" s="28"/>
      <c r="R289" s="28"/>
      <c r="S289" s="28"/>
      <c r="T289" s="28"/>
      <c r="U289" s="28"/>
      <c r="V289" s="28"/>
      <c r="W289" s="28"/>
      <c r="X289" s="28"/>
      <c r="Y289" s="28"/>
      <c r="Z289" s="28"/>
      <c r="AA289" s="28"/>
      <c r="AB289" s="28"/>
    </row>
    <row r="290">
      <c r="A290" s="39" t="s">
        <v>997</v>
      </c>
      <c r="B290" s="22" t="s">
        <v>998</v>
      </c>
      <c r="C290" s="23" t="str">
        <f>IFERROR(__xludf.DUMMYFUNCTION("GOOGLETRANSLATE(B290, ""en"", ""fr"")"),"Peut être conçu dans des arcs et des bâtons.")</f>
        <v>Peut être conçu dans des arcs et des bâtons.</v>
      </c>
      <c r="D290" s="23"/>
      <c r="E290" s="29"/>
      <c r="F290" s="23" t="s">
        <v>999</v>
      </c>
      <c r="G290" s="29"/>
      <c r="H290" s="36"/>
      <c r="I290" s="29"/>
      <c r="J290" s="25" t="s">
        <v>1000</v>
      </c>
      <c r="K290" s="30"/>
      <c r="L290" s="35"/>
      <c r="M290" s="28"/>
      <c r="N290" s="28"/>
      <c r="O290" s="28"/>
      <c r="P290" s="28"/>
      <c r="Q290" s="28"/>
      <c r="R290" s="28"/>
      <c r="S290" s="28"/>
      <c r="T290" s="28"/>
      <c r="U290" s="28"/>
      <c r="V290" s="28"/>
      <c r="W290" s="28"/>
      <c r="X290" s="28"/>
      <c r="Y290" s="28"/>
      <c r="Z290" s="28"/>
      <c r="AA290" s="28"/>
      <c r="AB290" s="28"/>
    </row>
    <row r="291">
      <c r="A291" s="39" t="s">
        <v>1001</v>
      </c>
      <c r="B291" s="22" t="s">
        <v>1002</v>
      </c>
      <c r="C291" s="23" t="str">
        <f>IFERROR(__xludf.DUMMYFUNCTION("GOOGLETRANSLATE(B291, ""en"", ""fr"")"),"Coton")</f>
        <v>Coton</v>
      </c>
      <c r="D291" s="23" t="s">
        <v>1003</v>
      </c>
      <c r="E291" s="29"/>
      <c r="F291" s="23" t="s">
        <v>1004</v>
      </c>
      <c r="G291" s="29"/>
      <c r="H291" s="36"/>
      <c r="I291" s="29"/>
      <c r="J291" s="25" t="s">
        <v>1005</v>
      </c>
      <c r="K291" s="30"/>
      <c r="L291" s="35"/>
      <c r="M291" s="28"/>
      <c r="N291" s="28"/>
      <c r="O291" s="28"/>
      <c r="P291" s="28"/>
      <c r="Q291" s="28"/>
      <c r="R291" s="28"/>
      <c r="S291" s="28"/>
      <c r="T291" s="28"/>
      <c r="U291" s="28"/>
      <c r="V291" s="28"/>
      <c r="W291" s="28"/>
      <c r="X291" s="28"/>
      <c r="Y291" s="28"/>
      <c r="Z291" s="28"/>
      <c r="AA291" s="28"/>
      <c r="AB291" s="28"/>
    </row>
    <row r="292">
      <c r="A292" s="39" t="s">
        <v>1006</v>
      </c>
      <c r="B292" s="22" t="s">
        <v>1007</v>
      </c>
      <c r="C292" s="23" t="str">
        <f>IFERROR(__xludf.DUMMYFUNCTION("GOOGLETRANSLATE(B292, ""en"", ""fr"")"),"Peut être conçu en différents tissus.")</f>
        <v>Peut être conçu en différents tissus.</v>
      </c>
      <c r="D292" s="23" t="s">
        <v>1008</v>
      </c>
      <c r="E292" s="29"/>
      <c r="F292" s="23" t="s">
        <v>1009</v>
      </c>
      <c r="G292" s="29"/>
      <c r="H292" s="36"/>
      <c r="I292" s="29"/>
      <c r="J292" s="25" t="s">
        <v>1010</v>
      </c>
      <c r="K292" s="30"/>
      <c r="L292" s="35"/>
      <c r="M292" s="28"/>
      <c r="N292" s="28"/>
      <c r="O292" s="28"/>
      <c r="P292" s="28"/>
      <c r="Q292" s="28"/>
      <c r="R292" s="28"/>
      <c r="S292" s="28"/>
      <c r="T292" s="28"/>
      <c r="U292" s="28"/>
      <c r="V292" s="28"/>
      <c r="W292" s="28"/>
      <c r="X292" s="28"/>
      <c r="Y292" s="28"/>
      <c r="Z292" s="28"/>
      <c r="AA292" s="28"/>
      <c r="AB292" s="28"/>
    </row>
    <row r="293">
      <c r="A293" s="39" t="s">
        <v>1011</v>
      </c>
      <c r="B293" s="22" t="s">
        <v>1012</v>
      </c>
      <c r="C293" s="23" t="str">
        <f>IFERROR(__xludf.DUMMYFUNCTION("GOOGLETRANSLATE(B293, ""en"", ""fr"")"),"Chaîne de caractères")</f>
        <v>Chaîne de caractères</v>
      </c>
      <c r="D293" s="23" t="s">
        <v>1013</v>
      </c>
      <c r="E293" s="29"/>
      <c r="F293" s="23" t="s">
        <v>1014</v>
      </c>
      <c r="G293" s="29"/>
      <c r="H293" s="36"/>
      <c r="I293" s="29"/>
      <c r="J293" s="25" t="s">
        <v>1015</v>
      </c>
      <c r="K293" s="30"/>
      <c r="L293" s="35"/>
      <c r="M293" s="28"/>
      <c r="N293" s="28"/>
      <c r="O293" s="28"/>
      <c r="P293" s="28"/>
      <c r="Q293" s="28"/>
      <c r="R293" s="28"/>
      <c r="S293" s="28"/>
      <c r="T293" s="28"/>
      <c r="U293" s="28"/>
      <c r="V293" s="28"/>
      <c r="W293" s="28"/>
      <c r="X293" s="28"/>
      <c r="Y293" s="28"/>
      <c r="Z293" s="28"/>
      <c r="AA293" s="28"/>
      <c r="AB293" s="28"/>
    </row>
    <row r="294">
      <c r="A294" s="39" t="s">
        <v>1016</v>
      </c>
      <c r="B294" s="22" t="s">
        <v>1017</v>
      </c>
      <c r="C294" s="23" t="str">
        <f>IFERROR(__xludf.DUMMYFUNCTION("GOOGLETRANSLATE(B294, ""en"", ""fr"")"),"Utilisé pour les arcs d'artisanat et des pièges.")</f>
        <v>Utilisé pour les arcs d'artisanat et des pièges.</v>
      </c>
      <c r="D294" s="23"/>
      <c r="E294" s="29"/>
      <c r="F294" s="23" t="s">
        <v>1018</v>
      </c>
      <c r="G294" s="29"/>
      <c r="H294" s="36"/>
      <c r="I294" s="29"/>
      <c r="J294" s="25" t="s">
        <v>1019</v>
      </c>
      <c r="K294" s="30"/>
      <c r="L294" s="35"/>
      <c r="M294" s="28"/>
      <c r="N294" s="28"/>
      <c r="O294" s="28"/>
      <c r="P294" s="28"/>
      <c r="Q294" s="28"/>
      <c r="R294" s="28"/>
      <c r="S294" s="28"/>
      <c r="T294" s="28"/>
      <c r="U294" s="28"/>
      <c r="V294" s="28"/>
      <c r="W294" s="28"/>
      <c r="X294" s="28"/>
      <c r="Y294" s="28"/>
      <c r="Z294" s="28"/>
      <c r="AA294" s="28"/>
      <c r="AB294" s="28"/>
    </row>
    <row r="295">
      <c r="A295" s="39" t="s">
        <v>1020</v>
      </c>
      <c r="B295" s="22" t="s">
        <v>1021</v>
      </c>
      <c r="C295" s="23" t="str">
        <f>IFERROR(__xludf.DUMMYFUNCTION("GOOGLETRANSLATE(B295, ""en"", ""fr"")"),"en tissu")</f>
        <v>en tissu</v>
      </c>
      <c r="D295" s="23"/>
      <c r="E295" s="29"/>
      <c r="F295" s="23" t="s">
        <v>1022</v>
      </c>
      <c r="G295" s="29"/>
      <c r="H295" s="36"/>
      <c r="I295" s="29"/>
      <c r="J295" s="25" t="s">
        <v>1023</v>
      </c>
      <c r="K295" s="30"/>
      <c r="L295" s="35"/>
      <c r="M295" s="28"/>
      <c r="N295" s="28"/>
      <c r="O295" s="28"/>
      <c r="P295" s="28"/>
      <c r="Q295" s="28"/>
      <c r="R295" s="28"/>
      <c r="S295" s="28"/>
      <c r="T295" s="28"/>
      <c r="U295" s="28"/>
      <c r="V295" s="28"/>
      <c r="W295" s="28"/>
      <c r="X295" s="28"/>
      <c r="Y295" s="28"/>
      <c r="Z295" s="28"/>
      <c r="AA295" s="28"/>
      <c r="AB295" s="28"/>
    </row>
    <row r="296">
      <c r="A296" s="39" t="s">
        <v>1024</v>
      </c>
      <c r="B296" s="22" t="s">
        <v>1025</v>
      </c>
      <c r="C296" s="23" t="str">
        <f>IFERROR(__xludf.DUMMYFUNCTION("GOOGLETRANSLATE(B296, ""en"", ""fr"")"),"Peut être conçu dans les vêtements.")</f>
        <v>Peut être conçu dans les vêtements.</v>
      </c>
      <c r="D296" s="23"/>
      <c r="E296" s="29"/>
      <c r="F296" s="23" t="s">
        <v>1026</v>
      </c>
      <c r="G296" s="29"/>
      <c r="H296" s="36"/>
      <c r="I296" s="29"/>
      <c r="J296" s="25" t="s">
        <v>1027</v>
      </c>
      <c r="K296" s="30"/>
      <c r="L296" s="35"/>
      <c r="M296" s="28"/>
      <c r="N296" s="28"/>
      <c r="O296" s="28"/>
      <c r="P296" s="28"/>
      <c r="Q296" s="28"/>
      <c r="R296" s="28"/>
      <c r="S296" s="28"/>
      <c r="T296" s="28"/>
      <c r="U296" s="28"/>
      <c r="V296" s="28"/>
      <c r="W296" s="28"/>
      <c r="X296" s="28"/>
      <c r="Y296" s="28"/>
      <c r="Z296" s="28"/>
      <c r="AA296" s="28"/>
      <c r="AB296" s="28"/>
    </row>
    <row r="297">
      <c r="A297" s="39" t="s">
        <v>1028</v>
      </c>
      <c r="B297" s="22" t="s">
        <v>1029</v>
      </c>
      <c r="C297" s="23" t="str">
        <f>IFERROR(__xludf.DUMMYFUNCTION("GOOGLETRANSLATE(B297, ""en"", ""fr"")"),"Plumes")</f>
        <v>Plumes</v>
      </c>
      <c r="D297" s="23"/>
      <c r="E297" s="29"/>
      <c r="F297" s="23" t="s">
        <v>1030</v>
      </c>
      <c r="G297" s="29"/>
      <c r="H297" s="36"/>
      <c r="I297" s="29"/>
      <c r="J297" s="25" t="s">
        <v>1031</v>
      </c>
      <c r="K297" s="30"/>
      <c r="L297" s="35"/>
      <c r="M297" s="28"/>
      <c r="N297" s="28"/>
      <c r="O297" s="28"/>
      <c r="P297" s="28"/>
      <c r="Q297" s="28"/>
      <c r="R297" s="28"/>
      <c r="S297" s="28"/>
      <c r="T297" s="28"/>
      <c r="U297" s="28"/>
      <c r="V297" s="28"/>
      <c r="W297" s="28"/>
      <c r="X297" s="28"/>
      <c r="Y297" s="28"/>
      <c r="Z297" s="28"/>
      <c r="AA297" s="28"/>
      <c r="AB297" s="28"/>
    </row>
    <row r="298">
      <c r="A298" s="39" t="s">
        <v>1032</v>
      </c>
      <c r="B298" s="22" t="s">
        <v>1033</v>
      </c>
      <c r="C298" s="23" t="str">
        <f>IFERROR(__xludf.DUMMYFUNCTION("GOOGLETRANSLATE(B298, ""en"", ""fr"")"),"Peut être conçu en flèches.")</f>
        <v>Peut être conçu en flèches.</v>
      </c>
      <c r="D298" s="23"/>
      <c r="E298" s="29"/>
      <c r="F298" s="23" t="s">
        <v>1034</v>
      </c>
      <c r="G298" s="29"/>
      <c r="H298" s="36"/>
      <c r="I298" s="29"/>
      <c r="J298" s="25" t="s">
        <v>1035</v>
      </c>
      <c r="K298" s="30"/>
      <c r="L298" s="35"/>
      <c r="M298" s="28"/>
      <c r="N298" s="28"/>
      <c r="O298" s="28"/>
      <c r="P298" s="28"/>
      <c r="Q298" s="28"/>
      <c r="R298" s="28"/>
      <c r="S298" s="28"/>
      <c r="T298" s="28"/>
      <c r="U298" s="28"/>
      <c r="V298" s="28"/>
      <c r="W298" s="28"/>
      <c r="X298" s="28"/>
      <c r="Y298" s="28"/>
      <c r="Z298" s="28"/>
      <c r="AA298" s="28"/>
      <c r="AB298" s="28"/>
    </row>
    <row r="299">
      <c r="A299" s="40" t="s">
        <v>1036</v>
      </c>
      <c r="B299" s="22" t="s">
        <v>1037</v>
      </c>
      <c r="C299" s="23" t="str">
        <f>IFERROR(__xludf.DUMMYFUNCTION("GOOGLETRANSLATE(B299, ""en"", ""fr"")"),"Une casquette rouge")</f>
        <v>Une casquette rouge</v>
      </c>
      <c r="D299" s="23"/>
      <c r="E299" s="29"/>
      <c r="F299" s="23" t="s">
        <v>1038</v>
      </c>
      <c r="G299" s="29"/>
      <c r="H299" s="36"/>
      <c r="I299" s="29"/>
      <c r="J299" s="25" t="s">
        <v>1039</v>
      </c>
      <c r="K299" s="30"/>
      <c r="L299" s="35"/>
      <c r="M299" s="28"/>
      <c r="N299" s="28"/>
      <c r="O299" s="28"/>
      <c r="P299" s="28"/>
      <c r="Q299" s="28"/>
      <c r="R299" s="28"/>
      <c r="S299" s="28"/>
      <c r="T299" s="28"/>
      <c r="U299" s="28"/>
      <c r="V299" s="28"/>
      <c r="W299" s="28"/>
      <c r="X299" s="28"/>
      <c r="Y299" s="28"/>
      <c r="Z299" s="28"/>
      <c r="AA299" s="28"/>
      <c r="AB299" s="28"/>
    </row>
    <row r="300">
      <c r="A300" s="40" t="s">
        <v>1040</v>
      </c>
      <c r="B300" s="22" t="s">
        <v>1041</v>
      </c>
      <c r="C300" s="23" t="str">
        <f>IFERROR(__xludf.DUMMYFUNCTION("GOOGLETRANSLATE(B300, ""en"", ""fr"")"),"Peut être mangé ou fabriqué dans une potion pour un effet plus fort.")</f>
        <v>Peut être mangé ou fabriqué dans une potion pour un effet plus fort.</v>
      </c>
      <c r="D300" s="23"/>
      <c r="E300" s="29"/>
      <c r="F300" s="23" t="s">
        <v>1042</v>
      </c>
      <c r="G300" s="29"/>
      <c r="H300" s="36"/>
      <c r="I300" s="29"/>
      <c r="J300" s="25" t="s">
        <v>1043</v>
      </c>
      <c r="K300" s="30"/>
      <c r="L300" s="35"/>
      <c r="M300" s="28"/>
      <c r="N300" s="28"/>
      <c r="O300" s="28"/>
      <c r="P300" s="28"/>
      <c r="Q300" s="28"/>
      <c r="R300" s="28"/>
      <c r="S300" s="28"/>
      <c r="T300" s="28"/>
      <c r="U300" s="28"/>
      <c r="V300" s="28"/>
      <c r="W300" s="28"/>
      <c r="X300" s="28"/>
      <c r="Y300" s="28"/>
      <c r="Z300" s="28"/>
      <c r="AA300" s="28"/>
      <c r="AB300" s="28"/>
    </row>
    <row r="301">
      <c r="A301" s="40" t="s">
        <v>1044</v>
      </c>
      <c r="B301" s="22" t="s">
        <v>1045</v>
      </c>
      <c r="C301" s="23" t="str">
        <f>IFERROR(__xludf.DUMMYFUNCTION("GOOGLETRANSLATE(B301, ""en"", ""fr"")"),"Greencap")</f>
        <v>Greencap</v>
      </c>
      <c r="D301" s="23"/>
      <c r="E301" s="29"/>
      <c r="F301" s="23" t="s">
        <v>1046</v>
      </c>
      <c r="G301" s="29"/>
      <c r="H301" s="36"/>
      <c r="I301" s="29"/>
      <c r="J301" s="25" t="s">
        <v>1047</v>
      </c>
      <c r="K301" s="30"/>
      <c r="L301" s="35"/>
      <c r="M301" s="28"/>
      <c r="N301" s="28"/>
      <c r="O301" s="28"/>
      <c r="P301" s="28"/>
      <c r="Q301" s="28"/>
      <c r="R301" s="28"/>
      <c r="S301" s="28"/>
      <c r="T301" s="28"/>
      <c r="U301" s="28"/>
      <c r="V301" s="28"/>
      <c r="W301" s="28"/>
      <c r="X301" s="28"/>
      <c r="Y301" s="28"/>
      <c r="Z301" s="28"/>
      <c r="AA301" s="28"/>
      <c r="AB301" s="28"/>
    </row>
    <row r="302">
      <c r="A302" s="40" t="s">
        <v>1048</v>
      </c>
      <c r="B302" s="22" t="s">
        <v>1041</v>
      </c>
      <c r="C302" s="23" t="str">
        <f>IFERROR(__xludf.DUMMYFUNCTION("GOOGLETRANSLATE(B302, ""en"", ""fr"")"),"Peut être mangé ou fabriqué dans une potion pour un effet plus fort.")</f>
        <v>Peut être mangé ou fabriqué dans une potion pour un effet plus fort.</v>
      </c>
      <c r="D302" s="23"/>
      <c r="E302" s="29"/>
      <c r="F302" s="23" t="s">
        <v>1042</v>
      </c>
      <c r="G302" s="29"/>
      <c r="H302" s="36"/>
      <c r="I302" s="29"/>
      <c r="J302" s="25" t="s">
        <v>1043</v>
      </c>
      <c r="K302" s="30"/>
      <c r="L302" s="35"/>
      <c r="M302" s="28"/>
      <c r="N302" s="28"/>
      <c r="O302" s="28"/>
      <c r="P302" s="28"/>
      <c r="Q302" s="28"/>
      <c r="R302" s="28"/>
      <c r="S302" s="28"/>
      <c r="T302" s="28"/>
      <c r="U302" s="28"/>
      <c r="V302" s="28"/>
      <c r="W302" s="28"/>
      <c r="X302" s="28"/>
      <c r="Y302" s="28"/>
      <c r="Z302" s="28"/>
      <c r="AA302" s="28"/>
      <c r="AB302" s="28"/>
    </row>
    <row r="303">
      <c r="A303" s="40" t="s">
        <v>1049</v>
      </c>
      <c r="B303" s="22" t="s">
        <v>1050</v>
      </c>
      <c r="C303" s="23" t="str">
        <f>IFERROR(__xludf.DUMMYFUNCTION("GOOGLETRANSLATE(B303, ""en"", ""fr"")"),"Casquette bleue")</f>
        <v>Casquette bleue</v>
      </c>
      <c r="D303" s="23"/>
      <c r="E303" s="29"/>
      <c r="F303" s="23" t="s">
        <v>1051</v>
      </c>
      <c r="G303" s="29"/>
      <c r="H303" s="36"/>
      <c r="I303" s="29"/>
      <c r="J303" s="25" t="s">
        <v>1052</v>
      </c>
      <c r="K303" s="30"/>
      <c r="L303" s="35"/>
      <c r="M303" s="28"/>
      <c r="N303" s="28"/>
      <c r="O303" s="28"/>
      <c r="P303" s="28"/>
      <c r="Q303" s="28"/>
      <c r="R303" s="28"/>
      <c r="S303" s="28"/>
      <c r="T303" s="28"/>
      <c r="U303" s="28"/>
      <c r="V303" s="28"/>
      <c r="W303" s="28"/>
      <c r="X303" s="28"/>
      <c r="Y303" s="28"/>
      <c r="Z303" s="28"/>
      <c r="AA303" s="28"/>
      <c r="AB303" s="28"/>
    </row>
    <row r="304">
      <c r="A304" s="40" t="s">
        <v>1053</v>
      </c>
      <c r="B304" s="22" t="s">
        <v>1041</v>
      </c>
      <c r="C304" s="23" t="str">
        <f>IFERROR(__xludf.DUMMYFUNCTION("GOOGLETRANSLATE(B304, ""en"", ""fr"")"),"Peut être mangé ou fabriqué dans une potion pour un effet plus fort.")</f>
        <v>Peut être mangé ou fabriqué dans une potion pour un effet plus fort.</v>
      </c>
      <c r="D304" s="23"/>
      <c r="E304" s="29"/>
      <c r="F304" s="23" t="s">
        <v>1042</v>
      </c>
      <c r="G304" s="29"/>
      <c r="H304" s="36"/>
      <c r="I304" s="29"/>
      <c r="J304" s="25" t="s">
        <v>1043</v>
      </c>
      <c r="K304" s="30"/>
      <c r="L304" s="35"/>
      <c r="M304" s="28"/>
      <c r="N304" s="28"/>
      <c r="O304" s="28"/>
      <c r="P304" s="28"/>
      <c r="Q304" s="28"/>
      <c r="R304" s="28"/>
      <c r="S304" s="28"/>
      <c r="T304" s="28"/>
      <c r="U304" s="28"/>
      <c r="V304" s="28"/>
      <c r="W304" s="28"/>
      <c r="X304" s="28"/>
      <c r="Y304" s="28"/>
      <c r="Z304" s="28"/>
      <c r="AA304" s="28"/>
      <c r="AB304" s="28"/>
    </row>
    <row r="305">
      <c r="A305" s="39" t="s">
        <v>1054</v>
      </c>
      <c r="B305" s="22" t="s">
        <v>1055</v>
      </c>
      <c r="C305" s="23" t="str">
        <f>IFERROR(__xludf.DUMMYFUNCTION("GOOGLETRANSLATE(B305, ""en"", ""fr"")"),"Potion de vie")</f>
        <v>Potion de vie</v>
      </c>
      <c r="D305" s="23"/>
      <c r="E305" s="29"/>
      <c r="F305" s="23" t="s">
        <v>1056</v>
      </c>
      <c r="G305" s="29"/>
      <c r="H305" s="36"/>
      <c r="I305" s="29"/>
      <c r="J305" s="25" t="s">
        <v>1057</v>
      </c>
      <c r="K305" s="30"/>
      <c r="L305" s="35"/>
      <c r="M305" s="28"/>
      <c r="N305" s="28"/>
      <c r="O305" s="28"/>
      <c r="P305" s="28"/>
      <c r="Q305" s="28"/>
      <c r="R305" s="28"/>
      <c r="S305" s="28"/>
      <c r="T305" s="28"/>
      <c r="U305" s="28"/>
      <c r="V305" s="28"/>
      <c r="W305" s="28"/>
      <c r="X305" s="28"/>
      <c r="Y305" s="28"/>
      <c r="Z305" s="28"/>
      <c r="AA305" s="28"/>
      <c r="AB305" s="28"/>
    </row>
    <row r="306">
      <c r="A306" s="39" t="s">
        <v>1058</v>
      </c>
      <c r="B306" s="22" t="s">
        <v>1059</v>
      </c>
      <c r="C306" s="23" t="str">
        <f>IFERROR(__xludf.DUMMYFUNCTION("GOOGLETRANSLATE(B306, ""en"", ""fr"")"),"Restaure quelques points de vie au fil du temps quand il est utilisé.")</f>
        <v>Restaure quelques points de vie au fil du temps quand il est utilisé.</v>
      </c>
      <c r="D306" s="23"/>
      <c r="E306" s="29"/>
      <c r="F306" s="23" t="s">
        <v>1060</v>
      </c>
      <c r="G306" s="29"/>
      <c r="H306" s="36"/>
      <c r="I306" s="29"/>
      <c r="J306" s="30"/>
      <c r="K306" s="30"/>
      <c r="L306" s="35"/>
      <c r="M306" s="28"/>
      <c r="N306" s="28"/>
      <c r="O306" s="28"/>
      <c r="P306" s="28"/>
      <c r="Q306" s="28"/>
      <c r="R306" s="28"/>
      <c r="S306" s="28"/>
      <c r="T306" s="28"/>
      <c r="U306" s="28"/>
      <c r="V306" s="28"/>
      <c r="W306" s="28"/>
      <c r="X306" s="28"/>
      <c r="Y306" s="28"/>
      <c r="Z306" s="28"/>
      <c r="AA306" s="28"/>
      <c r="AB306" s="28"/>
    </row>
    <row r="307">
      <c r="A307" s="39" t="s">
        <v>1061</v>
      </c>
      <c r="B307" s="22" t="s">
        <v>1062</v>
      </c>
      <c r="C307" s="23" t="str">
        <f>IFERROR(__xludf.DUMMYFUNCTION("GOOGLETRANSLATE(B307, ""en"", ""fr"")"),"potion d'énergie")</f>
        <v>potion d'énergie</v>
      </c>
      <c r="D307" s="23"/>
      <c r="E307" s="29"/>
      <c r="F307" s="23" t="s">
        <v>1063</v>
      </c>
      <c r="G307" s="29"/>
      <c r="H307" s="36"/>
      <c r="I307" s="29"/>
      <c r="J307" s="25" t="s">
        <v>1064</v>
      </c>
      <c r="K307" s="30"/>
      <c r="L307" s="35"/>
      <c r="M307" s="28"/>
      <c r="N307" s="28"/>
      <c r="O307" s="28"/>
      <c r="P307" s="28"/>
      <c r="Q307" s="28"/>
      <c r="R307" s="28"/>
      <c r="S307" s="28"/>
      <c r="T307" s="28"/>
      <c r="U307" s="28"/>
      <c r="V307" s="28"/>
      <c r="W307" s="28"/>
      <c r="X307" s="28"/>
      <c r="Y307" s="28"/>
      <c r="Z307" s="28"/>
      <c r="AA307" s="28"/>
      <c r="AB307" s="28"/>
    </row>
    <row r="308">
      <c r="A308" s="39" t="s">
        <v>1065</v>
      </c>
      <c r="B308" s="22" t="s">
        <v>1066</v>
      </c>
      <c r="C308" s="23" t="str">
        <f>IFERROR(__xludf.DUMMYFUNCTION("GOOGLETRANSLATE(B308, ""en"", ""fr"")"),"Restaure un peu d'énergie au fil du temps en cas d'utilisation.")</f>
        <v>Restaure un peu d'énergie au fil du temps en cas d'utilisation.</v>
      </c>
      <c r="D308" s="23"/>
      <c r="E308" s="29"/>
      <c r="F308" s="23" t="s">
        <v>1067</v>
      </c>
      <c r="G308" s="29"/>
      <c r="H308" s="36"/>
      <c r="I308" s="29"/>
      <c r="J308" s="30"/>
      <c r="K308" s="30"/>
      <c r="L308" s="35"/>
      <c r="M308" s="28"/>
      <c r="N308" s="28"/>
      <c r="O308" s="28"/>
      <c r="P308" s="28"/>
      <c r="Q308" s="28"/>
      <c r="R308" s="28"/>
      <c r="S308" s="28"/>
      <c r="T308" s="28"/>
      <c r="U308" s="28"/>
      <c r="V308" s="28"/>
      <c r="W308" s="28"/>
      <c r="X308" s="28"/>
      <c r="Y308" s="28"/>
      <c r="Z308" s="28"/>
      <c r="AA308" s="28"/>
      <c r="AB308" s="28"/>
    </row>
    <row r="309">
      <c r="A309" s="39" t="s">
        <v>1068</v>
      </c>
      <c r="B309" s="22" t="s">
        <v>1069</v>
      </c>
      <c r="C309" s="23" t="str">
        <f>IFERROR(__xludf.DUMMYFUNCTION("GOOGLETRANSLATE(B309, ""en"", ""fr"")"),"potion Cure")</f>
        <v>potion Cure</v>
      </c>
      <c r="D309" s="23"/>
      <c r="E309" s="29"/>
      <c r="F309" s="23" t="s">
        <v>1070</v>
      </c>
      <c r="G309" s="29"/>
      <c r="H309" s="36"/>
      <c r="I309" s="29"/>
      <c r="J309" s="25" t="s">
        <v>1071</v>
      </c>
      <c r="K309" s="30"/>
      <c r="L309" s="35"/>
      <c r="M309" s="28"/>
      <c r="N309" s="28"/>
      <c r="O309" s="28"/>
      <c r="P309" s="28"/>
      <c r="Q309" s="28"/>
      <c r="R309" s="28"/>
      <c r="S309" s="28"/>
      <c r="T309" s="28"/>
      <c r="U309" s="28"/>
      <c r="V309" s="28"/>
      <c r="W309" s="28"/>
      <c r="X309" s="28"/>
      <c r="Y309" s="28"/>
      <c r="Z309" s="28"/>
      <c r="AA309" s="28"/>
      <c r="AB309" s="28"/>
    </row>
    <row r="310">
      <c r="A310" s="39" t="s">
        <v>1072</v>
      </c>
      <c r="B310" s="22" t="s">
        <v>1073</v>
      </c>
      <c r="C310" s="23" t="str">
        <f>IFERROR(__xludf.DUMMYFUNCTION("GOOGLETRANSLATE(B310, ""en"", ""fr"")"),"Enlève le poison et la maladie et les vous immunise pendant un moment.")</f>
        <v>Enlève le poison et la maladie et les vous immunise pendant un moment.</v>
      </c>
      <c r="D310" s="23"/>
      <c r="E310" s="29"/>
      <c r="F310" s="23" t="s">
        <v>1074</v>
      </c>
      <c r="G310" s="29"/>
      <c r="H310" s="36"/>
      <c r="I310" s="29"/>
      <c r="J310" s="30"/>
      <c r="K310" s="30"/>
      <c r="L310" s="35"/>
      <c r="M310" s="28"/>
      <c r="N310" s="28"/>
      <c r="O310" s="28"/>
      <c r="P310" s="28"/>
      <c r="Q310" s="28"/>
      <c r="R310" s="28"/>
      <c r="S310" s="28"/>
      <c r="T310" s="28"/>
      <c r="U310" s="28"/>
      <c r="V310" s="28"/>
      <c r="W310" s="28"/>
      <c r="X310" s="28"/>
      <c r="Y310" s="28"/>
      <c r="Z310" s="28"/>
      <c r="AA310" s="28"/>
      <c r="AB310" s="28"/>
    </row>
    <row r="311">
      <c r="A311" s="21" t="s">
        <v>1075</v>
      </c>
      <c r="B311" s="22" t="s">
        <v>1076</v>
      </c>
      <c r="C311" s="23" t="str">
        <f>IFERROR(__xludf.DUMMYFUNCTION("GOOGLETRANSLATE(B311, ""en"", ""fr"")"),"fer hache de guerre")</f>
        <v>fer hache de guerre</v>
      </c>
      <c r="D311" s="23" t="s">
        <v>1077</v>
      </c>
      <c r="E311" s="29"/>
      <c r="F311" s="23" t="s">
        <v>1078</v>
      </c>
      <c r="G311" s="29"/>
      <c r="H311" s="36"/>
      <c r="I311" s="29"/>
      <c r="J311" s="25" t="s">
        <v>1079</v>
      </c>
      <c r="K311" s="30"/>
      <c r="L311" s="35"/>
      <c r="M311" s="28"/>
      <c r="N311" s="28"/>
      <c r="O311" s="28"/>
      <c r="P311" s="28"/>
      <c r="Q311" s="28"/>
      <c r="R311" s="28"/>
      <c r="S311" s="28"/>
      <c r="T311" s="28"/>
      <c r="U311" s="28"/>
      <c r="V311" s="28"/>
      <c r="W311" s="28"/>
      <c r="X311" s="28"/>
      <c r="Y311" s="28"/>
      <c r="Z311" s="28"/>
      <c r="AA311" s="28"/>
      <c r="AB311" s="28"/>
    </row>
    <row r="312">
      <c r="A312" s="21" t="s">
        <v>1080</v>
      </c>
      <c r="B312" s="22" t="s">
        <v>1081</v>
      </c>
      <c r="C312" s="23" t="str">
        <f>IFERROR(__xludf.DUMMYFUNCTION("GOOGLETRANSLATE(B312, ""en"", ""fr"")"),"Utilisé pour abattre des arbres pour le bois.")</f>
        <v>Utilisé pour abattre des arbres pour le bois.</v>
      </c>
      <c r="D312" s="23" t="s">
        <v>1082</v>
      </c>
      <c r="E312" s="29"/>
      <c r="F312" s="23" t="s">
        <v>1083</v>
      </c>
      <c r="G312" s="29"/>
      <c r="H312" s="36"/>
      <c r="I312" s="29"/>
      <c r="J312" s="30"/>
      <c r="K312" s="30"/>
      <c r="L312" s="35"/>
      <c r="M312" s="28"/>
      <c r="N312" s="28"/>
      <c r="O312" s="28"/>
      <c r="P312" s="28"/>
      <c r="Q312" s="28"/>
      <c r="R312" s="28"/>
      <c r="S312" s="28"/>
      <c r="T312" s="28"/>
      <c r="U312" s="28"/>
      <c r="V312" s="28"/>
      <c r="W312" s="28"/>
      <c r="X312" s="28"/>
      <c r="Y312" s="28"/>
      <c r="Z312" s="28"/>
      <c r="AA312" s="28"/>
      <c r="AB312" s="28"/>
    </row>
    <row r="313">
      <c r="A313" s="21" t="s">
        <v>1084</v>
      </c>
      <c r="B313" s="22" t="s">
        <v>1085</v>
      </c>
      <c r="C313" s="23" t="str">
        <f>IFERROR(__xludf.DUMMYFUNCTION("GOOGLETRANSLATE(B313, ""en"", ""fr"")"),"fer pickaxe")</f>
        <v>fer pickaxe</v>
      </c>
      <c r="D313" s="23" t="s">
        <v>1086</v>
      </c>
      <c r="E313" s="29"/>
      <c r="F313" s="23" t="s">
        <v>1087</v>
      </c>
      <c r="G313" s="29"/>
      <c r="H313" s="36"/>
      <c r="I313" s="29"/>
      <c r="J313" s="25" t="s">
        <v>1088</v>
      </c>
      <c r="K313" s="30"/>
      <c r="L313" s="35"/>
      <c r="M313" s="28"/>
      <c r="N313" s="28"/>
      <c r="O313" s="28"/>
      <c r="P313" s="28"/>
      <c r="Q313" s="28"/>
      <c r="R313" s="28"/>
      <c r="S313" s="28"/>
      <c r="T313" s="28"/>
      <c r="U313" s="28"/>
      <c r="V313" s="28"/>
      <c r="W313" s="28"/>
      <c r="X313" s="28"/>
      <c r="Y313" s="28"/>
      <c r="Z313" s="28"/>
      <c r="AA313" s="28"/>
      <c r="AB313" s="28"/>
    </row>
    <row r="314">
      <c r="A314" s="21" t="s">
        <v>1089</v>
      </c>
      <c r="B314" s="22" t="s">
        <v>1090</v>
      </c>
      <c r="C314" s="23" t="str">
        <f>IFERROR(__xludf.DUMMYFUNCTION("GOOGLETRANSLATE(B314, ""en"", ""fr"")"),"Utilisé pour les roches de la mine pour le minerai.")</f>
        <v>Utilisé pour les roches de la mine pour le minerai.</v>
      </c>
      <c r="D314" s="23" t="s">
        <v>1091</v>
      </c>
      <c r="E314" s="29"/>
      <c r="F314" s="23" t="s">
        <v>1092</v>
      </c>
      <c r="G314" s="29"/>
      <c r="H314" s="36"/>
      <c r="I314" s="29"/>
      <c r="J314" s="30"/>
      <c r="K314" s="30"/>
      <c r="L314" s="35"/>
      <c r="M314" s="28"/>
      <c r="N314" s="28"/>
      <c r="O314" s="28"/>
      <c r="P314" s="28"/>
      <c r="Q314" s="28"/>
      <c r="R314" s="28"/>
      <c r="S314" s="28"/>
      <c r="T314" s="28"/>
      <c r="U314" s="28"/>
      <c r="V314" s="28"/>
      <c r="W314" s="28"/>
      <c r="X314" s="28"/>
      <c r="Y314" s="28"/>
      <c r="Z314" s="28"/>
      <c r="AA314" s="28"/>
      <c r="AB314" s="28"/>
    </row>
    <row r="315">
      <c r="A315" s="21" t="s">
        <v>1093</v>
      </c>
      <c r="B315" s="22" t="s">
        <v>1094</v>
      </c>
      <c r="C315" s="23" t="str">
        <f>IFERROR(__xludf.DUMMYFUNCTION("GOOGLETRANSLATE(B315, ""en"", ""fr"")"),"flèches fer")</f>
        <v>flèches fer</v>
      </c>
      <c r="D315" s="23"/>
      <c r="E315" s="29"/>
      <c r="F315" s="23" t="s">
        <v>1095</v>
      </c>
      <c r="G315" s="29"/>
      <c r="H315" s="36"/>
      <c r="I315" s="29"/>
      <c r="J315" s="25" t="s">
        <v>1096</v>
      </c>
      <c r="K315" s="30"/>
      <c r="L315" s="35"/>
      <c r="M315" s="28"/>
      <c r="N315" s="28"/>
      <c r="O315" s="28"/>
      <c r="P315" s="28"/>
      <c r="Q315" s="28"/>
      <c r="R315" s="28"/>
      <c r="S315" s="28"/>
      <c r="T315" s="28"/>
      <c r="U315" s="28"/>
      <c r="V315" s="28"/>
      <c r="W315" s="28"/>
      <c r="X315" s="28"/>
      <c r="Y315" s="28"/>
      <c r="Z315" s="28"/>
      <c r="AA315" s="28"/>
      <c r="AB315" s="28"/>
    </row>
    <row r="316">
      <c r="A316" s="21" t="s">
        <v>1097</v>
      </c>
      <c r="B316" s="22" t="s">
        <v>1098</v>
      </c>
      <c r="C316" s="23" t="str">
        <f>IFERROR(__xludf.DUMMYFUNCTION("GOOGLETRANSLATE(B316, ""en"", ""fr"")"),"Utilisé comme munitions pour un arc.")</f>
        <v>Utilisé comme munitions pour un arc.</v>
      </c>
      <c r="D316" s="23"/>
      <c r="E316" s="29"/>
      <c r="F316" s="23" t="s">
        <v>1099</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21" t="s">
        <v>1100</v>
      </c>
      <c r="B317" s="22" t="s">
        <v>1101</v>
      </c>
      <c r="C317" s="23" t="str">
        <f>IFERROR(__xludf.DUMMYFUNCTION("GOOGLETRANSLATE(B317, ""en"", ""fr"")"),"poignard de fer")</f>
        <v>poignard de fer</v>
      </c>
      <c r="D317" s="23"/>
      <c r="E317" s="29"/>
      <c r="F317" s="23" t="s">
        <v>1102</v>
      </c>
      <c r="G317" s="29"/>
      <c r="H317" s="36"/>
      <c r="I317" s="29"/>
      <c r="J317" s="25" t="s">
        <v>1103</v>
      </c>
      <c r="K317" s="30"/>
      <c r="L317" s="35"/>
      <c r="M317" s="28"/>
      <c r="N317" s="28"/>
      <c r="O317" s="28"/>
      <c r="P317" s="28"/>
      <c r="Q317" s="28"/>
      <c r="R317" s="28"/>
      <c r="S317" s="28"/>
      <c r="T317" s="28"/>
      <c r="U317" s="28"/>
      <c r="V317" s="28"/>
      <c r="W317" s="28"/>
      <c r="X317" s="28"/>
      <c r="Y317" s="28"/>
      <c r="Z317" s="28"/>
      <c r="AA317" s="28"/>
      <c r="AB317" s="28"/>
    </row>
    <row r="318">
      <c r="A318" s="21" t="s">
        <v>1104</v>
      </c>
      <c r="B318" s="22" t="s">
        <v>1105</v>
      </c>
      <c r="C318" s="23" t="str">
        <f>IFERROR(__xludf.DUMMYFUNCTION("GOOGLETRANSLATE(B318,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8" s="23"/>
      <c r="E318" s="29"/>
      <c r="F318" s="23" t="s">
        <v>1106</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21" t="s">
        <v>1107</v>
      </c>
      <c r="B319" s="22" t="s">
        <v>1108</v>
      </c>
      <c r="C319" s="23" t="str">
        <f>IFERROR(__xludf.DUMMYFUNCTION("GOOGLETRANSLATE(B319, ""en"", ""fr"")"),"Épée de fer")</f>
        <v>Épée de fer</v>
      </c>
      <c r="D319" s="23"/>
      <c r="E319" s="29"/>
      <c r="F319" s="23" t="s">
        <v>1109</v>
      </c>
      <c r="G319" s="29"/>
      <c r="H319" s="36"/>
      <c r="I319" s="29"/>
      <c r="J319" s="25" t="s">
        <v>1110</v>
      </c>
      <c r="K319" s="30"/>
      <c r="L319" s="35"/>
      <c r="M319" s="28"/>
      <c r="N319" s="28"/>
      <c r="O319" s="28"/>
      <c r="P319" s="28"/>
      <c r="Q319" s="28"/>
      <c r="R319" s="28"/>
      <c r="S319" s="28"/>
      <c r="T319" s="28"/>
      <c r="U319" s="28"/>
      <c r="V319" s="28"/>
      <c r="W319" s="28"/>
      <c r="X319" s="28"/>
      <c r="Y319" s="28"/>
      <c r="Z319" s="28"/>
      <c r="AA319" s="28"/>
      <c r="AB319" s="28"/>
    </row>
    <row r="320">
      <c r="A320" s="21" t="s">
        <v>1111</v>
      </c>
      <c r="B320" s="22" t="s">
        <v>1112</v>
      </c>
      <c r="C320" s="23" t="str">
        <f>IFERROR(__xludf.DUMMYFUNCTION("GOOGLETRANSLATE(B320, ""en"", ""fr"")"),"Arme de mêlée. Utilisé pour attaquer une courte distance dans la direction que vous faites face.")</f>
        <v>Arme de mêlée. Utilisé pour attaquer une courte distance dans la direction que vous faites face.</v>
      </c>
      <c r="D320" s="23"/>
      <c r="E320" s="29"/>
      <c r="F320" s="23" t="s">
        <v>1113</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1114</v>
      </c>
      <c r="B321" s="22" t="s">
        <v>1115</v>
      </c>
      <c r="C321" s="23" t="str">
        <f>IFERROR(__xludf.DUMMYFUNCTION("GOOGLETRANSLATE(B321, ""en"", ""fr"")"),"marteau de fer")</f>
        <v>marteau de fer</v>
      </c>
      <c r="D321" s="23"/>
      <c r="E321" s="29"/>
      <c r="F321" s="23" t="s">
        <v>1116</v>
      </c>
      <c r="G321" s="29"/>
      <c r="H321" s="36"/>
      <c r="I321" s="29"/>
      <c r="J321" s="25" t="s">
        <v>1117</v>
      </c>
      <c r="K321" s="30"/>
      <c r="L321" s="35"/>
      <c r="M321" s="28"/>
      <c r="N321" s="28"/>
      <c r="O321" s="28"/>
      <c r="P321" s="28"/>
      <c r="Q321" s="28"/>
      <c r="R321" s="28"/>
      <c r="S321" s="28"/>
      <c r="T321" s="28"/>
      <c r="U321" s="28"/>
      <c r="V321" s="28"/>
      <c r="W321" s="28"/>
      <c r="X321" s="28"/>
      <c r="Y321" s="28"/>
      <c r="Z321" s="28"/>
      <c r="AA321" s="28"/>
      <c r="AB321" s="28"/>
    </row>
    <row r="322">
      <c r="A322" s="21" t="s">
        <v>1118</v>
      </c>
      <c r="B322" s="22" t="s">
        <v>1119</v>
      </c>
      <c r="C322" s="23" t="str">
        <f>IFERROR(__xludf.DUMMYFUNCTION("GOOGLETRANSLATE(B322, ""en"", ""fr"")"),"Arme de mêlée. Pousse les choses un espace quand il frappe.")</f>
        <v>Arme de mêlée. Pousse les choses un espace quand il frappe.</v>
      </c>
      <c r="D322" s="23"/>
      <c r="E322" s="29"/>
      <c r="F322" s="23" t="s">
        <v>1120</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1121</v>
      </c>
      <c r="B323" s="22" t="s">
        <v>1122</v>
      </c>
      <c r="C323" s="23" t="str">
        <f>IFERROR(__xludf.DUMMYFUNCTION("GOOGLETRANSLATE(B323, ""en"", ""fr"")"),"armure d'Iron")</f>
        <v>armure d'Iron</v>
      </c>
      <c r="D323" s="23"/>
      <c r="E323" s="29"/>
      <c r="F323" s="23" t="s">
        <v>1123</v>
      </c>
      <c r="G323" s="29"/>
      <c r="H323" s="36"/>
      <c r="I323" s="29"/>
      <c r="J323" s="25" t="s">
        <v>1124</v>
      </c>
      <c r="K323" s="30"/>
      <c r="L323" s="35"/>
      <c r="M323" s="28"/>
      <c r="N323" s="28"/>
      <c r="O323" s="28"/>
      <c r="P323" s="28"/>
      <c r="Q323" s="28"/>
      <c r="R323" s="28"/>
      <c r="S323" s="28"/>
      <c r="T323" s="28"/>
      <c r="U323" s="28"/>
      <c r="V323" s="28"/>
      <c r="W323" s="28"/>
      <c r="X323" s="28"/>
      <c r="Y323" s="28"/>
      <c r="Z323" s="28"/>
      <c r="AA323" s="28"/>
      <c r="AB323" s="28"/>
    </row>
    <row r="324">
      <c r="A324" s="21" t="s">
        <v>1125</v>
      </c>
      <c r="B324" s="22" t="s">
        <v>1126</v>
      </c>
      <c r="C324" s="23" t="str">
        <f>IFERROR(__xludf.DUMMYFUNCTION("GOOGLETRANSLATE(B324, ""en"", ""fr"")"),"armure de base pour réduire les dégâts subis. Augmente votre stat Melee tout porté.")</f>
        <v>armure de base pour réduire les dégâts subis. Augmente votre stat Melee tout porté.</v>
      </c>
      <c r="D324" s="23"/>
      <c r="E324" s="29"/>
      <c r="F324" s="23" t="s">
        <v>1127</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1128</v>
      </c>
      <c r="B325" s="22" t="s">
        <v>1129</v>
      </c>
      <c r="C325" s="23" t="str">
        <f>IFERROR(__xludf.DUMMYFUNCTION("GOOGLETRANSLATE(B325, ""en"", ""fr"")"),"Dungium hache de guerre")</f>
        <v>Dungium hache de guerre</v>
      </c>
      <c r="D325" s="23"/>
      <c r="E325" s="29"/>
      <c r="F325" s="23" t="s">
        <v>1130</v>
      </c>
      <c r="G325" s="29"/>
      <c r="H325" s="36"/>
      <c r="I325" s="29"/>
      <c r="J325" s="25" t="s">
        <v>1131</v>
      </c>
      <c r="K325" s="30"/>
      <c r="L325" s="35"/>
      <c r="M325" s="28"/>
      <c r="N325" s="28"/>
      <c r="O325" s="28"/>
      <c r="P325" s="28"/>
      <c r="Q325" s="28"/>
      <c r="R325" s="28"/>
      <c r="S325" s="28"/>
      <c r="T325" s="28"/>
      <c r="U325" s="28"/>
      <c r="V325" s="28"/>
      <c r="W325" s="28"/>
      <c r="X325" s="28"/>
      <c r="Y325" s="28"/>
      <c r="Z325" s="28"/>
      <c r="AA325" s="28"/>
      <c r="AB325" s="28"/>
    </row>
    <row r="326">
      <c r="A326" s="21" t="s">
        <v>1132</v>
      </c>
      <c r="B326" s="22" t="s">
        <v>1081</v>
      </c>
      <c r="C326" s="23" t="str">
        <f>IFERROR(__xludf.DUMMYFUNCTION("GOOGLETRANSLATE(B326, ""en"", ""fr"")"),"Utilisé pour abattre des arbres pour le bois.")</f>
        <v>Utilisé pour abattre des arbres pour le bois.</v>
      </c>
      <c r="D326" s="23"/>
      <c r="E326" s="29"/>
      <c r="F326" s="23" t="s">
        <v>1133</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1134</v>
      </c>
      <c r="B327" s="22" t="s">
        <v>1135</v>
      </c>
      <c r="C327" s="23" t="str">
        <f>IFERROR(__xludf.DUMMYFUNCTION("GOOGLETRANSLATE(B327, ""en"", ""fr"")"),"Dungium pickaxe")</f>
        <v>Dungium pickaxe</v>
      </c>
      <c r="D327" s="23"/>
      <c r="E327" s="29"/>
      <c r="F327" s="23" t="s">
        <v>1136</v>
      </c>
      <c r="G327" s="29"/>
      <c r="H327" s="36"/>
      <c r="I327" s="29"/>
      <c r="J327" s="25" t="s">
        <v>1137</v>
      </c>
      <c r="K327" s="30"/>
      <c r="L327" s="35"/>
      <c r="M327" s="28"/>
      <c r="N327" s="28"/>
      <c r="O327" s="28"/>
      <c r="P327" s="28"/>
      <c r="Q327" s="28"/>
      <c r="R327" s="28"/>
      <c r="S327" s="28"/>
      <c r="T327" s="28"/>
      <c r="U327" s="28"/>
      <c r="V327" s="28"/>
      <c r="W327" s="28"/>
      <c r="X327" s="28"/>
      <c r="Y327" s="28"/>
      <c r="Z327" s="28"/>
      <c r="AA327" s="28"/>
      <c r="AB327" s="28"/>
    </row>
    <row r="328">
      <c r="A328" s="21" t="s">
        <v>1138</v>
      </c>
      <c r="B328" s="22" t="s">
        <v>1090</v>
      </c>
      <c r="C328" s="23" t="str">
        <f>IFERROR(__xludf.DUMMYFUNCTION("GOOGLETRANSLATE(B328, ""en"", ""fr"")"),"Utilisé pour les roches de la mine pour le minerai.")</f>
        <v>Utilisé pour les roches de la mine pour le minerai.</v>
      </c>
      <c r="D328" s="23"/>
      <c r="E328" s="29"/>
      <c r="F328" s="23" t="s">
        <v>1139</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1140</v>
      </c>
      <c r="B329" s="22" t="s">
        <v>1141</v>
      </c>
      <c r="C329" s="23" t="str">
        <f>IFERROR(__xludf.DUMMYFUNCTION("GOOGLETRANSLATE(B329, ""en"", ""fr"")"),"flèches Dungium")</f>
        <v>flèches Dungium</v>
      </c>
      <c r="D329" s="23"/>
      <c r="E329" s="29"/>
      <c r="F329" s="23" t="s">
        <v>1142</v>
      </c>
      <c r="G329" s="29"/>
      <c r="H329" s="36"/>
      <c r="I329" s="29"/>
      <c r="J329" s="25" t="s">
        <v>1143</v>
      </c>
      <c r="K329" s="30"/>
      <c r="L329" s="35"/>
      <c r="M329" s="28"/>
      <c r="N329" s="28"/>
      <c r="O329" s="28"/>
      <c r="P329" s="28"/>
      <c r="Q329" s="28"/>
      <c r="R329" s="28"/>
      <c r="S329" s="28"/>
      <c r="T329" s="28"/>
      <c r="U329" s="28"/>
      <c r="V329" s="28"/>
      <c r="W329" s="28"/>
      <c r="X329" s="28"/>
      <c r="Y329" s="28"/>
      <c r="Z329" s="28"/>
      <c r="AA329" s="28"/>
      <c r="AB329" s="28"/>
    </row>
    <row r="330">
      <c r="A330" s="21" t="s">
        <v>1144</v>
      </c>
      <c r="B330" s="22" t="s">
        <v>1098</v>
      </c>
      <c r="C330" s="23" t="str">
        <f>IFERROR(__xludf.DUMMYFUNCTION("GOOGLETRANSLATE(B330, ""en"", ""fr"")"),"Utilisé comme munitions pour un arc.")</f>
        <v>Utilisé comme munitions pour un arc.</v>
      </c>
      <c r="D330" s="23"/>
      <c r="E330" s="29"/>
      <c r="F330" s="23" t="s">
        <v>1145</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1146</v>
      </c>
      <c r="B331" s="22" t="s">
        <v>1147</v>
      </c>
      <c r="C331" s="23" t="str">
        <f>IFERROR(__xludf.DUMMYFUNCTION("GOOGLETRANSLATE(B331, ""en"", ""fr"")"),"poignard Dungium")</f>
        <v>poignard Dungium</v>
      </c>
      <c r="D331" s="23"/>
      <c r="E331" s="29"/>
      <c r="F331" s="23" t="s">
        <v>1148</v>
      </c>
      <c r="G331" s="29"/>
      <c r="H331" s="36"/>
      <c r="I331" s="29"/>
      <c r="J331" s="25" t="s">
        <v>1149</v>
      </c>
      <c r="K331" s="30"/>
      <c r="L331" s="35"/>
      <c r="M331" s="28"/>
      <c r="N331" s="28"/>
      <c r="O331" s="28"/>
      <c r="P331" s="28"/>
      <c r="Q331" s="28"/>
      <c r="R331" s="28"/>
      <c r="S331" s="28"/>
      <c r="T331" s="28"/>
      <c r="U331" s="28"/>
      <c r="V331" s="28"/>
      <c r="W331" s="28"/>
      <c r="X331" s="28"/>
      <c r="Y331" s="28"/>
      <c r="Z331" s="28"/>
      <c r="AA331" s="28"/>
      <c r="AB331" s="28"/>
    </row>
    <row r="332">
      <c r="A332" s="21" t="s">
        <v>1150</v>
      </c>
      <c r="B332" s="22" t="s">
        <v>1105</v>
      </c>
      <c r="C332" s="23" t="str">
        <f>IFERROR(__xludf.DUMMYFUNCTION("GOOGLETRANSLATE(B332,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2" s="23"/>
      <c r="E332" s="29"/>
      <c r="F332" s="23" t="s">
        <v>1151</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1152</v>
      </c>
      <c r="B333" s="22" t="s">
        <v>1153</v>
      </c>
      <c r="C333" s="23" t="str">
        <f>IFERROR(__xludf.DUMMYFUNCTION("GOOGLETRANSLATE(B333, ""en"", ""fr"")"),"épée Dungium")</f>
        <v>épée Dungium</v>
      </c>
      <c r="D333" s="23"/>
      <c r="E333" s="29"/>
      <c r="F333" s="23" t="s">
        <v>1154</v>
      </c>
      <c r="G333" s="29"/>
      <c r="H333" s="36"/>
      <c r="I333" s="29"/>
      <c r="J333" s="25" t="s">
        <v>1155</v>
      </c>
      <c r="K333" s="30"/>
      <c r="L333" s="35"/>
      <c r="M333" s="28"/>
      <c r="N333" s="28"/>
      <c r="O333" s="28"/>
      <c r="P333" s="28"/>
      <c r="Q333" s="28"/>
      <c r="R333" s="28"/>
      <c r="S333" s="28"/>
      <c r="T333" s="28"/>
      <c r="U333" s="28"/>
      <c r="V333" s="28"/>
      <c r="W333" s="28"/>
      <c r="X333" s="28"/>
      <c r="Y333" s="28"/>
      <c r="Z333" s="28"/>
      <c r="AA333" s="28"/>
      <c r="AB333" s="28"/>
    </row>
    <row r="334">
      <c r="A334" s="21" t="s">
        <v>1156</v>
      </c>
      <c r="B334" s="22" t="s">
        <v>1112</v>
      </c>
      <c r="C334" s="23" t="str">
        <f>IFERROR(__xludf.DUMMYFUNCTION("GOOGLETRANSLATE(B334, ""en"", ""fr"")"),"Arme de mêlée. Utilisé pour attaquer une courte distance dans la direction que vous faites face.")</f>
        <v>Arme de mêlée. Utilisé pour attaquer une courte distance dans la direction que vous faites face.</v>
      </c>
      <c r="D334" s="23"/>
      <c r="E334" s="29"/>
      <c r="F334" s="23" t="s">
        <v>1157</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1158</v>
      </c>
      <c r="B335" s="22" t="s">
        <v>1159</v>
      </c>
      <c r="C335" s="23" t="str">
        <f>IFERROR(__xludf.DUMMYFUNCTION("GOOGLETRANSLATE(B335, ""en"", ""fr"")"),"marteau Dungium")</f>
        <v>marteau Dungium</v>
      </c>
      <c r="D335" s="23"/>
      <c r="E335" s="29"/>
      <c r="F335" s="23" t="s">
        <v>1160</v>
      </c>
      <c r="G335" s="29"/>
      <c r="H335" s="36"/>
      <c r="I335" s="29"/>
      <c r="J335" s="25" t="s">
        <v>1161</v>
      </c>
      <c r="K335" s="30"/>
      <c r="L335" s="35"/>
      <c r="M335" s="28"/>
      <c r="N335" s="28"/>
      <c r="O335" s="28"/>
      <c r="P335" s="28"/>
      <c r="Q335" s="28"/>
      <c r="R335" s="28"/>
      <c r="S335" s="28"/>
      <c r="T335" s="28"/>
      <c r="U335" s="28"/>
      <c r="V335" s="28"/>
      <c r="W335" s="28"/>
      <c r="X335" s="28"/>
      <c r="Y335" s="28"/>
      <c r="Z335" s="28"/>
      <c r="AA335" s="28"/>
      <c r="AB335" s="28"/>
    </row>
    <row r="336">
      <c r="A336" s="21" t="s">
        <v>1162</v>
      </c>
      <c r="B336" s="22" t="s">
        <v>1119</v>
      </c>
      <c r="C336" s="23" t="str">
        <f>IFERROR(__xludf.DUMMYFUNCTION("GOOGLETRANSLATE(B336, ""en"", ""fr"")"),"Arme de mêlée. Pousse les choses un espace quand il frappe.")</f>
        <v>Arme de mêlée. Pousse les choses un espace quand il frappe.</v>
      </c>
      <c r="D336" s="23"/>
      <c r="E336" s="29"/>
      <c r="F336" s="23" t="s">
        <v>1163</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1164</v>
      </c>
      <c r="B337" s="22" t="s">
        <v>1165</v>
      </c>
      <c r="C337" s="23" t="str">
        <f>IFERROR(__xludf.DUMMYFUNCTION("GOOGLETRANSLATE(B337, ""en"", ""fr"")"),"armure Dungium")</f>
        <v>armure Dungium</v>
      </c>
      <c r="D337" s="23"/>
      <c r="E337" s="29"/>
      <c r="F337" s="23" t="s">
        <v>1166</v>
      </c>
      <c r="G337" s="29"/>
      <c r="H337" s="36"/>
      <c r="I337" s="29"/>
      <c r="J337" s="25" t="s">
        <v>1167</v>
      </c>
      <c r="K337" s="30"/>
      <c r="L337" s="35"/>
      <c r="M337" s="28"/>
      <c r="N337" s="28"/>
      <c r="O337" s="28"/>
      <c r="P337" s="28"/>
      <c r="Q337" s="28"/>
      <c r="R337" s="28"/>
      <c r="S337" s="28"/>
      <c r="T337" s="28"/>
      <c r="U337" s="28"/>
      <c r="V337" s="28"/>
      <c r="W337" s="28"/>
      <c r="X337" s="28"/>
      <c r="Y337" s="28"/>
      <c r="Z337" s="28"/>
      <c r="AA337" s="28"/>
      <c r="AB337" s="28"/>
    </row>
    <row r="338">
      <c r="A338" s="21" t="s">
        <v>1168</v>
      </c>
      <c r="B338" s="22" t="s">
        <v>1169</v>
      </c>
      <c r="C338" s="23" t="str">
        <f>IFERROR(__xludf.DUMMYFUNCTION("GOOGLETRANSLATE(B338, ""en"", ""fr"")"),"blindage haute durabilité avec un bon bonus de défense. Augmente légèrement votre stat Melee tout porté.")</f>
        <v>blindage haute durabilité avec un bon bonus de défense. Augmente légèrement votre stat Melee tout porté.</v>
      </c>
      <c r="D338" s="23"/>
      <c r="E338" s="29"/>
      <c r="F338" s="23" t="s">
        <v>1170</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1171</v>
      </c>
      <c r="B339" s="22" t="s">
        <v>1172</v>
      </c>
      <c r="C339" s="23" t="str">
        <f>IFERROR(__xludf.DUMMYFUNCTION("GOOGLETRANSLATE(B339, ""en"", ""fr"")"),"Noctis hache de guerre")</f>
        <v>Noctis hache de guerre</v>
      </c>
      <c r="D339" s="23"/>
      <c r="E339" s="29"/>
      <c r="F339" s="23" t="s">
        <v>1173</v>
      </c>
      <c r="G339" s="29"/>
      <c r="H339" s="36"/>
      <c r="I339" s="29"/>
      <c r="J339" s="25" t="s">
        <v>1174</v>
      </c>
      <c r="K339" s="30"/>
      <c r="L339" s="35"/>
      <c r="M339" s="28"/>
      <c r="N339" s="28"/>
      <c r="O339" s="28"/>
      <c r="P339" s="28"/>
      <c r="Q339" s="28"/>
      <c r="R339" s="28"/>
      <c r="S339" s="28"/>
      <c r="T339" s="28"/>
      <c r="U339" s="28"/>
      <c r="V339" s="28"/>
      <c r="W339" s="28"/>
      <c r="X339" s="28"/>
      <c r="Y339" s="28"/>
      <c r="Z339" s="28"/>
      <c r="AA339" s="28"/>
      <c r="AB339" s="28"/>
    </row>
    <row r="340">
      <c r="A340" s="21" t="s">
        <v>1175</v>
      </c>
      <c r="B340" s="22" t="s">
        <v>1081</v>
      </c>
      <c r="C340" s="23" t="str">
        <f>IFERROR(__xludf.DUMMYFUNCTION("GOOGLETRANSLATE(B340, ""en"", ""fr"")"),"Utilisé pour abattre des arbres pour le bois.")</f>
        <v>Utilisé pour abattre des arbres pour le bois.</v>
      </c>
      <c r="D340" s="23"/>
      <c r="E340" s="29"/>
      <c r="F340" s="23" t="s">
        <v>1176</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1177</v>
      </c>
      <c r="B341" s="22" t="s">
        <v>1178</v>
      </c>
      <c r="C341" s="23" t="str">
        <f>IFERROR(__xludf.DUMMYFUNCTION("GOOGLETRANSLATE(B341, ""en"", ""fr"")"),"Noctis pickaxe")</f>
        <v>Noctis pickaxe</v>
      </c>
      <c r="D341" s="23"/>
      <c r="E341" s="29"/>
      <c r="F341" s="23" t="s">
        <v>1179</v>
      </c>
      <c r="G341" s="29"/>
      <c r="H341" s="36"/>
      <c r="I341" s="29"/>
      <c r="J341" s="25" t="s">
        <v>1180</v>
      </c>
      <c r="K341" s="30"/>
      <c r="L341" s="35"/>
      <c r="M341" s="28"/>
      <c r="N341" s="28"/>
      <c r="O341" s="28"/>
      <c r="P341" s="28"/>
      <c r="Q341" s="28"/>
      <c r="R341" s="28"/>
      <c r="S341" s="28"/>
      <c r="T341" s="28"/>
      <c r="U341" s="28"/>
      <c r="V341" s="28"/>
      <c r="W341" s="28"/>
      <c r="X341" s="28"/>
      <c r="Y341" s="28"/>
      <c r="Z341" s="28"/>
      <c r="AA341" s="28"/>
      <c r="AB341" s="28"/>
    </row>
    <row r="342">
      <c r="A342" s="21" t="s">
        <v>1181</v>
      </c>
      <c r="B342" s="22" t="s">
        <v>1090</v>
      </c>
      <c r="C342" s="23" t="str">
        <f>IFERROR(__xludf.DUMMYFUNCTION("GOOGLETRANSLATE(B342, ""en"", ""fr"")"),"Utilisé pour les roches de la mine pour le minerai.")</f>
        <v>Utilisé pour les roches de la mine pour le minerai.</v>
      </c>
      <c r="D342" s="23"/>
      <c r="E342" s="29"/>
      <c r="F342" s="23" t="s">
        <v>1182</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1183</v>
      </c>
      <c r="B343" s="22" t="s">
        <v>1184</v>
      </c>
      <c r="C343" s="23" t="str">
        <f>IFERROR(__xludf.DUMMYFUNCTION("GOOGLETRANSLATE(B343, ""en"", ""fr"")"),"flèches noctis")</f>
        <v>flèches noctis</v>
      </c>
      <c r="D343" s="23"/>
      <c r="E343" s="29"/>
      <c r="F343" s="23" t="s">
        <v>1185</v>
      </c>
      <c r="G343" s="29"/>
      <c r="H343" s="36"/>
      <c r="I343" s="29"/>
      <c r="J343" s="25" t="s">
        <v>1186</v>
      </c>
      <c r="K343" s="30"/>
      <c r="L343" s="35"/>
      <c r="M343" s="28"/>
      <c r="N343" s="28"/>
      <c r="O343" s="28"/>
      <c r="P343" s="28"/>
      <c r="Q343" s="28"/>
      <c r="R343" s="28"/>
      <c r="S343" s="28"/>
      <c r="T343" s="28"/>
      <c r="U343" s="28"/>
      <c r="V343" s="28"/>
      <c r="W343" s="28"/>
      <c r="X343" s="28"/>
      <c r="Y343" s="28"/>
      <c r="Z343" s="28"/>
      <c r="AA343" s="28"/>
      <c r="AB343" s="28"/>
    </row>
    <row r="344">
      <c r="A344" s="21" t="s">
        <v>1187</v>
      </c>
      <c r="B344" s="22" t="s">
        <v>1098</v>
      </c>
      <c r="C344" s="23" t="str">
        <f>IFERROR(__xludf.DUMMYFUNCTION("GOOGLETRANSLATE(B344, ""en"", ""fr"")"),"Utilisé comme munitions pour un arc.")</f>
        <v>Utilisé comme munitions pour un arc.</v>
      </c>
      <c r="D344" s="23"/>
      <c r="E344" s="29"/>
      <c r="F344" s="23" t="s">
        <v>1188</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1189</v>
      </c>
      <c r="B345" s="22" t="s">
        <v>1190</v>
      </c>
      <c r="C345" s="23" t="str">
        <f>IFERROR(__xludf.DUMMYFUNCTION("GOOGLETRANSLATE(B345, ""en"", ""fr"")"),"poignard Noctis")</f>
        <v>poignard Noctis</v>
      </c>
      <c r="D345" s="23"/>
      <c r="E345" s="29"/>
      <c r="F345" s="23" t="s">
        <v>1191</v>
      </c>
      <c r="G345" s="29"/>
      <c r="H345" s="36"/>
      <c r="I345" s="29"/>
      <c r="J345" s="25" t="s">
        <v>1192</v>
      </c>
      <c r="K345" s="30"/>
      <c r="L345" s="35"/>
      <c r="M345" s="28"/>
      <c r="N345" s="28"/>
      <c r="O345" s="28"/>
      <c r="P345" s="28"/>
      <c r="Q345" s="28"/>
      <c r="R345" s="28"/>
      <c r="S345" s="28"/>
      <c r="T345" s="28"/>
      <c r="U345" s="28"/>
      <c r="V345" s="28"/>
      <c r="W345" s="28"/>
      <c r="X345" s="28"/>
      <c r="Y345" s="28"/>
      <c r="Z345" s="28"/>
      <c r="AA345" s="28"/>
      <c r="AB345" s="28"/>
    </row>
    <row r="346">
      <c r="A346" s="21" t="s">
        <v>1193</v>
      </c>
      <c r="B346" s="22" t="s">
        <v>1105</v>
      </c>
      <c r="C346" s="23" t="str">
        <f>IFERROR(__xludf.DUMMYFUNCTION("GOOGLETRANSLATE(B346,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6" s="23"/>
      <c r="E346" s="29"/>
      <c r="F346" s="23" t="s">
        <v>1151</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1194</v>
      </c>
      <c r="B347" s="22" t="s">
        <v>1195</v>
      </c>
      <c r="C347" s="23" t="str">
        <f>IFERROR(__xludf.DUMMYFUNCTION("GOOGLETRANSLATE(B347, ""en"", ""fr"")"),"épée Noctis")</f>
        <v>épée Noctis</v>
      </c>
      <c r="D347" s="23"/>
      <c r="E347" s="29"/>
      <c r="F347" s="23" t="s">
        <v>1196</v>
      </c>
      <c r="G347" s="29"/>
      <c r="H347" s="36"/>
      <c r="I347" s="29"/>
      <c r="J347" s="25" t="s">
        <v>1197</v>
      </c>
      <c r="K347" s="30"/>
      <c r="L347" s="35"/>
      <c r="M347" s="28"/>
      <c r="N347" s="28"/>
      <c r="O347" s="28"/>
      <c r="P347" s="28"/>
      <c r="Q347" s="28"/>
      <c r="R347" s="28"/>
      <c r="S347" s="28"/>
      <c r="T347" s="28"/>
      <c r="U347" s="28"/>
      <c r="V347" s="28"/>
      <c r="W347" s="28"/>
      <c r="X347" s="28"/>
      <c r="Y347" s="28"/>
      <c r="Z347" s="28"/>
      <c r="AA347" s="28"/>
      <c r="AB347" s="28"/>
    </row>
    <row r="348">
      <c r="A348" s="21" t="s">
        <v>1198</v>
      </c>
      <c r="B348" s="22" t="s">
        <v>1112</v>
      </c>
      <c r="C348" s="23" t="str">
        <f>IFERROR(__xludf.DUMMYFUNCTION("GOOGLETRANSLATE(B348, ""en"", ""fr"")"),"Arme de mêlée. Utilisé pour attaquer une courte distance dans la direction que vous faites face.")</f>
        <v>Arme de mêlée. Utilisé pour attaquer une courte distance dans la direction que vous faites face.</v>
      </c>
      <c r="D348" s="23"/>
      <c r="E348" s="29"/>
      <c r="F348" s="23" t="s">
        <v>1157</v>
      </c>
      <c r="G348" s="29"/>
      <c r="H348" s="36"/>
      <c r="I348" s="29"/>
      <c r="J348" s="30"/>
      <c r="K348" s="30"/>
      <c r="L348" s="35"/>
      <c r="M348" s="28"/>
      <c r="N348" s="28"/>
      <c r="O348" s="28"/>
      <c r="P348" s="28"/>
      <c r="Q348" s="28"/>
      <c r="R348" s="28"/>
      <c r="S348" s="28"/>
      <c r="T348" s="28"/>
      <c r="U348" s="28"/>
      <c r="V348" s="28"/>
      <c r="W348" s="28"/>
      <c r="X348" s="28"/>
      <c r="Y348" s="28"/>
      <c r="Z348" s="28"/>
      <c r="AA348" s="28"/>
      <c r="AB348" s="28"/>
    </row>
    <row r="349">
      <c r="A349" s="21" t="s">
        <v>1199</v>
      </c>
      <c r="B349" s="22" t="s">
        <v>1200</v>
      </c>
      <c r="C349" s="23" t="str">
        <f>IFERROR(__xludf.DUMMYFUNCTION("GOOGLETRANSLATE(B349, ""en"", ""fr"")"),"marteau Noctis")</f>
        <v>marteau Noctis</v>
      </c>
      <c r="D349" s="23"/>
      <c r="E349" s="29"/>
      <c r="F349" s="23" t="s">
        <v>1201</v>
      </c>
      <c r="G349" s="29"/>
      <c r="H349" s="36"/>
      <c r="I349" s="29"/>
      <c r="J349" s="25" t="s">
        <v>1202</v>
      </c>
      <c r="K349" s="30"/>
      <c r="L349" s="35"/>
      <c r="M349" s="28"/>
      <c r="N349" s="28"/>
      <c r="O349" s="28"/>
      <c r="P349" s="28"/>
      <c r="Q349" s="28"/>
      <c r="R349" s="28"/>
      <c r="S349" s="28"/>
      <c r="T349" s="28"/>
      <c r="U349" s="28"/>
      <c r="V349" s="28"/>
      <c r="W349" s="28"/>
      <c r="X349" s="28"/>
      <c r="Y349" s="28"/>
      <c r="Z349" s="28"/>
      <c r="AA349" s="28"/>
      <c r="AB349" s="28"/>
    </row>
    <row r="350">
      <c r="A350" s="21" t="s">
        <v>1203</v>
      </c>
      <c r="B350" s="22" t="s">
        <v>1119</v>
      </c>
      <c r="C350" s="23" t="str">
        <f>IFERROR(__xludf.DUMMYFUNCTION("GOOGLETRANSLATE(B350, ""en"", ""fr"")"),"Arme de mêlée. Pousse les choses un espace quand il frappe.")</f>
        <v>Arme de mêlée. Pousse les choses un espace quand il frappe.</v>
      </c>
      <c r="D350" s="23"/>
      <c r="E350" s="29"/>
      <c r="F350" s="23" t="s">
        <v>1204</v>
      </c>
      <c r="G350" s="29"/>
      <c r="H350" s="36"/>
      <c r="I350" s="29"/>
      <c r="J350" s="30"/>
      <c r="K350" s="30"/>
      <c r="L350" s="35"/>
      <c r="M350" s="28"/>
      <c r="N350" s="28"/>
      <c r="O350" s="28"/>
      <c r="P350" s="28"/>
      <c r="Q350" s="28"/>
      <c r="R350" s="28"/>
      <c r="S350" s="28"/>
      <c r="T350" s="28"/>
      <c r="U350" s="28"/>
      <c r="V350" s="28"/>
      <c r="W350" s="28"/>
      <c r="X350" s="28"/>
      <c r="Y350" s="28"/>
      <c r="Z350" s="28"/>
      <c r="AA350" s="28"/>
      <c r="AB350" s="28"/>
    </row>
    <row r="351">
      <c r="A351" s="21" t="s">
        <v>1205</v>
      </c>
      <c r="B351" s="22" t="s">
        <v>1206</v>
      </c>
      <c r="C351" s="23" t="str">
        <f>IFERROR(__xludf.DUMMYFUNCTION("GOOGLETRANSLATE(B351, ""en"", ""fr"")"),"armure Noctis")</f>
        <v>armure Noctis</v>
      </c>
      <c r="D351" s="23"/>
      <c r="E351" s="29"/>
      <c r="F351" s="23" t="s">
        <v>1207</v>
      </c>
      <c r="G351" s="29"/>
      <c r="H351" s="36"/>
      <c r="I351" s="29"/>
      <c r="J351" s="25" t="s">
        <v>1208</v>
      </c>
      <c r="K351" s="30"/>
      <c r="L351" s="35"/>
      <c r="M351" s="28"/>
      <c r="N351" s="28"/>
      <c r="O351" s="28"/>
      <c r="P351" s="28"/>
      <c r="Q351" s="28"/>
      <c r="R351" s="28"/>
      <c r="S351" s="28"/>
      <c r="T351" s="28"/>
      <c r="U351" s="28"/>
      <c r="V351" s="28"/>
      <c r="W351" s="28"/>
      <c r="X351" s="28"/>
      <c r="Y351" s="28"/>
      <c r="Z351" s="28"/>
      <c r="AA351" s="28"/>
      <c r="AB351" s="28"/>
    </row>
    <row r="352">
      <c r="A352" s="21" t="s">
        <v>1209</v>
      </c>
      <c r="B352" s="22" t="s">
        <v>1210</v>
      </c>
      <c r="C352" s="23" t="str">
        <f>IFERROR(__xludf.DUMMYFUNCTION("GOOGLETRANSLATE(B352, ""en"", ""fr"")"),"armure agressif avec un bon bonus de défense, mais une faible durabilité. Grandement augmente votre stat Melee tout porté.")</f>
        <v>armure agressif avec un bon bonus de défense, mais une faible durabilité. Grandement augmente votre stat Melee tout porté.</v>
      </c>
      <c r="D352" s="23"/>
      <c r="E352" s="29"/>
      <c r="F352" s="23" t="s">
        <v>1211</v>
      </c>
      <c r="G352" s="29"/>
      <c r="H352" s="36"/>
      <c r="I352" s="29"/>
      <c r="J352" s="30"/>
      <c r="K352" s="30"/>
      <c r="L352" s="35"/>
      <c r="M352" s="28"/>
      <c r="N352" s="28"/>
      <c r="O352" s="28"/>
      <c r="P352" s="28"/>
      <c r="Q352" s="28"/>
      <c r="R352" s="28"/>
      <c r="S352" s="28"/>
      <c r="T352" s="28"/>
      <c r="U352" s="28"/>
      <c r="V352" s="28"/>
      <c r="W352" s="28"/>
      <c r="X352" s="28"/>
      <c r="Y352" s="28"/>
      <c r="Z352" s="28"/>
      <c r="AA352" s="28"/>
      <c r="AB352" s="28"/>
    </row>
    <row r="353">
      <c r="A353" s="21" t="s">
        <v>1212</v>
      </c>
      <c r="B353" s="22" t="s">
        <v>1213</v>
      </c>
      <c r="C353" s="23" t="str">
        <f>IFERROR(__xludf.DUMMYFUNCTION("GOOGLETRANSLATE(B353, ""en"", ""fr"")"),"vampire Croc")</f>
        <v>vampire Croc</v>
      </c>
      <c r="D353" s="23"/>
      <c r="E353" s="29"/>
      <c r="F353" s="23" t="s">
        <v>1214</v>
      </c>
      <c r="G353" s="29"/>
      <c r="H353" s="36"/>
      <c r="I353" s="29"/>
      <c r="J353" s="25" t="s">
        <v>1215</v>
      </c>
      <c r="K353" s="30"/>
      <c r="L353" s="35"/>
      <c r="M353" s="28"/>
      <c r="N353" s="28"/>
      <c r="O353" s="28"/>
      <c r="P353" s="28"/>
      <c r="Q353" s="28"/>
      <c r="R353" s="28"/>
      <c r="S353" s="28"/>
      <c r="T353" s="28"/>
      <c r="U353" s="28"/>
      <c r="V353" s="28"/>
      <c r="W353" s="28"/>
      <c r="X353" s="28"/>
      <c r="Y353" s="28"/>
      <c r="Z353" s="28"/>
      <c r="AA353" s="28"/>
      <c r="AB353" s="28"/>
    </row>
    <row r="354">
      <c r="A354" s="21" t="s">
        <v>1216</v>
      </c>
      <c r="B354" s="22" t="s">
        <v>1217</v>
      </c>
      <c r="C354" s="23" t="str">
        <f>IFERROR(__xludf.DUMMYFUNCTION("GOOGLETRANSLATE(B354, ""en"", ""fr"")"),"Arme de mêlée. Ne peut endommager les créatures adjacentes, mais vous guérit quand il frappe.")</f>
        <v>Arme de mêlée. Ne peut endommager les créatures adjacentes, mais vous guérit quand il frappe.</v>
      </c>
      <c r="D354" s="23"/>
      <c r="E354" s="29"/>
      <c r="F354" s="23" t="s">
        <v>1218</v>
      </c>
      <c r="G354" s="29"/>
      <c r="H354" s="36"/>
      <c r="I354" s="29"/>
      <c r="J354" s="25" t="s">
        <v>1219</v>
      </c>
      <c r="K354" s="30"/>
      <c r="L354" s="35"/>
      <c r="M354" s="28"/>
      <c r="N354" s="28"/>
      <c r="O354" s="28"/>
      <c r="P354" s="28"/>
      <c r="Q354" s="28"/>
      <c r="R354" s="28"/>
      <c r="S354" s="28"/>
      <c r="T354" s="28"/>
      <c r="U354" s="28"/>
      <c r="V354" s="28"/>
      <c r="W354" s="28"/>
      <c r="X354" s="28"/>
      <c r="Y354" s="28"/>
      <c r="Z354" s="28"/>
      <c r="AA354" s="28"/>
      <c r="AB354" s="28"/>
    </row>
    <row r="355">
      <c r="A355" s="21" t="s">
        <v>1220</v>
      </c>
      <c r="B355" s="22" t="s">
        <v>1221</v>
      </c>
      <c r="C355" s="23" t="str">
        <f>IFERROR(__xludf.DUMMYFUNCTION("GOOGLETRANSLATE(B355, ""en"", ""fr"")"),"chêne arc")</f>
        <v>chêne arc</v>
      </c>
      <c r="D355" s="23"/>
      <c r="E355" s="29"/>
      <c r="F355" s="23" t="s">
        <v>1222</v>
      </c>
      <c r="G355" s="29"/>
      <c r="H355" s="36"/>
      <c r="I355" s="29"/>
      <c r="J355" s="25" t="s">
        <v>1223</v>
      </c>
      <c r="K355" s="30"/>
      <c r="L355" s="35"/>
      <c r="M355" s="28"/>
      <c r="N355" s="28"/>
      <c r="O355" s="28"/>
      <c r="P355" s="28"/>
      <c r="Q355" s="28"/>
      <c r="R355" s="28"/>
      <c r="S355" s="28"/>
      <c r="T355" s="28"/>
      <c r="U355" s="28"/>
      <c r="V355" s="28"/>
      <c r="W355" s="28"/>
      <c r="X355" s="28"/>
      <c r="Y355" s="28"/>
      <c r="Z355" s="28"/>
      <c r="AA355" s="28"/>
      <c r="AB355" s="28"/>
    </row>
    <row r="356">
      <c r="A356" s="21" t="s">
        <v>1224</v>
      </c>
      <c r="B356" s="22" t="s">
        <v>1225</v>
      </c>
      <c r="C356" s="23" t="str">
        <f>IFERROR(__xludf.DUMMYFUNCTION("GOOGLETRANSLATE(B356, ""en"", ""fr"")"),"Une arme longue portée de base aux flèches de tirer.")</f>
        <v>Une arme longue portée de base aux flèches de tirer.</v>
      </c>
      <c r="D356" s="23"/>
      <c r="E356" s="29"/>
      <c r="F356" s="23" t="s">
        <v>1226</v>
      </c>
      <c r="G356" s="29"/>
      <c r="H356" s="36"/>
      <c r="I356" s="29"/>
      <c r="J356" s="25" t="s">
        <v>1227</v>
      </c>
      <c r="K356" s="30"/>
      <c r="L356" s="35"/>
      <c r="M356" s="28"/>
      <c r="N356" s="28"/>
      <c r="O356" s="28"/>
      <c r="P356" s="28"/>
      <c r="Q356" s="28"/>
      <c r="R356" s="28"/>
      <c r="S356" s="28"/>
      <c r="T356" s="28"/>
      <c r="U356" s="28"/>
      <c r="V356" s="28"/>
      <c r="W356" s="28"/>
      <c r="X356" s="28"/>
      <c r="Y356" s="28"/>
      <c r="Z356" s="28"/>
      <c r="AA356" s="28"/>
      <c r="AB356" s="28"/>
    </row>
    <row r="357">
      <c r="A357" s="21" t="s">
        <v>1228</v>
      </c>
      <c r="B357" s="22" t="s">
        <v>1229</v>
      </c>
      <c r="C357" s="23" t="str">
        <f>IFERROR(__xludf.DUMMYFUNCTION("GOOGLETRANSLATE(B357, ""en"", ""fr"")"),"shuriken")</f>
        <v>shuriken</v>
      </c>
      <c r="D357" s="23"/>
      <c r="E357" s="29"/>
      <c r="F357" s="23" t="s">
        <v>1230</v>
      </c>
      <c r="G357" s="29"/>
      <c r="H357" s="36"/>
      <c r="I357" s="29"/>
      <c r="J357" s="25" t="s">
        <v>1231</v>
      </c>
      <c r="K357" s="30"/>
      <c r="L357" s="35"/>
      <c r="M357" s="28"/>
      <c r="N357" s="28"/>
      <c r="O357" s="28"/>
      <c r="P357" s="28"/>
      <c r="Q357" s="28"/>
      <c r="R357" s="28"/>
      <c r="S357" s="28"/>
      <c r="T357" s="28"/>
      <c r="U357" s="28"/>
      <c r="V357" s="28"/>
      <c r="W357" s="28"/>
      <c r="X357" s="28"/>
      <c r="Y357" s="28"/>
      <c r="Z357" s="28"/>
      <c r="AA357" s="28"/>
      <c r="AB357" s="28"/>
    </row>
    <row r="358">
      <c r="A358" s="21" t="s">
        <v>1232</v>
      </c>
      <c r="B358" s="22" t="s">
        <v>1233</v>
      </c>
      <c r="C358" s="23" t="str">
        <f>IFERROR(__xludf.DUMMYFUNCTION("GOOGLETRANSLATE(B358, ""en"", ""fr"")"),"Un milieu en mouvement rapide arme à distance.")</f>
        <v>Un milieu en mouvement rapide arme à distance.</v>
      </c>
      <c r="D358" s="23"/>
      <c r="E358" s="29"/>
      <c r="F358" s="23" t="s">
        <v>1234</v>
      </c>
      <c r="G358" s="29"/>
      <c r="H358" s="36"/>
      <c r="I358" s="29"/>
      <c r="J358" s="25" t="s">
        <v>1235</v>
      </c>
      <c r="K358" s="30"/>
      <c r="L358" s="35"/>
      <c r="M358" s="28"/>
      <c r="N358" s="28"/>
      <c r="O358" s="28"/>
      <c r="P358" s="28"/>
      <c r="Q358" s="28"/>
      <c r="R358" s="28"/>
      <c r="S358" s="28"/>
      <c r="T358" s="28"/>
      <c r="U358" s="28"/>
      <c r="V358" s="28"/>
      <c r="W358" s="28"/>
      <c r="X358" s="28"/>
      <c r="Y358" s="28"/>
      <c r="Z358" s="28"/>
      <c r="AA358" s="28"/>
      <c r="AB358" s="28"/>
    </row>
    <row r="359">
      <c r="A359" s="21" t="s">
        <v>1236</v>
      </c>
      <c r="B359" s="22" t="s">
        <v>1237</v>
      </c>
      <c r="C359" s="23" t="str">
        <f>IFERROR(__xludf.DUMMYFUNCTION("GOOGLETRANSLATE(B359, ""en"", ""fr"")"),"petit bijou d'incendie")</f>
        <v>petit bijou d'incendie</v>
      </c>
      <c r="D359" s="23"/>
      <c r="E359" s="29"/>
      <c r="F359" s="23" t="s">
        <v>1238</v>
      </c>
      <c r="G359" s="29"/>
      <c r="H359" s="36"/>
      <c r="I359" s="29"/>
      <c r="J359" s="25" t="s">
        <v>1239</v>
      </c>
      <c r="K359" s="30"/>
      <c r="L359" s="35"/>
      <c r="M359" s="28"/>
      <c r="N359" s="28"/>
      <c r="O359" s="28"/>
      <c r="P359" s="28"/>
      <c r="Q359" s="28"/>
      <c r="R359" s="28"/>
      <c r="S359" s="28"/>
      <c r="T359" s="28"/>
      <c r="U359" s="28"/>
      <c r="V359" s="28"/>
      <c r="W359" s="28"/>
      <c r="X359" s="28"/>
      <c r="Y359" s="28"/>
      <c r="Z359" s="28"/>
      <c r="AA359" s="28"/>
      <c r="AB359" s="28"/>
    </row>
    <row r="360">
      <c r="A360" s="21" t="s">
        <v>1240</v>
      </c>
      <c r="B360" s="22" t="s">
        <v>1241</v>
      </c>
      <c r="C360" s="23" t="str">
        <f>IFERROR(__xludf.DUMMYFUNCTION("GOOGLETRANSLATE(B360, ""en"", ""fr"")"),"Utilisé pour des objets d'artisanat avec un effet de feu.")</f>
        <v>Utilisé pour des objets d'artisanat avec un effet de feu.</v>
      </c>
      <c r="D360" s="23"/>
      <c r="E360" s="29"/>
      <c r="F360" s="23" t="s">
        <v>1242</v>
      </c>
      <c r="G360" s="29"/>
      <c r="H360" s="36"/>
      <c r="I360" s="29"/>
      <c r="J360" s="25" t="s">
        <v>1243</v>
      </c>
      <c r="K360" s="30"/>
      <c r="L360" s="35"/>
      <c r="M360" s="28"/>
      <c r="N360" s="28"/>
      <c r="O360" s="28"/>
      <c r="P360" s="28"/>
      <c r="Q360" s="28"/>
      <c r="R360" s="28"/>
      <c r="S360" s="28"/>
      <c r="T360" s="28"/>
      <c r="U360" s="28"/>
      <c r="V360" s="28"/>
      <c r="W360" s="28"/>
      <c r="X360" s="28"/>
      <c r="Y360" s="28"/>
      <c r="Z360" s="28"/>
      <c r="AA360" s="28"/>
      <c r="AB360" s="28"/>
    </row>
    <row r="361">
      <c r="A361" s="21" t="s">
        <v>1244</v>
      </c>
      <c r="B361" s="22" t="s">
        <v>1245</v>
      </c>
      <c r="C361" s="23" t="str">
        <f>IFERROR(__xludf.DUMMYFUNCTION("GOOGLETRANSLATE(B361, ""en"", ""fr"")"),"joyau du vent")</f>
        <v>joyau du vent</v>
      </c>
      <c r="D361" s="23"/>
      <c r="E361" s="29"/>
      <c r="F361" s="23" t="s">
        <v>1246</v>
      </c>
      <c r="G361" s="29"/>
      <c r="H361" s="36"/>
      <c r="I361" s="29"/>
      <c r="J361" s="25" t="s">
        <v>1247</v>
      </c>
      <c r="K361" s="30"/>
      <c r="L361" s="35"/>
      <c r="M361" s="28"/>
      <c r="N361" s="28"/>
      <c r="O361" s="28"/>
      <c r="P361" s="28"/>
      <c r="Q361" s="28"/>
      <c r="R361" s="28"/>
      <c r="S361" s="28"/>
      <c r="T361" s="28"/>
      <c r="U361" s="28"/>
      <c r="V361" s="28"/>
      <c r="W361" s="28"/>
      <c r="X361" s="28"/>
      <c r="Y361" s="28"/>
      <c r="Z361" s="28"/>
      <c r="AA361" s="28"/>
      <c r="AB361" s="28"/>
    </row>
    <row r="362">
      <c r="A362" s="21" t="s">
        <v>1248</v>
      </c>
      <c r="B362" s="22" t="s">
        <v>1249</v>
      </c>
      <c r="C362" s="23" t="str">
        <f>IFERROR(__xludf.DUMMYFUNCTION("GOOGLETRANSLATE(B362, ""en"", ""fr"")"),"Utilisé pour des objets d'artisanat avec un effet du vent.")</f>
        <v>Utilisé pour des objets d'artisanat avec un effet du vent.</v>
      </c>
      <c r="D362" s="23"/>
      <c r="E362" s="29"/>
      <c r="F362" s="23" t="s">
        <v>1250</v>
      </c>
      <c r="G362" s="29"/>
      <c r="H362" s="36"/>
      <c r="I362" s="29"/>
      <c r="J362" s="25" t="s">
        <v>1251</v>
      </c>
      <c r="K362" s="30"/>
      <c r="L362" s="35"/>
      <c r="M362" s="28"/>
      <c r="N362" s="28"/>
      <c r="O362" s="28"/>
      <c r="P362" s="28"/>
      <c r="Q362" s="28"/>
      <c r="R362" s="28"/>
      <c r="S362" s="28"/>
      <c r="T362" s="28"/>
      <c r="U362" s="28"/>
      <c r="V362" s="28"/>
      <c r="W362" s="28"/>
      <c r="X362" s="28"/>
      <c r="Y362" s="28"/>
      <c r="Z362" s="28"/>
      <c r="AA362" s="28"/>
      <c r="AB362" s="28"/>
    </row>
    <row r="363">
      <c r="A363" s="21" t="s">
        <v>1252</v>
      </c>
      <c r="B363" s="22" t="s">
        <v>1253</v>
      </c>
      <c r="C363" s="23" t="str">
        <f>IFERROR(__xludf.DUMMYFUNCTION("GOOGLETRANSLATE(B363, ""en"", ""fr"")"),"petit bijou de sang")</f>
        <v>petit bijou de sang</v>
      </c>
      <c r="D363" s="23"/>
      <c r="E363" s="29"/>
      <c r="F363" s="23" t="s">
        <v>1254</v>
      </c>
      <c r="G363" s="29"/>
      <c r="H363" s="36"/>
      <c r="I363" s="29"/>
      <c r="J363" s="25" t="s">
        <v>1255</v>
      </c>
      <c r="K363" s="30"/>
      <c r="L363" s="35"/>
      <c r="M363" s="28"/>
      <c r="N363" s="28"/>
      <c r="O363" s="28"/>
      <c r="P363" s="28"/>
      <c r="Q363" s="28"/>
      <c r="R363" s="28"/>
      <c r="S363" s="28"/>
      <c r="T363" s="28"/>
      <c r="U363" s="28"/>
      <c r="V363" s="28"/>
      <c r="W363" s="28"/>
      <c r="X363" s="28"/>
      <c r="Y363" s="28"/>
      <c r="Z363" s="28"/>
      <c r="AA363" s="28"/>
      <c r="AB363" s="28"/>
    </row>
    <row r="364">
      <c r="A364" s="21" t="s">
        <v>1256</v>
      </c>
      <c r="B364" s="22" t="s">
        <v>1257</v>
      </c>
      <c r="C364" s="23" t="str">
        <f>IFERROR(__xludf.DUMMYFUNCTION("GOOGLETRANSLATE(B364, ""en"", ""fr"")"),"Utilisé pour des objets d'artisanat avec un effet lifesteal.")</f>
        <v>Utilisé pour des objets d'artisanat avec un effet lifesteal.</v>
      </c>
      <c r="D364" s="23"/>
      <c r="E364" s="29"/>
      <c r="F364" s="23" t="s">
        <v>1258</v>
      </c>
      <c r="G364" s="29"/>
      <c r="H364" s="36"/>
      <c r="I364" s="29"/>
      <c r="J364" s="25" t="s">
        <v>1259</v>
      </c>
      <c r="K364" s="30"/>
      <c r="L364" s="35"/>
      <c r="M364" s="28"/>
      <c r="N364" s="28"/>
      <c r="O364" s="28"/>
      <c r="P364" s="28"/>
      <c r="Q364" s="28"/>
      <c r="R364" s="28"/>
      <c r="S364" s="28"/>
      <c r="T364" s="28"/>
      <c r="U364" s="28"/>
      <c r="V364" s="28"/>
      <c r="W364" s="28"/>
      <c r="X364" s="28"/>
      <c r="Y364" s="28"/>
      <c r="Z364" s="28"/>
      <c r="AA364" s="28"/>
      <c r="AB364" s="28"/>
    </row>
    <row r="365">
      <c r="A365" s="21" t="s">
        <v>1260</v>
      </c>
      <c r="B365" s="22" t="s">
        <v>1261</v>
      </c>
      <c r="C365" s="23" t="str">
        <f>IFERROR(__xludf.DUMMYFUNCTION("GOOGLETRANSLATE(B365, ""en"", ""fr"")"),"Le personnel d'incendie")</f>
        <v>Le personnel d'incendie</v>
      </c>
      <c r="D365" s="23"/>
      <c r="E365" s="29"/>
      <c r="F365" s="23" t="s">
        <v>1262</v>
      </c>
      <c r="G365" s="29"/>
      <c r="H365" s="36"/>
      <c r="I365" s="29"/>
      <c r="J365" s="25" t="s">
        <v>1263</v>
      </c>
      <c r="K365" s="30"/>
      <c r="L365" s="35"/>
      <c r="M365" s="28"/>
      <c r="N365" s="28"/>
      <c r="O365" s="28"/>
      <c r="P365" s="28"/>
      <c r="Q365" s="28"/>
      <c r="R365" s="28"/>
      <c r="S365" s="28"/>
      <c r="T365" s="28"/>
      <c r="U365" s="28"/>
      <c r="V365" s="28"/>
      <c r="W365" s="28"/>
      <c r="X365" s="28"/>
      <c r="Y365" s="28"/>
      <c r="Z365" s="28"/>
      <c r="AA365" s="28"/>
      <c r="AB365" s="28"/>
    </row>
    <row r="366">
      <c r="A366" s="21" t="s">
        <v>1264</v>
      </c>
      <c r="B366" s="22" t="s">
        <v>1265</v>
      </c>
      <c r="C366" s="23" t="str">
        <f>IFERROR(__xludf.DUMMYFUNCTION("GOOGLETRANSLATE(B366, ""en"", ""fr"")"),"Shoots feu qui inflige des blessures.")</f>
        <v>Shoots feu qui inflige des blessures.</v>
      </c>
      <c r="D366" s="23"/>
      <c r="E366" s="29"/>
      <c r="F366" s="23" t="s">
        <v>1266</v>
      </c>
      <c r="G366" s="29"/>
      <c r="H366" s="36"/>
      <c r="I366" s="29"/>
      <c r="J366" s="25" t="s">
        <v>1267</v>
      </c>
      <c r="K366" s="30"/>
      <c r="L366" s="35"/>
      <c r="M366" s="28"/>
      <c r="N366" s="28"/>
      <c r="O366" s="28"/>
      <c r="P366" s="28"/>
      <c r="Q366" s="28"/>
      <c r="R366" s="28"/>
      <c r="S366" s="28"/>
      <c r="T366" s="28"/>
      <c r="U366" s="28"/>
      <c r="V366" s="28"/>
      <c r="W366" s="28"/>
      <c r="X366" s="28"/>
      <c r="Y366" s="28"/>
      <c r="Z366" s="28"/>
      <c r="AA366" s="28"/>
      <c r="AB366" s="28"/>
    </row>
    <row r="367">
      <c r="A367" s="21" t="s">
        <v>1268</v>
      </c>
      <c r="B367" s="22" t="s">
        <v>1269</v>
      </c>
      <c r="C367" s="23" t="str">
        <f>IFERROR(__xludf.DUMMYFUNCTION("GOOGLETRANSLATE(B367, ""en"", ""fr"")"),"Super personnel d'incendie")</f>
        <v>Super personnel d'incendie</v>
      </c>
      <c r="D367" s="23"/>
      <c r="E367" s="29"/>
      <c r="F367" s="23" t="s">
        <v>1270</v>
      </c>
      <c r="G367" s="29"/>
      <c r="H367" s="36"/>
      <c r="I367" s="29"/>
      <c r="J367" s="25" t="s">
        <v>1271</v>
      </c>
      <c r="K367" s="30"/>
      <c r="L367" s="35"/>
      <c r="M367" s="28"/>
      <c r="N367" s="28"/>
      <c r="O367" s="28"/>
      <c r="P367" s="28"/>
      <c r="Q367" s="28"/>
      <c r="R367" s="28"/>
      <c r="S367" s="28"/>
      <c r="T367" s="28"/>
      <c r="U367" s="28"/>
      <c r="V367" s="28"/>
      <c r="W367" s="28"/>
      <c r="X367" s="28"/>
      <c r="Y367" s="28"/>
      <c r="Z367" s="28"/>
      <c r="AA367" s="28"/>
      <c r="AB367" s="28"/>
    </row>
    <row r="368">
      <c r="A368" s="21" t="s">
        <v>1272</v>
      </c>
      <c r="B368" s="22" t="s">
        <v>1273</v>
      </c>
      <c r="C368" s="23" t="str">
        <f>IFERROR(__xludf.DUMMYFUNCTION("GOOGLETRANSLATE(B368, ""en"", ""fr"")"),"Shoots feu qui tire plus de feu.")</f>
        <v>Shoots feu qui tire plus de feu.</v>
      </c>
      <c r="D368" s="23"/>
      <c r="E368" s="29"/>
      <c r="F368" s="23" t="s">
        <v>1274</v>
      </c>
      <c r="G368" s="29"/>
      <c r="H368" s="36"/>
      <c r="I368" s="29"/>
      <c r="J368" s="25" t="s">
        <v>1275</v>
      </c>
      <c r="K368" s="30"/>
      <c r="L368" s="35"/>
      <c r="M368" s="28"/>
      <c r="N368" s="28"/>
      <c r="O368" s="28"/>
      <c r="P368" s="28"/>
      <c r="Q368" s="28"/>
      <c r="R368" s="28"/>
      <c r="S368" s="28"/>
      <c r="T368" s="28"/>
      <c r="U368" s="28"/>
      <c r="V368" s="28"/>
      <c r="W368" s="28"/>
      <c r="X368" s="28"/>
      <c r="Y368" s="28"/>
      <c r="Z368" s="28"/>
      <c r="AA368" s="28"/>
      <c r="AB368" s="28"/>
    </row>
    <row r="369">
      <c r="A369" s="21" t="s">
        <v>1276</v>
      </c>
      <c r="B369" s="22" t="s">
        <v>1277</v>
      </c>
      <c r="C369" s="23" t="str">
        <f>IFERROR(__xludf.DUMMYFUNCTION("GOOGLETRANSLATE(B369, ""en"", ""fr"")"),"Le personnel du vent")</f>
        <v>Le personnel du vent</v>
      </c>
      <c r="D369" s="23"/>
      <c r="E369" s="29"/>
      <c r="F369" s="23" t="s">
        <v>1278</v>
      </c>
      <c r="G369" s="29"/>
      <c r="H369" s="36"/>
      <c r="I369" s="29"/>
      <c r="J369" s="25" t="s">
        <v>1279</v>
      </c>
      <c r="K369" s="30"/>
      <c r="L369" s="35"/>
      <c r="M369" s="28"/>
      <c r="N369" s="28"/>
      <c r="O369" s="28"/>
      <c r="P369" s="28"/>
      <c r="Q369" s="28"/>
      <c r="R369" s="28"/>
      <c r="S369" s="28"/>
      <c r="T369" s="28"/>
      <c r="U369" s="28"/>
      <c r="V369" s="28"/>
      <c r="W369" s="28"/>
      <c r="X369" s="28"/>
      <c r="Y369" s="28"/>
      <c r="Z369" s="28"/>
      <c r="AA369" s="28"/>
      <c r="AB369" s="28"/>
    </row>
    <row r="370">
      <c r="A370" s="21" t="s">
        <v>1280</v>
      </c>
      <c r="B370" s="22" t="s">
        <v>1281</v>
      </c>
      <c r="C370" s="23" t="str">
        <f>IFERROR(__xludf.DUMMYFUNCTION("GOOGLETRANSLATE(B370, ""en"", ""fr"")"),"Shoots vent qui frappe les choses.")</f>
        <v>Shoots vent qui frappe les choses.</v>
      </c>
      <c r="D370" s="23"/>
      <c r="E370" s="29"/>
      <c r="F370" s="23" t="s">
        <v>1282</v>
      </c>
      <c r="G370" s="29"/>
      <c r="H370" s="36"/>
      <c r="I370" s="29"/>
      <c r="J370" s="25" t="s">
        <v>1283</v>
      </c>
      <c r="K370" s="30"/>
      <c r="L370" s="35"/>
      <c r="M370" s="28"/>
      <c r="N370" s="28"/>
      <c r="O370" s="28"/>
      <c r="P370" s="28"/>
      <c r="Q370" s="28"/>
      <c r="R370" s="28"/>
      <c r="S370" s="28"/>
      <c r="T370" s="28"/>
      <c r="U370" s="28"/>
      <c r="V370" s="28"/>
      <c r="W370" s="28"/>
      <c r="X370" s="28"/>
      <c r="Y370" s="28"/>
      <c r="Z370" s="28"/>
      <c r="AA370" s="28"/>
      <c r="AB370" s="28"/>
    </row>
    <row r="371">
      <c r="A371" s="21" t="s">
        <v>1284</v>
      </c>
      <c r="B371" s="22" t="s">
        <v>1285</v>
      </c>
      <c r="C371" s="23" t="str">
        <f>IFERROR(__xludf.DUMMYFUNCTION("GOOGLETRANSLATE(B371, ""en"", ""fr"")"),"Super personnel du vent")</f>
        <v>Super personnel du vent</v>
      </c>
      <c r="D371" s="23"/>
      <c r="E371" s="29"/>
      <c r="F371" s="23" t="s">
        <v>1286</v>
      </c>
      <c r="G371" s="29"/>
      <c r="H371" s="36"/>
      <c r="I371" s="29"/>
      <c r="J371" s="25" t="s">
        <v>1287</v>
      </c>
      <c r="K371" s="30"/>
      <c r="L371" s="35"/>
      <c r="M371" s="28"/>
      <c r="N371" s="28"/>
      <c r="O371" s="28"/>
      <c r="P371" s="28"/>
      <c r="Q371" s="28"/>
      <c r="R371" s="28"/>
      <c r="S371" s="28"/>
      <c r="T371" s="28"/>
      <c r="U371" s="28"/>
      <c r="V371" s="28"/>
      <c r="W371" s="28"/>
      <c r="X371" s="28"/>
      <c r="Y371" s="28"/>
      <c r="Z371" s="28"/>
      <c r="AA371" s="28"/>
      <c r="AB371" s="28"/>
    </row>
    <row r="372">
      <c r="A372" s="21" t="s">
        <v>1288</v>
      </c>
      <c r="B372" s="22" t="s">
        <v>1289</v>
      </c>
      <c r="C372" s="23" t="str">
        <f>IFERROR(__xludf.DUMMYFUNCTION("GOOGLETRANSLATE(B372, ""en"", ""fr"")"),"Shoots vent qui tire plus de vent.")</f>
        <v>Shoots vent qui tire plus de vent.</v>
      </c>
      <c r="D372" s="23"/>
      <c r="E372" s="29"/>
      <c r="F372" s="23" t="s">
        <v>1290</v>
      </c>
      <c r="G372" s="29"/>
      <c r="H372" s="36"/>
      <c r="I372" s="29"/>
      <c r="J372" s="25" t="s">
        <v>1291</v>
      </c>
      <c r="K372" s="30"/>
      <c r="L372" s="35"/>
      <c r="M372" s="28"/>
      <c r="N372" s="28"/>
      <c r="O372" s="28"/>
      <c r="P372" s="28"/>
      <c r="Q372" s="28"/>
      <c r="R372" s="28"/>
      <c r="S372" s="28"/>
      <c r="T372" s="28"/>
      <c r="U372" s="28"/>
      <c r="V372" s="28"/>
      <c r="W372" s="28"/>
      <c r="X372" s="28"/>
      <c r="Y372" s="28"/>
      <c r="Z372" s="28"/>
      <c r="AA372" s="28"/>
      <c r="AB372" s="28"/>
    </row>
    <row r="373">
      <c r="A373" s="21" t="s">
        <v>1292</v>
      </c>
      <c r="B373" s="22" t="s">
        <v>1293</v>
      </c>
      <c r="C373" s="23" t="str">
        <f>IFERROR(__xludf.DUMMYFUNCTION("GOOGLETRANSLATE(B373, ""en"", ""fr"")"),"Le personnel de sang")</f>
        <v>Le personnel de sang</v>
      </c>
      <c r="D373" s="23"/>
      <c r="E373" s="29"/>
      <c r="F373" s="23" t="s">
        <v>1294</v>
      </c>
      <c r="G373" s="29"/>
      <c r="H373" s="36"/>
      <c r="I373" s="29"/>
      <c r="J373" s="25" t="s">
        <v>1295</v>
      </c>
      <c r="K373" s="30"/>
      <c r="L373" s="35"/>
      <c r="M373" s="28"/>
      <c r="N373" s="28"/>
      <c r="O373" s="28"/>
      <c r="P373" s="28"/>
      <c r="Q373" s="28"/>
      <c r="R373" s="28"/>
      <c r="S373" s="28"/>
      <c r="T373" s="28"/>
      <c r="U373" s="28"/>
      <c r="V373" s="28"/>
      <c r="W373" s="28"/>
      <c r="X373" s="28"/>
      <c r="Y373" s="28"/>
      <c r="Z373" s="28"/>
      <c r="AA373" s="28"/>
      <c r="AB373" s="28"/>
    </row>
    <row r="374">
      <c r="A374" s="21" t="s">
        <v>1296</v>
      </c>
      <c r="B374" s="22" t="s">
        <v>1297</v>
      </c>
      <c r="C374" s="23" t="str">
        <f>IFERROR(__xludf.DUMMYFUNCTION("GOOGLETRANSLATE(B374, ""en"", ""fr"")"),"Shoots un projectile qui vole hitpoints. Consomme hitpoints lorsqu'il est utilisé.")</f>
        <v>Shoots un projectile qui vole hitpoints. Consomme hitpoints lorsqu'il est utilisé.</v>
      </c>
      <c r="D374" s="23"/>
      <c r="E374" s="29"/>
      <c r="F374" s="23" t="s">
        <v>1298</v>
      </c>
      <c r="G374" s="29"/>
      <c r="H374" s="36"/>
      <c r="I374" s="29"/>
      <c r="J374" s="25" t="s">
        <v>1299</v>
      </c>
      <c r="K374" s="30"/>
      <c r="L374" s="35"/>
      <c r="M374" s="28"/>
      <c r="N374" s="28"/>
      <c r="O374" s="28"/>
      <c r="P374" s="28"/>
      <c r="Q374" s="28"/>
      <c r="R374" s="28"/>
      <c r="S374" s="28"/>
      <c r="T374" s="28"/>
      <c r="U374" s="28"/>
      <c r="V374" s="28"/>
      <c r="W374" s="28"/>
      <c r="X374" s="28"/>
      <c r="Y374" s="28"/>
      <c r="Z374" s="28"/>
      <c r="AA374" s="28"/>
      <c r="AB374" s="28"/>
    </row>
    <row r="375">
      <c r="A375" s="21" t="s">
        <v>1300</v>
      </c>
      <c r="B375" s="22" t="s">
        <v>1301</v>
      </c>
      <c r="C375" s="23" t="str">
        <f>IFERROR(__xludf.DUMMYFUNCTION("GOOGLETRANSLATE(B375, ""en"", ""fr"")"),"Super personnel de sang")</f>
        <v>Super personnel de sang</v>
      </c>
      <c r="D375" s="23"/>
      <c r="E375" s="29"/>
      <c r="F375" s="23" t="s">
        <v>1302</v>
      </c>
      <c r="G375" s="29"/>
      <c r="H375" s="36"/>
      <c r="I375" s="29"/>
      <c r="J375" s="25" t="s">
        <v>1303</v>
      </c>
      <c r="K375" s="30"/>
      <c r="L375" s="35"/>
      <c r="M375" s="28"/>
      <c r="N375" s="28"/>
      <c r="O375" s="28"/>
      <c r="P375" s="28"/>
      <c r="Q375" s="28"/>
      <c r="R375" s="28"/>
      <c r="S375" s="28"/>
      <c r="T375" s="28"/>
      <c r="U375" s="28"/>
      <c r="V375" s="28"/>
      <c r="W375" s="28"/>
      <c r="X375" s="28"/>
      <c r="Y375" s="28"/>
      <c r="Z375" s="28"/>
      <c r="AA375" s="28"/>
      <c r="AB375" s="28"/>
    </row>
    <row r="376">
      <c r="A376" s="21" t="s">
        <v>1304</v>
      </c>
      <c r="B376" s="22" t="s">
        <v>1305</v>
      </c>
      <c r="C376" s="23" t="str">
        <f>IFERROR(__xludf.DUMMYFUNCTION("GOOGLETRANSLATE(B376, ""en"", ""fr"")"),"Shoots un projectile qui tire des projectiles lifesteal plus lifesteal.")</f>
        <v>Shoots un projectile qui tire des projectiles lifesteal plus lifesteal.</v>
      </c>
      <c r="D376" s="23"/>
      <c r="E376" s="29"/>
      <c r="F376" s="23" t="s">
        <v>1306</v>
      </c>
      <c r="G376" s="29"/>
      <c r="H376" s="36"/>
      <c r="I376" s="29"/>
      <c r="J376" s="25" t="s">
        <v>1307</v>
      </c>
      <c r="K376" s="30"/>
      <c r="L376" s="35"/>
      <c r="M376" s="28"/>
      <c r="N376" s="28"/>
      <c r="O376" s="28"/>
      <c r="P376" s="28"/>
      <c r="Q376" s="28"/>
      <c r="R376" s="28"/>
      <c r="S376" s="28"/>
      <c r="T376" s="28"/>
      <c r="U376" s="28"/>
      <c r="V376" s="28"/>
      <c r="W376" s="28"/>
      <c r="X376" s="28"/>
      <c r="Y376" s="28"/>
      <c r="Z376" s="28"/>
      <c r="AA376" s="28"/>
      <c r="AB376" s="28"/>
    </row>
    <row r="377">
      <c r="A377" s="21" t="s">
        <v>1308</v>
      </c>
      <c r="B377" s="22" t="s">
        <v>1309</v>
      </c>
      <c r="C377" s="23" t="str">
        <f>IFERROR(__xludf.DUMMYFUNCTION("GOOGLETRANSLATE(B377, ""en"", ""fr"")"),"livre blanc")</f>
        <v>livre blanc</v>
      </c>
      <c r="D377" s="23"/>
      <c r="E377" s="29"/>
      <c r="F377" s="23" t="s">
        <v>1310</v>
      </c>
      <c r="G377" s="29"/>
      <c r="H377" s="36"/>
      <c r="I377" s="29"/>
      <c r="J377" s="25" t="s">
        <v>1311</v>
      </c>
      <c r="K377" s="30"/>
      <c r="L377" s="35"/>
      <c r="M377" s="28"/>
      <c r="N377" s="28"/>
      <c r="O377" s="28"/>
      <c r="P377" s="28"/>
      <c r="Q377" s="28"/>
      <c r="R377" s="28"/>
      <c r="S377" s="28"/>
      <c r="T377" s="28"/>
      <c r="U377" s="28"/>
      <c r="V377" s="28"/>
      <c r="W377" s="28"/>
      <c r="X377" s="28"/>
      <c r="Y377" s="28"/>
      <c r="Z377" s="28"/>
      <c r="AA377" s="28"/>
      <c r="AB377" s="28"/>
    </row>
    <row r="378">
      <c r="A378" s="21" t="s">
        <v>1312</v>
      </c>
      <c r="B378" s="22" t="s">
        <v>1313</v>
      </c>
      <c r="C378" s="23" t="str">
        <f>IFERROR(__xludf.DUMMYFUNCTION("GOOGLETRANSLATE(B378, ""en"", ""fr"")"),"Un livre de pages vides. Peut être enchanté à l'aide de pierres précieuses.")</f>
        <v>Un livre de pages vides. Peut être enchanté à l'aide de pierres précieuses.</v>
      </c>
      <c r="D378" s="23"/>
      <c r="E378" s="29"/>
      <c r="F378" s="23" t="s">
        <v>1314</v>
      </c>
      <c r="G378" s="29"/>
      <c r="H378" s="36"/>
      <c r="I378" s="29"/>
      <c r="J378" s="25" t="s">
        <v>1315</v>
      </c>
      <c r="K378" s="30"/>
      <c r="L378" s="35"/>
      <c r="M378" s="28"/>
      <c r="N378" s="28"/>
      <c r="O378" s="28"/>
      <c r="P378" s="28"/>
      <c r="Q378" s="28"/>
      <c r="R378" s="28"/>
      <c r="S378" s="28"/>
      <c r="T378" s="28"/>
      <c r="U378" s="28"/>
      <c r="V378" s="28"/>
      <c r="W378" s="28"/>
      <c r="X378" s="28"/>
      <c r="Y378" s="28"/>
      <c r="Z378" s="28"/>
      <c r="AA378" s="28"/>
      <c r="AB378" s="28"/>
    </row>
    <row r="379">
      <c r="A379" s="21" t="s">
        <v>1316</v>
      </c>
      <c r="B379" s="22" t="s">
        <v>1317</v>
      </c>
      <c r="C379" s="23" t="str">
        <f>IFERROR(__xludf.DUMMYFUNCTION("GOOGLETRANSLATE(B379, ""en"", ""fr"")"),"Livre de lumière")</f>
        <v>Livre de lumière</v>
      </c>
      <c r="D379" s="23"/>
      <c r="E379" s="29"/>
      <c r="F379" s="23" t="s">
        <v>1318</v>
      </c>
      <c r="G379" s="29"/>
      <c r="H379" s="36"/>
      <c r="I379" s="29"/>
      <c r="J379" s="25" t="s">
        <v>1319</v>
      </c>
      <c r="K379" s="30"/>
      <c r="L379" s="35"/>
      <c r="M379" s="28"/>
      <c r="N379" s="28"/>
      <c r="O379" s="28"/>
      <c r="P379" s="28"/>
      <c r="Q379" s="28"/>
      <c r="R379" s="28"/>
      <c r="S379" s="28"/>
      <c r="T379" s="28"/>
      <c r="U379" s="28"/>
      <c r="V379" s="28"/>
      <c r="W379" s="28"/>
      <c r="X379" s="28"/>
      <c r="Y379" s="28"/>
      <c r="Z379" s="28"/>
      <c r="AA379" s="28"/>
      <c r="AB379" s="28"/>
    </row>
    <row r="380">
      <c r="A380" s="21" t="s">
        <v>1320</v>
      </c>
      <c r="B380" s="22" t="s">
        <v>1321</v>
      </c>
      <c r="C380" s="23" t="str">
        <f>IFERROR(__xludf.DUMMYFUNCTION("GOOGLETRANSLATE(B380, ""en"", ""fr"")"),"Un livre de sorts de soutien.")</f>
        <v>Un livre de sorts de soutien.</v>
      </c>
      <c r="D380" s="23"/>
      <c r="E380" s="29"/>
      <c r="F380" s="23" t="s">
        <v>1322</v>
      </c>
      <c r="G380" s="29"/>
      <c r="H380" s="36"/>
      <c r="I380" s="29"/>
      <c r="J380" s="25" t="s">
        <v>1323</v>
      </c>
      <c r="K380" s="30"/>
      <c r="L380" s="35"/>
      <c r="M380" s="28"/>
      <c r="N380" s="28"/>
      <c r="O380" s="28"/>
      <c r="P380" s="28"/>
      <c r="Q380" s="28"/>
      <c r="R380" s="28"/>
      <c r="S380" s="28"/>
      <c r="T380" s="28"/>
      <c r="U380" s="28"/>
      <c r="V380" s="28"/>
      <c r="W380" s="28"/>
      <c r="X380" s="28"/>
      <c r="Y380" s="28"/>
      <c r="Z380" s="28"/>
      <c r="AA380" s="28"/>
      <c r="AB380" s="28"/>
    </row>
    <row r="381">
      <c r="A381" s="21" t="s">
        <v>1324</v>
      </c>
      <c r="B381" s="22" t="s">
        <v>1325</v>
      </c>
      <c r="C381" s="23" t="str">
        <f>IFERROR(__xludf.DUMMYFUNCTION("GOOGLETRANSLATE(B381, ""en"", ""fr"")"),"Livre des âmes")</f>
        <v>Livre des âmes</v>
      </c>
      <c r="D381" s="23"/>
      <c r="E381" s="29"/>
      <c r="F381" s="23" t="s">
        <v>1326</v>
      </c>
      <c r="G381" s="29"/>
      <c r="H381" s="36"/>
      <c r="I381" s="29"/>
      <c r="J381" s="25" t="s">
        <v>1327</v>
      </c>
      <c r="K381" s="30"/>
      <c r="L381" s="35"/>
      <c r="M381" s="28"/>
      <c r="N381" s="28"/>
      <c r="O381" s="28"/>
      <c r="P381" s="28"/>
      <c r="Q381" s="28"/>
      <c r="R381" s="28"/>
      <c r="S381" s="28"/>
      <c r="T381" s="28"/>
      <c r="U381" s="28"/>
      <c r="V381" s="28"/>
      <c r="W381" s="28"/>
      <c r="X381" s="28"/>
      <c r="Y381" s="28"/>
      <c r="Z381" s="28"/>
      <c r="AA381" s="28"/>
      <c r="AB381" s="28"/>
    </row>
    <row r="382">
      <c r="A382" s="21" t="s">
        <v>1328</v>
      </c>
      <c r="B382" s="22" t="s">
        <v>1329</v>
      </c>
      <c r="C382" s="23" t="str">
        <f>IFERROR(__xludf.DUMMYFUNCTION("GOOGLETRANSLATE(B382, ""en"", ""fr"")"),"Un livre de sorts d'invocation.")</f>
        <v>Un livre de sorts d'invocation.</v>
      </c>
      <c r="D382" s="23"/>
      <c r="E382" s="29"/>
      <c r="F382" s="23" t="s">
        <v>1330</v>
      </c>
      <c r="G382" s="29"/>
      <c r="H382" s="36"/>
      <c r="I382" s="29"/>
      <c r="J382" s="25" t="s">
        <v>1331</v>
      </c>
      <c r="K382" s="30"/>
      <c r="L382" s="35"/>
      <c r="M382" s="28"/>
      <c r="N382" s="28"/>
      <c r="O382" s="28"/>
      <c r="P382" s="28"/>
      <c r="Q382" s="28"/>
      <c r="R382" s="28"/>
      <c r="S382" s="28"/>
      <c r="T382" s="28"/>
      <c r="U382" s="28"/>
      <c r="V382" s="28"/>
      <c r="W382" s="28"/>
      <c r="X382" s="28"/>
      <c r="Y382" s="28"/>
      <c r="Z382" s="28"/>
      <c r="AA382" s="28"/>
      <c r="AB382" s="28"/>
    </row>
    <row r="383">
      <c r="A383" s="21" t="s">
        <v>1332</v>
      </c>
      <c r="B383" s="22" t="s">
        <v>1333</v>
      </c>
      <c r="C383" s="23" t="str">
        <f>IFERROR(__xludf.DUMMYFUNCTION("GOOGLETRANSLATE(B383, ""en"", ""fr"")"),"flèches d'os")</f>
        <v>flèches d'os</v>
      </c>
      <c r="D383" s="23" t="s">
        <v>1334</v>
      </c>
      <c r="E383" s="29"/>
      <c r="F383" s="23" t="s">
        <v>1335</v>
      </c>
      <c r="G383" s="29"/>
      <c r="H383" s="36"/>
      <c r="I383" s="29"/>
      <c r="J383" s="25" t="s">
        <v>1336</v>
      </c>
      <c r="K383" s="30"/>
      <c r="L383" s="35"/>
      <c r="M383" s="28"/>
      <c r="N383" s="28"/>
      <c r="O383" s="28"/>
      <c r="P383" s="28"/>
      <c r="Q383" s="28"/>
      <c r="R383" s="28"/>
      <c r="S383" s="28"/>
      <c r="T383" s="28"/>
      <c r="U383" s="28"/>
      <c r="V383" s="28"/>
      <c r="W383" s="28"/>
      <c r="X383" s="28"/>
      <c r="Y383" s="28"/>
      <c r="Z383" s="28"/>
      <c r="AA383" s="28"/>
      <c r="AB383" s="28"/>
    </row>
    <row r="384">
      <c r="A384" s="21" t="s">
        <v>1337</v>
      </c>
      <c r="B384" s="22" t="s">
        <v>1098</v>
      </c>
      <c r="C384" s="23" t="str">
        <f>IFERROR(__xludf.DUMMYFUNCTION("GOOGLETRANSLATE(B384, ""en"", ""fr"")"),"Utilisé comme munitions pour un arc.")</f>
        <v>Utilisé comme munitions pour un arc.</v>
      </c>
      <c r="D384" s="23" t="s">
        <v>1338</v>
      </c>
      <c r="E384" s="29"/>
      <c r="F384" s="23" t="s">
        <v>1145</v>
      </c>
      <c r="G384" s="29"/>
      <c r="H384" s="36"/>
      <c r="I384" s="29"/>
      <c r="J384" s="25" t="s">
        <v>1339</v>
      </c>
      <c r="K384" s="30"/>
      <c r="L384" s="35"/>
      <c r="M384" s="28"/>
      <c r="N384" s="28"/>
      <c r="O384" s="28"/>
      <c r="P384" s="28"/>
      <c r="Q384" s="28"/>
      <c r="R384" s="28"/>
      <c r="S384" s="28"/>
      <c r="T384" s="28"/>
      <c r="U384" s="28"/>
      <c r="V384" s="28"/>
      <c r="W384" s="28"/>
      <c r="X384" s="28"/>
      <c r="Y384" s="28"/>
      <c r="Z384" s="28"/>
      <c r="AA384" s="28"/>
      <c r="AB384" s="28"/>
    </row>
    <row r="385">
      <c r="A385" s="21" t="s">
        <v>1340</v>
      </c>
      <c r="B385" s="22" t="s">
        <v>1341</v>
      </c>
      <c r="C385" s="23" t="str">
        <f>IFERROR(__xludf.DUMMYFUNCTION("GOOGLETRANSLATE(B385, ""en"", ""fr"")"),"Peignoir")</f>
        <v>Peignoir</v>
      </c>
      <c r="D385" s="23"/>
      <c r="E385" s="29"/>
      <c r="F385" s="23" t="s">
        <v>1342</v>
      </c>
      <c r="G385" s="29"/>
      <c r="H385" s="36"/>
      <c r="I385" s="29"/>
      <c r="J385" s="25" t="s">
        <v>1343</v>
      </c>
      <c r="K385" s="30"/>
      <c r="L385" s="35"/>
      <c r="M385" s="28"/>
      <c r="N385" s="28"/>
      <c r="O385" s="28"/>
      <c r="P385" s="28"/>
      <c r="Q385" s="28"/>
      <c r="R385" s="28"/>
      <c r="S385" s="28"/>
      <c r="T385" s="28"/>
      <c r="U385" s="28"/>
      <c r="V385" s="28"/>
      <c r="W385" s="28"/>
      <c r="X385" s="28"/>
      <c r="Y385" s="28"/>
      <c r="Z385" s="28"/>
      <c r="AA385" s="28"/>
      <c r="AB385" s="28"/>
    </row>
    <row r="386">
      <c r="A386" s="21" t="s">
        <v>1344</v>
      </c>
      <c r="B386" s="22" t="s">
        <v>1345</v>
      </c>
      <c r="C386" s="23" t="str">
        <f>IFERROR(__xludf.DUMMYFUNCTION("GOOGLETRANSLATE(B386, ""en"", ""fr"")"),"Une robe simple. Augmente votre Potionry stat alors porté.")</f>
        <v>Une robe simple. Augmente votre Potionry stat alors porté.</v>
      </c>
      <c r="D386" s="23"/>
      <c r="E386" s="29"/>
      <c r="F386" s="23" t="s">
        <v>1346</v>
      </c>
      <c r="G386" s="29"/>
      <c r="H386" s="36"/>
      <c r="I386" s="29"/>
      <c r="J386" s="25" t="s">
        <v>1347</v>
      </c>
      <c r="K386" s="30"/>
      <c r="L386" s="35"/>
      <c r="M386" s="28"/>
      <c r="N386" s="28"/>
      <c r="O386" s="28"/>
      <c r="P386" s="28"/>
      <c r="Q386" s="28"/>
      <c r="R386" s="28"/>
      <c r="S386" s="28"/>
      <c r="T386" s="28"/>
      <c r="U386" s="28"/>
      <c r="V386" s="28"/>
      <c r="W386" s="28"/>
      <c r="X386" s="28"/>
      <c r="Y386" s="28"/>
      <c r="Z386" s="28"/>
      <c r="AA386" s="28"/>
      <c r="AB386" s="28"/>
    </row>
    <row r="387">
      <c r="A387" s="21" t="s">
        <v>1348</v>
      </c>
      <c r="B387" s="22" t="s">
        <v>1349</v>
      </c>
      <c r="C387" s="23" t="str">
        <f>IFERROR(__xludf.DUMMYFUNCTION("GOOGLETRANSLATE(B387, ""en"", ""fr"")"),"robe Mage")</f>
        <v>robe Mage</v>
      </c>
      <c r="D387" s="23"/>
      <c r="E387" s="29"/>
      <c r="F387" s="23" t="s">
        <v>1350</v>
      </c>
      <c r="G387" s="29"/>
      <c r="H387" s="36"/>
      <c r="I387" s="29"/>
      <c r="J387" s="25" t="s">
        <v>1351</v>
      </c>
      <c r="K387" s="30"/>
      <c r="L387" s="35"/>
      <c r="M387" s="28"/>
      <c r="N387" s="28"/>
      <c r="O387" s="28"/>
      <c r="P387" s="28"/>
      <c r="Q387" s="28"/>
      <c r="R387" s="28"/>
      <c r="S387" s="28"/>
      <c r="T387" s="28"/>
      <c r="U387" s="28"/>
      <c r="V387" s="28"/>
      <c r="W387" s="28"/>
      <c r="X387" s="28"/>
      <c r="Y387" s="28"/>
      <c r="Z387" s="28"/>
      <c r="AA387" s="28"/>
      <c r="AB387" s="28"/>
    </row>
    <row r="388">
      <c r="A388" s="21" t="s">
        <v>1352</v>
      </c>
      <c r="B388" s="22" t="s">
        <v>1353</v>
      </c>
      <c r="C388" s="23" t="str">
        <f>IFERROR(__xludf.DUMMYFUNCTION("GOOGLETRANSLATE(B388, ""en"", ""fr"")"),"Une robe de base pour faire de la magie en. Augmente votre stat magique tout porté.")</f>
        <v>Une robe de base pour faire de la magie en. Augmente votre stat magique tout porté.</v>
      </c>
      <c r="D388" s="23"/>
      <c r="E388" s="29"/>
      <c r="F388" s="23" t="s">
        <v>1354</v>
      </c>
      <c r="G388" s="29"/>
      <c r="H388" s="36"/>
      <c r="I388" s="29"/>
      <c r="J388" s="25" t="s">
        <v>1355</v>
      </c>
      <c r="K388" s="30"/>
      <c r="L388" s="35"/>
      <c r="M388" s="28"/>
      <c r="N388" s="28"/>
      <c r="O388" s="28"/>
      <c r="P388" s="28"/>
      <c r="Q388" s="28"/>
      <c r="R388" s="28"/>
      <c r="S388" s="28"/>
      <c r="T388" s="28"/>
      <c r="U388" s="28"/>
      <c r="V388" s="28"/>
      <c r="W388" s="28"/>
      <c r="X388" s="28"/>
      <c r="Y388" s="28"/>
      <c r="Z388" s="28"/>
      <c r="AA388" s="28"/>
      <c r="AB388" s="28"/>
    </row>
    <row r="389">
      <c r="A389" s="21" t="s">
        <v>1356</v>
      </c>
      <c r="B389" s="22" t="s">
        <v>1357</v>
      </c>
      <c r="C389" s="23" t="str">
        <f>IFERROR(__xludf.DUMMYFUNCTION("GOOGLETRANSLATE(B389, ""en"", ""fr"")"),"robe nécromancien")</f>
        <v>robe nécromancien</v>
      </c>
      <c r="D389" s="23"/>
      <c r="E389" s="29"/>
      <c r="F389" s="23" t="s">
        <v>1358</v>
      </c>
      <c r="G389" s="29"/>
      <c r="H389" s="36"/>
      <c r="I389" s="29"/>
      <c r="J389" s="25" t="s">
        <v>1359</v>
      </c>
      <c r="K389" s="30"/>
      <c r="L389" s="35"/>
      <c r="M389" s="28"/>
      <c r="N389" s="28"/>
      <c r="O389" s="28"/>
      <c r="P389" s="28"/>
      <c r="Q389" s="28"/>
      <c r="R389" s="28"/>
      <c r="S389" s="28"/>
      <c r="T389" s="28"/>
      <c r="U389" s="28"/>
      <c r="V389" s="28"/>
      <c r="W389" s="28"/>
      <c r="X389" s="28"/>
      <c r="Y389" s="28"/>
      <c r="Z389" s="28"/>
      <c r="AA389" s="28"/>
      <c r="AB389" s="28"/>
    </row>
    <row r="390">
      <c r="A390" s="21" t="s">
        <v>1360</v>
      </c>
      <c r="B390" s="22" t="s">
        <v>1353</v>
      </c>
      <c r="C390" s="23" t="str">
        <f>IFERROR(__xludf.DUMMYFUNCTION("GOOGLETRANSLATE(B390, ""en"", ""fr"")"),"Une robe de base pour faire de la magie en. Augmente votre stat magique tout porté.")</f>
        <v>Une robe de base pour faire de la magie en. Augmente votre stat magique tout porté.</v>
      </c>
      <c r="D390" s="23"/>
      <c r="E390" s="29"/>
      <c r="F390" s="23" t="s">
        <v>1354</v>
      </c>
      <c r="G390" s="29"/>
      <c r="H390" s="36"/>
      <c r="I390" s="29"/>
      <c r="J390" s="25" t="s">
        <v>1361</v>
      </c>
      <c r="K390" s="30"/>
      <c r="L390" s="35"/>
      <c r="M390" s="28"/>
      <c r="N390" s="28"/>
      <c r="O390" s="28"/>
      <c r="P390" s="28"/>
      <c r="Q390" s="28"/>
      <c r="R390" s="28"/>
      <c r="S390" s="28"/>
      <c r="T390" s="28"/>
      <c r="U390" s="28"/>
      <c r="V390" s="28"/>
      <c r="W390" s="28"/>
      <c r="X390" s="28"/>
      <c r="Y390" s="28"/>
      <c r="Z390" s="28"/>
      <c r="AA390" s="28"/>
      <c r="AB390" s="28"/>
    </row>
    <row r="391">
      <c r="A391" s="21" t="s">
        <v>1362</v>
      </c>
      <c r="B391" s="22" t="s">
        <v>1363</v>
      </c>
      <c r="C391" s="23" t="str">
        <f>IFERROR(__xludf.DUMMYFUNCTION("GOOGLETRANSLATE(B391, ""en"", ""fr"")"),"Manteau")</f>
        <v>Manteau</v>
      </c>
      <c r="D391" s="23"/>
      <c r="E391" s="29"/>
      <c r="F391" s="23" t="s">
        <v>1364</v>
      </c>
      <c r="G391" s="29"/>
      <c r="H391" s="36"/>
      <c r="I391" s="29"/>
      <c r="J391" s="25" t="s">
        <v>1365</v>
      </c>
      <c r="K391" s="30"/>
      <c r="L391" s="35"/>
      <c r="M391" s="28"/>
      <c r="N391" s="28"/>
      <c r="O391" s="28"/>
      <c r="P391" s="28"/>
      <c r="Q391" s="28"/>
      <c r="R391" s="28"/>
      <c r="S391" s="28"/>
      <c r="T391" s="28"/>
      <c r="U391" s="28"/>
      <c r="V391" s="28"/>
      <c r="W391" s="28"/>
      <c r="X391" s="28"/>
      <c r="Y391" s="28"/>
      <c r="Z391" s="28"/>
      <c r="AA391" s="28"/>
      <c r="AB391" s="28"/>
    </row>
    <row r="392">
      <c r="A392" s="21" t="s">
        <v>1366</v>
      </c>
      <c r="B392" s="22" t="s">
        <v>1367</v>
      </c>
      <c r="C392" s="23" t="str">
        <f>IFERROR(__xludf.DUMMYFUNCTION("GOOGLETRANSLATE(B392, ""en"", ""fr"")"),"Un manteau de base pour le faire à distance. Les augmentations de votre stat tout porté à distance.")</f>
        <v>Un manteau de base pour le faire à distance. Les augmentations de votre stat tout porté à distance.</v>
      </c>
      <c r="D392" s="23"/>
      <c r="E392" s="29"/>
      <c r="F392" s="23" t="s">
        <v>1368</v>
      </c>
      <c r="G392" s="29"/>
      <c r="H392" s="36"/>
      <c r="I392" s="29"/>
      <c r="J392" s="25" t="s">
        <v>1369</v>
      </c>
      <c r="K392" s="30"/>
      <c r="L392" s="35"/>
      <c r="M392" s="28"/>
      <c r="N392" s="28"/>
      <c r="O392" s="28"/>
      <c r="P392" s="28"/>
      <c r="Q392" s="28"/>
      <c r="R392" s="28"/>
      <c r="S392" s="28"/>
      <c r="T392" s="28"/>
      <c r="U392" s="28"/>
      <c r="V392" s="28"/>
      <c r="W392" s="28"/>
      <c r="X392" s="28"/>
      <c r="Y392" s="28"/>
      <c r="Z392" s="28"/>
      <c r="AA392" s="28"/>
      <c r="AB392" s="28"/>
    </row>
    <row r="393">
      <c r="A393" s="21" t="s">
        <v>1370</v>
      </c>
      <c r="B393" s="22" t="s">
        <v>1371</v>
      </c>
      <c r="C393" s="23" t="str">
        <f>IFERROR(__xludf.DUMMYFUNCTION("GOOGLETRANSLATE(B393, ""en"", ""fr"")"),"tenue Ninja")</f>
        <v>tenue Ninja</v>
      </c>
      <c r="D393" s="23"/>
      <c r="E393" s="29"/>
      <c r="F393" s="23" t="s">
        <v>1372</v>
      </c>
      <c r="G393" s="29"/>
      <c r="H393" s="36"/>
      <c r="I393" s="29"/>
      <c r="J393" s="25" t="s">
        <v>1373</v>
      </c>
      <c r="K393" s="30"/>
      <c r="L393" s="35"/>
      <c r="M393" s="28"/>
      <c r="N393" s="28"/>
      <c r="O393" s="28"/>
      <c r="P393" s="28"/>
      <c r="Q393" s="28"/>
      <c r="R393" s="28"/>
      <c r="S393" s="28"/>
      <c r="T393" s="28"/>
      <c r="U393" s="28"/>
      <c r="V393" s="28"/>
      <c r="W393" s="28"/>
      <c r="X393" s="28"/>
      <c r="Y393" s="28"/>
      <c r="Z393" s="28"/>
      <c r="AA393" s="28"/>
      <c r="AB393" s="28"/>
    </row>
    <row r="394">
      <c r="A394" s="21" t="s">
        <v>1374</v>
      </c>
      <c r="B394" s="22" t="s">
        <v>1375</v>
      </c>
      <c r="C394" s="23" t="str">
        <f>IFERROR(__xludf.DUMMYFUNCTION("GOOGLETRANSLATE(B394, ""en"", ""fr"")"),"Augmente vos stats mêlée et à distance et cache votre nom tout porté.")</f>
        <v>Augmente vos stats mêlée et à distance et cache votre nom tout porté.</v>
      </c>
      <c r="D394" s="23"/>
      <c r="E394" s="29"/>
      <c r="F394" s="23" t="s">
        <v>1376</v>
      </c>
      <c r="G394" s="29"/>
      <c r="H394" s="36"/>
      <c r="I394" s="29"/>
      <c r="J394" s="25" t="s">
        <v>1377</v>
      </c>
      <c r="K394" s="30"/>
      <c r="L394" s="35"/>
      <c r="M394" s="28"/>
      <c r="N394" s="28"/>
      <c r="O394" s="28"/>
      <c r="P394" s="28"/>
      <c r="Q394" s="28"/>
      <c r="R394" s="28"/>
      <c r="S394" s="28"/>
      <c r="T394" s="28"/>
      <c r="U394" s="28"/>
      <c r="V394" s="28"/>
      <c r="W394" s="28"/>
      <c r="X394" s="28"/>
      <c r="Y394" s="28"/>
      <c r="Z394" s="28"/>
      <c r="AA394" s="28"/>
      <c r="AB394" s="28"/>
    </row>
    <row r="395">
      <c r="A395" s="21" t="s">
        <v>1378</v>
      </c>
      <c r="B395" s="22" t="s">
        <v>1379</v>
      </c>
      <c r="C395" s="23" t="str">
        <f>IFERROR(__xludf.DUMMYFUNCTION("GOOGLETRANSLATE(B395, ""en"", ""fr"")"),"Charte")</f>
        <v>Charte</v>
      </c>
      <c r="D395" s="23"/>
      <c r="E395" s="29"/>
      <c r="F395" s="23" t="s">
        <v>1380</v>
      </c>
      <c r="G395" s="29"/>
      <c r="H395" s="36"/>
      <c r="I395" s="29"/>
      <c r="J395" s="25" t="s">
        <v>1381</v>
      </c>
      <c r="K395" s="30"/>
      <c r="L395" s="35"/>
      <c r="M395" s="28"/>
      <c r="N395" s="28"/>
      <c r="O395" s="28"/>
      <c r="P395" s="28"/>
      <c r="Q395" s="28"/>
      <c r="R395" s="28"/>
      <c r="S395" s="28"/>
      <c r="T395" s="28"/>
      <c r="U395" s="28"/>
      <c r="V395" s="28"/>
      <c r="W395" s="28"/>
      <c r="X395" s="28"/>
      <c r="Y395" s="28"/>
      <c r="Z395" s="28"/>
      <c r="AA395" s="28"/>
      <c r="AB395" s="28"/>
    </row>
    <row r="396">
      <c r="A396" s="21" t="s">
        <v>1382</v>
      </c>
      <c r="B396" s="22" t="s">
        <v>1383</v>
      </c>
      <c r="C396" s="23" t="str">
        <f>IFERROR(__xludf.DUMMYFUNCTION("GOOGLETRANSLATE(B396,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96" s="23"/>
      <c r="E396" s="29"/>
      <c r="F396" s="23" t="s">
        <v>1384</v>
      </c>
      <c r="G396" s="29"/>
      <c r="H396" s="36"/>
      <c r="I396" s="29"/>
      <c r="J396" s="25" t="s">
        <v>1385</v>
      </c>
      <c r="K396" s="30"/>
      <c r="L396" s="35"/>
      <c r="M396" s="28"/>
      <c r="N396" s="28"/>
      <c r="O396" s="28"/>
      <c r="P396" s="28"/>
      <c r="Q396" s="28"/>
      <c r="R396" s="28"/>
      <c r="S396" s="28"/>
      <c r="T396" s="28"/>
      <c r="U396" s="28"/>
      <c r="V396" s="28"/>
      <c r="W396" s="28"/>
      <c r="X396" s="28"/>
      <c r="Y396" s="28"/>
      <c r="Z396" s="28"/>
      <c r="AA396" s="28"/>
      <c r="AB396" s="28"/>
    </row>
    <row r="397">
      <c r="A397" s="21" t="s">
        <v>1386</v>
      </c>
      <c r="B397" s="22" t="s">
        <v>1387</v>
      </c>
      <c r="C397" s="23" t="str">
        <f>IFERROR(__xludf.DUMMYFUNCTION("GOOGLETRANSLATE(B397, ""en"", ""fr"")"),"Mur de bois")</f>
        <v>Mur de bois</v>
      </c>
      <c r="D397" s="23"/>
      <c r="E397" s="29"/>
      <c r="F397" s="23" t="s">
        <v>1388</v>
      </c>
      <c r="G397" s="29"/>
      <c r="H397" s="36"/>
      <c r="I397" s="29"/>
      <c r="J397" s="25" t="s">
        <v>1389</v>
      </c>
      <c r="K397" s="30"/>
      <c r="L397" s="35"/>
      <c r="M397" s="28"/>
      <c r="N397" s="28"/>
      <c r="O397" s="28"/>
      <c r="P397" s="28"/>
      <c r="Q397" s="28"/>
      <c r="R397" s="28"/>
      <c r="S397" s="28"/>
      <c r="T397" s="28"/>
      <c r="U397" s="28"/>
      <c r="V397" s="28"/>
      <c r="W397" s="28"/>
      <c r="X397" s="28"/>
      <c r="Y397" s="28"/>
      <c r="Z397" s="28"/>
      <c r="AA397" s="28"/>
      <c r="AB397" s="28"/>
    </row>
    <row r="398">
      <c r="A398" s="21" t="s">
        <v>1390</v>
      </c>
      <c r="B398" s="22" t="s">
        <v>1391</v>
      </c>
      <c r="C398" s="23" t="str">
        <f>IFERROR(__xludf.DUMMYFUNCTION("GOOGLETRANSLATE(B398, ""en"", ""fr"")"),"Structure du clan. A faible profondeur d'une base.")</f>
        <v>Structure du clan. A faible profondeur d'une base.</v>
      </c>
      <c r="D398" s="23"/>
      <c r="E398" s="29"/>
      <c r="F398" s="23" t="s">
        <v>1392</v>
      </c>
      <c r="G398" s="29"/>
      <c r="H398" s="36"/>
      <c r="I398" s="29"/>
      <c r="J398" s="25" t="s">
        <v>1393</v>
      </c>
      <c r="K398" s="30"/>
      <c r="L398" s="35"/>
      <c r="M398" s="28"/>
      <c r="N398" s="28"/>
      <c r="O398" s="28"/>
      <c r="P398" s="28"/>
      <c r="Q398" s="28"/>
      <c r="R398" s="28"/>
      <c r="S398" s="28"/>
      <c r="T398" s="28"/>
      <c r="U398" s="28"/>
      <c r="V398" s="28"/>
      <c r="W398" s="28"/>
      <c r="X398" s="28"/>
      <c r="Y398" s="28"/>
      <c r="Z398" s="28"/>
      <c r="AA398" s="28"/>
      <c r="AB398" s="28"/>
    </row>
    <row r="399">
      <c r="A399" s="21" t="s">
        <v>1394</v>
      </c>
      <c r="B399" s="22" t="s">
        <v>1395</v>
      </c>
      <c r="C399" s="23" t="str">
        <f>IFERROR(__xludf.DUMMYFUNCTION("GOOGLETRANSLATE(B399, ""en"", ""fr"")"),"porte en bois")</f>
        <v>porte en bois</v>
      </c>
      <c r="D399" s="23"/>
      <c r="E399" s="29"/>
      <c r="F399" s="23" t="s">
        <v>1396</v>
      </c>
      <c r="G399" s="29"/>
      <c r="H399" s="36"/>
      <c r="I399" s="29"/>
      <c r="J399" s="25" t="s">
        <v>1397</v>
      </c>
      <c r="K399" s="30"/>
      <c r="L399" s="35"/>
      <c r="M399" s="28"/>
      <c r="N399" s="28"/>
      <c r="O399" s="28"/>
      <c r="P399" s="28"/>
      <c r="Q399" s="28"/>
      <c r="R399" s="28"/>
      <c r="S399" s="28"/>
      <c r="T399" s="28"/>
      <c r="U399" s="28"/>
      <c r="V399" s="28"/>
      <c r="W399" s="28"/>
      <c r="X399" s="28"/>
      <c r="Y399" s="28"/>
      <c r="Z399" s="28"/>
      <c r="AA399" s="28"/>
      <c r="AB399" s="28"/>
    </row>
    <row r="400">
      <c r="A400" s="21" t="s">
        <v>1398</v>
      </c>
      <c r="B400" s="22" t="s">
        <v>1399</v>
      </c>
      <c r="C400" s="23" t="str">
        <f>IFERROR(__xludf.DUMMYFUNCTION("GOOGLETRANSLATE(B400, ""en"", ""fr"")"),"Structure du clan. Ne peut être ouvert par les membres du clan.")</f>
        <v>Structure du clan. Ne peut être ouvert par les membres du clan.</v>
      </c>
      <c r="D400" s="23"/>
      <c r="E400" s="29"/>
      <c r="F400" s="23" t="s">
        <v>1400</v>
      </c>
      <c r="G400" s="29"/>
      <c r="H400" s="36"/>
      <c r="I400" s="29"/>
      <c r="J400" s="25" t="s">
        <v>1401</v>
      </c>
      <c r="K400" s="30"/>
      <c r="L400" s="35"/>
      <c r="M400" s="28"/>
      <c r="N400" s="28"/>
      <c r="O400" s="28"/>
      <c r="P400" s="28"/>
      <c r="Q400" s="28"/>
      <c r="R400" s="28"/>
      <c r="S400" s="28"/>
      <c r="T400" s="28"/>
      <c r="U400" s="28"/>
      <c r="V400" s="28"/>
      <c r="W400" s="28"/>
      <c r="X400" s="28"/>
      <c r="Y400" s="28"/>
      <c r="Z400" s="28"/>
      <c r="AA400" s="28"/>
      <c r="AB400" s="28"/>
    </row>
    <row r="401">
      <c r="A401" s="41" t="s">
        <v>1402</v>
      </c>
      <c r="B401" s="22" t="s">
        <v>1403</v>
      </c>
      <c r="C401" s="23" t="str">
        <f>IFERROR(__xludf.DUMMYFUNCTION("GOOGLETRANSLATE(B401, ""en"", ""fr"")"),"Mur de briques")</f>
        <v>Mur de briques</v>
      </c>
      <c r="D401" s="23"/>
      <c r="E401" s="29"/>
      <c r="F401" s="23" t="s">
        <v>1404</v>
      </c>
      <c r="G401" s="29"/>
      <c r="H401" s="36"/>
      <c r="I401" s="29"/>
      <c r="J401" s="25" t="s">
        <v>1405</v>
      </c>
      <c r="K401" s="30"/>
      <c r="L401" s="35"/>
      <c r="M401" s="28"/>
      <c r="N401" s="28"/>
      <c r="O401" s="28"/>
      <c r="P401" s="28"/>
      <c r="Q401" s="28"/>
      <c r="R401" s="28"/>
      <c r="S401" s="28"/>
      <c r="T401" s="28"/>
      <c r="U401" s="28"/>
      <c r="V401" s="28"/>
      <c r="W401" s="28"/>
      <c r="X401" s="28"/>
      <c r="Y401" s="28"/>
      <c r="Z401" s="28"/>
      <c r="AA401" s="28"/>
      <c r="AB401" s="28"/>
    </row>
    <row r="402">
      <c r="A402" s="41" t="s">
        <v>1406</v>
      </c>
      <c r="B402" s="22" t="s">
        <v>1407</v>
      </c>
      <c r="C402" s="23" t="str">
        <f>IFERROR(__xludf.DUMMYFUNCTION("GOOGLETRANSLATE(B402, ""en"", ""fr"")"),"Structure du clan. Une bonne défense pour une base.")</f>
        <v>Structure du clan. Une bonne défense pour une base.</v>
      </c>
      <c r="D402" s="23"/>
      <c r="E402" s="29"/>
      <c r="F402" s="23" t="s">
        <v>1408</v>
      </c>
      <c r="G402" s="29"/>
      <c r="H402" s="36"/>
      <c r="I402" s="29"/>
      <c r="J402" s="25" t="s">
        <v>1409</v>
      </c>
      <c r="K402" s="30"/>
      <c r="L402" s="35"/>
      <c r="M402" s="28"/>
      <c r="N402" s="28"/>
      <c r="O402" s="28"/>
      <c r="P402" s="28"/>
      <c r="Q402" s="28"/>
      <c r="R402" s="28"/>
      <c r="S402" s="28"/>
      <c r="T402" s="28"/>
      <c r="U402" s="28"/>
      <c r="V402" s="28"/>
      <c r="W402" s="28"/>
      <c r="X402" s="28"/>
      <c r="Y402" s="28"/>
      <c r="Z402" s="28"/>
      <c r="AA402" s="28"/>
      <c r="AB402" s="28"/>
    </row>
    <row r="403">
      <c r="A403" s="41" t="s">
        <v>1410</v>
      </c>
      <c r="B403" s="22" t="s">
        <v>1411</v>
      </c>
      <c r="C403" s="23" t="str">
        <f>IFERROR(__xludf.DUMMYFUNCTION("GOOGLETRANSLATE(B403, ""en"", ""fr"")"),"porte brique")</f>
        <v>porte brique</v>
      </c>
      <c r="D403" s="23"/>
      <c r="E403" s="29"/>
      <c r="F403" s="23" t="s">
        <v>1412</v>
      </c>
      <c r="G403" s="29"/>
      <c r="H403" s="36"/>
      <c r="I403" s="29"/>
      <c r="J403" s="25" t="s">
        <v>1413</v>
      </c>
      <c r="K403" s="30"/>
      <c r="L403" s="35"/>
      <c r="M403" s="28"/>
      <c r="N403" s="28"/>
      <c r="O403" s="28"/>
      <c r="P403" s="28"/>
      <c r="Q403" s="28"/>
      <c r="R403" s="28"/>
      <c r="S403" s="28"/>
      <c r="T403" s="28"/>
      <c r="U403" s="28"/>
      <c r="V403" s="28"/>
      <c r="W403" s="28"/>
      <c r="X403" s="28"/>
      <c r="Y403" s="28"/>
      <c r="Z403" s="28"/>
      <c r="AA403" s="28"/>
      <c r="AB403" s="28"/>
    </row>
    <row r="404">
      <c r="A404" s="41" t="s">
        <v>1414</v>
      </c>
      <c r="B404" s="22" t="s">
        <v>1415</v>
      </c>
      <c r="C404" s="23" t="str">
        <f>IFERROR(__xludf.DUMMYFUNCTION("GOOGLETRANSLATE(B404, ""en"", ""fr"")"),"Structure du clan. Ne peut être ouvert par les membres du clan. Plus fort que une porte en bois.")</f>
        <v>Structure du clan. Ne peut être ouvert par les membres du clan. Plus fort que une porte en bois.</v>
      </c>
      <c r="D404" s="23"/>
      <c r="E404" s="29"/>
      <c r="F404" s="23" t="s">
        <v>1416</v>
      </c>
      <c r="G404" s="29"/>
      <c r="H404" s="36"/>
      <c r="I404" s="29"/>
      <c r="J404" s="25" t="s">
        <v>1417</v>
      </c>
      <c r="K404" s="30"/>
      <c r="L404" s="35"/>
      <c r="M404" s="28"/>
      <c r="N404" s="28"/>
      <c r="O404" s="28"/>
      <c r="P404" s="28"/>
      <c r="Q404" s="28"/>
      <c r="R404" s="28"/>
      <c r="S404" s="28"/>
      <c r="T404" s="28"/>
      <c r="U404" s="28"/>
      <c r="V404" s="28"/>
      <c r="W404" s="28"/>
      <c r="X404" s="28"/>
      <c r="Y404" s="28"/>
      <c r="Z404" s="28"/>
      <c r="AA404" s="28"/>
      <c r="AB404" s="28"/>
    </row>
    <row r="405">
      <c r="A405" s="41" t="s">
        <v>1418</v>
      </c>
      <c r="B405" s="22" t="s">
        <v>1419</v>
      </c>
      <c r="C405" s="23" t="str">
        <f>IFERROR(__xludf.DUMMYFUNCTION("GOOGLETRANSLATE(B405, ""en"", ""fr"")"),"Mur de fer")</f>
        <v>Mur de fer</v>
      </c>
      <c r="D405" s="23"/>
      <c r="E405" s="29"/>
      <c r="F405" s="23" t="s">
        <v>1420</v>
      </c>
      <c r="G405" s="29"/>
      <c r="H405" s="36"/>
      <c r="I405" s="29"/>
      <c r="J405" s="25" t="s">
        <v>1421</v>
      </c>
      <c r="K405" s="30"/>
      <c r="L405" s="35"/>
      <c r="M405" s="28"/>
      <c r="N405" s="28"/>
      <c r="O405" s="28"/>
      <c r="P405" s="28"/>
      <c r="Q405" s="28"/>
      <c r="R405" s="28"/>
      <c r="S405" s="28"/>
      <c r="T405" s="28"/>
      <c r="U405" s="28"/>
      <c r="V405" s="28"/>
      <c r="W405" s="28"/>
      <c r="X405" s="28"/>
      <c r="Y405" s="28"/>
      <c r="Z405" s="28"/>
      <c r="AA405" s="28"/>
      <c r="AB405" s="28"/>
    </row>
    <row r="406">
      <c r="A406" s="41" t="s">
        <v>1422</v>
      </c>
      <c r="B406" s="22" t="s">
        <v>1423</v>
      </c>
      <c r="C406" s="23" t="str">
        <f>IFERROR(__xludf.DUMMYFUNCTION("GOOGLETRANSLATE(B406, ""en"", ""fr"")"),"Structure du clan. Une grande défense pour une base.")</f>
        <v>Structure du clan. Une grande défense pour une base.</v>
      </c>
      <c r="D406" s="23"/>
      <c r="E406" s="29"/>
      <c r="F406" s="23" t="s">
        <v>1424</v>
      </c>
      <c r="G406" s="29"/>
      <c r="H406" s="36"/>
      <c r="I406" s="29"/>
      <c r="J406" s="25" t="s">
        <v>1425</v>
      </c>
      <c r="K406" s="30"/>
      <c r="L406" s="35"/>
      <c r="M406" s="28"/>
      <c r="N406" s="28"/>
      <c r="O406" s="28"/>
      <c r="P406" s="28"/>
      <c r="Q406" s="28"/>
      <c r="R406" s="28"/>
      <c r="S406" s="28"/>
      <c r="T406" s="28"/>
      <c r="U406" s="28"/>
      <c r="V406" s="28"/>
      <c r="W406" s="28"/>
      <c r="X406" s="28"/>
      <c r="Y406" s="28"/>
      <c r="Z406" s="28"/>
      <c r="AA406" s="28"/>
      <c r="AB406" s="28"/>
    </row>
    <row r="407">
      <c r="A407" s="41" t="s">
        <v>1426</v>
      </c>
      <c r="B407" s="22" t="s">
        <v>1427</v>
      </c>
      <c r="C407" s="23" t="str">
        <f>IFERROR(__xludf.DUMMYFUNCTION("GOOGLETRANSLATE(B407, ""en"", ""fr"")"),"Porte en fer")</f>
        <v>Porte en fer</v>
      </c>
      <c r="D407" s="23"/>
      <c r="E407" s="29"/>
      <c r="F407" s="23" t="s">
        <v>1428</v>
      </c>
      <c r="G407" s="29"/>
      <c r="H407" s="36"/>
      <c r="I407" s="29"/>
      <c r="J407" s="25" t="s">
        <v>1429</v>
      </c>
      <c r="K407" s="30"/>
      <c r="L407" s="35"/>
      <c r="M407" s="28"/>
      <c r="N407" s="28"/>
      <c r="O407" s="28"/>
      <c r="P407" s="28"/>
      <c r="Q407" s="28"/>
      <c r="R407" s="28"/>
      <c r="S407" s="28"/>
      <c r="T407" s="28"/>
      <c r="U407" s="28"/>
      <c r="V407" s="28"/>
      <c r="W407" s="28"/>
      <c r="X407" s="28"/>
      <c r="Y407" s="28"/>
      <c r="Z407" s="28"/>
      <c r="AA407" s="28"/>
      <c r="AB407" s="28"/>
    </row>
    <row r="408">
      <c r="A408" s="41" t="s">
        <v>1430</v>
      </c>
      <c r="B408" s="22" t="s">
        <v>1431</v>
      </c>
      <c r="C408" s="23" t="str">
        <f>IFERROR(__xludf.DUMMYFUNCTION("GOOGLETRANSLATE(B408, ""en"", ""fr"")"),"Structure du clan. Ne peut être ouvert par les membres du clan. Plus fort que la porte de briques.")</f>
        <v>Structure du clan. Ne peut être ouvert par les membres du clan. Plus fort que la porte de briques.</v>
      </c>
      <c r="D408" s="23"/>
      <c r="E408" s="29"/>
      <c r="F408" s="23" t="s">
        <v>1432</v>
      </c>
      <c r="G408" s="29"/>
      <c r="H408" s="36"/>
      <c r="I408" s="29"/>
      <c r="J408" s="25" t="s">
        <v>1433</v>
      </c>
      <c r="K408" s="30"/>
      <c r="L408" s="35"/>
      <c r="M408" s="28"/>
      <c r="N408" s="28"/>
      <c r="O408" s="28"/>
      <c r="P408" s="28"/>
      <c r="Q408" s="28"/>
      <c r="R408" s="28"/>
      <c r="S408" s="28"/>
      <c r="T408" s="28"/>
      <c r="U408" s="28"/>
      <c r="V408" s="28"/>
      <c r="W408" s="28"/>
      <c r="X408" s="28"/>
      <c r="Y408" s="28"/>
      <c r="Z408" s="28"/>
      <c r="AA408" s="28"/>
      <c r="AB408" s="28"/>
    </row>
    <row r="409">
      <c r="A409" s="21" t="s">
        <v>1434</v>
      </c>
      <c r="B409" s="22" t="s">
        <v>1435</v>
      </c>
      <c r="C409" s="23" t="str">
        <f>IFERROR(__xludf.DUMMYFUNCTION("GOOGLETRANSLATE(B409, ""en"", ""fr"")"),"Banque poitrine")</f>
        <v>Banque poitrine</v>
      </c>
      <c r="D409" s="23"/>
      <c r="E409" s="29"/>
      <c r="F409" s="23" t="s">
        <v>1436</v>
      </c>
      <c r="G409" s="29"/>
      <c r="H409" s="36"/>
      <c r="I409" s="29"/>
      <c r="J409" s="25" t="s">
        <v>1437</v>
      </c>
      <c r="K409" s="30"/>
      <c r="L409" s="35"/>
      <c r="M409" s="28"/>
      <c r="N409" s="28"/>
      <c r="O409" s="28"/>
      <c r="P409" s="28"/>
      <c r="Q409" s="28"/>
      <c r="R409" s="28"/>
      <c r="S409" s="28"/>
      <c r="T409" s="28"/>
      <c r="U409" s="28"/>
      <c r="V409" s="28"/>
      <c r="W409" s="28"/>
      <c r="X409" s="28"/>
      <c r="Y409" s="28"/>
      <c r="Z409" s="28"/>
      <c r="AA409" s="28"/>
      <c r="AB409" s="28"/>
    </row>
    <row r="410">
      <c r="A410" s="21" t="s">
        <v>1438</v>
      </c>
      <c r="B410" s="22" t="s">
        <v>1439</v>
      </c>
      <c r="C410" s="23" t="str">
        <f>IFERROR(__xludf.DUMMYFUNCTION("GOOGLETRANSLATE(B410, ""en"", ""fr"")"),"Structure du clan. Permet d'accéder à votre stockage bancaire personnel.")</f>
        <v>Structure du clan. Permet d'accéder à votre stockage bancaire personnel.</v>
      </c>
      <c r="D410" s="23"/>
      <c r="E410" s="29"/>
      <c r="F410" s="23" t="s">
        <v>1440</v>
      </c>
      <c r="G410" s="29"/>
      <c r="H410" s="36"/>
      <c r="I410" s="29"/>
      <c r="J410" s="25" t="s">
        <v>1441</v>
      </c>
      <c r="K410" s="30"/>
      <c r="L410" s="35"/>
      <c r="M410" s="28"/>
      <c r="N410" s="28"/>
      <c r="O410" s="28"/>
      <c r="P410" s="28"/>
      <c r="Q410" s="28"/>
      <c r="R410" s="28"/>
      <c r="S410" s="28"/>
      <c r="T410" s="28"/>
      <c r="U410" s="28"/>
      <c r="V410" s="28"/>
      <c r="W410" s="28"/>
      <c r="X410" s="28"/>
      <c r="Y410" s="28"/>
      <c r="Z410" s="28"/>
      <c r="AA410" s="28"/>
      <c r="AB410" s="28"/>
    </row>
    <row r="411">
      <c r="A411" s="21" t="s">
        <v>1442</v>
      </c>
      <c r="B411" s="22" t="s">
        <v>786</v>
      </c>
      <c r="C411" s="23" t="str">
        <f>IFERROR(__xludf.DUMMYFUNCTION("GOOGLETRANSLATE(B411, ""en"", ""fr"")"),"Table de travail")</f>
        <v>Table de travail</v>
      </c>
      <c r="D411" s="23"/>
      <c r="E411" s="29"/>
      <c r="F411" s="23" t="s">
        <v>788</v>
      </c>
      <c r="G411" s="29"/>
      <c r="H411" s="36"/>
      <c r="I411" s="29"/>
      <c r="J411" s="25" t="s">
        <v>1443</v>
      </c>
      <c r="K411" s="30"/>
      <c r="L411" s="35"/>
      <c r="M411" s="28"/>
      <c r="N411" s="28"/>
      <c r="O411" s="28"/>
      <c r="P411" s="28"/>
      <c r="Q411" s="28"/>
      <c r="R411" s="28"/>
      <c r="S411" s="28"/>
      <c r="T411" s="28"/>
      <c r="U411" s="28"/>
      <c r="V411" s="28"/>
      <c r="W411" s="28"/>
      <c r="X411" s="28"/>
      <c r="Y411" s="28"/>
      <c r="Z411" s="28"/>
      <c r="AA411" s="28"/>
      <c r="AB411" s="28"/>
    </row>
    <row r="412">
      <c r="A412" s="21" t="s">
        <v>1444</v>
      </c>
      <c r="B412" s="22" t="s">
        <v>1445</v>
      </c>
      <c r="C412" s="23" t="str">
        <f>IFERROR(__xludf.DUMMYFUNCTION("GOOGLETRANSLATE(B412, ""en"", ""fr"")"),"Structure du clan. Utilisé pour fabriquer divers objets.")</f>
        <v>Structure du clan. Utilisé pour fabriquer divers objets.</v>
      </c>
      <c r="D412" s="23"/>
      <c r="E412" s="29"/>
      <c r="F412" s="23" t="s">
        <v>1446</v>
      </c>
      <c r="G412" s="29"/>
      <c r="H412" s="36"/>
      <c r="I412" s="29"/>
      <c r="J412" s="25" t="s">
        <v>1447</v>
      </c>
      <c r="K412" s="30"/>
      <c r="L412" s="35"/>
      <c r="M412" s="28"/>
      <c r="N412" s="28"/>
      <c r="O412" s="28"/>
      <c r="P412" s="28"/>
      <c r="Q412" s="28"/>
      <c r="R412" s="28"/>
      <c r="S412" s="28"/>
      <c r="T412" s="28"/>
      <c r="U412" s="28"/>
      <c r="V412" s="28"/>
      <c r="W412" s="28"/>
      <c r="X412" s="28"/>
      <c r="Y412" s="28"/>
      <c r="Z412" s="28"/>
      <c r="AA412" s="28"/>
      <c r="AB412" s="28"/>
    </row>
    <row r="413">
      <c r="A413" s="21" t="s">
        <v>1448</v>
      </c>
      <c r="B413" s="22" t="s">
        <v>780</v>
      </c>
      <c r="C413" s="23" t="str">
        <f>IFERROR(__xludf.DUMMYFUNCTION("GOOGLETRANSLATE(B413, ""en"", ""fr"")"),"fourneau")</f>
        <v>fourneau</v>
      </c>
      <c r="D413" s="23"/>
      <c r="E413" s="29"/>
      <c r="F413" s="23" t="s">
        <v>782</v>
      </c>
      <c r="G413" s="29"/>
      <c r="H413" s="36"/>
      <c r="I413" s="29"/>
      <c r="J413" s="25" t="s">
        <v>1449</v>
      </c>
      <c r="K413" s="30"/>
      <c r="L413" s="35"/>
      <c r="M413" s="28"/>
      <c r="N413" s="28"/>
      <c r="O413" s="28"/>
      <c r="P413" s="28"/>
      <c r="Q413" s="28"/>
      <c r="R413" s="28"/>
      <c r="S413" s="28"/>
      <c r="T413" s="28"/>
      <c r="U413" s="28"/>
      <c r="V413" s="28"/>
      <c r="W413" s="28"/>
      <c r="X413" s="28"/>
      <c r="Y413" s="28"/>
      <c r="Z413" s="28"/>
      <c r="AA413" s="28"/>
      <c r="AB413" s="28"/>
    </row>
    <row r="414">
      <c r="A414" s="21" t="s">
        <v>1450</v>
      </c>
      <c r="B414" s="22" t="s">
        <v>1451</v>
      </c>
      <c r="C414" s="23" t="str">
        <f>IFERROR(__xludf.DUMMYFUNCTION("GOOGLETRANSLATE(B414, ""en"", ""fr"")"),"Structure du clan. Utilisé pour transformer les minerais en barres métalliques.")</f>
        <v>Structure du clan. Utilisé pour transformer les minerais en barres métalliques.</v>
      </c>
      <c r="D414" s="23"/>
      <c r="E414" s="29"/>
      <c r="F414" s="23" t="s">
        <v>1452</v>
      </c>
      <c r="G414" s="29"/>
      <c r="H414" s="36"/>
      <c r="I414" s="29"/>
      <c r="J414" s="25" t="s">
        <v>1453</v>
      </c>
      <c r="K414" s="30"/>
      <c r="L414" s="35"/>
      <c r="M414" s="28"/>
      <c r="N414" s="28"/>
      <c r="O414" s="28"/>
      <c r="P414" s="28"/>
      <c r="Q414" s="28"/>
      <c r="R414" s="28"/>
      <c r="S414" s="28"/>
      <c r="T414" s="28"/>
      <c r="U414" s="28"/>
      <c r="V414" s="28"/>
      <c r="W414" s="28"/>
      <c r="X414" s="28"/>
      <c r="Y414" s="28"/>
      <c r="Z414" s="28"/>
      <c r="AA414" s="28"/>
      <c r="AB414" s="28"/>
    </row>
    <row r="415">
      <c r="A415" s="21" t="s">
        <v>1454</v>
      </c>
      <c r="B415" s="22" t="s">
        <v>777</v>
      </c>
      <c r="C415" s="23" t="str">
        <f>IFERROR(__xludf.DUMMYFUNCTION("GOOGLETRANSLATE(B415, ""en"", ""fr"")"),"Enclume")</f>
        <v>Enclume</v>
      </c>
      <c r="D415" s="23"/>
      <c r="E415" s="29"/>
      <c r="F415" s="23" t="s">
        <v>779</v>
      </c>
      <c r="G415" s="29"/>
      <c r="H415" s="36"/>
      <c r="I415" s="29"/>
      <c r="J415" s="25" t="s">
        <v>1455</v>
      </c>
      <c r="K415" s="30"/>
      <c r="L415" s="35"/>
      <c r="M415" s="28"/>
      <c r="N415" s="28"/>
      <c r="O415" s="28"/>
      <c r="P415" s="28"/>
      <c r="Q415" s="28"/>
      <c r="R415" s="28"/>
      <c r="S415" s="28"/>
      <c r="T415" s="28"/>
      <c r="U415" s="28"/>
      <c r="V415" s="28"/>
      <c r="W415" s="28"/>
      <c r="X415" s="28"/>
      <c r="Y415" s="28"/>
      <c r="Z415" s="28"/>
      <c r="AA415" s="28"/>
      <c r="AB415" s="28"/>
    </row>
    <row r="416">
      <c r="A416" s="21" t="s">
        <v>1456</v>
      </c>
      <c r="B416" s="22" t="s">
        <v>1457</v>
      </c>
      <c r="C416" s="23" t="str">
        <f>IFERROR(__xludf.DUMMYFUNCTION("GOOGLETRANSLATE(B416, ""en"", ""fr"")"),"Structure du clan. Utilisé pour les objets métalliques d'artisanat.")</f>
        <v>Structure du clan. Utilisé pour les objets métalliques d'artisanat.</v>
      </c>
      <c r="D416" s="23"/>
      <c r="E416" s="29"/>
      <c r="F416" s="23" t="s">
        <v>1458</v>
      </c>
      <c r="G416" s="29"/>
      <c r="H416" s="36"/>
      <c r="I416" s="29"/>
      <c r="J416" s="25" t="s">
        <v>1459</v>
      </c>
      <c r="K416" s="30"/>
      <c r="L416" s="35"/>
      <c r="M416" s="28"/>
      <c r="N416" s="28"/>
      <c r="O416" s="28"/>
      <c r="P416" s="28"/>
      <c r="Q416" s="28"/>
      <c r="R416" s="28"/>
      <c r="S416" s="28"/>
      <c r="T416" s="28"/>
      <c r="U416" s="28"/>
      <c r="V416" s="28"/>
      <c r="W416" s="28"/>
      <c r="X416" s="28"/>
      <c r="Y416" s="28"/>
      <c r="Z416" s="28"/>
      <c r="AA416" s="28"/>
      <c r="AB416" s="28"/>
    </row>
    <row r="417">
      <c r="A417" s="41" t="s">
        <v>1460</v>
      </c>
      <c r="B417" s="22" t="s">
        <v>783</v>
      </c>
      <c r="C417" s="23" t="str">
        <f>IFERROR(__xludf.DUMMYFUNCTION("GOOGLETRANSLATE(B417, ""en"", ""fr"")"),"Laboratoire")</f>
        <v>Laboratoire</v>
      </c>
      <c r="D417" s="23"/>
      <c r="E417" s="29"/>
      <c r="F417" s="23" t="s">
        <v>1461</v>
      </c>
      <c r="G417" s="29"/>
      <c r="H417" s="36"/>
      <c r="I417" s="29"/>
      <c r="J417" s="25" t="s">
        <v>1462</v>
      </c>
      <c r="K417" s="30"/>
      <c r="L417" s="35"/>
      <c r="M417" s="28"/>
      <c r="N417" s="28"/>
      <c r="O417" s="28"/>
      <c r="P417" s="28"/>
      <c r="Q417" s="28"/>
      <c r="R417" s="28"/>
      <c r="S417" s="28"/>
      <c r="T417" s="28"/>
      <c r="U417" s="28"/>
      <c r="V417" s="28"/>
      <c r="W417" s="28"/>
      <c r="X417" s="28"/>
      <c r="Y417" s="28"/>
      <c r="Z417" s="28"/>
      <c r="AA417" s="28"/>
      <c r="AB417" s="28"/>
    </row>
    <row r="418">
      <c r="A418" s="41" t="s">
        <v>1463</v>
      </c>
      <c r="B418" s="22" t="s">
        <v>1464</v>
      </c>
      <c r="C418" s="23" t="str">
        <f>IFERROR(__xludf.DUMMYFUNCTION("GOOGLETRANSLATE(B418, ""en"", ""fr"")"),"Structure du clan. Utilisé pour les potions d'artisanat.")</f>
        <v>Structure du clan. Utilisé pour les potions d'artisanat.</v>
      </c>
      <c r="D418" s="23"/>
      <c r="E418" s="29"/>
      <c r="F418" s="23" t="s">
        <v>1465</v>
      </c>
      <c r="G418" s="29"/>
      <c r="H418" s="36"/>
      <c r="I418" s="29"/>
      <c r="J418" s="25" t="s">
        <v>1466</v>
      </c>
      <c r="K418" s="30"/>
      <c r="L418" s="35"/>
      <c r="M418" s="28"/>
      <c r="N418" s="28"/>
      <c r="O418" s="28"/>
      <c r="P418" s="28"/>
      <c r="Q418" s="28"/>
      <c r="R418" s="28"/>
      <c r="S418" s="28"/>
      <c r="T418" s="28"/>
      <c r="U418" s="28"/>
      <c r="V418" s="28"/>
      <c r="W418" s="28"/>
      <c r="X418" s="28"/>
      <c r="Y418" s="28"/>
      <c r="Z418" s="28"/>
      <c r="AA418" s="28"/>
      <c r="AB418" s="28"/>
    </row>
    <row r="419">
      <c r="A419" s="41" t="s">
        <v>1467</v>
      </c>
      <c r="B419" s="22" t="s">
        <v>1468</v>
      </c>
      <c r="C419" s="23" t="str">
        <f>IFERROR(__xludf.DUMMYFUNCTION("GOOGLETRANSLATE(B419, ""en"", ""fr"")"),"Générateur")</f>
        <v>Générateur</v>
      </c>
      <c r="D419" s="23"/>
      <c r="E419" s="29"/>
      <c r="F419" s="23" t="s">
        <v>1469</v>
      </c>
      <c r="G419" s="29"/>
      <c r="H419" s="36"/>
      <c r="I419" s="29"/>
      <c r="J419" s="25" t="s">
        <v>1470</v>
      </c>
      <c r="K419" s="30"/>
      <c r="L419" s="35"/>
      <c r="M419" s="28"/>
      <c r="N419" s="28"/>
      <c r="O419" s="28"/>
      <c r="P419" s="28"/>
      <c r="Q419" s="28"/>
      <c r="R419" s="28"/>
      <c r="S419" s="28"/>
      <c r="T419" s="28"/>
      <c r="U419" s="28"/>
      <c r="V419" s="28"/>
      <c r="W419" s="28"/>
      <c r="X419" s="28"/>
      <c r="Y419" s="28"/>
      <c r="Z419" s="28"/>
      <c r="AA419" s="28"/>
      <c r="AB419" s="28"/>
    </row>
    <row r="420">
      <c r="A420" s="41" t="s">
        <v>1471</v>
      </c>
      <c r="B420" s="22" t="s">
        <v>1472</v>
      </c>
      <c r="C420" s="23" t="str">
        <f>IFERROR(__xludf.DUMMYFUNCTION("GOOGLETRANSLATE(B420,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20" s="23"/>
      <c r="E420" s="29"/>
      <c r="F420" s="23" t="s">
        <v>1473</v>
      </c>
      <c r="G420" s="29"/>
      <c r="H420" s="36"/>
      <c r="I420" s="29"/>
      <c r="J420" s="25" t="s">
        <v>1474</v>
      </c>
      <c r="K420" s="30"/>
      <c r="L420" s="35"/>
      <c r="M420" s="28"/>
      <c r="N420" s="28"/>
      <c r="O420" s="28"/>
      <c r="P420" s="28"/>
      <c r="Q420" s="28"/>
      <c r="R420" s="28"/>
      <c r="S420" s="28"/>
      <c r="T420" s="28"/>
      <c r="U420" s="28"/>
      <c r="V420" s="28"/>
      <c r="W420" s="28"/>
      <c r="X420" s="28"/>
      <c r="Y420" s="28"/>
      <c r="Z420" s="28"/>
      <c r="AA420" s="28"/>
      <c r="AB420" s="28"/>
    </row>
    <row r="421">
      <c r="A421" s="41" t="s">
        <v>1475</v>
      </c>
      <c r="B421" s="22" t="s">
        <v>1476</v>
      </c>
      <c r="C421" s="23" t="str">
        <f>IFERROR(__xludf.DUMMYFUNCTION("GOOGLETRANSLATE(B421, ""en"", ""fr"")"),"clé Fighter")</f>
        <v>clé Fighter</v>
      </c>
      <c r="D421" s="23"/>
      <c r="E421" s="29"/>
      <c r="F421" s="23" t="s">
        <v>1477</v>
      </c>
      <c r="G421" s="29"/>
      <c r="H421" s="36"/>
      <c r="I421" s="29"/>
      <c r="J421" s="25"/>
      <c r="K421" s="30"/>
      <c r="L421" s="35"/>
      <c r="M421" s="28"/>
      <c r="N421" s="28"/>
      <c r="O421" s="28"/>
      <c r="P421" s="28"/>
      <c r="Q421" s="28"/>
      <c r="R421" s="28"/>
      <c r="S421" s="28"/>
      <c r="T421" s="28"/>
      <c r="U421" s="28"/>
      <c r="V421" s="28"/>
      <c r="W421" s="28"/>
      <c r="X421" s="28"/>
      <c r="Y421" s="28"/>
      <c r="Z421" s="28"/>
      <c r="AA421" s="28"/>
      <c r="AB421" s="28"/>
    </row>
    <row r="422">
      <c r="A422" s="41" t="s">
        <v>1478</v>
      </c>
      <c r="B422" s="22" t="s">
        <v>1479</v>
      </c>
      <c r="C422" s="23" t="str">
        <f>IFERROR(__xludf.DUMMYFUNCTION("GOOGLETRANSLATE(B422,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22" s="23"/>
      <c r="E422" s="29"/>
      <c r="F422" s="23" t="s">
        <v>1480</v>
      </c>
      <c r="G422" s="29"/>
      <c r="H422" s="36"/>
      <c r="I422" s="29"/>
      <c r="J422" s="25"/>
      <c r="K422" s="30"/>
      <c r="L422" s="35"/>
      <c r="M422" s="28"/>
      <c r="N422" s="28"/>
      <c r="O422" s="28"/>
      <c r="P422" s="28"/>
      <c r="Q422" s="28"/>
      <c r="R422" s="28"/>
      <c r="S422" s="28"/>
      <c r="T422" s="28"/>
      <c r="U422" s="28"/>
      <c r="V422" s="28"/>
      <c r="W422" s="28"/>
      <c r="X422" s="28"/>
      <c r="Y422" s="28"/>
      <c r="Z422" s="28"/>
      <c r="AA422" s="28"/>
      <c r="AB422" s="28"/>
    </row>
    <row r="423">
      <c r="A423" s="41" t="s">
        <v>1481</v>
      </c>
      <c r="B423" s="22" t="s">
        <v>1482</v>
      </c>
      <c r="C423" s="23" t="str">
        <f>IFERROR(__xludf.DUMMYFUNCTION("GOOGLETRANSLATE(B423, ""en"", ""fr"")"),"clé Pit")</f>
        <v>clé Pit</v>
      </c>
      <c r="D423" s="23"/>
      <c r="E423" s="29"/>
      <c r="F423" s="23" t="s">
        <v>1483</v>
      </c>
      <c r="G423" s="29"/>
      <c r="H423" s="36"/>
      <c r="I423" s="29"/>
      <c r="J423" s="25"/>
      <c r="K423" s="30"/>
      <c r="L423" s="35"/>
      <c r="M423" s="28"/>
      <c r="N423" s="28"/>
      <c r="O423" s="28"/>
      <c r="P423" s="28"/>
      <c r="Q423" s="28"/>
      <c r="R423" s="28"/>
      <c r="S423" s="28"/>
      <c r="T423" s="28"/>
      <c r="U423" s="28"/>
      <c r="V423" s="28"/>
      <c r="W423" s="28"/>
      <c r="X423" s="28"/>
      <c r="Y423" s="28"/>
      <c r="Z423" s="28"/>
      <c r="AA423" s="28"/>
      <c r="AB423" s="28"/>
    </row>
    <row r="424">
      <c r="A424" s="41" t="s">
        <v>1484</v>
      </c>
      <c r="B424" s="22" t="s">
        <v>1485</v>
      </c>
      <c r="C424" s="23" t="str">
        <f>IFERROR(__xludf.DUMMYFUNCTION("GOOGLETRANSLATE(B424, ""en"", ""fr"")"),"Ouvre les portes pour sortir de la fosse de combat.")</f>
        <v>Ouvre les portes pour sortir de la fosse de combat.</v>
      </c>
      <c r="D424" s="23"/>
      <c r="E424" s="29"/>
      <c r="F424" s="23" t="s">
        <v>1486</v>
      </c>
      <c r="G424" s="29"/>
      <c r="H424" s="36"/>
      <c r="I424" s="29"/>
      <c r="J424" s="25"/>
      <c r="K424" s="30"/>
      <c r="L424" s="35"/>
      <c r="M424" s="28"/>
      <c r="N424" s="28"/>
      <c r="O424" s="28"/>
      <c r="P424" s="28"/>
      <c r="Q424" s="28"/>
      <c r="R424" s="28"/>
      <c r="S424" s="28"/>
      <c r="T424" s="28"/>
      <c r="U424" s="28"/>
      <c r="V424" s="28"/>
      <c r="W424" s="28"/>
      <c r="X424" s="28"/>
      <c r="Y424" s="28"/>
      <c r="Z424" s="28"/>
      <c r="AA424" s="28"/>
      <c r="AB424" s="28"/>
    </row>
    <row r="425">
      <c r="A425" s="21" t="s">
        <v>1487</v>
      </c>
      <c r="B425" s="22" t="s">
        <v>1488</v>
      </c>
      <c r="C425" s="23" t="str">
        <f>IFERROR(__xludf.DUMMYFUNCTION("GOOGLETRANSLATE(B425, ""en"", ""fr"")"),"Bandit")</f>
        <v>Bandit</v>
      </c>
      <c r="D425" s="29"/>
      <c r="E425" s="29"/>
      <c r="F425" s="23" t="s">
        <v>1489</v>
      </c>
      <c r="G425" s="29"/>
      <c r="H425" s="36"/>
      <c r="I425" s="23" t="s">
        <v>1490</v>
      </c>
      <c r="J425" s="25" t="s">
        <v>1491</v>
      </c>
      <c r="K425" s="30"/>
      <c r="L425" s="35"/>
      <c r="M425" s="28"/>
      <c r="N425" s="28"/>
      <c r="O425" s="28"/>
      <c r="P425" s="28"/>
      <c r="Q425" s="28"/>
      <c r="R425" s="28"/>
      <c r="S425" s="28"/>
      <c r="T425" s="28"/>
      <c r="U425" s="28"/>
      <c r="V425" s="28"/>
      <c r="W425" s="28"/>
      <c r="X425" s="28"/>
      <c r="Y425" s="28"/>
      <c r="Z425" s="28"/>
      <c r="AA425" s="28"/>
      <c r="AB425" s="28"/>
    </row>
    <row r="426">
      <c r="A426" s="21" t="s">
        <v>1492</v>
      </c>
      <c r="B426" s="22" t="s">
        <v>1493</v>
      </c>
      <c r="C426" s="23" t="str">
        <f>IFERROR(__xludf.DUMMYFUNCTION("GOOGLETRANSLATE(B426, ""en"", ""fr"")"),"Bandit leader")</f>
        <v>Bandit leader</v>
      </c>
      <c r="D426" s="29"/>
      <c r="E426" s="29"/>
      <c r="F426" s="23" t="s">
        <v>1494</v>
      </c>
      <c r="G426" s="29"/>
      <c r="H426" s="36"/>
      <c r="I426" s="29"/>
      <c r="J426" s="25" t="s">
        <v>1495</v>
      </c>
      <c r="K426" s="30"/>
      <c r="L426" s="35"/>
      <c r="M426" s="28"/>
      <c r="N426" s="28"/>
      <c r="O426" s="28"/>
      <c r="P426" s="28"/>
      <c r="Q426" s="28"/>
      <c r="R426" s="28"/>
      <c r="S426" s="28"/>
      <c r="T426" s="28"/>
      <c r="U426" s="28"/>
      <c r="V426" s="28"/>
      <c r="W426" s="28"/>
      <c r="X426" s="28"/>
      <c r="Y426" s="28"/>
      <c r="Z426" s="28"/>
      <c r="AA426" s="28"/>
      <c r="AB426" s="28"/>
    </row>
    <row r="427">
      <c r="A427" s="21" t="s">
        <v>1496</v>
      </c>
      <c r="B427" s="22" t="s">
        <v>1497</v>
      </c>
      <c r="C427" s="23" t="str">
        <f>IFERROR(__xludf.DUMMYFUNCTION("GOOGLETRANSLATE(B427, ""en"", ""fr"")"),"Assassin")</f>
        <v>Assassin</v>
      </c>
      <c r="D427" s="29"/>
      <c r="E427" s="29"/>
      <c r="F427" s="23" t="s">
        <v>1498</v>
      </c>
      <c r="G427" s="29"/>
      <c r="H427" s="36"/>
      <c r="I427" s="29"/>
      <c r="J427" s="25" t="s">
        <v>1499</v>
      </c>
      <c r="K427" s="30"/>
      <c r="L427" s="35"/>
      <c r="M427" s="28"/>
      <c r="N427" s="28"/>
      <c r="O427" s="28"/>
      <c r="P427" s="28"/>
      <c r="Q427" s="28"/>
      <c r="R427" s="28"/>
      <c r="S427" s="28"/>
      <c r="T427" s="28"/>
      <c r="U427" s="28"/>
      <c r="V427" s="28"/>
      <c r="W427" s="28"/>
      <c r="X427" s="28"/>
      <c r="Y427" s="28"/>
      <c r="Z427" s="28"/>
      <c r="AA427" s="28"/>
      <c r="AB427" s="28"/>
    </row>
    <row r="428">
      <c r="A428" s="21" t="s">
        <v>1500</v>
      </c>
      <c r="B428" s="22" t="s">
        <v>1501</v>
      </c>
      <c r="C428" s="23" t="str">
        <f>IFERROR(__xludf.DUMMYFUNCTION("GOOGLETRANSLATE(B428, ""en"", ""fr"")"),"maître assassin")</f>
        <v>maître assassin</v>
      </c>
      <c r="D428" s="29"/>
      <c r="E428" s="29"/>
      <c r="F428" s="23" t="s">
        <v>1502</v>
      </c>
      <c r="G428" s="29"/>
      <c r="H428" s="36"/>
      <c r="I428" s="29"/>
      <c r="J428" s="25"/>
      <c r="K428" s="30"/>
      <c r="L428" s="35"/>
      <c r="M428" s="28"/>
      <c r="N428" s="28"/>
      <c r="O428" s="28"/>
      <c r="P428" s="28"/>
      <c r="Q428" s="28"/>
      <c r="R428" s="28"/>
      <c r="S428" s="28"/>
      <c r="T428" s="28"/>
      <c r="U428" s="28"/>
      <c r="V428" s="28"/>
      <c r="W428" s="28"/>
      <c r="X428" s="28"/>
      <c r="Y428" s="28"/>
      <c r="Z428" s="28"/>
      <c r="AA428" s="28"/>
      <c r="AB428" s="28"/>
    </row>
    <row r="429">
      <c r="A429" s="21" t="s">
        <v>1503</v>
      </c>
      <c r="B429" s="22" t="s">
        <v>1504</v>
      </c>
      <c r="C429" s="23" t="str">
        <f>IFERROR(__xludf.DUMMYFUNCTION("GOOGLETRANSLATE(B429, ""en"", ""fr"")"),"Chauve souris")</f>
        <v>Chauve souris</v>
      </c>
      <c r="D429" s="29"/>
      <c r="E429" s="29"/>
      <c r="F429" s="23" t="s">
        <v>1505</v>
      </c>
      <c r="G429" s="29"/>
      <c r="H429" s="36"/>
      <c r="I429" s="23" t="s">
        <v>1506</v>
      </c>
      <c r="J429" s="25" t="s">
        <v>1507</v>
      </c>
      <c r="K429" s="30"/>
      <c r="L429" s="35"/>
      <c r="M429" s="28"/>
      <c r="N429" s="28"/>
      <c r="O429" s="28"/>
      <c r="P429" s="28"/>
      <c r="Q429" s="28"/>
      <c r="R429" s="28"/>
      <c r="S429" s="28"/>
      <c r="T429" s="28"/>
      <c r="U429" s="28"/>
      <c r="V429" s="28"/>
      <c r="W429" s="28"/>
      <c r="X429" s="28"/>
      <c r="Y429" s="28"/>
      <c r="Z429" s="28"/>
      <c r="AA429" s="28"/>
      <c r="AB429" s="28"/>
    </row>
    <row r="430">
      <c r="A430" s="21" t="s">
        <v>1508</v>
      </c>
      <c r="B430" s="22" t="s">
        <v>1509</v>
      </c>
      <c r="C430" s="23" t="str">
        <f>IFERROR(__xludf.DUMMYFUNCTION("GOOGLETRANSLATE(B430, ""en"", ""fr"")"),"Règle")</f>
        <v>Règle</v>
      </c>
      <c r="D430" s="29"/>
      <c r="E430" s="29"/>
      <c r="F430" s="23" t="s">
        <v>1510</v>
      </c>
      <c r="G430" s="29"/>
      <c r="H430" s="36"/>
      <c r="I430" s="29"/>
      <c r="J430" s="25" t="s">
        <v>1511</v>
      </c>
      <c r="K430" s="30"/>
      <c r="L430" s="35"/>
      <c r="M430" s="28"/>
      <c r="N430" s="28"/>
      <c r="O430" s="28"/>
      <c r="P430" s="28"/>
      <c r="Q430" s="28"/>
      <c r="R430" s="28"/>
      <c r="S430" s="28"/>
      <c r="T430" s="28"/>
      <c r="U430" s="28"/>
      <c r="V430" s="28"/>
      <c r="W430" s="28"/>
      <c r="X430" s="28"/>
      <c r="Y430" s="28"/>
      <c r="Z430" s="28"/>
      <c r="AA430" s="28"/>
      <c r="AB430" s="28"/>
    </row>
    <row r="431">
      <c r="A431" s="21" t="s">
        <v>1512</v>
      </c>
      <c r="B431" s="22" t="s">
        <v>1513</v>
      </c>
      <c r="C431" s="23" t="str">
        <f>IFERROR(__xludf.DUMMYFUNCTION("GOOGLETRANSLATE(B431, ""en"", ""fr"")"),"Aubergiste")</f>
        <v>Aubergiste</v>
      </c>
      <c r="D431" s="29"/>
      <c r="E431" s="29"/>
      <c r="F431" s="23" t="s">
        <v>1514</v>
      </c>
      <c r="G431" s="29"/>
      <c r="H431" s="36"/>
      <c r="I431" s="29"/>
      <c r="J431" s="25" t="s">
        <v>1515</v>
      </c>
      <c r="K431" s="30"/>
      <c r="L431" s="35"/>
      <c r="M431" s="28"/>
      <c r="N431" s="28"/>
      <c r="O431" s="28"/>
      <c r="P431" s="28"/>
      <c r="Q431" s="28"/>
      <c r="R431" s="28"/>
      <c r="S431" s="28"/>
      <c r="T431" s="28"/>
      <c r="U431" s="28"/>
      <c r="V431" s="28"/>
      <c r="W431" s="28"/>
      <c r="X431" s="28"/>
      <c r="Y431" s="28"/>
      <c r="Z431" s="28"/>
      <c r="AA431" s="28"/>
      <c r="AB431" s="28"/>
    </row>
    <row r="432">
      <c r="A432" s="21" t="s">
        <v>1516</v>
      </c>
      <c r="B432" s="22" t="s">
        <v>1517</v>
      </c>
      <c r="C432" s="23" t="str">
        <f>IFERROR(__xludf.DUMMYFUNCTION("GOOGLETRANSLATE(B432, ""en"", ""fr"")"),"maître Arena")</f>
        <v>maître Arena</v>
      </c>
      <c r="D432" s="29"/>
      <c r="E432" s="29"/>
      <c r="F432" s="23" t="s">
        <v>1518</v>
      </c>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21" t="s">
        <v>1519</v>
      </c>
      <c r="B433" s="22" t="s">
        <v>1520</v>
      </c>
      <c r="C433" s="23" t="str">
        <f>IFERROR(__xludf.DUMMYFUNCTION("GOOGLETRANSLATE(B433, ""en"", ""fr"")"),"marchande")</f>
        <v>marchande</v>
      </c>
      <c r="D433" s="29"/>
      <c r="E433" s="29"/>
      <c r="F433" s="23" t="s">
        <v>1521</v>
      </c>
      <c r="G433" s="29"/>
      <c r="H433" s="36"/>
      <c r="I433" s="23" t="s">
        <v>1522</v>
      </c>
      <c r="J433" s="25" t="s">
        <v>1523</v>
      </c>
      <c r="K433" s="30"/>
      <c r="L433" s="35"/>
      <c r="M433" s="28"/>
      <c r="N433" s="28"/>
      <c r="O433" s="28"/>
      <c r="P433" s="28"/>
      <c r="Q433" s="28"/>
      <c r="R433" s="28"/>
      <c r="S433" s="28"/>
      <c r="T433" s="28"/>
      <c r="U433" s="28"/>
      <c r="V433" s="28"/>
      <c r="W433" s="28"/>
      <c r="X433" s="28"/>
      <c r="Y433" s="28"/>
      <c r="Z433" s="28"/>
      <c r="AA433" s="28"/>
      <c r="AB433" s="28"/>
    </row>
    <row r="434">
      <c r="A434" s="21" t="s">
        <v>1524</v>
      </c>
      <c r="B434" s="22" t="s">
        <v>1525</v>
      </c>
      <c r="C434" s="23" t="str">
        <f>IFERROR(__xludf.DUMMYFUNCTION("GOOGLETRANSLATE(B434, ""en"", ""fr"")"),"marchand Melee")</f>
        <v>marchand Melee</v>
      </c>
      <c r="D434" s="29"/>
      <c r="E434" s="29"/>
      <c r="F434" s="23" t="s">
        <v>1526</v>
      </c>
      <c r="G434" s="29"/>
      <c r="H434" s="36"/>
      <c r="I434" s="29"/>
      <c r="J434" s="25" t="s">
        <v>1527</v>
      </c>
      <c r="K434" s="30"/>
      <c r="L434" s="35"/>
      <c r="M434" s="28"/>
      <c r="N434" s="28"/>
      <c r="O434" s="28"/>
      <c r="P434" s="28"/>
      <c r="Q434" s="28"/>
      <c r="R434" s="28"/>
      <c r="S434" s="28"/>
      <c r="T434" s="28"/>
      <c r="U434" s="28"/>
      <c r="V434" s="28"/>
      <c r="W434" s="28"/>
      <c r="X434" s="28"/>
      <c r="Y434" s="28"/>
      <c r="Z434" s="28"/>
      <c r="AA434" s="28"/>
      <c r="AB434" s="28"/>
    </row>
    <row r="435">
      <c r="A435" s="21" t="s">
        <v>1528</v>
      </c>
      <c r="B435" s="22" t="s">
        <v>1529</v>
      </c>
      <c r="C435" s="23" t="str">
        <f>IFERROR(__xludf.DUMMYFUNCTION("GOOGLETRANSLATE(B435, ""en"", ""fr"")"),"marchand Ranged")</f>
        <v>marchand Ranged</v>
      </c>
      <c r="D435" s="29"/>
      <c r="E435" s="29"/>
      <c r="F435" s="23" t="s">
        <v>1530</v>
      </c>
      <c r="G435" s="29"/>
      <c r="H435" s="36"/>
      <c r="I435" s="29"/>
      <c r="J435" s="25" t="s">
        <v>1531</v>
      </c>
      <c r="K435" s="30"/>
      <c r="L435" s="35"/>
      <c r="M435" s="28"/>
      <c r="N435" s="28"/>
      <c r="O435" s="28"/>
      <c r="P435" s="28"/>
      <c r="Q435" s="28"/>
      <c r="R435" s="28"/>
      <c r="S435" s="28"/>
      <c r="T435" s="28"/>
      <c r="U435" s="28"/>
      <c r="V435" s="28"/>
      <c r="W435" s="28"/>
      <c r="X435" s="28"/>
      <c r="Y435" s="28"/>
      <c r="Z435" s="28"/>
      <c r="AA435" s="28"/>
      <c r="AB435" s="28"/>
    </row>
    <row r="436">
      <c r="A436" s="21" t="s">
        <v>1532</v>
      </c>
      <c r="B436" s="22" t="s">
        <v>1533</v>
      </c>
      <c r="C436" s="23" t="str">
        <f>IFERROR(__xludf.DUMMYFUNCTION("GOOGLETRANSLATE(B436, ""en"", ""fr"")"),"marchand magique")</f>
        <v>marchand magique</v>
      </c>
      <c r="D436" s="29"/>
      <c r="E436" s="29"/>
      <c r="F436" s="23" t="s">
        <v>1534</v>
      </c>
      <c r="G436" s="29"/>
      <c r="H436" s="36"/>
      <c r="I436" s="29"/>
      <c r="J436" s="25" t="s">
        <v>1535</v>
      </c>
      <c r="K436" s="30"/>
      <c r="L436" s="35"/>
      <c r="M436" s="28"/>
      <c r="N436" s="28"/>
      <c r="O436" s="28"/>
      <c r="P436" s="28"/>
      <c r="Q436" s="28"/>
      <c r="R436" s="28"/>
      <c r="S436" s="28"/>
      <c r="T436" s="28"/>
      <c r="U436" s="28"/>
      <c r="V436" s="28"/>
      <c r="W436" s="28"/>
      <c r="X436" s="28"/>
      <c r="Y436" s="28"/>
      <c r="Z436" s="28"/>
      <c r="AA436" s="28"/>
      <c r="AB436" s="28"/>
    </row>
    <row r="437">
      <c r="A437" s="21" t="s">
        <v>1536</v>
      </c>
      <c r="B437" s="22" t="s">
        <v>1537</v>
      </c>
      <c r="C437" s="23" t="str">
        <f>IFERROR(__xludf.DUMMYFUNCTION("GOOGLETRANSLATE(B437, ""en"", ""fr"")"),"marchand outil")</f>
        <v>marchand outil</v>
      </c>
      <c r="D437" s="29"/>
      <c r="E437" s="29"/>
      <c r="F437" s="23" t="s">
        <v>1538</v>
      </c>
      <c r="G437" s="29"/>
      <c r="H437" s="36"/>
      <c r="I437" s="29"/>
      <c r="J437" s="25" t="s">
        <v>1539</v>
      </c>
      <c r="K437" s="30"/>
      <c r="L437" s="35"/>
      <c r="M437" s="28"/>
      <c r="N437" s="28"/>
      <c r="O437" s="28"/>
      <c r="P437" s="28"/>
      <c r="Q437" s="28"/>
      <c r="R437" s="28"/>
      <c r="S437" s="28"/>
      <c r="T437" s="28"/>
      <c r="U437" s="28"/>
      <c r="V437" s="28"/>
      <c r="W437" s="28"/>
      <c r="X437" s="28"/>
      <c r="Y437" s="28"/>
      <c r="Z437" s="28"/>
      <c r="AA437" s="28"/>
      <c r="AB437" s="28"/>
    </row>
    <row r="438">
      <c r="A438" s="21" t="s">
        <v>1540</v>
      </c>
      <c r="B438" s="22" t="s">
        <v>1541</v>
      </c>
      <c r="C438" s="23" t="str">
        <f>IFERROR(__xludf.DUMMYFUNCTION("GOOGLETRANSLATE(B438, ""en"", ""fr"")"),"marchand nain")</f>
        <v>marchand nain</v>
      </c>
      <c r="D438" s="29"/>
      <c r="E438" s="29"/>
      <c r="F438" s="23" t="s">
        <v>1542</v>
      </c>
      <c r="G438" s="29"/>
      <c r="H438" s="36"/>
      <c r="I438" s="29"/>
      <c r="J438" s="25"/>
      <c r="K438" s="30"/>
      <c r="L438" s="35"/>
      <c r="M438" s="28"/>
      <c r="N438" s="28"/>
      <c r="O438" s="28"/>
      <c r="P438" s="28"/>
      <c r="Q438" s="28"/>
      <c r="R438" s="28"/>
      <c r="S438" s="28"/>
      <c r="T438" s="28"/>
      <c r="U438" s="28"/>
      <c r="V438" s="28"/>
      <c r="W438" s="28"/>
      <c r="X438" s="28"/>
      <c r="Y438" s="28"/>
      <c r="Z438" s="28"/>
      <c r="AA438" s="28"/>
      <c r="AB438" s="28"/>
    </row>
    <row r="439">
      <c r="A439" s="21" t="s">
        <v>1543</v>
      </c>
      <c r="B439" s="22" t="s">
        <v>1544</v>
      </c>
      <c r="C439" s="23" t="str">
        <f>IFERROR(__xludf.DUMMYFUNCTION("GOOGLETRANSLATE(B439, ""en"", ""fr"")"),"Bibliothécaire")</f>
        <v>Bibliothécaire</v>
      </c>
      <c r="D439" s="29"/>
      <c r="E439" s="29"/>
      <c r="F439" s="23" t="s">
        <v>1545</v>
      </c>
      <c r="G439" s="29"/>
      <c r="H439" s="36"/>
      <c r="I439" s="29"/>
      <c r="J439" s="25"/>
      <c r="K439" s="30"/>
      <c r="L439" s="35"/>
      <c r="M439" s="28"/>
      <c r="N439" s="28"/>
      <c r="O439" s="28"/>
      <c r="P439" s="28"/>
      <c r="Q439" s="28"/>
      <c r="R439" s="28"/>
      <c r="S439" s="28"/>
      <c r="T439" s="28"/>
      <c r="U439" s="28"/>
      <c r="V439" s="28"/>
      <c r="W439" s="28"/>
      <c r="X439" s="28"/>
      <c r="Y439" s="28"/>
      <c r="Z439" s="28"/>
      <c r="AA439" s="28"/>
      <c r="AB439" s="28"/>
    </row>
    <row r="440">
      <c r="A440" s="21" t="s">
        <v>1546</v>
      </c>
      <c r="B440" s="22" t="s">
        <v>1547</v>
      </c>
      <c r="C440" s="23" t="str">
        <f>IFERROR(__xludf.DUMMYFUNCTION("GOOGLETRANSLATE(B440, ""en"", ""fr"")"),"Prêtre")</f>
        <v>Prêtre</v>
      </c>
      <c r="D440" s="29"/>
      <c r="E440" s="29"/>
      <c r="F440" s="23" t="s">
        <v>1548</v>
      </c>
      <c r="G440" s="29"/>
      <c r="H440" s="36"/>
      <c r="I440" s="29"/>
      <c r="J440" s="25" t="s">
        <v>1549</v>
      </c>
      <c r="K440" s="30"/>
      <c r="L440" s="35"/>
      <c r="M440" s="28"/>
      <c r="N440" s="28"/>
      <c r="O440" s="28"/>
      <c r="P440" s="28"/>
      <c r="Q440" s="28"/>
      <c r="R440" s="28"/>
      <c r="S440" s="28"/>
      <c r="T440" s="28"/>
      <c r="U440" s="28"/>
      <c r="V440" s="28"/>
      <c r="W440" s="28"/>
      <c r="X440" s="28"/>
      <c r="Y440" s="28"/>
      <c r="Z440" s="28"/>
      <c r="AA440" s="28"/>
      <c r="AB440" s="28"/>
    </row>
    <row r="441">
      <c r="A441" s="21" t="s">
        <v>1550</v>
      </c>
      <c r="B441" s="22" t="s">
        <v>1551</v>
      </c>
      <c r="C441" s="23" t="str">
        <f>IFERROR(__xludf.DUMMYFUNCTION("GOOGLETRANSLATE(B441, ""en"", ""fr"")"),"Citoyen")</f>
        <v>Citoyen</v>
      </c>
      <c r="D441" s="29"/>
      <c r="E441" s="29"/>
      <c r="F441" s="23" t="s">
        <v>1552</v>
      </c>
      <c r="G441" s="29"/>
      <c r="H441" s="36"/>
      <c r="I441" s="29"/>
      <c r="J441" s="25" t="s">
        <v>1553</v>
      </c>
      <c r="K441" s="30"/>
      <c r="L441" s="35"/>
      <c r="M441" s="28"/>
      <c r="N441" s="28"/>
      <c r="O441" s="28"/>
      <c r="P441" s="28"/>
      <c r="Q441" s="28"/>
      <c r="R441" s="28"/>
      <c r="S441" s="28"/>
      <c r="T441" s="28"/>
      <c r="U441" s="28"/>
      <c r="V441" s="28"/>
      <c r="W441" s="28"/>
      <c r="X441" s="28"/>
      <c r="Y441" s="28"/>
      <c r="Z441" s="28"/>
      <c r="AA441" s="28"/>
      <c r="AB441" s="28"/>
    </row>
    <row r="442">
      <c r="A442" s="21" t="s">
        <v>1554</v>
      </c>
      <c r="B442" s="22" t="s">
        <v>1555</v>
      </c>
      <c r="C442" s="23" t="str">
        <f>IFERROR(__xludf.DUMMYFUNCTION("GOOGLETRANSLATE(B442, ""en"", ""fr"")"),"Nain")</f>
        <v>Nain</v>
      </c>
      <c r="D442" s="29"/>
      <c r="E442" s="29"/>
      <c r="F442" s="23"/>
      <c r="G442" s="29"/>
      <c r="H442" s="36"/>
      <c r="I442" s="29"/>
      <c r="J442" s="25"/>
      <c r="K442" s="30"/>
      <c r="L442" s="35"/>
      <c r="M442" s="28"/>
      <c r="N442" s="28"/>
      <c r="O442" s="28"/>
      <c r="P442" s="28"/>
      <c r="Q442" s="28"/>
      <c r="R442" s="28"/>
      <c r="S442" s="28"/>
      <c r="T442" s="28"/>
      <c r="U442" s="28"/>
      <c r="V442" s="28"/>
      <c r="W442" s="28"/>
      <c r="X442" s="28"/>
      <c r="Y442" s="28"/>
      <c r="Z442" s="28"/>
      <c r="AA442" s="28"/>
      <c r="AB442" s="28"/>
    </row>
    <row r="443">
      <c r="A443" s="21" t="s">
        <v>1556</v>
      </c>
      <c r="B443" s="22" t="s">
        <v>1557</v>
      </c>
      <c r="C443" s="23" t="str">
        <f>IFERROR(__xludf.DUMMYFUNCTION("GOOGLETRANSLATE(B443, ""en"", ""fr"")"),"guerrier nain")</f>
        <v>guerrier nain</v>
      </c>
      <c r="D443" s="29"/>
      <c r="E443" s="29"/>
      <c r="F443" s="23"/>
      <c r="G443" s="29"/>
      <c r="H443" s="36"/>
      <c r="I443" s="29"/>
      <c r="J443" s="25"/>
      <c r="K443" s="30"/>
      <c r="L443" s="35"/>
      <c r="M443" s="28"/>
      <c r="N443" s="28"/>
      <c r="O443" s="28"/>
      <c r="P443" s="28"/>
      <c r="Q443" s="28"/>
      <c r="R443" s="28"/>
      <c r="S443" s="28"/>
      <c r="T443" s="28"/>
      <c r="U443" s="28"/>
      <c r="V443" s="28"/>
      <c r="W443" s="28"/>
      <c r="X443" s="28"/>
      <c r="Y443" s="28"/>
      <c r="Z443" s="28"/>
      <c r="AA443" s="28"/>
      <c r="AB443" s="28"/>
    </row>
    <row r="444">
      <c r="A444" s="21" t="s">
        <v>1558</v>
      </c>
      <c r="B444" s="22" t="s">
        <v>1559</v>
      </c>
      <c r="C444" s="23" t="str">
        <f>IFERROR(__xludf.DUMMYFUNCTION("GOOGLETRANSLATE(B444, ""en"", ""fr"")"),"chevalier")</f>
        <v>chevalier</v>
      </c>
      <c r="D444" s="29"/>
      <c r="E444" s="29"/>
      <c r="F444" s="23" t="s">
        <v>1560</v>
      </c>
      <c r="G444" s="29"/>
      <c r="H444" s="36"/>
      <c r="I444" s="23" t="s">
        <v>1561</v>
      </c>
      <c r="J444" s="25" t="s">
        <v>1562</v>
      </c>
      <c r="K444" s="30"/>
      <c r="L444" s="35"/>
      <c r="M444" s="28"/>
      <c r="N444" s="28"/>
      <c r="O444" s="28"/>
      <c r="P444" s="28"/>
      <c r="Q444" s="28"/>
      <c r="R444" s="28"/>
      <c r="S444" s="28"/>
      <c r="T444" s="28"/>
      <c r="U444" s="28"/>
      <c r="V444" s="28"/>
      <c r="W444" s="28"/>
      <c r="X444" s="28"/>
      <c r="Y444" s="28"/>
      <c r="Z444" s="28"/>
      <c r="AA444" s="28"/>
      <c r="AB444" s="28"/>
    </row>
    <row r="445">
      <c r="A445" s="21" t="s">
        <v>1563</v>
      </c>
      <c r="B445" s="22" t="s">
        <v>1564</v>
      </c>
      <c r="C445" s="23" t="str">
        <f>IFERROR(__xludf.DUMMYFUNCTION("GOOGLETRANSLATE(B445, ""en"", ""fr"")"),"Le commandant")</f>
        <v>Le commandant</v>
      </c>
      <c r="D445" s="29"/>
      <c r="E445" s="29"/>
      <c r="F445" s="23" t="s">
        <v>1565</v>
      </c>
      <c r="G445" s="29"/>
      <c r="H445" s="36"/>
      <c r="I445" s="23" t="s">
        <v>1566</v>
      </c>
      <c r="J445" s="25" t="s">
        <v>1567</v>
      </c>
      <c r="K445" s="30"/>
      <c r="L445" s="35"/>
      <c r="M445" s="28"/>
      <c r="N445" s="28"/>
      <c r="O445" s="28"/>
      <c r="P445" s="28"/>
      <c r="Q445" s="28"/>
      <c r="R445" s="28"/>
      <c r="S445" s="28"/>
      <c r="T445" s="28"/>
      <c r="U445" s="28"/>
      <c r="V445" s="28"/>
      <c r="W445" s="28"/>
      <c r="X445" s="28"/>
      <c r="Y445" s="28"/>
      <c r="Z445" s="28"/>
      <c r="AA445" s="28"/>
      <c r="AB445" s="28"/>
    </row>
    <row r="446">
      <c r="A446" s="21" t="s">
        <v>1568</v>
      </c>
      <c r="B446" s="22" t="s">
        <v>1569</v>
      </c>
      <c r="C446" s="23" t="str">
        <f>IFERROR(__xludf.DUMMYFUNCTION("GOOGLETRANSLATE(B446, ""en"", ""fr"")"),"guerrier")</f>
        <v>guerrier</v>
      </c>
      <c r="D446" s="29"/>
      <c r="E446" s="29"/>
      <c r="F446" s="23" t="s">
        <v>1570</v>
      </c>
      <c r="G446" s="29"/>
      <c r="H446" s="36"/>
      <c r="I446" s="23" t="s">
        <v>1571</v>
      </c>
      <c r="J446" s="25" t="s">
        <v>1572</v>
      </c>
      <c r="K446" s="30"/>
      <c r="L446" s="35"/>
      <c r="M446" s="28"/>
      <c r="N446" s="28"/>
      <c r="O446" s="28"/>
      <c r="P446" s="28"/>
      <c r="Q446" s="28"/>
      <c r="R446" s="28"/>
      <c r="S446" s="28"/>
      <c r="T446" s="28"/>
      <c r="U446" s="28"/>
      <c r="V446" s="28"/>
      <c r="W446" s="28"/>
      <c r="X446" s="28"/>
      <c r="Y446" s="28"/>
      <c r="Z446" s="28"/>
      <c r="AA446" s="28"/>
      <c r="AB446" s="28"/>
    </row>
    <row r="447">
      <c r="A447" s="21" t="s">
        <v>1573</v>
      </c>
      <c r="B447" s="22" t="s">
        <v>1574</v>
      </c>
      <c r="C447" s="23" t="str">
        <f>IFERROR(__xludf.DUMMYFUNCTION("GOOGLETRANSLATE(B447, ""en"", ""fr"")"),"Prisonnier")</f>
        <v>Prisonnier</v>
      </c>
      <c r="D447" s="29"/>
      <c r="E447" s="29"/>
      <c r="F447" s="23" t="s">
        <v>1575</v>
      </c>
      <c r="G447" s="29"/>
      <c r="H447" s="36"/>
      <c r="I447" s="23" t="s">
        <v>1576</v>
      </c>
      <c r="J447" s="25" t="s">
        <v>1577</v>
      </c>
      <c r="K447" s="30"/>
      <c r="L447" s="35"/>
      <c r="M447" s="28"/>
      <c r="N447" s="28"/>
      <c r="O447" s="28"/>
      <c r="P447" s="28"/>
      <c r="Q447" s="28"/>
      <c r="R447" s="28"/>
      <c r="S447" s="28"/>
      <c r="T447" s="28"/>
      <c r="U447" s="28"/>
      <c r="V447" s="28"/>
      <c r="W447" s="28"/>
      <c r="X447" s="28"/>
      <c r="Y447" s="28"/>
      <c r="Z447" s="28"/>
      <c r="AA447" s="28"/>
      <c r="AB447" s="28"/>
    </row>
    <row r="448">
      <c r="A448" s="21" t="s">
        <v>1578</v>
      </c>
      <c r="B448" s="22" t="s">
        <v>1579</v>
      </c>
      <c r="C448" s="23" t="str">
        <f>IFERROR(__xludf.DUMMYFUNCTION("GOOGLETRANSLATE(B448, ""en"", ""fr"")"),"Rat")</f>
        <v>Rat</v>
      </c>
      <c r="D448" s="29"/>
      <c r="E448" s="29"/>
      <c r="F448" s="23" t="s">
        <v>1580</v>
      </c>
      <c r="G448" s="29"/>
      <c r="H448" s="36"/>
      <c r="I448" s="23" t="s">
        <v>1581</v>
      </c>
      <c r="J448" s="25" t="s">
        <v>1582</v>
      </c>
      <c r="K448" s="30"/>
      <c r="L448" s="35"/>
      <c r="M448" s="28"/>
      <c r="N448" s="28"/>
      <c r="O448" s="28"/>
      <c r="P448" s="28"/>
      <c r="Q448" s="28"/>
      <c r="R448" s="28"/>
      <c r="S448" s="28"/>
      <c r="T448" s="28"/>
      <c r="U448" s="28"/>
      <c r="V448" s="28"/>
      <c r="W448" s="28"/>
      <c r="X448" s="28"/>
      <c r="Y448" s="28"/>
      <c r="Z448" s="28"/>
      <c r="AA448" s="28"/>
      <c r="AB448" s="28"/>
    </row>
    <row r="449">
      <c r="A449" s="21" t="s">
        <v>1583</v>
      </c>
      <c r="B449" s="22" t="s">
        <v>1584</v>
      </c>
      <c r="C449" s="23" t="str">
        <f>IFERROR(__xludf.DUMMYFUNCTION("GOOGLETRANSLATE(B449, ""en"", ""fr"")"),"faucon")</f>
        <v>faucon</v>
      </c>
      <c r="D449" s="29"/>
      <c r="E449" s="29"/>
      <c r="F449" s="23" t="s">
        <v>1585</v>
      </c>
      <c r="G449" s="29"/>
      <c r="H449" s="36"/>
      <c r="I449" s="29"/>
      <c r="J449" s="25" t="s">
        <v>1586</v>
      </c>
      <c r="K449" s="30"/>
      <c r="L449" s="35"/>
      <c r="M449" s="28"/>
      <c r="N449" s="28"/>
      <c r="O449" s="28"/>
      <c r="P449" s="28"/>
      <c r="Q449" s="28"/>
      <c r="R449" s="28"/>
      <c r="S449" s="28"/>
      <c r="T449" s="28"/>
      <c r="U449" s="28"/>
      <c r="V449" s="28"/>
      <c r="W449" s="28"/>
      <c r="X449" s="28"/>
      <c r="Y449" s="28"/>
      <c r="Z449" s="28"/>
      <c r="AA449" s="28"/>
      <c r="AB449" s="28"/>
    </row>
    <row r="450">
      <c r="A450" s="21" t="s">
        <v>1587</v>
      </c>
      <c r="B450" s="22" t="s">
        <v>1588</v>
      </c>
      <c r="C450" s="23" t="str">
        <f>IFERROR(__xludf.DUMMYFUNCTION("GOOGLETRANSLATE(B450, ""en"", ""fr"")"),"vaurien de sable")</f>
        <v>vaurien de sable</v>
      </c>
      <c r="D450" s="29"/>
      <c r="E450" s="29"/>
      <c r="F450" s="23" t="s">
        <v>1589</v>
      </c>
      <c r="G450" s="29"/>
      <c r="H450" s="36"/>
      <c r="I450" s="29"/>
      <c r="J450" s="25" t="s">
        <v>1590</v>
      </c>
      <c r="K450" s="30"/>
      <c r="L450" s="35"/>
      <c r="M450" s="28"/>
      <c r="N450" s="28"/>
      <c r="O450" s="28"/>
      <c r="P450" s="28"/>
      <c r="Q450" s="28"/>
      <c r="R450" s="28"/>
      <c r="S450" s="28"/>
      <c r="T450" s="28"/>
      <c r="U450" s="28"/>
      <c r="V450" s="28"/>
      <c r="W450" s="28"/>
      <c r="X450" s="28"/>
      <c r="Y450" s="28"/>
      <c r="Z450" s="28"/>
      <c r="AA450" s="28"/>
      <c r="AB450" s="28"/>
    </row>
    <row r="451">
      <c r="A451" s="21" t="s">
        <v>1591</v>
      </c>
      <c r="B451" s="22" t="s">
        <v>1592</v>
      </c>
      <c r="C451" s="23" t="str">
        <f>IFERROR(__xludf.DUMMYFUNCTION("GOOGLETRANSLATE(B451, ""en"", ""fr"")"),"herbe vaurien")</f>
        <v>herbe vaurien</v>
      </c>
      <c r="D451" s="29"/>
      <c r="E451" s="29"/>
      <c r="F451" s="23" t="s">
        <v>1593</v>
      </c>
      <c r="G451" s="29"/>
      <c r="H451" s="36"/>
      <c r="I451" s="29"/>
      <c r="J451" s="25"/>
      <c r="K451" s="30"/>
      <c r="L451" s="35"/>
      <c r="M451" s="28"/>
      <c r="N451" s="28"/>
      <c r="O451" s="28"/>
      <c r="P451" s="28"/>
      <c r="Q451" s="28"/>
      <c r="R451" s="28"/>
      <c r="S451" s="28"/>
      <c r="T451" s="28"/>
      <c r="U451" s="28"/>
      <c r="V451" s="28"/>
      <c r="W451" s="28"/>
      <c r="X451" s="28"/>
      <c r="Y451" s="28"/>
      <c r="Z451" s="28"/>
      <c r="AA451" s="28"/>
      <c r="AB451" s="28"/>
    </row>
    <row r="452">
      <c r="A452" s="21" t="s">
        <v>1594</v>
      </c>
      <c r="B452" s="22" t="s">
        <v>1595</v>
      </c>
      <c r="C452" s="23" t="str">
        <f>IFERROR(__xludf.DUMMYFUNCTION("GOOGLETRANSLATE(B452, ""en"", ""fr"")"),"Lutin")</f>
        <v>Lutin</v>
      </c>
      <c r="D452" s="29"/>
      <c r="E452" s="29"/>
      <c r="F452" s="23" t="s">
        <v>1595</v>
      </c>
      <c r="G452" s="29"/>
      <c r="H452" s="36"/>
      <c r="I452" s="23" t="s">
        <v>1595</v>
      </c>
      <c r="J452" s="25" t="s">
        <v>1596</v>
      </c>
      <c r="K452" s="30"/>
      <c r="L452" s="35"/>
      <c r="M452" s="28"/>
      <c r="N452" s="28"/>
      <c r="O452" s="28"/>
      <c r="P452" s="28"/>
      <c r="Q452" s="28"/>
      <c r="R452" s="28"/>
      <c r="S452" s="28"/>
      <c r="T452" s="28"/>
      <c r="U452" s="28"/>
      <c r="V452" s="28"/>
      <c r="W452" s="28"/>
      <c r="X452" s="28"/>
      <c r="Y452" s="28"/>
      <c r="Z452" s="28"/>
      <c r="AA452" s="28"/>
      <c r="AB452" s="28"/>
    </row>
    <row r="453">
      <c r="A453" s="21" t="s">
        <v>1597</v>
      </c>
      <c r="B453" s="22" t="s">
        <v>1598</v>
      </c>
      <c r="C453" s="23" t="str">
        <f>IFERROR(__xludf.DUMMYFUNCTION("GOOGLETRANSLATE(B453, ""en"", ""fr"")"),"Druide")</f>
        <v>Druide</v>
      </c>
      <c r="D453" s="29"/>
      <c r="E453" s="29"/>
      <c r="F453" s="23" t="s">
        <v>1599</v>
      </c>
      <c r="G453" s="29"/>
      <c r="H453" s="36"/>
      <c r="I453" s="23" t="s">
        <v>1598</v>
      </c>
      <c r="J453" s="25" t="s">
        <v>1600</v>
      </c>
      <c r="K453" s="30"/>
      <c r="L453" s="35"/>
      <c r="M453" s="28"/>
      <c r="N453" s="28"/>
      <c r="O453" s="28"/>
      <c r="P453" s="28"/>
      <c r="Q453" s="28"/>
      <c r="R453" s="28"/>
      <c r="S453" s="28"/>
      <c r="T453" s="28"/>
      <c r="U453" s="28"/>
      <c r="V453" s="28"/>
      <c r="W453" s="28"/>
      <c r="X453" s="28"/>
      <c r="Y453" s="28"/>
      <c r="Z453" s="28"/>
      <c r="AA453" s="28"/>
      <c r="AB453" s="28"/>
    </row>
    <row r="454">
      <c r="A454" s="21" t="s">
        <v>1601</v>
      </c>
      <c r="B454" s="22" t="s">
        <v>1602</v>
      </c>
      <c r="C454" s="23" t="str">
        <f>IFERROR(__xludf.DUMMYFUNCTION("GOOGLETRANSLATE(B454, ""en"", ""fr"")"),"Snoovir")</f>
        <v>Snoovir</v>
      </c>
      <c r="D454" s="29"/>
      <c r="E454" s="29"/>
      <c r="F454" s="23" t="s">
        <v>1603</v>
      </c>
      <c r="G454" s="29"/>
      <c r="H454" s="36"/>
      <c r="I454" s="29"/>
      <c r="J454" s="25" t="s">
        <v>1604</v>
      </c>
      <c r="K454" s="30"/>
      <c r="L454" s="35"/>
      <c r="M454" s="28"/>
      <c r="N454" s="28"/>
      <c r="O454" s="28"/>
      <c r="P454" s="28"/>
      <c r="Q454" s="28"/>
      <c r="R454" s="28"/>
      <c r="S454" s="28"/>
      <c r="T454" s="28"/>
      <c r="U454" s="28"/>
      <c r="V454" s="28"/>
      <c r="W454" s="28"/>
      <c r="X454" s="28"/>
      <c r="Y454" s="28"/>
      <c r="Z454" s="28"/>
      <c r="AA454" s="28"/>
      <c r="AB454" s="28"/>
    </row>
    <row r="455">
      <c r="A455" s="21" t="s">
        <v>1605</v>
      </c>
      <c r="B455" s="22" t="s">
        <v>1606</v>
      </c>
      <c r="C455" s="23" t="str">
        <f>IFERROR(__xludf.DUMMYFUNCTION("GOOGLETRANSLATE(B455, ""en"", ""fr"")"),"Zombi")</f>
        <v>Zombi</v>
      </c>
      <c r="D455" s="29"/>
      <c r="E455" s="29"/>
      <c r="F455" s="23" t="s">
        <v>1607</v>
      </c>
      <c r="G455" s="29"/>
      <c r="H455" s="36"/>
      <c r="I455" s="23" t="s">
        <v>1607</v>
      </c>
      <c r="J455" s="25" t="s">
        <v>1608</v>
      </c>
      <c r="K455" s="30"/>
      <c r="L455" s="35"/>
      <c r="M455" s="28"/>
      <c r="N455" s="28"/>
      <c r="O455" s="28"/>
      <c r="P455" s="28"/>
      <c r="Q455" s="28"/>
      <c r="R455" s="28"/>
      <c r="S455" s="28"/>
      <c r="T455" s="28"/>
      <c r="U455" s="28"/>
      <c r="V455" s="28"/>
      <c r="W455" s="28"/>
      <c r="X455" s="28"/>
      <c r="Y455" s="28"/>
      <c r="Z455" s="28"/>
      <c r="AA455" s="28"/>
      <c r="AB455" s="28"/>
    </row>
    <row r="456">
      <c r="A456" s="21" t="s">
        <v>1609</v>
      </c>
      <c r="B456" s="22" t="s">
        <v>1610</v>
      </c>
      <c r="C456" s="23" t="str">
        <f>IFERROR(__xludf.DUMMYFUNCTION("GOOGLETRANSLATE(B456, ""en"", ""fr"")"),"Momie")</f>
        <v>Momie</v>
      </c>
      <c r="D456" s="29"/>
      <c r="E456" s="29"/>
      <c r="F456" s="23" t="s">
        <v>1611</v>
      </c>
      <c r="G456" s="29"/>
      <c r="H456" s="36"/>
      <c r="I456" s="23" t="s">
        <v>1612</v>
      </c>
      <c r="J456" s="25" t="s">
        <v>1613</v>
      </c>
      <c r="K456" s="30"/>
      <c r="L456" s="35"/>
      <c r="M456" s="28"/>
      <c r="N456" s="28"/>
      <c r="O456" s="28"/>
      <c r="P456" s="28"/>
      <c r="Q456" s="28"/>
      <c r="R456" s="28"/>
      <c r="S456" s="28"/>
      <c r="T456" s="28"/>
      <c r="U456" s="28"/>
      <c r="V456" s="28"/>
      <c r="W456" s="28"/>
      <c r="X456" s="28"/>
      <c r="Y456" s="28"/>
      <c r="Z456" s="28"/>
      <c r="AA456" s="28"/>
      <c r="AB456" s="28"/>
    </row>
    <row r="457">
      <c r="A457" s="21" t="s">
        <v>1614</v>
      </c>
      <c r="B457" s="22" t="s">
        <v>1615</v>
      </c>
      <c r="C457" s="23" t="str">
        <f>IFERROR(__xludf.DUMMYFUNCTION("GOOGLETRANSLATE(B457, ""en"", ""fr"")"),"gardien crypte")</f>
        <v>gardien crypte</v>
      </c>
      <c r="D457" s="29"/>
      <c r="E457" s="29"/>
      <c r="F457" s="23" t="s">
        <v>1616</v>
      </c>
      <c r="G457" s="29"/>
      <c r="H457" s="36"/>
      <c r="I457" s="29"/>
      <c r="J457" s="25" t="s">
        <v>1617</v>
      </c>
      <c r="K457" s="30"/>
      <c r="L457" s="35"/>
      <c r="M457" s="28"/>
      <c r="N457" s="28"/>
      <c r="O457" s="28"/>
      <c r="P457" s="28"/>
      <c r="Q457" s="28"/>
      <c r="R457" s="28"/>
      <c r="S457" s="28"/>
      <c r="T457" s="28"/>
      <c r="U457" s="28"/>
      <c r="V457" s="28"/>
      <c r="W457" s="28"/>
      <c r="X457" s="28"/>
      <c r="Y457" s="28"/>
      <c r="Z457" s="28"/>
      <c r="AA457" s="28"/>
      <c r="AB457" s="28"/>
    </row>
    <row r="458">
      <c r="A458" s="21" t="s">
        <v>1618</v>
      </c>
      <c r="B458" s="22" t="s">
        <v>1619</v>
      </c>
      <c r="C458" s="23" t="str">
        <f>IFERROR(__xludf.DUMMYFUNCTION("GOOGLETRANSLATE(B458, ""en"", ""fr"")"),"pharaon")</f>
        <v>pharaon</v>
      </c>
      <c r="D458" s="29"/>
      <c r="E458" s="29"/>
      <c r="F458" s="23" t="s">
        <v>1620</v>
      </c>
      <c r="G458" s="29"/>
      <c r="H458" s="36"/>
      <c r="I458" s="23" t="s">
        <v>1621</v>
      </c>
      <c r="J458" s="25" t="s">
        <v>1622</v>
      </c>
      <c r="K458" s="30"/>
      <c r="L458" s="35"/>
      <c r="M458" s="28"/>
      <c r="N458" s="28"/>
      <c r="O458" s="28"/>
      <c r="P458" s="28"/>
      <c r="Q458" s="28"/>
      <c r="R458" s="28"/>
      <c r="S458" s="28"/>
      <c r="T458" s="28"/>
      <c r="U458" s="28"/>
      <c r="V458" s="28"/>
      <c r="W458" s="28"/>
      <c r="X458" s="28"/>
      <c r="Y458" s="28"/>
      <c r="Z458" s="28"/>
      <c r="AA458" s="28"/>
      <c r="AB458" s="28"/>
    </row>
    <row r="459">
      <c r="A459" s="21" t="s">
        <v>1623</v>
      </c>
      <c r="B459" s="22" t="s">
        <v>1624</v>
      </c>
      <c r="C459" s="23" t="str">
        <f>IFERROR(__xludf.DUMMYFUNCTION("GOOGLETRANSLATE(B459, ""en"", ""fr"")"),"Vampire")</f>
        <v>Vampire</v>
      </c>
      <c r="D459" s="29"/>
      <c r="E459" s="29"/>
      <c r="F459" s="23" t="s">
        <v>1625</v>
      </c>
      <c r="G459" s="29"/>
      <c r="H459" s="36"/>
      <c r="I459" s="29"/>
      <c r="J459" s="25" t="s">
        <v>1626</v>
      </c>
      <c r="K459" s="30"/>
      <c r="L459" s="35"/>
      <c r="M459" s="28"/>
      <c r="N459" s="28"/>
      <c r="O459" s="28"/>
      <c r="P459" s="28"/>
      <c r="Q459" s="28"/>
      <c r="R459" s="28"/>
      <c r="S459" s="28"/>
      <c r="T459" s="28"/>
      <c r="U459" s="28"/>
      <c r="V459" s="28"/>
      <c r="W459" s="28"/>
      <c r="X459" s="28"/>
      <c r="Y459" s="28"/>
      <c r="Z459" s="28"/>
      <c r="AA459" s="28"/>
      <c r="AB459" s="28"/>
    </row>
    <row r="460">
      <c r="A460" s="21" t="s">
        <v>1627</v>
      </c>
      <c r="B460" s="22" t="s">
        <v>1628</v>
      </c>
      <c r="C460" s="23" t="str">
        <f>IFERROR(__xludf.DUMMYFUNCTION("GOOGLETRANSLATE(B460, ""en"", ""fr"")"),"prêtre de sang")</f>
        <v>prêtre de sang</v>
      </c>
      <c r="D460" s="29"/>
      <c r="E460" s="29"/>
      <c r="F460" s="23" t="s">
        <v>1629</v>
      </c>
      <c r="G460" s="29"/>
      <c r="H460" s="36"/>
      <c r="I460" s="23" t="s">
        <v>1630</v>
      </c>
      <c r="J460" s="25" t="s">
        <v>1631</v>
      </c>
      <c r="K460" s="30"/>
      <c r="L460" s="35"/>
      <c r="M460" s="28"/>
      <c r="N460" s="28"/>
      <c r="O460" s="28"/>
      <c r="P460" s="28"/>
      <c r="Q460" s="28"/>
      <c r="R460" s="28"/>
      <c r="S460" s="28"/>
      <c r="T460" s="28"/>
      <c r="U460" s="28"/>
      <c r="V460" s="28"/>
      <c r="W460" s="28"/>
      <c r="X460" s="28"/>
      <c r="Y460" s="28"/>
      <c r="Z460" s="28"/>
      <c r="AA460" s="28"/>
      <c r="AB460" s="28"/>
    </row>
    <row r="461">
      <c r="A461" s="21" t="s">
        <v>1632</v>
      </c>
      <c r="B461" s="22" t="s">
        <v>1633</v>
      </c>
      <c r="C461" s="23" t="str">
        <f>IFERROR(__xludf.DUMMYFUNCTION("GOOGLETRANSLATE(B461, ""en"", ""fr"")"),"seigneur de sang")</f>
        <v>seigneur de sang</v>
      </c>
      <c r="D461" s="29"/>
      <c r="E461" s="29"/>
      <c r="F461" s="23" t="s">
        <v>1634</v>
      </c>
      <c r="G461" s="29"/>
      <c r="H461" s="36"/>
      <c r="I461" s="29"/>
      <c r="J461" s="25" t="s">
        <v>1635</v>
      </c>
      <c r="K461" s="30"/>
      <c r="L461" s="35"/>
      <c r="M461" s="28"/>
      <c r="N461" s="28"/>
      <c r="O461" s="28"/>
      <c r="P461" s="28"/>
      <c r="Q461" s="28"/>
      <c r="R461" s="28"/>
      <c r="S461" s="28"/>
      <c r="T461" s="28"/>
      <c r="U461" s="28"/>
      <c r="V461" s="28"/>
      <c r="W461" s="28"/>
      <c r="X461" s="28"/>
      <c r="Y461" s="28"/>
      <c r="Z461" s="28"/>
      <c r="AA461" s="28"/>
      <c r="AB461" s="28"/>
    </row>
    <row r="462">
      <c r="A462" s="21" t="s">
        <v>1636</v>
      </c>
      <c r="B462" s="22" t="s">
        <v>1637</v>
      </c>
      <c r="C462" s="23" t="s">
        <v>1637</v>
      </c>
      <c r="D462" s="29"/>
      <c r="E462" s="29"/>
      <c r="F462" s="23" t="s">
        <v>1638</v>
      </c>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21" t="s">
        <v>1639</v>
      </c>
      <c r="B463" s="22" t="s">
        <v>1640</v>
      </c>
      <c r="C463" s="23" t="str">
        <f>IFERROR(__xludf.DUMMYFUNCTION("GOOGLETRANSLATE(B463, ""en"", ""fr"")"),"grande gnarl")</f>
        <v>grande gnarl</v>
      </c>
      <c r="D463" s="29"/>
      <c r="E463" s="29"/>
      <c r="F463" s="23" t="s">
        <v>1641</v>
      </c>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21" t="s">
        <v>1642</v>
      </c>
      <c r="B464" s="22" t="s">
        <v>1643</v>
      </c>
      <c r="C464" s="23" t="str">
        <f>IFERROR(__xludf.DUMMYFUNCTION("GOOGLETRANSLATE(B464, ""en"", ""fr"")"),"mage")</f>
        <v>mage</v>
      </c>
      <c r="D464" s="29"/>
      <c r="E464" s="29"/>
      <c r="F464" s="23" t="s">
        <v>1644</v>
      </c>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21" t="s">
        <v>1645</v>
      </c>
      <c r="B465" s="22" t="s">
        <v>1646</v>
      </c>
      <c r="C465" s="23" t="str">
        <f>IFERROR(__xludf.DUMMYFUNCTION("GOOGLETRANSLATE(B465, ""en"", ""fr"")"),"arc mage")</f>
        <v>arc mage</v>
      </c>
      <c r="D465" s="29"/>
      <c r="E465" s="29"/>
      <c r="F465" s="23" t="s">
        <v>1647</v>
      </c>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21" t="s">
        <v>1648</v>
      </c>
      <c r="B466" s="22" t="s">
        <v>1649</v>
      </c>
      <c r="C466" s="23" t="str">
        <f>IFERROR(__xludf.DUMMYFUNCTION("GOOGLETRANSLATE(B466, ""en"", ""fr"")"),"adumbral")</f>
        <v>adumbral</v>
      </c>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sheetData>
  <drawing r:id="rId1"/>
</worksheet>
</file>