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3"/>
    <sheet state="visible" name="ITEMS" sheetId="2" r:id="rId4"/>
    <sheet state="visible" name="ENTITIES" sheetId="3" r:id="rId5"/>
    <sheet state="visible" name="STATS" sheetId="4" r:id="rId6"/>
    <sheet state="visible" name="TASKS" sheetId="5" r:id="rId7"/>
  </sheets>
  <definedNames/>
  <calcPr/>
</workbook>
</file>

<file path=xl/sharedStrings.xml><?xml version="1.0" encoding="utf-8"?>
<sst xmlns="http://schemas.openxmlformats.org/spreadsheetml/2006/main" count="1074" uniqueCount="882">
  <si>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</si>
  <si>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</si>
  <si>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</si>
  <si>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</si>
  <si>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</si>
  <si>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</si>
  <si>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</si>
  <si>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</si>
  <si>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</si>
  <si>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</si>
  <si>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</si>
  <si>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</si>
  <si>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</si>
  <si>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</si>
  <si>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t>
  </si>
  <si>
    <t>German</t>
  </si>
  <si>
    <t>Polish</t>
  </si>
  <si>
    <t>Chinese</t>
  </si>
  <si>
    <t>Vietnamese</t>
  </si>
  <si>
    <t>Croatian</t>
  </si>
  <si>
    <t>Language name</t>
  </si>
  <si>
    <t>Français</t>
  </si>
  <si>
    <t>Español</t>
  </si>
  <si>
    <t>русский язык</t>
  </si>
  <si>
    <t>Türkçe</t>
  </si>
  <si>
    <t>Português</t>
  </si>
  <si>
    <t>Deutsch</t>
  </si>
  <si>
    <t>Polski</t>
  </si>
  <si>
    <t>中文</t>
  </si>
  <si>
    <t>Tiếng Việt</t>
  </si>
  <si>
    <t>Hrvatski</t>
  </si>
  <si>
    <t>Language</t>
  </si>
  <si>
    <t>Add translation</t>
  </si>
  <si>
    <t>Add a translation</t>
  </si>
  <si>
    <t>News</t>
  </si>
  <si>
    <t>New character</t>
  </si>
  <si>
    <t>Continue</t>
  </si>
  <si>
    <t>Name input</t>
  </si>
  <si>
    <t>Enter a name</t>
  </si>
  <si>
    <t>Username input</t>
  </si>
  <si>
    <t>Username</t>
  </si>
  <si>
    <t>Password input</t>
  </si>
  <si>
    <t>Password</t>
  </si>
  <si>
    <t>Something went wrong</t>
  </si>
  <si>
    <t>Something went wrong.
Awkward... :/</t>
  </si>
  <si>
    <t>Game full</t>
  </si>
  <si>
    <t>Game is full.
Wow... :o</t>
  </si>
  <si>
    <t>Connect game server warning</t>
  </si>
  <si>
    <t>Could not connect to game server.</t>
  </si>
  <si>
    <t>Username required</t>
  </si>
  <si>
    <t>Username required.</t>
  </si>
  <si>
    <t>Password required</t>
  </si>
  <si>
    <t>Password required.</t>
  </si>
  <si>
    <t>Invalid login details</t>
  </si>
  <si>
    <t>Invalid username or password.</t>
  </si>
  <si>
    <t>Already logged in</t>
  </si>
  <si>
    <t>That account is already logged in.</t>
  </si>
  <si>
    <t>Partners</t>
  </si>
  <si>
    <t>Credits</t>
  </si>
  <si>
    <t>PTS</t>
  </si>
  <si>
    <t>Play</t>
  </si>
  <si>
    <t>Reconnect</t>
  </si>
  <si>
    <t>Connecting to game server</t>
  </si>
  <si>
    <t>Connecting to game server...</t>
  </si>
  <si>
    <t>Joining game world</t>
  </si>
  <si>
    <t>Joining game world...</t>
  </si>
  <si>
    <t>Loading</t>
  </si>
  <si>
    <t>Game loaded</t>
  </si>
  <si>
    <t>Next hint</t>
  </si>
  <si>
    <t>Hint: Open source</t>
  </si>
  <si>
    <t>Dungeonz is open-source.</t>
  </si>
  <si>
    <t>Hint: Night creatures</t>
  </si>
  <si>
    <t>Some creatures only appear at night.</t>
  </si>
  <si>
    <t>Hint: Resource rarity</t>
  </si>
  <si>
    <t>Higher tier resources can be found further from the starting city.</t>
  </si>
  <si>
    <t>Hint: Dungeon portals</t>
  </si>
  <si>
    <t>Dungeon portals are spread throughout the world. Each one leads to a different challenge.</t>
  </si>
  <si>
    <t>Hint: Overworld bosses</t>
  </si>
  <si>
    <t>Sometimes bosses can be found on the overworld.</t>
  </si>
  <si>
    <t>Hint: Stat level inventory weight</t>
  </si>
  <si>
    <t>Every stat level gained increases your maximum inventory weight.</t>
  </si>
  <si>
    <t>Hint: Crafting stat bonus</t>
  </si>
  <si>
    <t>With higher crafting stats, crafted items have increased quantity or durability.</t>
  </si>
  <si>
    <t>Hint: Join discord</t>
  </si>
  <si>
    <t>Join the Discord server to get help, trade, or make suggestions.</t>
  </si>
  <si>
    <t>Hint: Dungeon doors</t>
  </si>
  <si>
    <t>Some dungeons have bonus rooms with extra loot that can only be accessed when other locked doors are opened in a specific order.</t>
  </si>
  <si>
    <t>Hint: Bluecaps location</t>
  </si>
  <si>
    <t>Bluecaps can be found next to water.</t>
  </si>
  <si>
    <t>Hint: Redcaps location</t>
  </si>
  <si>
    <t>Redcaps can be found in caves.</t>
  </si>
  <si>
    <t>Buy</t>
  </si>
  <si>
    <t>Accept</t>
  </si>
  <si>
    <t>Show</t>
  </si>
  <si>
    <t>Wikia tooltip</t>
  </si>
  <si>
    <t>Learn more about the game on the Wiki</t>
  </si>
  <si>
    <t>Discord tooltip</t>
  </si>
  <si>
    <t>Chat with other players on Discord</t>
  </si>
  <si>
    <t>Chat input</t>
  </si>
  <si>
    <t>Enter a message</t>
  </si>
  <si>
    <t>Invalid command warning</t>
  </si>
  <si>
    <t>~ Invalid command ~
Type / followed by r, g, b, or y
to change chat colour.</t>
  </si>
  <si>
    <t>Stats tooltip</t>
  </si>
  <si>
    <t>Stats</t>
  </si>
  <si>
    <t>Tasks tooltip</t>
  </si>
  <si>
    <t>Tasks</t>
  </si>
  <si>
    <t>Map tooltip</t>
  </si>
  <si>
    <t>World map</t>
  </si>
  <si>
    <t>Clan tooltip</t>
  </si>
  <si>
    <t>Clan</t>
  </si>
  <si>
    <t>Inventory tooltip</t>
  </si>
  <si>
    <t>Inventory</t>
  </si>
  <si>
    <t>Account tooltip</t>
  </si>
  <si>
    <t>Account: Set a username and password for this character to save your progress.</t>
  </si>
  <si>
    <t>Settings tooltip</t>
  </si>
  <si>
    <t>Settings: Press to show/hide more options.</t>
  </si>
  <si>
    <t>Settings</t>
  </si>
  <si>
    <t>Setting: Fullscreen</t>
  </si>
  <si>
    <t>Fullscreen</t>
  </si>
  <si>
    <t>Setting: Music volume</t>
  </si>
  <si>
    <t>Music volume</t>
  </si>
  <si>
    <t>Setting: Effects volume</t>
  </si>
  <si>
    <t>Effects volume</t>
  </si>
  <si>
    <t>Setting: GUI scale</t>
  </si>
  <si>
    <t>GUI scale</t>
  </si>
  <si>
    <t>Setting Virtual D-pad</t>
  </si>
  <si>
    <t>Show the virtual D-pad</t>
  </si>
  <si>
    <t>Setting: Add to hotbar</t>
  </si>
  <si>
    <t>Add picked up items to hotbar</t>
  </si>
  <si>
    <t>Setting: Profanity filter</t>
  </si>
  <si>
    <t>Chat profanity filter</t>
  </si>
  <si>
    <t>Setting: Light flicker</t>
  </si>
  <si>
    <t>Light flicker</t>
  </si>
  <si>
    <t>Setting: Show FPS</t>
  </si>
  <si>
    <t>Show FPS counter</t>
  </si>
  <si>
    <t>Create account panel: name</t>
  </si>
  <si>
    <t>Create account</t>
  </si>
  <si>
    <t>Create account panel: info</t>
  </si>
  <si>
    <t>Choose a username and password to save this character so you can log in later.</t>
  </si>
  <si>
    <t>Enter username</t>
  </si>
  <si>
    <t>Enter a username</t>
  </si>
  <si>
    <t>Enter password</t>
  </si>
  <si>
    <t>Enter a password</t>
  </si>
  <si>
    <t>Username taken</t>
  </si>
  <si>
    <t>Account panel: name</t>
  </si>
  <si>
    <t>Account</t>
  </si>
  <si>
    <t>Account panel: info</t>
  </si>
  <si>
    <t>Change password</t>
  </si>
  <si>
    <t>Change name panel: name</t>
  </si>
  <si>
    <t>Change name</t>
  </si>
  <si>
    <t>Current password</t>
  </si>
  <si>
    <t>New password</t>
  </si>
  <si>
    <t>Incorrect current password</t>
  </si>
  <si>
    <t>Password changed</t>
  </si>
  <si>
    <t>Current character name</t>
  </si>
  <si>
    <t>New character name</t>
  </si>
  <si>
    <t>New name required</t>
  </si>
  <si>
    <t>New name required.</t>
  </si>
  <si>
    <t>New name different</t>
  </si>
  <si>
    <t>New name must be different than current name.</t>
  </si>
  <si>
    <t>Character name changed</t>
  </si>
  <si>
    <t>Character name changed.</t>
  </si>
  <si>
    <t>Hint panel: Merchants</t>
  </si>
  <si>
    <t>Buying items</t>
  </si>
  <si>
    <t>Hint panel: Gathering</t>
  </si>
  <si>
    <t>Gathering</t>
  </si>
  <si>
    <t>Hint panel: Crafting clothes</t>
  </si>
  <si>
    <t>Crafting clothes</t>
  </si>
  <si>
    <t>Hint panel: Crafting metal bars</t>
  </si>
  <si>
    <t>Crafting metal bars</t>
  </si>
  <si>
    <t>Hint panel: Crafting weapons</t>
  </si>
  <si>
    <t>Crafting weapons</t>
  </si>
  <si>
    <t>Hint panel: Banking</t>
  </si>
  <si>
    <t>Banking</t>
  </si>
  <si>
    <t>Hint panel: Combat</t>
  </si>
  <si>
    <t>Combat</t>
  </si>
  <si>
    <t>Chat scope: All</t>
  </si>
  <si>
    <t>ALL</t>
  </si>
  <si>
    <t>Chat scope: Local</t>
  </si>
  <si>
    <t>LOCAL</t>
  </si>
  <si>
    <t>Chat scope: Global</t>
  </si>
  <si>
    <t>GLOBAL</t>
  </si>
  <si>
    <t>Chat scope: Trade</t>
  </si>
  <si>
    <t>TRADE</t>
  </si>
  <si>
    <t>Type message</t>
  </si>
  <si>
    <t>Type a message</t>
  </si>
  <si>
    <t>Cooldown</t>
  </si>
  <si>
    <t>Sending</t>
  </si>
  <si>
    <t>Stats panel: name</t>
  </si>
  <si>
    <t>Bank panel: name</t>
  </si>
  <si>
    <t>Bank</t>
  </si>
  <si>
    <t>Deposit all</t>
  </si>
  <si>
    <t>Deposit all inventory items</t>
  </si>
  <si>
    <t>Bank upgrade account needed</t>
  </si>
  <si>
    <t>Account needed to ugrade bank storage weight.</t>
  </si>
  <si>
    <t>Upgrade bank</t>
  </si>
  <si>
    <t>Upgrade bank storage</t>
  </si>
  <si>
    <t>Not enough glory</t>
  </si>
  <si>
    <t>Storage</t>
  </si>
  <si>
    <t>Storage weight</t>
  </si>
  <si>
    <t>Total storage weight</t>
  </si>
  <si>
    <t>Empty storage</t>
  </si>
  <si>
    <t>Storage is empty.</t>
  </si>
  <si>
    <t>Deposit</t>
  </si>
  <si>
    <t>Withdraw</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</si>
  <si>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</si>
  <si>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</si>
  <si>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</si>
  <si>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</si>
  <si>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</si>
  <si>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</si>
  <si>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</si>
  <si>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</si>
  <si>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</si>
  <si>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</si>
  <si>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</si>
  <si>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</si>
  <si>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</si>
  <si>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</si>
  <si>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Weight</t>
  </si>
  <si>
    <t>Show item details</t>
  </si>
  <si>
    <t>No items found</t>
  </si>
  <si>
    <t>No items found.</t>
  </si>
  <si>
    <t>No crafting options</t>
  </si>
  <si>
    <t>No crafting options available.</t>
  </si>
  <si>
    <t>Craft</t>
  </si>
  <si>
    <t>Level</t>
  </si>
  <si>
    <t>Exp</t>
  </si>
  <si>
    <t>Task</t>
  </si>
  <si>
    <t>Progress</t>
  </si>
  <si>
    <t>Reward</t>
  </si>
  <si>
    <t>Track</t>
  </si>
  <si>
    <t>Claim</t>
  </si>
  <si>
    <t>Task completed</t>
  </si>
  <si>
    <t>Task completed!</t>
  </si>
  <si>
    <t>Respawn panel: name</t>
  </si>
  <si>
    <t>You died!</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</si>
  <si>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</si>
  <si>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</si>
  <si>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</si>
  <si>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</si>
  <si>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</si>
  <si>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</si>
  <si>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</si>
  <si>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Dungeon</t>
  </si>
  <si>
    <t>Difficulty</t>
  </si>
  <si>
    <t>Beginner</t>
  </si>
  <si>
    <t>Advanced</t>
  </si>
  <si>
    <t>Expert</t>
  </si>
  <si>
    <t>Master</t>
  </si>
  <si>
    <t>Entry cost</t>
  </si>
  <si>
    <t>Max players</t>
  </si>
  <si>
    <t>Create</t>
  </si>
  <si>
    <t>Leave</t>
  </si>
  <si>
    <t>Start</t>
  </si>
  <si>
    <t>Cancel</t>
  </si>
  <si>
    <t>Party</t>
  </si>
  <si>
    <t>Parties</t>
  </si>
  <si>
    <t>Not enough glory warning</t>
  </si>
  <si>
    <t>Time remaining</t>
  </si>
  <si>
    <t>Dungeon name: City sewers</t>
  </si>
  <si>
    <t>City sewers</t>
  </si>
  <si>
    <t>Dungeon name: Knight training arena</t>
  </si>
  <si>
    <t>Knight training arena</t>
  </si>
  <si>
    <t>Dungeon name: Bandit hideout</t>
  </si>
  <si>
    <t>Bandit hideout</t>
  </si>
  <si>
    <t>Dungeon name: West pyramid</t>
  </si>
  <si>
    <t>West pyramid</t>
  </si>
  <si>
    <t>Dungeon name: East pyramid</t>
  </si>
  <si>
    <t>East pyramid</t>
  </si>
  <si>
    <t>Dungeon name: Blood halls</t>
  </si>
  <si>
    <t>Blood halls</t>
  </si>
  <si>
    <t>Dungeon name: Shadow dojo</t>
  </si>
  <si>
    <t>Shadow dōjō</t>
  </si>
  <si>
    <t>Dungeon name: Forest maze</t>
  </si>
  <si>
    <t>Forest maze</t>
  </si>
  <si>
    <t>Dungeon name: Mage training arena</t>
  </si>
  <si>
    <t>Mage training arena</t>
  </si>
  <si>
    <t>Kick clan member</t>
  </si>
  <si>
    <t>Kick</t>
  </si>
  <si>
    <t>Promote clan member</t>
  </si>
  <si>
    <t>Promote</t>
  </si>
  <si>
    <t>Leave clan</t>
  </si>
  <si>
    <t>Already in clan warning</t>
  </si>
  <si>
    <t>You are already in a clan.</t>
  </si>
  <si>
    <t>Clan joined</t>
  </si>
  <si>
    <t>Clan joined!</t>
  </si>
  <si>
    <t>Clan structure limit warning</t>
  </si>
  <si>
    <t>Clan structure limit reached.</t>
  </si>
  <si>
    <t>Clan destroyed</t>
  </si>
  <si>
    <t>Your clan has been destroyed!</t>
  </si>
  <si>
    <t>Clan member kicked</t>
  </si>
  <si>
    <t xml:space="preserve">Clan member kicked: </t>
  </si>
  <si>
    <t>Clan promoted</t>
  </si>
  <si>
    <t>You have been promoted in your clan.</t>
  </si>
  <si>
    <t>Pickaxe needed</t>
  </si>
  <si>
    <t>Pickaxe needed to mine ore.</t>
  </si>
  <si>
    <t>Pick up item</t>
  </si>
  <si>
    <t>Base</t>
  </si>
  <si>
    <t>Anvil</t>
  </si>
  <si>
    <t>Furnace</t>
  </si>
  <si>
    <t>Laboratory</t>
  </si>
  <si>
    <t>Workbench</t>
  </si>
  <si>
    <t>Inventory full warning</t>
  </si>
  <si>
    <t>Your inventory is full.</t>
  </si>
  <si>
    <t>Drop item blocked warning</t>
  </si>
  <si>
    <t>You can't drop that item here.
There is something in the way.</t>
  </si>
  <si>
    <t>Item name: Exp orb: Melee</t>
  </si>
  <si>
    <t>Exp orb: Melee</t>
  </si>
  <si>
    <t>Item description: Exp orb: Melee</t>
  </si>
  <si>
    <t>Gives a lot of melee stat exp when used.</t>
  </si>
  <si>
    <t>Item name: Exp orb: Ranged</t>
  </si>
  <si>
    <t>Exp orb: Ranged</t>
  </si>
  <si>
    <t>Item description: Exp orb: Ranged</t>
  </si>
  <si>
    <t>Gives a lot of ranged stat exp when used.</t>
  </si>
  <si>
    <t>Item name: Exp orb: Magic</t>
  </si>
  <si>
    <t>Exp orb: Magic</t>
  </si>
  <si>
    <t>Item description: Exp orb: Magic</t>
  </si>
  <si>
    <t>Gives a lot of magic stat exp when used.</t>
  </si>
  <si>
    <t>Item name: Exp orb: Gathering</t>
  </si>
  <si>
    <t>Exp orb: Gathering</t>
  </si>
  <si>
    <t>Item description: Exp orb: Gathering</t>
  </si>
  <si>
    <t>Gives a lot of gathering stat exp when used.</t>
  </si>
  <si>
    <t>Item name: Exp orb: Weaponry</t>
  </si>
  <si>
    <t>Exp orb: Weaponry</t>
  </si>
  <si>
    <t>Item description: Exp orb: Weaponry</t>
  </si>
  <si>
    <t>Gives a lot of weaponry stat exp when used.</t>
  </si>
  <si>
    <t>Item name: Exp orb: Armoury</t>
  </si>
  <si>
    <t>Exp orb: Armoury</t>
  </si>
  <si>
    <t>Item description: Exp orb: Armoury</t>
  </si>
  <si>
    <t>Gives a lot of armoury stat exp when used.</t>
  </si>
  <si>
    <t>Item name: Exp orb: Toolery</t>
  </si>
  <si>
    <t>Exp orb: Toolery</t>
  </si>
  <si>
    <t>Item description: Exp orb: Toolery</t>
  </si>
  <si>
    <t>Gives a lot of toolery stat exp when used.</t>
  </si>
  <si>
    <t>Item name: Exp orb: Potionry</t>
  </si>
  <si>
    <t>Exp orb: Potionry</t>
  </si>
  <si>
    <t>Item description: Exp orb: Potionry</t>
  </si>
  <si>
    <t>Gives a lot of potionry stat exp when used.</t>
  </si>
  <si>
    <t>Item name: Glory orb</t>
  </si>
  <si>
    <t>Glory orb</t>
  </si>
  <si>
    <t>Item description: Glory orb</t>
  </si>
  <si>
    <t>Gives a lot of glory when used.</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</si>
  <si>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</si>
  <si>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</si>
  <si>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</si>
  <si>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</si>
  <si>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</si>
  <si>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</si>
  <si>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</si>
  <si>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</si>
  <si>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</si>
  <si>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</si>
  <si>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</si>
  <si>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</si>
  <si>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Iron ore</t>
  </si>
  <si>
    <t>Iron ore</t>
  </si>
  <si>
    <t>Item description: Iron ore</t>
  </si>
  <si>
    <t>Can be crafted into an iron bar at a furnace.</t>
  </si>
  <si>
    <t>Item name: Iron bar</t>
  </si>
  <si>
    <t>Iron bar</t>
  </si>
  <si>
    <t>Item description: Iron bar</t>
  </si>
  <si>
    <t>Can be crafted into iron equipment.</t>
  </si>
  <si>
    <t>Item name: Dungium ore</t>
  </si>
  <si>
    <t>Dungium ore</t>
  </si>
  <si>
    <t>Item description: Dungium ore</t>
  </si>
  <si>
    <t>Can be crafted into a dungium bar at a furnace.</t>
  </si>
  <si>
    <t>Item name: Dungium bar</t>
  </si>
  <si>
    <t>Dungium bar</t>
  </si>
  <si>
    <t>Item description: Dungium bar</t>
  </si>
  <si>
    <t>Can be crafted into dungium equipment.</t>
  </si>
  <si>
    <t>Item name: Noctis ore</t>
  </si>
  <si>
    <t>Noctis ore</t>
  </si>
  <si>
    <t>Item description: Noctis ore</t>
  </si>
  <si>
    <t>Can be crafted into a noctis bar at a furnace.</t>
  </si>
  <si>
    <t>Item name: Noctis bar</t>
  </si>
  <si>
    <t>Noctis bar</t>
  </si>
  <si>
    <t>Item description: Noctis bar</t>
  </si>
  <si>
    <t>Can be crafted into noctis equipment.</t>
  </si>
  <si>
    <t>Item name: Pine logs</t>
  </si>
  <si>
    <t>Pine logs</t>
  </si>
  <si>
    <t>Item description: Pine logs</t>
  </si>
  <si>
    <t>A basic crafting material.</t>
  </si>
  <si>
    <t>Item name: Willow logs</t>
  </si>
  <si>
    <t>Willow logs</t>
  </si>
  <si>
    <t>Item description: Willow logs</t>
  </si>
  <si>
    <t>Item name: Oak logs</t>
  </si>
  <si>
    <t>Oak logs</t>
  </si>
  <si>
    <t>Item description: Oak logs</t>
  </si>
  <si>
    <t>Item name: Cotton</t>
  </si>
  <si>
    <t>Cotton</t>
  </si>
  <si>
    <t>Item description: Cotton</t>
  </si>
  <si>
    <t>Can be crafted into various textiles.</t>
  </si>
  <si>
    <t>Item name: String</t>
  </si>
  <si>
    <t>String</t>
  </si>
  <si>
    <t>Item description: String</t>
  </si>
  <si>
    <t>Used to craft bows and traps.</t>
  </si>
  <si>
    <t>Item name: Fabric</t>
  </si>
  <si>
    <t>Fabric</t>
  </si>
  <si>
    <t>Item description: Fabric</t>
  </si>
  <si>
    <t>Can be crafted into clothing.</t>
  </si>
  <si>
    <t>Item name: Feathers</t>
  </si>
  <si>
    <t>Feathers</t>
  </si>
  <si>
    <t>Item description: Feathers</t>
  </si>
  <si>
    <t>Can be crafted into arrows.</t>
  </si>
  <si>
    <t>Item name: Redcap</t>
  </si>
  <si>
    <t>Redcap</t>
  </si>
  <si>
    <t>Item description: Redcap</t>
  </si>
  <si>
    <t>Can be eaten, or crafted into a potion for a stronger effect.</t>
  </si>
  <si>
    <t>Item name: Greencap</t>
  </si>
  <si>
    <t>Greencap</t>
  </si>
  <si>
    <t>Item description: Greencap</t>
  </si>
  <si>
    <t>Item name: Bluecap</t>
  </si>
  <si>
    <t>Bluecap</t>
  </si>
  <si>
    <t>Item description: Bluecap</t>
  </si>
  <si>
    <t>Item name: Health potion</t>
  </si>
  <si>
    <t>Health potion</t>
  </si>
  <si>
    <t>Item description: Health potion</t>
  </si>
  <si>
    <t>Restores some hitpoints over time when used.</t>
  </si>
  <si>
    <t>Item name: Energy potion</t>
  </si>
  <si>
    <t>Energy potion</t>
  </si>
  <si>
    <t>Item description: Energy potion</t>
  </si>
  <si>
    <t>Restores some energy over time when used.</t>
  </si>
  <si>
    <t>Item name: Cure potion</t>
  </si>
  <si>
    <t>Cure potion</t>
  </si>
  <si>
    <t>Item description: Cure potion</t>
  </si>
  <si>
    <t>Removes poison and disease and makes you immune to them for a while.</t>
  </si>
  <si>
    <t>Item name: Iron hatchet</t>
  </si>
  <si>
    <t>Iron hatchet</t>
  </si>
  <si>
    <t>Item description: Iron hatchet</t>
  </si>
  <si>
    <t>Used to chop down trees for wood.</t>
  </si>
  <si>
    <t>Item name: Iron pickaxe</t>
  </si>
  <si>
    <t>Iron pickaxe</t>
  </si>
  <si>
    <t>Item description: Iron pickaxe</t>
  </si>
  <si>
    <t>Used to mine rocks for ore.</t>
  </si>
  <si>
    <t>Item name: Iron arrows</t>
  </si>
  <si>
    <t>Iron arrows</t>
  </si>
  <si>
    <t>Item description: Iron arrows</t>
  </si>
  <si>
    <t>Used as ammunition for a bow.</t>
  </si>
  <si>
    <t>Item name: Iron dagger</t>
  </si>
  <si>
    <t>Iron dagger</t>
  </si>
  <si>
    <t>Item description: Iron dagger</t>
  </si>
  <si>
    <t>Melee weapon. Used to attack one space away in the direction you are facing. Deals bonus damage when it hits from behind.</t>
  </si>
  <si>
    <t>Item name: Iron sword</t>
  </si>
  <si>
    <t>Iron sword</t>
  </si>
  <si>
    <t>Item description: Iron sword</t>
  </si>
  <si>
    <t>Melee weapon. Used to attack a short distance away in the direction you are facing.</t>
  </si>
  <si>
    <t>Item name: Iron hammer</t>
  </si>
  <si>
    <t>Iron hammer</t>
  </si>
  <si>
    <t>Item description: Iron hammer</t>
  </si>
  <si>
    <t>Melee weapon. Pushes things back one space when it hits.</t>
  </si>
  <si>
    <t>Item name: Iron armour</t>
  </si>
  <si>
    <t>Iron armour</t>
  </si>
  <si>
    <t>Item description: Iron armour</t>
  </si>
  <si>
    <t>Basic armour to reduce damage taken. Increases your Melee stat while worn.</t>
  </si>
  <si>
    <t>Item name: Dungium hatchet</t>
  </si>
  <si>
    <t>Dungium hatchet</t>
  </si>
  <si>
    <t>Item description: Dungium hatchet</t>
  </si>
  <si>
    <t>Item name: Dungium pickaxe</t>
  </si>
  <si>
    <t>Dungium pickaxe</t>
  </si>
  <si>
    <t>Item description: Dungium pickaxe</t>
  </si>
  <si>
    <t>Item name: Dungium arrows</t>
  </si>
  <si>
    <t>Dungium arrows</t>
  </si>
  <si>
    <t>Item description: Dungium arrows</t>
  </si>
  <si>
    <t>Item name: Dungium dagger</t>
  </si>
  <si>
    <t>Dungium dagger</t>
  </si>
  <si>
    <t>Item description: Dungium dagger</t>
  </si>
  <si>
    <t>Item name: Dungium sword</t>
  </si>
  <si>
    <t>Dungium sword</t>
  </si>
  <si>
    <t>Item description: Dungium sword</t>
  </si>
  <si>
    <t>Item name: Dungium hammer</t>
  </si>
  <si>
    <t>Dungium hammer</t>
  </si>
  <si>
    <t>Item description: Dungium hammer</t>
  </si>
  <si>
    <t>Item name: Dungium armour</t>
  </si>
  <si>
    <t>Dungium armour</t>
  </si>
  <si>
    <t>Item description: Dungium armour</t>
  </si>
  <si>
    <t>High durability armour with an good defence bonus. Slightly increases your Melee stat while worn.</t>
  </si>
  <si>
    <t>Item name: Noctis hatchet</t>
  </si>
  <si>
    <t>Noctis hatchet</t>
  </si>
  <si>
    <t>Item description: Noctis hatchet</t>
  </si>
  <si>
    <t>Item name: Noctis pickaxe</t>
  </si>
  <si>
    <t>Noctis pickaxe</t>
  </si>
  <si>
    <t>Item description: Noctis pickaxe</t>
  </si>
  <si>
    <t>Item name: Noctis arrows</t>
  </si>
  <si>
    <t>Noctis arrows</t>
  </si>
  <si>
    <t>Item description: Noctis arrows</t>
  </si>
  <si>
    <t>Item name: Noctis dagger</t>
  </si>
  <si>
    <t>Noctis dagger</t>
  </si>
  <si>
    <t>Item description: Noctis dagger</t>
  </si>
  <si>
    <t>Item name: Noctis sword</t>
  </si>
  <si>
    <t>Noctis sword</t>
  </si>
  <si>
    <t>Item description: Noctis sword</t>
  </si>
  <si>
    <t>Item name: Noctis hammer</t>
  </si>
  <si>
    <t>Noctis hammer</t>
  </si>
  <si>
    <t>Item description: Noctis hammer</t>
  </si>
  <si>
    <t>Item name: Noctis armour</t>
  </si>
  <si>
    <t>Noctis armour</t>
  </si>
  <si>
    <t>Item description: Noctis armour</t>
  </si>
  <si>
    <t>Aggressive armour with a good defence bonus, but low durability. Greatly increases your Melee stat while worn.</t>
  </si>
  <si>
    <t>Item name: Vampire fang</t>
  </si>
  <si>
    <t>Vampire fang</t>
  </si>
  <si>
    <t>Item description: Vampire fang</t>
  </si>
  <si>
    <t>Melee weapon. Can only damage adjacent creatures, but heals you when it hits.</t>
  </si>
  <si>
    <t>Item name: Pine bow</t>
  </si>
  <si>
    <t>Pine bow</t>
  </si>
  <si>
    <t>Item description: Pine bow</t>
  </si>
  <si>
    <t>A weak long ranged weapon to shoot arrows.</t>
  </si>
  <si>
    <t>Item name: Willow bow</t>
  </si>
  <si>
    <t>Willow bow</t>
  </si>
  <si>
    <t>Item description: Willow bow</t>
  </si>
  <si>
    <t>A good long ranged weapon to shoot arrows.</t>
  </si>
  <si>
    <t>Item name: Oak bow</t>
  </si>
  <si>
    <t>Oak bow</t>
  </si>
  <si>
    <t>Item description: Oak bow</t>
  </si>
  <si>
    <t>A strong long ranged weapon to shoot arrows.</t>
  </si>
  <si>
    <t>Item name: Shuriken</t>
  </si>
  <si>
    <t>Shuriken</t>
  </si>
  <si>
    <t>Item description: Shuriken</t>
  </si>
  <si>
    <t>A fast moving medium ranged weapon.</t>
  </si>
  <si>
    <t>Item name: Gem</t>
  </si>
  <si>
    <t>Gem</t>
  </si>
  <si>
    <t>Item description: Gem</t>
  </si>
  <si>
    <t>Can be charged at a magic altar using glory to add an elemental effect.</t>
  </si>
  <si>
    <t>Item name: Fire gem</t>
  </si>
  <si>
    <t>Fire gem</t>
  </si>
  <si>
    <t>Item description: Fire gem</t>
  </si>
  <si>
    <t>Used to craft items with a fire effect.</t>
  </si>
  <si>
    <t>Item name: Wind gem</t>
  </si>
  <si>
    <t>Wind gem</t>
  </si>
  <si>
    <t>Item description: Wind gem</t>
  </si>
  <si>
    <t>Used to craft items with a wind effect.</t>
  </si>
  <si>
    <t>Item name: Blood gem</t>
  </si>
  <si>
    <t>Blood gem</t>
  </si>
  <si>
    <t>Item description: Blood gem</t>
  </si>
  <si>
    <t>Used to craft items with a lifesteal effect.</t>
  </si>
  <si>
    <t>Item name: Fire staff</t>
  </si>
  <si>
    <t>Fire staff</t>
  </si>
  <si>
    <t>Item description: Fire staff</t>
  </si>
  <si>
    <t>Shoots fire that deals damage.</t>
  </si>
  <si>
    <t>Item name: Super fire staff</t>
  </si>
  <si>
    <t>Super fire staff</t>
  </si>
  <si>
    <t>Item description: Super fire staff</t>
  </si>
  <si>
    <t>Shoots fire that shoots more fire.</t>
  </si>
  <si>
    <t>Item name: Wind staff</t>
  </si>
  <si>
    <t>Wind staff</t>
  </si>
  <si>
    <t>Item description: Wind staff</t>
  </si>
  <si>
    <t>Shoots wind that knocks things back.</t>
  </si>
  <si>
    <t>Item name: Super wind staff</t>
  </si>
  <si>
    <t>Super wind staff</t>
  </si>
  <si>
    <t>Item description: Super wind staff</t>
  </si>
  <si>
    <t>Shoots wind that shoots more wind.</t>
  </si>
  <si>
    <t>Item name: Blood staff</t>
  </si>
  <si>
    <t>Blood staff</t>
  </si>
  <si>
    <t>Item description: Blood staff</t>
  </si>
  <si>
    <t>Shoots a projectile that steals hitpoints. Consumes hitpoints when used.</t>
  </si>
  <si>
    <t>Item name: Super blood staff</t>
  </si>
  <si>
    <t>Super blood staff</t>
  </si>
  <si>
    <t>Item description: Super blood staff</t>
  </si>
  <si>
    <t>Shoots a lifesteal projectile that shoots more lifesteal projectiles.</t>
  </si>
  <si>
    <t>Item name: Book of light</t>
  </si>
  <si>
    <t>Book of light</t>
  </si>
  <si>
    <t>Item description: Book of light</t>
  </si>
  <si>
    <t>A book of support spells.</t>
  </si>
  <si>
    <t>Item name: Book of souls</t>
  </si>
  <si>
    <t>Book of souls</t>
  </si>
  <si>
    <t>Item description: Book of souls</t>
  </si>
  <si>
    <t>A book of summoning spells.</t>
  </si>
  <si>
    <t>Item name: Bone arrows</t>
  </si>
  <si>
    <t>Bone arrows</t>
  </si>
  <si>
    <t>Item description: Bone arrows</t>
  </si>
  <si>
    <t>Item name: Plain robe</t>
  </si>
  <si>
    <t>Robe</t>
  </si>
  <si>
    <t>Item description: Plain robe</t>
  </si>
  <si>
    <t>A plain robe. Increases your Potionry stat while worn.</t>
  </si>
  <si>
    <t>Item name: Mage robe</t>
  </si>
  <si>
    <t>Mage robe</t>
  </si>
  <si>
    <t>Item description: Mage robe</t>
  </si>
  <si>
    <t>A basic robe for doing magic in. Increases your Magic stat while worn.</t>
  </si>
  <si>
    <t>Item name: Necromancer robe</t>
  </si>
  <si>
    <t>Necromancer robe</t>
  </si>
  <si>
    <t>Item description: Necromancer robe</t>
  </si>
  <si>
    <t>Item name: Cloak</t>
  </si>
  <si>
    <t>Cloak</t>
  </si>
  <si>
    <t>Item description: Cloak</t>
  </si>
  <si>
    <t>A basic cloak for doing ranged in. Increases your Ranged stat while worn.</t>
  </si>
  <si>
    <t>Item name: Ninja garb</t>
  </si>
  <si>
    <t>Ninja garb</t>
  </si>
  <si>
    <t>Item description: Ninja garb</t>
  </si>
  <si>
    <t>Increases your Melee and Ranged stats and hides your name while worn.</t>
  </si>
  <si>
    <t>Item name: Charter</t>
  </si>
  <si>
    <t>Charter</t>
  </si>
  <si>
    <t>Item description: Charter</t>
  </si>
  <si>
    <t>Clan structure. Place to start a clan. Used to craft other clan structures. If this is destroyed, the clan and all structures are also destroyed.</t>
  </si>
  <si>
    <t>Item name: Wood wall</t>
  </si>
  <si>
    <t>Wood wall</t>
  </si>
  <si>
    <t>Item description: Wood wall</t>
  </si>
  <si>
    <t>Clan structure. A weak defence for a base.</t>
  </si>
  <si>
    <t>Item name: Wood door</t>
  </si>
  <si>
    <t>Wood door</t>
  </si>
  <si>
    <t>Item description: Wood door</t>
  </si>
  <si>
    <t>Clan structure. Can only be opened by clan members.</t>
  </si>
  <si>
    <t>Item name: Brick wall</t>
  </si>
  <si>
    <t>Brick wall</t>
  </si>
  <si>
    <t>Item description: Brick wall</t>
  </si>
  <si>
    <t>Clan structure. A good defence for a base.</t>
  </si>
  <si>
    <t>Item name: Brick door</t>
  </si>
  <si>
    <t>Brick door</t>
  </si>
  <si>
    <t>Item description: Brick door</t>
  </si>
  <si>
    <t>Clan structure. Can only be opened by clan members. Stronger than a wood door.</t>
  </si>
  <si>
    <t>Item name: Iron wall</t>
  </si>
  <si>
    <t>Iron wall</t>
  </si>
  <si>
    <t>Item description: Iron wall</t>
  </si>
  <si>
    <t>Clan structure. A great defence for a base.</t>
  </si>
  <si>
    <t>Item name: Iron door</t>
  </si>
  <si>
    <t>Iron door</t>
  </si>
  <si>
    <t>Item description: Iron door</t>
  </si>
  <si>
    <t>Clan structure. Can only be opened by clan members. Stronger than a brick door.</t>
  </si>
  <si>
    <t>Item name: Bank chest</t>
  </si>
  <si>
    <t>Bank chest</t>
  </si>
  <si>
    <t>Item description: Bank chest</t>
  </si>
  <si>
    <t>Clan structure. Gives access to your personal bank storage.</t>
  </si>
  <si>
    <t>Item name: Workbench</t>
  </si>
  <si>
    <t>Item description: Workbench</t>
  </si>
  <si>
    <t>Clan structure. Used to craft various items.</t>
  </si>
  <si>
    <t>Item name: Furnace</t>
  </si>
  <si>
    <t>Item description: Furnace</t>
  </si>
  <si>
    <t>Clan structure. Used to turn ores into metal bars.</t>
  </si>
  <si>
    <t>Item name: Anvil</t>
  </si>
  <si>
    <t>Item description: Anvil</t>
  </si>
  <si>
    <t>Clan structure. Used to craft metal items.</t>
  </si>
  <si>
    <t>Item name: Laboratory</t>
  </si>
  <si>
    <t>Item description: Laboratory</t>
  </si>
  <si>
    <t>Clan structure. Used to craft potions.</t>
  </si>
  <si>
    <t>Item name: Generator</t>
  </si>
  <si>
    <t>Generator</t>
  </si>
  <si>
    <t>Item description: Generator</t>
  </si>
  <si>
    <t>Clan structure. Converts glory from players into power that can be used to activate other clan structures that require power, and can shield all clan structures from damage.</t>
  </si>
  <si>
    <t>Item name: Fighter key</t>
  </si>
  <si>
    <t>Fighter key</t>
  </si>
  <si>
    <t>Item description: Fighter key</t>
  </si>
  <si>
    <t>Opens the door to the PvP arena preparation area. Warning! Other players can attack you in the fight pit!</t>
  </si>
  <si>
    <t>Item name: Pit key</t>
  </si>
  <si>
    <t>Pit key</t>
  </si>
  <si>
    <t>Item description: Pit key</t>
  </si>
  <si>
    <t>Opens the doors to get out of the fight pit.</t>
  </si>
  <si>
    <t>Item name: Scroll of heal area</t>
  </si>
  <si>
    <t>Scroll of heal area</t>
  </si>
  <si>
    <t>Item description: Scroll of heal area</t>
  </si>
  <si>
    <t>Heals all creatures around yourself.</t>
  </si>
  <si>
    <t>Item name: Scroll of warding</t>
  </si>
  <si>
    <t>Scroll of warding</t>
  </si>
  <si>
    <t>Item description: Scroll of warding</t>
  </si>
  <si>
    <t>Enchants all creatures around yourself. Those creatures take no damage the next time they would be damaged.</t>
  </si>
  <si>
    <t>Item name: Scroll of cleansing</t>
  </si>
  <si>
    <t>Scroll of cleansing</t>
  </si>
  <si>
    <t>Item description: Scroll of cleansing</t>
  </si>
  <si>
    <t>Removes curses on all creatures around yourself.</t>
  </si>
  <si>
    <t>Item name: Scroll of pacify</t>
  </si>
  <si>
    <t>Scroll of pacify</t>
  </si>
  <si>
    <t>Item description: Scroll of pacify</t>
  </si>
  <si>
    <t>Curses the target. For a short duration, the target cannot use their held item.</t>
  </si>
  <si>
    <t>Item name: Scroll of reanimate</t>
  </si>
  <si>
    <t>Scroll of reanimation</t>
  </si>
  <si>
    <t>Item description: Scroll of reanimate</t>
  </si>
  <si>
    <t>Raises all corpses around yourself as minions of the type of creature that they were before they died that will serve you.</t>
  </si>
  <si>
    <t>Item name: Scroll of consume</t>
  </si>
  <si>
    <t>Scroll of consume</t>
  </si>
  <si>
    <t>Item description: Scroll of consume</t>
  </si>
  <si>
    <t>Destroy a minion that you control in the target direction to heal yourself.</t>
  </si>
  <si>
    <t>Item name: Scroll of deathbind</t>
  </si>
  <si>
    <t>Scroll of deathbind</t>
  </si>
  <si>
    <t>Item description: Scroll of deathbind</t>
  </si>
  <si>
    <t>Curse the target. When they die, they turn into an unclaimed undead minion automatically.</t>
  </si>
  <si>
    <t>Item name: Scroll of enthrall</t>
  </si>
  <si>
    <t>Scroll of enthrall</t>
  </si>
  <si>
    <t>Item description: Scroll of enthrall</t>
  </si>
  <si>
    <t>Make all unclaimed undead creatures around you become your minions.</t>
  </si>
  <si>
    <t>Mob name: Bandit</t>
  </si>
  <si>
    <t>Bandit</t>
  </si>
  <si>
    <t>Mob name: Bandit leader</t>
  </si>
  <si>
    <t>Bandit leader</t>
  </si>
  <si>
    <t>Mob name: Assassin</t>
  </si>
  <si>
    <t>Assassin</t>
  </si>
  <si>
    <t>Mob name: Master assassin</t>
  </si>
  <si>
    <t>Master assassin</t>
  </si>
  <si>
    <t>Mob name: Bat</t>
  </si>
  <si>
    <t>Bat</t>
  </si>
  <si>
    <t>Mob name: Ruler</t>
  </si>
  <si>
    <t>Ruler</t>
  </si>
  <si>
    <t>Mob name: Innkeeper</t>
  </si>
  <si>
    <t>Innkeeper</t>
  </si>
  <si>
    <t>Mob name: Arena master</t>
  </si>
  <si>
    <t>Arena master</t>
  </si>
  <si>
    <t>Mob name: Merchant</t>
  </si>
  <si>
    <t>Merchant</t>
  </si>
  <si>
    <t>Mob name: Melee merchant</t>
  </si>
  <si>
    <t>Melee merchant</t>
  </si>
  <si>
    <t>Mob name: Ranged merchant</t>
  </si>
  <si>
    <t>Ranged merchant</t>
  </si>
  <si>
    <t>Mob name: Magic merchant</t>
  </si>
  <si>
    <t>Magic merchant</t>
  </si>
  <si>
    <t>Mob name: Tool merchant</t>
  </si>
  <si>
    <t>Tool merchant</t>
  </si>
  <si>
    <t>Mob name: Dwarf merchant</t>
  </si>
  <si>
    <t>Dwarf merchant</t>
  </si>
  <si>
    <t>Mob name: Librarian merchant</t>
  </si>
  <si>
    <t>Librarian</t>
  </si>
  <si>
    <t>Mob name: Omni merchant</t>
  </si>
  <si>
    <t>Omni merchant</t>
  </si>
  <si>
    <t>Mob name: Priest</t>
  </si>
  <si>
    <t>Priest</t>
  </si>
  <si>
    <t>Mob name: Citizen</t>
  </si>
  <si>
    <t>Citizen</t>
  </si>
  <si>
    <t>Mob name: Dwarf</t>
  </si>
  <si>
    <t>Dwarf</t>
  </si>
  <si>
    <t>Mob name: Dwarf warrior</t>
  </si>
  <si>
    <t>Dwarf warrior</t>
  </si>
  <si>
    <t>Mob name: Knight</t>
  </si>
  <si>
    <t>Knight</t>
  </si>
  <si>
    <t>Mob name: Commander</t>
  </si>
  <si>
    <t>Commander</t>
  </si>
  <si>
    <t>Mob name: Warrior</t>
  </si>
  <si>
    <t>Warrior</t>
  </si>
  <si>
    <t>Mob name: Prisoner</t>
  </si>
  <si>
    <t>Prisoner</t>
  </si>
  <si>
    <t>Mob name: Rat</t>
  </si>
  <si>
    <t>Rat</t>
  </si>
  <si>
    <t>Mob name: Hawk</t>
  </si>
  <si>
    <t>Hawk</t>
  </si>
  <si>
    <t>Mob name: Sand scamp</t>
  </si>
  <si>
    <t>Sand scamp</t>
  </si>
  <si>
    <t>Mob name: Grass scamp</t>
  </si>
  <si>
    <t>Grass scamp</t>
  </si>
  <si>
    <t>Mob name: Goblin</t>
  </si>
  <si>
    <t>Goblin</t>
  </si>
  <si>
    <t>Mob name: Druid</t>
  </si>
  <si>
    <t>Druid</t>
  </si>
  <si>
    <t>Mob name: Snoovir</t>
  </si>
  <si>
    <t>Snoovir</t>
  </si>
  <si>
    <t>Mob name: Zombie</t>
  </si>
  <si>
    <t>Zombie</t>
  </si>
  <si>
    <t>Mob name: Mummy</t>
  </si>
  <si>
    <t>Mummy</t>
  </si>
  <si>
    <t>Mob name: Crypt warden</t>
  </si>
  <si>
    <t>Crypt warden</t>
  </si>
  <si>
    <t>Mob name: Pharaoh</t>
  </si>
  <si>
    <t>Pharaoh</t>
  </si>
  <si>
    <t>Mob name: Vampire</t>
  </si>
  <si>
    <t>Vampire</t>
  </si>
  <si>
    <t>Mob name: Blood priest</t>
  </si>
  <si>
    <t>Blood priest</t>
  </si>
  <si>
    <t>Mob name: Blood lord</t>
  </si>
  <si>
    <t>Blood lord</t>
  </si>
  <si>
    <t>Mob name: Gnarl</t>
  </si>
  <si>
    <t>Gnarl</t>
  </si>
  <si>
    <t>Mob name: Great gnarl</t>
  </si>
  <si>
    <t>Great gnarl</t>
  </si>
  <si>
    <t>Mob name: Mage</t>
  </si>
  <si>
    <t>Mage</t>
  </si>
  <si>
    <t>Mob name: Arch mage</t>
  </si>
  <si>
    <t>Arch mage</t>
  </si>
  <si>
    <t>Mob name: Adumbral</t>
  </si>
  <si>
    <t>Adumbral</t>
  </si>
  <si>
    <t>Defence tooltip</t>
  </si>
  <si>
    <t>Defence: Reduces the amount of damage you take. Increase your defence points by using certain clothing items, potions, and enchantments.</t>
  </si>
  <si>
    <t>Hitpoint tooltip</t>
  </si>
  <si>
    <t>Hitpoints: How much damage you can take before you die. Recover hitpoints faster by using certain potions and spells.</t>
  </si>
  <si>
    <t>Energy tooltip</t>
  </si>
  <si>
    <t>Energy: Used to do most actions. Slowly regenerates. Recover energy faster by drinking energy potions.</t>
  </si>
  <si>
    <t>Combat tooltip</t>
  </si>
  <si>
    <t>Combat: You will lose your items if you close the game while in combat.</t>
  </si>
  <si>
    <t>Glory tooltip</t>
  </si>
  <si>
    <t>Glory: Your score, used to enter harder dungeons. You get glory from doing most things, such as completing quests, killing monsters and other players, gathering, crafting, and clearing dungeons.</t>
  </si>
  <si>
    <t>Stat name: Melee</t>
  </si>
  <si>
    <t>Melee</t>
  </si>
  <si>
    <t>Stat description: Melee</t>
  </si>
  <si>
    <t>Your effectiveness with melee weapons. Reduces how much durability melee weapons lose when used. Improve by using close range weapons such as swords, daggers and hammers.</t>
  </si>
  <si>
    <t>Stat name: Ranged</t>
  </si>
  <si>
    <t>Ranged</t>
  </si>
  <si>
    <t>Stat description: Ranged</t>
  </si>
  <si>
    <t>Your effectiveness with ranged weapons. Reduces how much durability ranged weapons lose when used. Improve by using long range weapons such as bows and shurikens.</t>
  </si>
  <si>
    <t>Stat name: Magic</t>
  </si>
  <si>
    <t>Magic</t>
  </si>
  <si>
    <t>Stat description: Magic</t>
  </si>
  <si>
    <t>Your effectiveness with magic weapons. Reduces how much durability magic weapons lose when used. Improve by using magical items such as staffs and spell books.</t>
  </si>
  <si>
    <t>Stat name: Gathering</t>
  </si>
  <si>
    <t>Stat description: Gathering</t>
  </si>
  <si>
    <t>Your effectiveness with gathering tools. How much durability gathering tools lose when used. Improve by using hatchets, pickaxes, and sickles.</t>
  </si>
  <si>
    <t>Stat name: Weaponry</t>
  </si>
  <si>
    <t>Weaponry</t>
  </si>
  <si>
    <t>Stat description: Weaponry</t>
  </si>
  <si>
    <t>How much durability the weapons that you craft have. Improve by crafting damaging items, such as swords, bows, and staffs.</t>
  </si>
  <si>
    <t>Stat name: Armoury</t>
  </si>
  <si>
    <t>Armoury</t>
  </si>
  <si>
    <t>Stat description: Armoury</t>
  </si>
  <si>
    <t>How much durability the armours and clothes that you craft have. Improved by crafting wearable items, such as armour, cloaks and robes.</t>
  </si>
  <si>
    <t>Stat name: Toolery</t>
  </si>
  <si>
    <t>Toolery</t>
  </si>
  <si>
    <t>Stat description: Toolery</t>
  </si>
  <si>
    <t>How much durability the utility items you craft have. Improve by crafting tools and materials, such as hatchets, pickaxes, locks, metal bars and fabrics.</t>
  </si>
  <si>
    <t>Stat name: Potionry</t>
  </si>
  <si>
    <t>Potionry</t>
  </si>
  <si>
    <t>Stat description: Potionry</t>
  </si>
  <si>
    <t>How many uses the potions that you craft have. Improve by crafting potions and eating potion ingredients.</t>
  </si>
  <si>
    <t>Stat name: Clanship</t>
  </si>
  <si>
    <t>Clanship</t>
  </si>
  <si>
    <t>Stat description: Clanship</t>
  </si>
  <si>
    <t>How helpful you are to a clan. Affects how many hitpoints the structures you craft have, and how much power is created when you donate glory. Improve by crafting base structures and powering generators.</t>
  </si>
  <si>
    <t>Task ID: KillRats</t>
  </si>
  <si>
    <t>Kill rats</t>
  </si>
  <si>
    <t>Task ID: KillBats</t>
  </si>
  <si>
    <t>Kill bats</t>
  </si>
  <si>
    <t>Task ID: KillHawks</t>
  </si>
  <si>
    <t>Kill hawks</t>
  </si>
  <si>
    <t>Task ID: KillSnoovirs</t>
  </si>
  <si>
    <t>Kill snoovirs</t>
  </si>
  <si>
    <t>Task ID: KillScamps</t>
  </si>
  <si>
    <t>Kill scamps</t>
  </si>
  <si>
    <t>Task ID: KillZombies</t>
  </si>
  <si>
    <t>Kill zombies</t>
  </si>
  <si>
    <t>Task ID: KillVampires</t>
  </si>
  <si>
    <t>Kill vampires</t>
  </si>
  <si>
    <t>Task ID: KillOutlaws</t>
  </si>
  <si>
    <t>Kill outlaws</t>
  </si>
  <si>
    <t>Task ID: KillWarriors</t>
  </si>
  <si>
    <t>Kill warriors</t>
  </si>
  <si>
    <t>Task ID: KillGoblins</t>
  </si>
  <si>
    <t>Kill goblins</t>
  </si>
  <si>
    <t>Task ID: KillGnarls</t>
  </si>
  <si>
    <t>Kill gnarls</t>
  </si>
  <si>
    <t>Task ID: KillAdumbrals</t>
  </si>
  <si>
    <t>Kill adumbrals</t>
  </si>
  <si>
    <t>Task ID: GatherCotton</t>
  </si>
  <si>
    <t>Harvest cotton</t>
  </si>
  <si>
    <t>Task ID: GatherRedcaps</t>
  </si>
  <si>
    <t>Harvest red mushrooms</t>
  </si>
  <si>
    <t>Task ID: GatherGreencaps</t>
  </si>
  <si>
    <t>Harvest green mushrooms</t>
  </si>
  <si>
    <t>Task ID: GatherBluecaps</t>
  </si>
  <si>
    <t>Harvest blue mushrooms</t>
  </si>
  <si>
    <t>Task ID: GatherOakLogs</t>
  </si>
  <si>
    <t>Chop oak trees</t>
  </si>
  <si>
    <t>Task ID: GatherIronOre</t>
  </si>
  <si>
    <t>Mine iron ore</t>
  </si>
  <si>
    <t>Task ID: GatherDungiumOre</t>
  </si>
  <si>
    <t>Mine dungium ore</t>
  </si>
  <si>
    <t>Task ID: GatherNoctisOre</t>
  </si>
  <si>
    <t>Mine noctis ore</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</si>
  <si>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</si>
  <si>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</si>
  <si>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</si>
  <si>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</si>
  <si>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</si>
  <si>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</si>
  <si>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</si>
  <si>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</si>
  <si>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</si>
  <si>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</si>
  <si>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</si>
  <si>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</si>
  <si>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</si>
  <si>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</si>
  <si>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</si>
  <si>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</si>
  <si>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</si>
  <si>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</si>
  <si>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</si>
  <si>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</si>
  <si>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</si>
  <si>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</si>
  <si>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</si>
  <si>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</si>
  <si>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</si>
  <si>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</si>
  <si>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</si>
  <si>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</si>
  <si>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CraftNoctisGear</t>
  </si>
  <si>
    <t>Craft noctis gear</t>
  </si>
  <si>
    <t>Task ID: CraftFabricGear</t>
  </si>
  <si>
    <t>Craft fabric gear</t>
  </si>
  <si>
    <t>Task ID: CraftPotions</t>
  </si>
  <si>
    <t>Craft potions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</si>
</sst>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2" fontId="8" numFmtId="0" xfId="0" applyAlignment="1" applyFont="1">
      <alignment horizontal="left" readingOrder="0" shrinkToFit="0" vertical="top" wrapText="1"/>
    </xf>
    <xf borderId="1" fillId="5" fontId="1" numFmtId="0" xfId="0" applyAlignment="1" applyBorder="1" applyFont="1">
      <alignment shrinkToFit="0" vertical="top" wrapText="1"/>
    </xf>
    <xf borderId="2"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tr">
        <f>IFERROR(__xludf.DUMMYFUNCTION("GOOGLETRANSLATE(B10, ""en"", ""es"")"),"Idioma")</f>
        <v>Idioma</v>
      </c>
      <c r="E10" s="23" t="str">
        <f>IFERROR(__xludf.DUMMYFUNCTION("GOOGLETRANSLATE(B10, ""en"", ""ru"")"),"Язык")</f>
        <v>Язык</v>
      </c>
      <c r="F10" s="23" t="str">
        <f>IFERROR(__xludf.DUMMYFUNCTION("GOOGLETRANSLATE(B10, ""en"", ""tr"")"),"Dil")</f>
        <v>Dil</v>
      </c>
      <c r="G10" s="23" t="str">
        <f>IFERROR(__xludf.DUMMYFUNCTION("GOOGLETRANSLATE(B10, ""en"", ""pt"")"),"Língua")</f>
        <v>Língua</v>
      </c>
      <c r="H10" s="24" t="str">
        <f>IFERROR(__xludf.DUMMYFUNCTION("GOOGLETRANSLATE(B10, ""en"", ""de"")"),"Sprache")</f>
        <v>Sprache</v>
      </c>
      <c r="I10" s="23" t="str">
        <f>IFERROR(__xludf.DUMMYFUNCTION("GOOGLETRANSLATE(B10, ""en"", ""pl"")"),"Język")</f>
        <v>Język</v>
      </c>
      <c r="J10" s="25" t="str">
        <f>IFERROR(__xludf.DUMMYFUNCTION("GOOGLETRANSLATE(B10, ""en"", ""zh"")"),"语")</f>
        <v>语</v>
      </c>
      <c r="K10" s="25" t="str">
        <f>IFERROR(__xludf.DUMMYFUNCTION("GOOGLETRANSLATE(B10, ""en"", ""vi"")"),"ngôn ngữ")</f>
        <v>ngôn ngữ</v>
      </c>
      <c r="L10" s="26" t="str">
        <f>IFERROR(__xludf.DUMMYFUNCTION("GOOGLETRANSLATE(B10, ""en"", ""hr"")"),"Jezik")</f>
        <v>Jezik</v>
      </c>
      <c r="M10" s="27"/>
      <c r="N10" s="28"/>
      <c r="O10" s="28"/>
      <c r="P10" s="28"/>
      <c r="Q10" s="28"/>
      <c r="R10" s="28"/>
      <c r="S10" s="28"/>
      <c r="T10" s="28"/>
      <c r="U10" s="28"/>
      <c r="V10" s="28"/>
      <c r="W10" s="28"/>
      <c r="X10" s="28"/>
      <c r="Y10" s="28"/>
      <c r="Z10" s="28"/>
      <c r="AA10" s="28"/>
      <c r="AB10" s="28"/>
    </row>
    <row r="11">
      <c r="A11" s="21" t="s">
        <v>32</v>
      </c>
      <c r="B11" s="22" t="s">
        <v>33</v>
      </c>
      <c r="C11" s="23" t="str">
        <f>IFERROR(__xludf.DUMMYFUNCTION("GOOGLETRANSLATE(B11, ""en"", ""fr"")"),"Ajouter une traduction")</f>
        <v>Ajouter une traduction</v>
      </c>
      <c r="D11" s="23" t="str">
        <f>IFERROR(__xludf.DUMMYFUNCTION("GOOGLETRANSLATE(B11, ""en"", ""es"")"),"Añadir una traducción")</f>
        <v>Añadir una traducción</v>
      </c>
      <c r="E11" s="23" t="str">
        <f>IFERROR(__xludf.DUMMYFUNCTION("GOOGLETRANSLATE(B11, ""en"", ""ru"")"),"Добавить перевод")</f>
        <v>Добавить перевод</v>
      </c>
      <c r="F11" s="23" t="str">
        <f>IFERROR(__xludf.DUMMYFUNCTION("GOOGLETRANSLATE(B11, ""en"", ""tr"")"),"Bir çeviri ekle")</f>
        <v>Bir çeviri ekle</v>
      </c>
      <c r="G11" s="23" t="str">
        <f>IFERROR(__xludf.DUMMYFUNCTION("GOOGLETRANSLATE(B11, ""en"", ""pt"")"),"Adicionar uma tradução")</f>
        <v>Adicionar uma tradução</v>
      </c>
      <c r="H11" s="24" t="str">
        <f>IFERROR(__xludf.DUMMYFUNCTION("GOOGLETRANSLATE(B11, ""en"", ""de"")"),"Fügen Sie eine Übersetzung")</f>
        <v>Fügen Sie eine Übersetzung</v>
      </c>
      <c r="I11" s="23" t="str">
        <f>IFERROR(__xludf.DUMMYFUNCTION("GOOGLETRANSLATE(B11, ""en"", ""pl"")"),"Dodaj tłumaczenie")</f>
        <v>Dodaj tłumaczenie</v>
      </c>
      <c r="J11" s="25" t="str">
        <f>IFERROR(__xludf.DUMMYFUNCTION("GOOGLETRANSLATE(B11, ""en"", ""zh"")"),"添加翻译")</f>
        <v>添加翻译</v>
      </c>
      <c r="K11" s="25" t="str">
        <f>IFERROR(__xludf.DUMMYFUNCTION("GOOGLETRANSLATE(B11, ""en"", ""vi"")"),"Thêm một bản dịch")</f>
        <v>Thêm một bản dịch</v>
      </c>
      <c r="L11" s="26" t="str">
        <f>IFERROR(__xludf.DUMMYFUNCTION("GOOGLETRANSLATE(B11, ""en"", ""hr"")"),"Dodaj prijevod")</f>
        <v>Dodaj prijevod</v>
      </c>
      <c r="M11" s="27"/>
      <c r="N11" s="28"/>
      <c r="O11" s="28"/>
      <c r="P11" s="28"/>
      <c r="Q11" s="28"/>
      <c r="R11" s="28"/>
      <c r="S11" s="28"/>
      <c r="T11" s="28"/>
      <c r="U11" s="28"/>
      <c r="V11" s="28"/>
      <c r="W11" s="28"/>
      <c r="X11" s="28"/>
      <c r="Y11" s="28"/>
      <c r="Z11" s="28"/>
      <c r="AA11" s="28"/>
      <c r="AB11" s="28"/>
    </row>
    <row r="12">
      <c r="A12" s="21" t="s">
        <v>34</v>
      </c>
      <c r="B12" s="22" t="s">
        <v>34</v>
      </c>
      <c r="C12" s="23" t="str">
        <f>IFERROR(__xludf.DUMMYFUNCTION("GOOGLETRANSLATE(B12, ""en"", ""fr"")"),"Nouvelles")</f>
        <v>Nouvelles</v>
      </c>
      <c r="D12" s="23" t="str">
        <f>IFERROR(__xludf.DUMMYFUNCTION("GOOGLETRANSLATE(B12, ""en"", ""es"")"),"Noticias")</f>
        <v>Noticias</v>
      </c>
      <c r="E12" s="23" t="str">
        <f>IFERROR(__xludf.DUMMYFUNCTION("GOOGLETRANSLATE(B12, ""en"", ""ru"")"),"Новости")</f>
        <v>Новости</v>
      </c>
      <c r="F12" s="23" t="str">
        <f>IFERROR(__xludf.DUMMYFUNCTION("GOOGLETRANSLATE(B12, ""en"", ""tr"")"),"Haberler")</f>
        <v>Haberler</v>
      </c>
      <c r="G12" s="23" t="str">
        <f>IFERROR(__xludf.DUMMYFUNCTION("GOOGLETRANSLATE(B12, ""en"", ""pt"")"),"Notícias")</f>
        <v>Notícias</v>
      </c>
      <c r="H12" s="24" t="str">
        <f>IFERROR(__xludf.DUMMYFUNCTION("GOOGLETRANSLATE(B12, ""en"", ""de"")"),"Nachrichten")</f>
        <v>Nachrichten</v>
      </c>
      <c r="I12" s="23" t="str">
        <f>IFERROR(__xludf.DUMMYFUNCTION("GOOGLETRANSLATE(B12, ""en"", ""pl"")"),"Aktualności")</f>
        <v>Aktualności</v>
      </c>
      <c r="J12" s="25" t="str">
        <f>IFERROR(__xludf.DUMMYFUNCTION("GOOGLETRANSLATE(B12, ""en"", ""zh"")"),"消息")</f>
        <v>消息</v>
      </c>
      <c r="K12" s="25" t="str">
        <f>IFERROR(__xludf.DUMMYFUNCTION("GOOGLETRANSLATE(B12, ""en"", ""vi"")"),"Tin tức")</f>
        <v>Tin tức</v>
      </c>
      <c r="L12" s="26" t="str">
        <f>IFERROR(__xludf.DUMMYFUNCTION("GOOGLETRANSLATE(B12, ""en"", ""hr"")"),"Vijesti")</f>
        <v>Vijesti</v>
      </c>
      <c r="M12" s="27"/>
      <c r="N12" s="28"/>
      <c r="O12" s="28"/>
      <c r="P12" s="28"/>
      <c r="Q12" s="28"/>
      <c r="R12" s="28"/>
      <c r="S12" s="28"/>
      <c r="T12" s="28"/>
      <c r="U12" s="28"/>
      <c r="V12" s="28"/>
      <c r="W12" s="28"/>
      <c r="X12" s="28"/>
      <c r="Y12" s="28"/>
      <c r="Z12" s="28"/>
      <c r="AA12" s="28"/>
      <c r="AB12" s="28"/>
    </row>
    <row r="13">
      <c r="A13" s="21" t="s">
        <v>35</v>
      </c>
      <c r="B13" s="22" t="s">
        <v>35</v>
      </c>
      <c r="C13" s="23" t="str">
        <f>IFERROR(__xludf.DUMMYFUNCTION("GOOGLETRANSLATE(B13, ""en"", ""fr"")"),"Nouveau personnage")</f>
        <v>Nouveau personnage</v>
      </c>
      <c r="D13" s="23" t="str">
        <f>IFERROR(__xludf.DUMMYFUNCTION("GOOGLETRANSLATE(B13, ""en"", ""es"")"),"Nuevo personaje")</f>
        <v>Nuevo personaje</v>
      </c>
      <c r="E13" s="23" t="str">
        <f>IFERROR(__xludf.DUMMYFUNCTION("GOOGLETRANSLATE(B13, ""en"", ""ru"")"),"Новый персонаж")</f>
        <v>Новый персонаж</v>
      </c>
      <c r="F13" s="23" t="str">
        <f>IFERROR(__xludf.DUMMYFUNCTION("GOOGLETRANSLATE(B13, ""en"", ""tr"")"),"Yeni karakter")</f>
        <v>Yeni karakter</v>
      </c>
      <c r="G13" s="23" t="str">
        <f>IFERROR(__xludf.DUMMYFUNCTION("GOOGLETRANSLATE(B13, ""en"", ""pt"")"),"Novo personagem")</f>
        <v>Novo personagem</v>
      </c>
      <c r="H13" s="24" t="str">
        <f>IFERROR(__xludf.DUMMYFUNCTION("GOOGLETRANSLATE(B13, ""en"", ""de"")"),"Neuer Charakter")</f>
        <v>Neuer Charakter</v>
      </c>
      <c r="I13" s="23" t="str">
        <f>IFERROR(__xludf.DUMMYFUNCTION("GOOGLETRANSLATE(B13, ""en"", ""pl"")"),"Nowa postać")</f>
        <v>Nowa postać</v>
      </c>
      <c r="J13" s="25" t="str">
        <f>IFERROR(__xludf.DUMMYFUNCTION("GOOGLETRANSLATE(B13, ""en"", ""zh"")"),"新角色")</f>
        <v>新角色</v>
      </c>
      <c r="K13" s="25" t="str">
        <f>IFERROR(__xludf.DUMMYFUNCTION("GOOGLETRANSLATE(B13, ""en"", ""vi"")"),"Nhân vật mới")</f>
        <v>Nhân vật mới</v>
      </c>
      <c r="L13" s="26" t="str">
        <f>IFERROR(__xludf.DUMMYFUNCTION("GOOGLETRANSLATE(B13, ""en"", ""hr"")"),"Novi lik")</f>
        <v>Novi lik</v>
      </c>
      <c r="M13" s="27"/>
      <c r="N13" s="28"/>
      <c r="O13" s="28"/>
      <c r="P13" s="28"/>
      <c r="Q13" s="28"/>
      <c r="R13" s="28"/>
      <c r="S13" s="28"/>
      <c r="T13" s="28"/>
      <c r="U13" s="28"/>
      <c r="V13" s="28"/>
      <c r="W13" s="28"/>
      <c r="X13" s="28"/>
      <c r="Y13" s="28"/>
      <c r="Z13" s="28"/>
      <c r="AA13" s="28"/>
      <c r="AB13" s="28"/>
    </row>
    <row r="14">
      <c r="A14" s="21" t="s">
        <v>36</v>
      </c>
      <c r="B14" s="22" t="s">
        <v>36</v>
      </c>
      <c r="C14" s="23" t="str">
        <f>IFERROR(__xludf.DUMMYFUNCTION("GOOGLETRANSLATE(B14, ""en"", ""fr"")"),"Continuer")</f>
        <v>Continuer</v>
      </c>
      <c r="D14" s="23" t="str">
        <f>IFERROR(__xludf.DUMMYFUNCTION("GOOGLETRANSLATE(B14, ""en"", ""es"")"),"Continuar")</f>
        <v>Continuar</v>
      </c>
      <c r="E14" s="23" t="str">
        <f>IFERROR(__xludf.DUMMYFUNCTION("GOOGLETRANSLATE(B14, ""en"", ""ru"")"),"Продолжать")</f>
        <v>Продолжать</v>
      </c>
      <c r="F14" s="23" t="str">
        <f>IFERROR(__xludf.DUMMYFUNCTION("GOOGLETRANSLATE(B14, ""en"", ""tr"")"),"Devam et")</f>
        <v>Devam et</v>
      </c>
      <c r="G14" s="23" t="str">
        <f>IFERROR(__xludf.DUMMYFUNCTION("GOOGLETRANSLATE(B14, ""en"", ""pt"")"),"Prosseguir")</f>
        <v>Prosseguir</v>
      </c>
      <c r="H14" s="24" t="str">
        <f>IFERROR(__xludf.DUMMYFUNCTION("GOOGLETRANSLATE(B14, ""en"", ""de"")"),"Fortsetzen")</f>
        <v>Fortsetzen</v>
      </c>
      <c r="I14" s="23" t="str">
        <f>IFERROR(__xludf.DUMMYFUNCTION("GOOGLETRANSLATE(B14, ""en"", ""pl"")"),"Kontyntynuj")</f>
        <v>Kontyntynuj</v>
      </c>
      <c r="J14" s="25" t="str">
        <f>IFERROR(__xludf.DUMMYFUNCTION("GOOGLETRANSLATE(B14, ""en"", ""zh"")"),"继续")</f>
        <v>继续</v>
      </c>
      <c r="K14" s="25" t="str">
        <f>IFERROR(__xludf.DUMMYFUNCTION("GOOGLETRANSLATE(B14, ""en"", ""vi"")"),"Tiếp tục")</f>
        <v>Tiếp tục</v>
      </c>
      <c r="L14" s="26" t="str">
        <f>IFERROR(__xludf.DUMMYFUNCTION("GOOGLETRANSLATE(B14, ""en"", ""hr"")"),"Nastaviti")</f>
        <v>Nastaviti</v>
      </c>
      <c r="M14" s="27"/>
      <c r="N14" s="28"/>
      <c r="O14" s="28"/>
      <c r="P14" s="28"/>
      <c r="Q14" s="28"/>
      <c r="R14" s="28"/>
      <c r="S14" s="28"/>
      <c r="T14" s="28"/>
      <c r="U14" s="28"/>
      <c r="V14" s="28"/>
      <c r="W14" s="28"/>
      <c r="X14" s="28"/>
      <c r="Y14" s="28"/>
      <c r="Z14" s="28"/>
      <c r="AA14" s="28"/>
      <c r="AB14" s="28"/>
    </row>
    <row r="15">
      <c r="A15" s="21" t="s">
        <v>37</v>
      </c>
      <c r="B15" s="22" t="s">
        <v>38</v>
      </c>
      <c r="C15" s="23" t="str">
        <f>IFERROR(__xludf.DUMMYFUNCTION("GOOGLETRANSLATE(B15, ""en"", ""fr"")"),"Entrez un nom")</f>
        <v>Entrez un nom</v>
      </c>
      <c r="D15" s="23" t="str">
        <f>IFERROR(__xludf.DUMMYFUNCTION("GOOGLETRANSLATE(B15, ""en"", ""es"")"),"Ingresa un nombre")</f>
        <v>Ingresa un nombre</v>
      </c>
      <c r="E15" s="23" t="str">
        <f>IFERROR(__xludf.DUMMYFUNCTION("GOOGLETRANSLATE(B15, ""en"", ""ru"")"),"Введите имя")</f>
        <v>Введите имя</v>
      </c>
      <c r="F15" s="23" t="str">
        <f>IFERROR(__xludf.DUMMYFUNCTION("GOOGLETRANSLATE(B15, ""en"", ""tr"")"),"İsim girin")</f>
        <v>İsim girin</v>
      </c>
      <c r="G15" s="23" t="str">
        <f>IFERROR(__xludf.DUMMYFUNCTION("GOOGLETRANSLATE(B15, ""en"", ""pt"")"),"Insira o nome")</f>
        <v>Insira o nome</v>
      </c>
      <c r="H15" s="24" t="str">
        <f>IFERROR(__xludf.DUMMYFUNCTION("GOOGLETRANSLATE(B15, ""en"", ""de"")"),"Geben Sie einen Namen ein")</f>
        <v>Geben Sie einen Namen ein</v>
      </c>
      <c r="I15" s="23" t="str">
        <f>IFERROR(__xludf.DUMMYFUNCTION("GOOGLETRANSLATE(B15, ""en"", ""pl"")"),"Wpisz imię")</f>
        <v>Wpisz imię</v>
      </c>
      <c r="J15" s="25" t="str">
        <f>IFERROR(__xludf.DUMMYFUNCTION("GOOGLETRANSLATE(B15, ""en"", ""zh"")"),"输入一个名称")</f>
        <v>输入一个名称</v>
      </c>
      <c r="K15" s="25" t="str">
        <f>IFERROR(__xludf.DUMMYFUNCTION("GOOGLETRANSLATE(B15, ""en"", ""vi"")"),"Nhập tên")</f>
        <v>Nhập tên</v>
      </c>
      <c r="L15" s="26" t="str">
        <f>IFERROR(__xludf.DUMMYFUNCTION("GOOGLETRANSLATE(B15, ""en"", ""hr"")"),"Unesite ime")</f>
        <v>Unesite ime</v>
      </c>
      <c r="M15" s="27"/>
      <c r="N15" s="28"/>
      <c r="O15" s="28"/>
      <c r="P15" s="28"/>
      <c r="Q15" s="28"/>
      <c r="R15" s="28"/>
      <c r="S15" s="28"/>
      <c r="T15" s="28"/>
      <c r="U15" s="28"/>
      <c r="V15" s="28"/>
      <c r="W15" s="28"/>
      <c r="X15" s="28"/>
      <c r="Y15" s="28"/>
      <c r="Z15" s="28"/>
      <c r="AA15" s="28"/>
      <c r="AB15" s="28"/>
    </row>
    <row r="16">
      <c r="A16" s="21" t="s">
        <v>39</v>
      </c>
      <c r="B16" s="22" t="s">
        <v>40</v>
      </c>
      <c r="C16" s="23" t="str">
        <f>IFERROR(__xludf.DUMMYFUNCTION("GOOGLETRANSLATE(B16, ""en"", ""fr"")"),"Nom d'utilisateur")</f>
        <v>Nom d'utilisateur</v>
      </c>
      <c r="D16" s="23" t="str">
        <f>IFERROR(__xludf.DUMMYFUNCTION("GOOGLETRANSLATE(B16, ""en"", ""es"")"),"Nombre de usuario")</f>
        <v>Nombre de usuario</v>
      </c>
      <c r="E16" s="23" t="str">
        <f>IFERROR(__xludf.DUMMYFUNCTION("GOOGLETRANSLATE(B16, ""en"", ""ru"")"),"Имя пользователя")</f>
        <v>Имя пользователя</v>
      </c>
      <c r="F16" s="23" t="str">
        <f>IFERROR(__xludf.DUMMYFUNCTION("GOOGLETRANSLATE(B16, ""en"", ""tr"")"),"Kullanıcı adı")</f>
        <v>Kullanıcı adı</v>
      </c>
      <c r="G16" s="23" t="str">
        <f>IFERROR(__xludf.DUMMYFUNCTION("GOOGLETRANSLATE(B16, ""en"", ""pt"")"),"Nome do usuário")</f>
        <v>Nome do usuário</v>
      </c>
      <c r="H16" s="24" t="str">
        <f>IFERROR(__xludf.DUMMYFUNCTION("GOOGLETRANSLATE(B16, ""en"", ""de"")"),"Nutzername")</f>
        <v>Nutzername</v>
      </c>
      <c r="I16" s="23" t="str">
        <f>IFERROR(__xludf.DUMMYFUNCTION("GOOGLETRANSLATE(B16, ""en"", ""pl"")"),"Nazwa Użytkownika")</f>
        <v>Nazwa Użytkownika</v>
      </c>
      <c r="J16" s="25" t="str">
        <f>IFERROR(__xludf.DUMMYFUNCTION("GOOGLETRANSLATE(B16, ""en"", ""zh"")"),"用户名")</f>
        <v>用户名</v>
      </c>
      <c r="K16" s="25" t="str">
        <f>IFERROR(__xludf.DUMMYFUNCTION("GOOGLETRANSLATE(B16, ""en"", ""vi"")"),"tên tài khoản")</f>
        <v>tên tài khoản</v>
      </c>
      <c r="L16" s="26" t="str">
        <f>IFERROR(__xludf.DUMMYFUNCTION("GOOGLETRANSLATE(B16, ""en"", ""hr"")"),"Korisničko ime")</f>
        <v>Korisničko ime</v>
      </c>
      <c r="M16" s="27"/>
      <c r="N16" s="28"/>
      <c r="O16" s="28"/>
      <c r="P16" s="28"/>
      <c r="Q16" s="28"/>
      <c r="R16" s="28"/>
      <c r="S16" s="28"/>
      <c r="T16" s="28"/>
      <c r="U16" s="28"/>
      <c r="V16" s="28"/>
      <c r="W16" s="28"/>
      <c r="X16" s="28"/>
      <c r="Y16" s="28"/>
      <c r="Z16" s="28"/>
      <c r="AA16" s="28"/>
      <c r="AB16" s="28"/>
    </row>
    <row r="17">
      <c r="A17" s="21" t="s">
        <v>41</v>
      </c>
      <c r="B17" s="22" t="s">
        <v>42</v>
      </c>
      <c r="C17" s="23" t="str">
        <f>IFERROR(__xludf.DUMMYFUNCTION("GOOGLETRANSLATE(B17, ""en"", ""fr"")"),"Mot de passe")</f>
        <v>Mot de passe</v>
      </c>
      <c r="D17" s="23" t="str">
        <f>IFERROR(__xludf.DUMMYFUNCTION("GOOGLETRANSLATE(B17, ""en"", ""es"")"),"Contraseña")</f>
        <v>Contraseña</v>
      </c>
      <c r="E17" s="23" t="str">
        <f>IFERROR(__xludf.DUMMYFUNCTION("GOOGLETRANSLATE(B17, ""en"", ""ru"")"),"Пароль")</f>
        <v>Пароль</v>
      </c>
      <c r="F17" s="23" t="str">
        <f>IFERROR(__xludf.DUMMYFUNCTION("GOOGLETRANSLATE(B17, ""en"", ""tr"")"),"Parola")</f>
        <v>Parola</v>
      </c>
      <c r="G17" s="23" t="str">
        <f>IFERROR(__xludf.DUMMYFUNCTION("GOOGLETRANSLATE(B17, ""en"", ""pt"")"),"Senha")</f>
        <v>Senha</v>
      </c>
      <c r="H17" s="24" t="str">
        <f>IFERROR(__xludf.DUMMYFUNCTION("GOOGLETRANSLATE(B17, ""en"", ""de"")"),"Passwort")</f>
        <v>Passwort</v>
      </c>
      <c r="I17" s="23" t="str">
        <f>IFERROR(__xludf.DUMMYFUNCTION("GOOGLETRANSLATE(B17, ""en"", ""pl"")"),"Hasło")</f>
        <v>Hasło</v>
      </c>
      <c r="J17" s="25" t="str">
        <f>IFERROR(__xludf.DUMMYFUNCTION("GOOGLETRANSLATE(B17, ""en"", ""zh"")"),"密码")</f>
        <v>密码</v>
      </c>
      <c r="K17" s="25" t="str">
        <f>IFERROR(__xludf.DUMMYFUNCTION("GOOGLETRANSLATE(B17, ""en"", ""vi"")"),"Mật khẩu")</f>
        <v>Mật khẩu</v>
      </c>
      <c r="L17" s="26" t="str">
        <f>IFERROR(__xludf.DUMMYFUNCTION("GOOGLETRANSLATE(B17, ""en"", ""hr"")"),"Zaporka")</f>
        <v>Zaporka</v>
      </c>
      <c r="M17" s="27"/>
      <c r="N17" s="28"/>
      <c r="O17" s="28"/>
      <c r="P17" s="28"/>
      <c r="Q17" s="28"/>
      <c r="R17" s="28"/>
      <c r="S17" s="28"/>
      <c r="T17" s="28"/>
      <c r="U17" s="28"/>
      <c r="V17" s="28"/>
      <c r="W17" s="28"/>
      <c r="X17" s="28"/>
      <c r="Y17" s="28"/>
      <c r="Z17" s="28"/>
      <c r="AA17" s="28"/>
      <c r="AB17" s="28"/>
    </row>
    <row r="18">
      <c r="A18" s="21" t="s">
        <v>43</v>
      </c>
      <c r="B18" s="22" t="s">
        <v>44</v>
      </c>
      <c r="C18" s="23" t="str">
        <f>IFERROR(__xludf.DUMMYFUNCTION("GOOGLETRANSLATE(B18, ""en"", ""fr"")"),"Quelque chose a mal tourné.
Maladroit... :/")</f>
        <v>Quelque chose a mal tourné.
Maladroit... :/</v>
      </c>
      <c r="D18" s="23" t="str">
        <f>IFERROR(__xludf.DUMMYFUNCTION("GOOGLETRANSLATE(B18, ""en"", ""es"")"),"Algo salió mal.
Incómodo... :/")</f>
        <v>Algo salió mal.
Incómodo... :/</v>
      </c>
      <c r="E18" s="23" t="str">
        <f>IFERROR(__xludf.DUMMYFUNCTION("GOOGLETRANSLATE(B18, ""en"", ""ru"")"),"Что-то пошло не так.
Неловко... :/")</f>
        <v>Что-то пошло не так.
Неловко... :/</v>
      </c>
      <c r="F18" s="23" t="str">
        <f>IFERROR(__xludf.DUMMYFUNCTION("GOOGLETRANSLATE(B18, ""en"", ""tr"")"),"Bir şeyler yanlış gitti.
Garip... :/")</f>
        <v>Bir şeyler yanlış gitti.
Garip... :/</v>
      </c>
      <c r="G18" s="23" t="str">
        <f>IFERROR(__xludf.DUMMYFUNCTION("GOOGLETRANSLATE(B18, ""en"", ""pt"")"),"Algo deu errado.
Desajeitado... :/")</f>
        <v>Algo deu errado.
Desajeitado... :/</v>
      </c>
      <c r="H18" s="24" t="str">
        <f>IFERROR(__xludf.DUMMYFUNCTION("GOOGLETRANSLATE(B18, ""en"", ""de"")"),"Etwas ist schief gelaufen.
Peinlich... :/")</f>
        <v>Etwas ist schief gelaufen.
Peinlich... :/</v>
      </c>
      <c r="I18" s="23" t="str">
        <f>IFERROR(__xludf.DUMMYFUNCTION("GOOGLETRANSLATE(B18, ""en"", ""pl"")"),"Coś poszło nie tak.
Niezręczny... :/")</f>
        <v>Coś poszło nie tak.
Niezręczny... :/</v>
      </c>
      <c r="J18" s="25" t="str">
        <f>IFERROR(__xludf.DUMMYFUNCTION("GOOGLETRANSLATE(B18, ""en"", ""zh"")"),"出问题了。
尴尬的... ：/")</f>
        <v>出问题了。
尴尬的... ：/</v>
      </c>
      <c r="K18" s="25" t="str">
        <f>IFERROR(__xludf.DUMMYFUNCTION("GOOGLETRANSLATE(B18, ""en"", ""vi"")"),"Một cái gì đó đã đi sai.
Vụng về ...: /")</f>
        <v>Một cái gì đó đã đi sai.
Vụng về ...: /</v>
      </c>
      <c r="L18" s="26" t="str">
        <f>IFERROR(__xludf.DUMMYFUNCTION("GOOGLETRANSLATE(B18, ""en"", ""hr"")"),"Nešto je pošlo po zlu.
Nespretan ...: /")</f>
        <v>Nešto je pošlo po zlu.
Nespretan ...: /</v>
      </c>
      <c r="M18" s="27"/>
      <c r="N18" s="28"/>
      <c r="O18" s="28"/>
      <c r="P18" s="28"/>
      <c r="Q18" s="28"/>
      <c r="R18" s="28"/>
      <c r="S18" s="28"/>
      <c r="T18" s="28"/>
      <c r="U18" s="28"/>
      <c r="V18" s="28"/>
      <c r="W18" s="28"/>
      <c r="X18" s="28"/>
      <c r="Y18" s="28"/>
      <c r="Z18" s="28"/>
      <c r="AA18" s="28"/>
      <c r="AB18" s="28"/>
    </row>
    <row r="19">
      <c r="A19" s="21" t="s">
        <v>45</v>
      </c>
      <c r="B19" s="22" t="s">
        <v>46</v>
      </c>
      <c r="C19" s="23" t="str">
        <f>IFERROR(__xludf.DUMMYFUNCTION("GOOGLETRANSLATE(B19, ""en"", ""fr"")"),"Le jeu est plein.
Wow ...: o")</f>
        <v>Le jeu est plein.
Wow ...: o</v>
      </c>
      <c r="D19" s="23" t="str">
        <f>IFERROR(__xludf.DUMMYFUNCTION("GOOGLETRANSLATE(B19, ""en"", ""es"")"),"Juego está lleno.
Wow ...: O")</f>
        <v>Juego está lleno.
Wow ...: O</v>
      </c>
      <c r="E19" s="23" t="str">
        <f>IFERROR(__xludf.DUMMYFUNCTION("GOOGLETRANSLATE(B19, ""en"", ""ru"")"),"Игра полна.
Ничего себе ...: о")</f>
        <v>Игра полна.
Ничего себе ...: о</v>
      </c>
      <c r="F19" s="23" t="str">
        <f>IFERROR(__xludf.DUMMYFUNCTION("GOOGLETRANSLATE(B19, ""en"", ""tr"")"),"Oyun doludur.
Vay ...: o")</f>
        <v>Oyun doludur.
Vay ...: o</v>
      </c>
      <c r="G19" s="23" t="str">
        <f>IFERROR(__xludf.DUMMYFUNCTION("GOOGLETRANSLATE(B19, ""en"", ""pt"")"),"Jogo está cheio.
Uau ...: o")</f>
        <v>Jogo está cheio.
Uau ...: o</v>
      </c>
      <c r="H19" s="24" t="str">
        <f>IFERROR(__xludf.DUMMYFUNCTION("GOOGLETRANSLATE(B19, ""en"", ""de"")"),"Spiel ist voll.
Wow ...: o")</f>
        <v>Spiel ist voll.
Wow ...: o</v>
      </c>
      <c r="I19" s="23" t="str">
        <f>IFERROR(__xludf.DUMMYFUNCTION("GOOGLETRANSLATE(B19, ""en"", ""pl"")"),"Gra jest pełna.
Wow ...: o")</f>
        <v>Gra jest pełna.
Wow ...: o</v>
      </c>
      <c r="J19" s="25" t="str">
        <f>IFERROR(__xludf.DUMMYFUNCTION("GOOGLETRANSLATE(B19, ""en"", ""zh"")"),"游戏充满。
哇...：○")</f>
        <v>游戏充满。
哇...：○</v>
      </c>
      <c r="K19" s="25" t="str">
        <f>IFERROR(__xludf.DUMMYFUNCTION("GOOGLETRANSLATE(B19, ""en"", ""vi"")"),"Game là đầy đủ.
Wow ...: o")</f>
        <v>Game là đầy đủ.
Wow ...: o</v>
      </c>
      <c r="L19" s="26" t="str">
        <f>IFERROR(__xludf.DUMMYFUNCTION("GOOGLETRANSLATE(B19, ""en"", ""hr"")"),"Igra je puna.
Wow ...: o")</f>
        <v>Igra je puna.
Wow ...: o</v>
      </c>
      <c r="M19" s="27"/>
      <c r="N19" s="28"/>
      <c r="O19" s="28"/>
      <c r="P19" s="28"/>
      <c r="Q19" s="28"/>
      <c r="R19" s="28"/>
      <c r="S19" s="28"/>
      <c r="T19" s="28"/>
      <c r="U19" s="28"/>
      <c r="V19" s="28"/>
      <c r="W19" s="28"/>
      <c r="X19" s="28"/>
      <c r="Y19" s="28"/>
      <c r="Z19" s="28"/>
      <c r="AA19" s="28"/>
      <c r="AB19" s="28"/>
    </row>
    <row r="20">
      <c r="A20" s="21" t="s">
        <v>47</v>
      </c>
      <c r="B20" s="22" t="s">
        <v>48</v>
      </c>
      <c r="C20" s="23" t="str">
        <f>IFERROR(__xludf.DUMMYFUNCTION("GOOGLETRANSLATE(B20, ""en"", ""fr"")"),"Impossible de se connecter au serveur de jeu.")</f>
        <v>Impossible de se connecter au serveur de jeu.</v>
      </c>
      <c r="D20" s="23" t="str">
        <f>IFERROR(__xludf.DUMMYFUNCTION("GOOGLETRANSLATE(B20, ""en"", ""es"")"),"No se pudo conectar al servidor de juego.")</f>
        <v>No se pudo conectar al servidor de juego.</v>
      </c>
      <c r="E20" s="23" t="str">
        <f>IFERROR(__xludf.DUMMYFUNCTION("GOOGLETRANSLATE(B20, ""en"", ""ru"")"),"Не удалось подключиться к игровому серверу.")</f>
        <v>Не удалось подключиться к игровому серверу.</v>
      </c>
      <c r="F20" s="23" t="str">
        <f>IFERROR(__xludf.DUMMYFUNCTION("GOOGLETRANSLATE(B20, ""en"", ""tr"")"),"Oyun sunucusuna bağlanamadı.")</f>
        <v>Oyun sunucusuna bağlanamadı.</v>
      </c>
      <c r="G20" s="23" t="str">
        <f>IFERROR(__xludf.DUMMYFUNCTION("GOOGLETRANSLATE(B20, ""en"", ""pt"")"),"Não foi possível conectar ao servidor do jogo.")</f>
        <v>Não foi possível conectar ao servidor do jogo.</v>
      </c>
      <c r="H20" s="24" t="str">
        <f>IFERROR(__xludf.DUMMYFUNCTION("GOOGLETRANSLATE(B20, ""en"", ""de"")"),"Kann nicht zum Spiel-Server verbinden.")</f>
        <v>Kann nicht zum Spiel-Server verbinden.</v>
      </c>
      <c r="I20" s="23" t="str">
        <f>IFERROR(__xludf.DUMMYFUNCTION("GOOGLETRANSLATE(B20, ""en"", ""pl"")"),"Nie mógł połączyć się z serwerem gry.")</f>
        <v>Nie mógł połączyć się z serwerem gry.</v>
      </c>
      <c r="J20" s="25" t="str">
        <f>IFERROR(__xludf.DUMMYFUNCTION("GOOGLETRANSLATE(B20, ""en"", ""zh"")"),"无法连接到游戏服务器。")</f>
        <v>无法连接到游戏服务器。</v>
      </c>
      <c r="K20" s="25" t="str">
        <f>IFERROR(__xludf.DUMMYFUNCTION("GOOGLETRANSLATE(B20, ""en"", ""vi"")"),"Không thể kết nối đến máy chủ trò chơi.")</f>
        <v>Không thể kết nối đến máy chủ trò chơi.</v>
      </c>
      <c r="L20" s="26" t="str">
        <f>IFERROR(__xludf.DUMMYFUNCTION("GOOGLETRANSLATE(B20, ""en"", ""hr"")"),"Nije moguće povezati se s poslužitelja za igru.")</f>
        <v>Nije moguće povezati se s poslužitelja za igru.</v>
      </c>
      <c r="M20" s="27"/>
      <c r="N20" s="28"/>
      <c r="O20" s="28"/>
      <c r="P20" s="28"/>
      <c r="Q20" s="28"/>
      <c r="R20" s="28"/>
      <c r="S20" s="28"/>
      <c r="T20" s="28"/>
      <c r="U20" s="28"/>
      <c r="V20" s="28"/>
      <c r="W20" s="28"/>
      <c r="X20" s="28"/>
      <c r="Y20" s="28"/>
      <c r="Z20" s="28"/>
      <c r="AA20" s="28"/>
      <c r="AB20" s="28"/>
    </row>
    <row r="21">
      <c r="A21" s="21" t="s">
        <v>49</v>
      </c>
      <c r="B21" s="22" t="s">
        <v>50</v>
      </c>
      <c r="C21" s="23" t="str">
        <f>IFERROR(__xludf.DUMMYFUNCTION("GOOGLETRANSLATE(B21, ""en"", ""fr"")"),"Nom d'utilisateur (requis.")</f>
        <v>Nom d'utilisateur (requis.</v>
      </c>
      <c r="D21" s="23" t="str">
        <f>IFERROR(__xludf.DUMMYFUNCTION("GOOGLETRANSLATE(B21, ""en"", ""es"")"),"Nombre de usuario (requerido.")</f>
        <v>Nombre de usuario (requerido.</v>
      </c>
      <c r="E21" s="23" t="str">
        <f>IFERROR(__xludf.DUMMYFUNCTION("GOOGLETRANSLATE(B21, ""en"", ""ru"")"),"Имя пользователя требуется.")</f>
        <v>Имя пользователя требуется.</v>
      </c>
      <c r="F21" s="23" t="str">
        <f>IFERROR(__xludf.DUMMYFUNCTION("GOOGLETRANSLATE(B21, ""en"", ""tr"")"),"Kullanıcı adı gerekli.")</f>
        <v>Kullanıcı adı gerekli.</v>
      </c>
      <c r="G21" s="23" t="str">
        <f>IFERROR(__xludf.DUMMYFUNCTION("GOOGLETRANSLATE(B21, ""en"", ""pt"")"),"Nome de usuário (necessário.")</f>
        <v>Nome de usuário (necessário.</v>
      </c>
      <c r="H21" s="24" t="str">
        <f>IFERROR(__xludf.DUMMYFUNCTION("GOOGLETRANSLATE(B21, ""en"", ""de"")"),"Benutzername erforderlich.")</f>
        <v>Benutzername erforderlich.</v>
      </c>
      <c r="I21" s="23" t="str">
        <f>IFERROR(__xludf.DUMMYFUNCTION("GOOGLETRANSLATE(B21, ""en"", ""pl"")"),"Nazwa użytkownika (wymagana.")</f>
        <v>Nazwa użytkownika (wymagana.</v>
      </c>
      <c r="J21" s="25" t="str">
        <f>IFERROR(__xludf.DUMMYFUNCTION("GOOGLETRANSLATE(B21, ""en"", ""zh"")"),"用户名要求。")</f>
        <v>用户名要求。</v>
      </c>
      <c r="K21" s="25" t="str">
        <f>IFERROR(__xludf.DUMMYFUNCTION("GOOGLETRANSLATE(B21, ""en"", ""vi"")"),"Tên đăng nhập yêu cầu.")</f>
        <v>Tên đăng nhập yêu cầu.</v>
      </c>
      <c r="L21" s="26" t="str">
        <f>IFERROR(__xludf.DUMMYFUNCTION("GOOGLETRANSLATE(B21, ""en"", ""hr"")"),"Korisničko ime je potrebno.")</f>
        <v>Korisničko ime je potrebno.</v>
      </c>
      <c r="M21" s="27"/>
      <c r="N21" s="28"/>
      <c r="O21" s="28"/>
      <c r="P21" s="28"/>
      <c r="Q21" s="28"/>
      <c r="R21" s="28"/>
      <c r="S21" s="28"/>
      <c r="T21" s="28"/>
      <c r="U21" s="28"/>
      <c r="V21" s="28"/>
      <c r="W21" s="28"/>
      <c r="X21" s="28"/>
      <c r="Y21" s="28"/>
      <c r="Z21" s="28"/>
      <c r="AA21" s="28"/>
      <c r="AB21" s="28"/>
    </row>
    <row r="22">
      <c r="A22" s="21" t="s">
        <v>51</v>
      </c>
      <c r="B22" s="22" t="s">
        <v>52</v>
      </c>
      <c r="C22" s="23" t="str">
        <f>IFERROR(__xludf.DUMMYFUNCTION("GOOGLETRANSLATE(B22, ""en"", ""fr"")"),"Mot de passe requis.")</f>
        <v>Mot de passe requis.</v>
      </c>
      <c r="D22" s="23" t="str">
        <f>IFERROR(__xludf.DUMMYFUNCTION("GOOGLETRANSLATE(B22, ""en"", ""es"")"),"Se requiere contraseña.")</f>
        <v>Se requiere contraseña.</v>
      </c>
      <c r="E22" s="23" t="str">
        <f>IFERROR(__xludf.DUMMYFUNCTION("GOOGLETRANSLATE(B22, ""en"", ""ru"")"),"Требуется пароль.")</f>
        <v>Требуется пароль.</v>
      </c>
      <c r="F22" s="23" t="str">
        <f>IFERROR(__xludf.DUMMYFUNCTION("GOOGLETRANSLATE(B22, ""en"", ""tr"")"),"Şifre gerekli.")</f>
        <v>Şifre gerekli.</v>
      </c>
      <c r="G22" s="23" t="str">
        <f>IFERROR(__xludf.DUMMYFUNCTION("GOOGLETRANSLATE(B22, ""en"", ""pt"")"),"Senha requerida.")</f>
        <v>Senha requerida.</v>
      </c>
      <c r="H22" s="24" t="str">
        <f>IFERROR(__xludf.DUMMYFUNCTION("GOOGLETRANSLATE(B22, ""en"", ""de"")"),"Passwort erforderlich.")</f>
        <v>Passwort erforderlich.</v>
      </c>
      <c r="I22" s="23" t="str">
        <f>IFERROR(__xludf.DUMMYFUNCTION("GOOGLETRANSLATE(B22, ""en"", ""pl"")"),"Wymagane hasło.")</f>
        <v>Wymagane hasło.</v>
      </c>
      <c r="J22" s="25" t="str">
        <f>IFERROR(__xludf.DUMMYFUNCTION("GOOGLETRANSLATE(B22, ""en"", ""zh"")"),"要求输入密码。")</f>
        <v>要求输入密码。</v>
      </c>
      <c r="K22" s="25" t="str">
        <f>IFERROR(__xludf.DUMMYFUNCTION("GOOGLETRANSLATE(B22, ""en"", ""vi"")"),"Mật khẩu được yêu câu.")</f>
        <v>Mật khẩu được yêu câu.</v>
      </c>
      <c r="L22" s="26" t="str">
        <f>IFERROR(__xludf.DUMMYFUNCTION("GOOGLETRANSLATE(B22, ""en"", ""hr"")"),"Potrebna lozinka.")</f>
        <v>Potrebna lozinka.</v>
      </c>
      <c r="M22" s="27"/>
      <c r="N22" s="28"/>
      <c r="O22" s="28"/>
      <c r="P22" s="28"/>
      <c r="Q22" s="28"/>
      <c r="R22" s="28"/>
      <c r="S22" s="28"/>
      <c r="T22" s="28"/>
      <c r="U22" s="28"/>
      <c r="V22" s="28"/>
      <c r="W22" s="28"/>
      <c r="X22" s="28"/>
      <c r="Y22" s="28"/>
      <c r="Z22" s="28"/>
      <c r="AA22" s="28"/>
      <c r="AB22" s="28"/>
    </row>
    <row r="23">
      <c r="A23" s="21" t="s">
        <v>53</v>
      </c>
      <c r="B23" s="22" t="s">
        <v>54</v>
      </c>
      <c r="C23" s="23" t="str">
        <f>IFERROR(__xludf.DUMMYFUNCTION("GOOGLETRANSLATE(B23, ""en"", ""fr"")"),"nom d'utilisateur ou mot de passe.")</f>
        <v>nom d'utilisateur ou mot de passe.</v>
      </c>
      <c r="D23" s="23" t="str">
        <f>IFERROR(__xludf.DUMMYFUNCTION("GOOGLETRANSLATE(B23, ""en"", ""es"")"),"Usuario o contraseña invalido.")</f>
        <v>Usuario o contraseña invalido.</v>
      </c>
      <c r="E23" s="23" t="str">
        <f>IFERROR(__xludf.DUMMYFUNCTION("GOOGLETRANSLATE(B23, ""en"", ""ru"")"),"Неправильное имя пользователя или пароль.")</f>
        <v>Неправильное имя пользователя или пароль.</v>
      </c>
      <c r="F23" s="23" t="str">
        <f>IFERROR(__xludf.DUMMYFUNCTION("GOOGLETRANSLATE(B23, ""en"", ""tr"")"),"Geçersiz kullanıcı adı veya şifre.")</f>
        <v>Geçersiz kullanıcı adı veya şifre.</v>
      </c>
      <c r="G23" s="23" t="str">
        <f>IFERROR(__xludf.DUMMYFUNCTION("GOOGLETRANSLATE(B23, ""en"", ""pt"")"),"Nome de usuário ou senha inválidos.")</f>
        <v>Nome de usuário ou senha inválidos.</v>
      </c>
      <c r="H23" s="24" t="str">
        <f>IFERROR(__xludf.DUMMYFUNCTION("GOOGLETRANSLATE(B23, ""en"", ""de"")"),"Ungültiger Benutzername oder Passwort.")</f>
        <v>Ungültiger Benutzername oder Passwort.</v>
      </c>
      <c r="I23" s="23" t="str">
        <f>IFERROR(__xludf.DUMMYFUNCTION("GOOGLETRANSLATE(B23, ""en"", ""pl"")"),"Nieprawidłowa nazwa użytkownika lub hasło.")</f>
        <v>Nieprawidłowa nazwa użytkownika lub hasło.</v>
      </c>
      <c r="J23" s="25" t="str">
        <f>IFERROR(__xludf.DUMMYFUNCTION("GOOGLETRANSLATE(B23, ""en"", ""zh"")"),"无效的用户名或密码。")</f>
        <v>无效的用户名或密码。</v>
      </c>
      <c r="K23" s="25" t="str">
        <f>IFERROR(__xludf.DUMMYFUNCTION("GOOGLETRANSLATE(B23, ""en"", ""vi"")"),"Sai username hoặc password.")</f>
        <v>Sai username hoặc password.</v>
      </c>
      <c r="L23" s="26" t="str">
        <f>IFERROR(__xludf.DUMMYFUNCTION("GOOGLETRANSLATE(B23, ""en"", ""hr"")"),"Neispravno korisničko ime ili lozinka.")</f>
        <v>Neispravno korisničko ime ili lozinka.</v>
      </c>
      <c r="M23" s="27"/>
      <c r="N23" s="28"/>
      <c r="O23" s="28"/>
      <c r="P23" s="28"/>
      <c r="Q23" s="28"/>
      <c r="R23" s="28"/>
      <c r="S23" s="28"/>
      <c r="T23" s="28"/>
      <c r="U23" s="28"/>
      <c r="V23" s="28"/>
      <c r="W23" s="28"/>
      <c r="X23" s="28"/>
      <c r="Y23" s="28"/>
      <c r="Z23" s="28"/>
      <c r="AA23" s="28"/>
      <c r="AB23" s="28"/>
    </row>
    <row r="24">
      <c r="A24" s="21" t="s">
        <v>55</v>
      </c>
      <c r="B24" s="22" t="s">
        <v>56</v>
      </c>
      <c r="C24" s="23" t="str">
        <f>IFERROR(__xludf.DUMMYFUNCTION("GOOGLETRANSLATE(B24, ""en"", ""fr"")"),"Ce compte est déjà connecté.")</f>
        <v>Ce compte est déjà connecté.</v>
      </c>
      <c r="D24" s="23" t="str">
        <f>IFERROR(__xludf.DUMMYFUNCTION("GOOGLETRANSLATE(B24, ""en"", ""es"")"),"Que cuenta ya está conectado.")</f>
        <v>Que cuenta ya está conectado.</v>
      </c>
      <c r="E24" s="23" t="str">
        <f>IFERROR(__xludf.DUMMYFUNCTION("GOOGLETRANSLATE(B24, ""en"", ""ru"")"),"Этот счет уже зарегистрирован.")</f>
        <v>Этот счет уже зарегистрирован.</v>
      </c>
      <c r="F24" s="23" t="str">
        <f>IFERROR(__xludf.DUMMYFUNCTION("GOOGLETRANSLATE(B24, ""en"", ""tr"")"),"Yani hesap zaten kaydedilir.")</f>
        <v>Yani hesap zaten kaydedilir.</v>
      </c>
      <c r="G24" s="23" t="str">
        <f>IFERROR(__xludf.DUMMYFUNCTION("GOOGLETRANSLATE(B24, ""en"", ""pt"")"),"Que conta já está logado.")</f>
        <v>Que conta já está logado.</v>
      </c>
      <c r="H24" s="24" t="str">
        <f>IFERROR(__xludf.DUMMYFUNCTION("GOOGLETRANSLATE(B24, ""en"", ""de"")"),"Das Konto ist bereits angemeldet.")</f>
        <v>Das Konto ist bereits angemeldet.</v>
      </c>
      <c r="I24" s="23" t="str">
        <f>IFERROR(__xludf.DUMMYFUNCTION("GOOGLETRANSLATE(B24, ""en"", ""pl"")"),"Że konto jest już zalogowany.")</f>
        <v>Że konto jest już zalogowany.</v>
      </c>
      <c r="J24" s="25" t="str">
        <f>IFERROR(__xludf.DUMMYFUNCTION("GOOGLETRANSLATE(B24, ""en"", ""zh"")"),"该帐户已经登录。")</f>
        <v>该帐户已经登录。</v>
      </c>
      <c r="K24" s="25" t="str">
        <f>IFERROR(__xludf.DUMMYFUNCTION("GOOGLETRANSLATE(B24, ""en"", ""vi"")"),"tài khoản đó đã được đăng nhập.")</f>
        <v>tài khoản đó đã được đăng nhập.</v>
      </c>
      <c r="L24" s="26" t="str">
        <f>IFERROR(__xludf.DUMMYFUNCTION("GOOGLETRANSLATE(B24, ""en"", ""hr"")"),"Taj račun već prijavljen.")</f>
        <v>Taj račun već prijavljen.</v>
      </c>
      <c r="M24" s="27"/>
      <c r="N24" s="28"/>
      <c r="O24" s="28"/>
      <c r="P24" s="28"/>
      <c r="Q24" s="28"/>
      <c r="R24" s="28"/>
      <c r="S24" s="28"/>
      <c r="T24" s="28"/>
      <c r="U24" s="28"/>
      <c r="V24" s="28"/>
      <c r="W24" s="28"/>
      <c r="X24" s="28"/>
      <c r="Y24" s="28"/>
      <c r="Z24" s="28"/>
      <c r="AA24" s="28"/>
      <c r="AB24" s="28"/>
    </row>
    <row r="25">
      <c r="A25" s="21" t="s">
        <v>57</v>
      </c>
      <c r="B25" s="22" t="s">
        <v>57</v>
      </c>
      <c r="C25" s="23" t="str">
        <f>IFERROR(__xludf.DUMMYFUNCTION("GOOGLETRANSLATE(B25, ""en"", ""fr"")"),"Les partenaires")</f>
        <v>Les partenaires</v>
      </c>
      <c r="D25" s="23" t="str">
        <f>IFERROR(__xludf.DUMMYFUNCTION("GOOGLETRANSLATE(B25, ""en"", ""es"")"),"Socios")</f>
        <v>Socios</v>
      </c>
      <c r="E25" s="23" t="str">
        <f>IFERROR(__xludf.DUMMYFUNCTION("GOOGLETRANSLATE(B25, ""en"", ""ru"")"),"партнеры")</f>
        <v>партнеры</v>
      </c>
      <c r="F25" s="23" t="str">
        <f>IFERROR(__xludf.DUMMYFUNCTION("GOOGLETRANSLATE(B25, ""en"", ""tr"")"),"Ortaklar")</f>
        <v>Ortaklar</v>
      </c>
      <c r="G25" s="23" t="str">
        <f>IFERROR(__xludf.DUMMYFUNCTION("GOOGLETRANSLATE(B25, ""en"", ""pt"")"),"parceiros")</f>
        <v>parceiros</v>
      </c>
      <c r="H25" s="24" t="str">
        <f>IFERROR(__xludf.DUMMYFUNCTION("GOOGLETRANSLATE(B25, ""en"", ""de"")"),"Partner")</f>
        <v>Partner</v>
      </c>
      <c r="I25" s="23" t="str">
        <f>IFERROR(__xludf.DUMMYFUNCTION("GOOGLETRANSLATE(B25, ""en"", ""pl"")"),"Wzmacniacz")</f>
        <v>Wzmacniacz</v>
      </c>
      <c r="J25" s="25" t="str">
        <f>IFERROR(__xludf.DUMMYFUNCTION("GOOGLETRANSLATE(B25, ""en"", ""zh"")"),"伙伴")</f>
        <v>伙伴</v>
      </c>
      <c r="K25" s="25" t="str">
        <f>IFERROR(__xludf.DUMMYFUNCTION("GOOGLETRANSLATE(B25, ""en"", ""vi"")"),"Đối tác")</f>
        <v>Đối tác</v>
      </c>
      <c r="L25" s="26" t="str">
        <f>IFERROR(__xludf.DUMMYFUNCTION("GOOGLETRANSLATE(B25, ""en"", ""hr"")"),"partneri")</f>
        <v>partneri</v>
      </c>
      <c r="M25" s="27"/>
      <c r="N25" s="28"/>
      <c r="O25" s="28"/>
      <c r="P25" s="28"/>
      <c r="Q25" s="28"/>
      <c r="R25" s="28"/>
      <c r="S25" s="28"/>
      <c r="T25" s="28"/>
      <c r="U25" s="28"/>
      <c r="V25" s="28"/>
      <c r="W25" s="28"/>
      <c r="X25" s="28"/>
      <c r="Y25" s="28"/>
      <c r="Z25" s="28"/>
      <c r="AA25" s="28"/>
      <c r="AB25" s="28"/>
    </row>
    <row r="26">
      <c r="A26" s="21" t="s">
        <v>58</v>
      </c>
      <c r="B26" s="22" t="s">
        <v>58</v>
      </c>
      <c r="C26" s="23" t="str">
        <f>IFERROR(__xludf.DUMMYFUNCTION("GOOGLETRANSLATE(B26, ""en"", ""fr"")"),"Crédits")</f>
        <v>Crédits</v>
      </c>
      <c r="D26" s="23" t="str">
        <f>IFERROR(__xludf.DUMMYFUNCTION("GOOGLETRANSLATE(B26, ""en"", ""es"")"),"créditos")</f>
        <v>créditos</v>
      </c>
      <c r="E26" s="23" t="str">
        <f>IFERROR(__xludf.DUMMYFUNCTION("GOOGLETRANSLATE(B26, ""en"", ""ru"")"),"кредиты")</f>
        <v>кредиты</v>
      </c>
      <c r="F26" s="23" t="str">
        <f>IFERROR(__xludf.DUMMYFUNCTION("GOOGLETRANSLATE(B26, ""en"", ""tr"")"),"Kredi")</f>
        <v>Kredi</v>
      </c>
      <c r="G26" s="23" t="str">
        <f>IFERROR(__xludf.DUMMYFUNCTION("GOOGLETRANSLATE(B26, ""en"", ""pt"")"),"créditos")</f>
        <v>créditos</v>
      </c>
      <c r="H26" s="24" t="str">
        <f>IFERROR(__xludf.DUMMYFUNCTION("GOOGLETRANSLATE(B26, ""en"", ""de"")"),"Credits")</f>
        <v>Credits</v>
      </c>
      <c r="I26" s="23" t="str">
        <f>IFERROR(__xludf.DUMMYFUNCTION("GOOGLETRANSLATE(B26, ""en"", ""pl"")"),"kredyty")</f>
        <v>kredyty</v>
      </c>
      <c r="J26" s="25" t="str">
        <f>IFERROR(__xludf.DUMMYFUNCTION("GOOGLETRANSLATE(B26, ""en"", ""zh"")"),"积分")</f>
        <v>积分</v>
      </c>
      <c r="K26" s="25" t="str">
        <f>IFERROR(__xludf.DUMMYFUNCTION("GOOGLETRANSLATE(B26, ""en"", ""vi"")"),"Tín dụng")</f>
        <v>Tín dụng</v>
      </c>
      <c r="L26" s="26" t="str">
        <f>IFERROR(__xludf.DUMMYFUNCTION("GOOGLETRANSLATE(B26, ""en"", ""hr"")"),"krediti")</f>
        <v>krediti</v>
      </c>
      <c r="M26" s="27"/>
      <c r="N26" s="28"/>
      <c r="O26" s="28"/>
      <c r="P26" s="28"/>
      <c r="Q26" s="28"/>
      <c r="R26" s="28"/>
      <c r="S26" s="28"/>
      <c r="T26" s="28"/>
      <c r="U26" s="28"/>
      <c r="V26" s="28"/>
      <c r="W26" s="28"/>
      <c r="X26" s="28"/>
      <c r="Y26" s="28"/>
      <c r="Z26" s="28"/>
      <c r="AA26" s="28"/>
      <c r="AB26" s="28"/>
    </row>
    <row r="27">
      <c r="A27" s="21" t="s">
        <v>59</v>
      </c>
      <c r="B27" s="22" t="s">
        <v>59</v>
      </c>
      <c r="C27" s="23" t="s">
        <v>59</v>
      </c>
      <c r="D27" s="23" t="s">
        <v>59</v>
      </c>
      <c r="E27" s="23" t="s">
        <v>59</v>
      </c>
      <c r="F27" s="23" t="s">
        <v>59</v>
      </c>
      <c r="G27" s="23" t="s">
        <v>59</v>
      </c>
      <c r="H27" s="23" t="s">
        <v>59</v>
      </c>
      <c r="I27" s="23" t="s">
        <v>59</v>
      </c>
      <c r="J27" s="23" t="s">
        <v>59</v>
      </c>
      <c r="K27" s="23" t="s">
        <v>59</v>
      </c>
      <c r="L27" s="23" t="s">
        <v>59</v>
      </c>
      <c r="M27" s="27"/>
      <c r="N27" s="28"/>
      <c r="O27" s="28"/>
      <c r="P27" s="28"/>
      <c r="Q27" s="28"/>
      <c r="R27" s="28"/>
      <c r="S27" s="28"/>
      <c r="T27" s="28"/>
      <c r="U27" s="28"/>
      <c r="V27" s="28"/>
      <c r="W27" s="28"/>
      <c r="X27" s="28"/>
      <c r="Y27" s="28"/>
      <c r="Z27" s="28"/>
      <c r="AA27" s="28"/>
      <c r="AB27" s="28"/>
    </row>
    <row r="28">
      <c r="A28" s="21" t="s">
        <v>60</v>
      </c>
      <c r="B28" s="22" t="s">
        <v>60</v>
      </c>
      <c r="C28" s="23" t="str">
        <f>IFERROR(__xludf.DUMMYFUNCTION("GOOGLETRANSLATE(B28, ""en"", ""fr"")"),"Jouer")</f>
        <v>Jouer</v>
      </c>
      <c r="D28" s="23" t="str">
        <f>IFERROR(__xludf.DUMMYFUNCTION("GOOGLETRANSLATE(B28, ""en"", ""es"")"),"Tocar")</f>
        <v>Tocar</v>
      </c>
      <c r="E28" s="23" t="str">
        <f>IFERROR(__xludf.DUMMYFUNCTION("GOOGLETRANSLATE(B28, ""en"", ""ru"")"),"Играть")</f>
        <v>Играть</v>
      </c>
      <c r="F28" s="23" t="str">
        <f>IFERROR(__xludf.DUMMYFUNCTION("GOOGLETRANSLATE(B28, ""en"", ""tr"")"),"Oyna")</f>
        <v>Oyna</v>
      </c>
      <c r="G28" s="23" t="str">
        <f>IFERROR(__xludf.DUMMYFUNCTION("GOOGLETRANSLATE(B28, ""en"", ""pt"")"),"Jogar")</f>
        <v>Jogar</v>
      </c>
      <c r="H28" s="24" t="str">
        <f>IFERROR(__xludf.DUMMYFUNCTION("GOOGLETRANSLATE(B28, ""en"", ""de"")"),"abspielen")</f>
        <v>abspielen</v>
      </c>
      <c r="I28" s="23" t="str">
        <f>IFERROR(__xludf.DUMMYFUNCTION("GOOGLETRANSLATE(B28, ""en"", ""pl"")"),"Grać")</f>
        <v>Grać</v>
      </c>
      <c r="J28" s="25" t="str">
        <f>IFERROR(__xludf.DUMMYFUNCTION("GOOGLETRANSLATE(B28, ""en"", ""zh"")"),"玩")</f>
        <v>玩</v>
      </c>
      <c r="K28" s="25" t="str">
        <f>IFERROR(__xludf.DUMMYFUNCTION("GOOGLETRANSLATE(B28, ""en"", ""vi"")"),"Chơi")</f>
        <v>Chơi</v>
      </c>
      <c r="L28" s="26" t="str">
        <f>IFERROR(__xludf.DUMMYFUNCTION("GOOGLETRANSLATE(B28, ""en"", ""hr"")"),"igra")</f>
        <v>igra</v>
      </c>
      <c r="M28" s="27"/>
      <c r="N28" s="28"/>
      <c r="O28" s="28"/>
      <c r="P28" s="28"/>
      <c r="Q28" s="28"/>
      <c r="R28" s="28"/>
      <c r="S28" s="28"/>
      <c r="T28" s="28"/>
      <c r="U28" s="28"/>
      <c r="V28" s="28"/>
      <c r="W28" s="28"/>
      <c r="X28" s="28"/>
      <c r="Y28" s="28"/>
      <c r="Z28" s="28"/>
      <c r="AA28" s="28"/>
      <c r="AB28" s="28"/>
    </row>
    <row r="29">
      <c r="A29" s="21" t="s">
        <v>61</v>
      </c>
      <c r="B29" s="22" t="s">
        <v>61</v>
      </c>
      <c r="C29" s="23" t="str">
        <f>IFERROR(__xludf.DUMMYFUNCTION("GOOGLETRANSLATE(B29, ""en"", ""fr"")"),"Reconnect")</f>
        <v>Reconnect</v>
      </c>
      <c r="D29" s="23" t="str">
        <f>IFERROR(__xludf.DUMMYFUNCTION("GOOGLETRANSLATE(B29, ""en"", ""es"")"),"Conectar de nuevo")</f>
        <v>Conectar de nuevo</v>
      </c>
      <c r="E29" s="23" t="str">
        <f>IFERROR(__xludf.DUMMYFUNCTION("GOOGLETRANSLATE(B29, ""en"", ""ru"")"),"Переустановка")</f>
        <v>Переустановка</v>
      </c>
      <c r="F29" s="23" t="str">
        <f>IFERROR(__xludf.DUMMYFUNCTION("GOOGLETRANSLATE(B29, ""en"", ""tr"")"),"yeniden bağlayın")</f>
        <v>yeniden bağlayın</v>
      </c>
      <c r="G29" s="23" t="str">
        <f>IFERROR(__xludf.DUMMYFUNCTION("GOOGLETRANSLATE(B29, ""en"", ""pt"")"),"Reconnect")</f>
        <v>Reconnect</v>
      </c>
      <c r="H29" s="24" t="str">
        <f>IFERROR(__xludf.DUMMYFUNCTION("GOOGLETRANSLATE(B29, ""en"", ""de"")"),"Reconnect")</f>
        <v>Reconnect</v>
      </c>
      <c r="I29" s="23" t="str">
        <f>IFERROR(__xludf.DUMMYFUNCTION("GOOGLETRANSLATE(B29, ""en"", ""pl"")"),"Na nowo połączyć")</f>
        <v>Na nowo połączyć</v>
      </c>
      <c r="J29" s="25" t="str">
        <f>IFERROR(__xludf.DUMMYFUNCTION("GOOGLETRANSLATE(B29, ""en"", ""zh"")"),"重新连接")</f>
        <v>重新连接</v>
      </c>
      <c r="K29" s="25" t="str">
        <f>IFERROR(__xludf.DUMMYFUNCTION("GOOGLETRANSLATE(B29, ""en"", ""vi"")"),"Reconnect")</f>
        <v>Reconnect</v>
      </c>
      <c r="L29" s="26" t="str">
        <f>IFERROR(__xludf.DUMMYFUNCTION("GOOGLETRANSLATE(B29, ""en"", ""hr"")"),"Ponovno")</f>
        <v>Ponovno</v>
      </c>
      <c r="M29" s="27"/>
      <c r="N29" s="28"/>
      <c r="O29" s="28"/>
      <c r="P29" s="28"/>
      <c r="Q29" s="28"/>
      <c r="R29" s="28"/>
      <c r="S29" s="28"/>
      <c r="T29" s="28"/>
      <c r="U29" s="28"/>
      <c r="V29" s="28"/>
      <c r="W29" s="28"/>
      <c r="X29" s="28"/>
      <c r="Y29" s="28"/>
      <c r="Z29" s="28"/>
      <c r="AA29" s="28"/>
      <c r="AB29" s="28"/>
    </row>
    <row r="30">
      <c r="A30" s="21" t="s">
        <v>62</v>
      </c>
      <c r="B30" s="22" t="s">
        <v>63</v>
      </c>
      <c r="C30" s="23" t="str">
        <f>IFERROR(__xludf.DUMMYFUNCTION("GOOGLETRANSLATE(B30, ""en"", ""fr"")"),"Connexion au serveur de jeu ...")</f>
        <v>Connexion au serveur de jeu ...</v>
      </c>
      <c r="D30" s="23" t="str">
        <f>IFERROR(__xludf.DUMMYFUNCTION("GOOGLETRANSLATE(B30, ""en"", ""es"")"),"Conexión al servidor de juegos ...")</f>
        <v>Conexión al servidor de juegos ...</v>
      </c>
      <c r="E30" s="23" t="str">
        <f>IFERROR(__xludf.DUMMYFUNCTION("GOOGLETRANSLATE(B30, ""en"", ""ru"")"),"Подключение к игровому серверу ...")</f>
        <v>Подключение к игровому серверу ...</v>
      </c>
      <c r="F30" s="23" t="str">
        <f>IFERROR(__xludf.DUMMYFUNCTION("GOOGLETRANSLATE(B30, ""en"", ""tr"")"),"Oyun sunucusuna bağlanıyor ...")</f>
        <v>Oyun sunucusuna bağlanıyor ...</v>
      </c>
      <c r="G30" s="23" t="str">
        <f>IFERROR(__xludf.DUMMYFUNCTION("GOOGLETRANSLATE(B30, ""en"", ""pt"")"),"Ligar a servidor de jogo ...")</f>
        <v>Ligar a servidor de jogo ...</v>
      </c>
      <c r="H30" s="24" t="str">
        <f>IFERROR(__xludf.DUMMYFUNCTION("GOOGLETRANSLATE(B30, ""en"", ""de"")"),"Verbindung zum Spielserver ...")</f>
        <v>Verbindung zum Spielserver ...</v>
      </c>
      <c r="I30" s="23" t="str">
        <f>IFERROR(__xludf.DUMMYFUNCTION("GOOGLETRANSLATE(B30, ""en"", ""pl"")"),"Łączenie się z serwerem gry ...")</f>
        <v>Łączenie się z serwerem gry ...</v>
      </c>
      <c r="J30" s="25" t="str">
        <f>IFERROR(__xludf.DUMMYFUNCTION("GOOGLETRANSLATE(B30, ""en"", ""zh"")"),"连接到游戏服务器...")</f>
        <v>连接到游戏服务器...</v>
      </c>
      <c r="K30" s="25" t="str">
        <f>IFERROR(__xludf.DUMMYFUNCTION("GOOGLETRANSLATE(B30, ""en"", ""vi"")"),"Đang kết nối đến máy chủ trò chơi ...")</f>
        <v>Đang kết nối đến máy chủ trò chơi ...</v>
      </c>
      <c r="L30" s="26" t="str">
        <f>IFERROR(__xludf.DUMMYFUNCTION("GOOGLETRANSLATE(B30, ""en"", ""hr"")"),"Povezivanje s poslužitelja za igru ​​...")</f>
        <v>Povezivanje s poslužitelja za igru ​​...</v>
      </c>
      <c r="M30" s="27"/>
      <c r="N30" s="28"/>
      <c r="O30" s="28"/>
      <c r="P30" s="28"/>
      <c r="Q30" s="28"/>
      <c r="R30" s="28"/>
      <c r="S30" s="28"/>
      <c r="T30" s="28"/>
      <c r="U30" s="28"/>
      <c r="V30" s="28"/>
      <c r="W30" s="28"/>
      <c r="X30" s="28"/>
      <c r="Y30" s="28"/>
      <c r="Z30" s="28"/>
      <c r="AA30" s="28"/>
      <c r="AB30" s="28"/>
    </row>
    <row r="31">
      <c r="A31" s="21" t="s">
        <v>64</v>
      </c>
      <c r="B31" s="22" t="s">
        <v>65</v>
      </c>
      <c r="C31" s="23" t="str">
        <f>IFERROR(__xludf.DUMMYFUNCTION("GOOGLETRANSLATE(B31, ""en"", ""fr"")"),"Rejoindre monde du jeu ...")</f>
        <v>Rejoindre monde du jeu ...</v>
      </c>
      <c r="D31" s="23" t="str">
        <f>IFERROR(__xludf.DUMMYFUNCTION("GOOGLETRANSLATE(B31, ""en"", ""es"")"),"Uniéndose mundo del juego ...")</f>
        <v>Uniéndose mundo del juego ...</v>
      </c>
      <c r="E31" s="23" t="str">
        <f>IFERROR(__xludf.DUMMYFUNCTION("GOOGLETRANSLATE(B31, ""en"", ""ru"")"),"Присоединение к игровому миру ...")</f>
        <v>Присоединение к игровому миру ...</v>
      </c>
      <c r="F31" s="23" t="str">
        <f>IFERROR(__xludf.DUMMYFUNCTION("GOOGLETRANSLATE(B31, ""en"", ""tr"")"),"Oyun dünyasına katılıyor ...")</f>
        <v>Oyun dünyasına katılıyor ...</v>
      </c>
      <c r="G31" s="23" t="str">
        <f>IFERROR(__xludf.DUMMYFUNCTION("GOOGLETRANSLATE(B31, ""en"", ""pt"")"),"Juntando mundo do jogo ...")</f>
        <v>Juntando mundo do jogo ...</v>
      </c>
      <c r="H31" s="24" t="str">
        <f>IFERROR(__xludf.DUMMYFUNCTION("GOOGLETRANSLATE(B31, ""en"", ""de"")"),"Joining Spielwelt ...")</f>
        <v>Joining Spielwelt ...</v>
      </c>
      <c r="I31" s="23" t="str">
        <f>IFERROR(__xludf.DUMMYFUNCTION("GOOGLETRANSLATE(B31, ""en"", ""pl"")"),"Dołączenie świat gry ...")</f>
        <v>Dołączenie świat gry ...</v>
      </c>
      <c r="J31" s="25" t="str">
        <f>IFERROR(__xludf.DUMMYFUNCTION("GOOGLETRANSLATE(B31, ""en"", ""zh"")"),"加入游戏世界...")</f>
        <v>加入游戏世界...</v>
      </c>
      <c r="K31" s="25" t="str">
        <f>IFERROR(__xludf.DUMMYFUNCTION("GOOGLETRANSLATE(B31, ""en"", ""vi"")"),"Tham gia trò chơi thế giới ...")</f>
        <v>Tham gia trò chơi thế giới ...</v>
      </c>
      <c r="L31" s="26" t="str">
        <f>IFERROR(__xludf.DUMMYFUNCTION("GOOGLETRANSLATE(B31, ""en"", ""hr"")"),"Ulazak svijet igre ...")</f>
        <v>Ulazak svijet igre ...</v>
      </c>
      <c r="M31" s="27"/>
      <c r="N31" s="28"/>
      <c r="O31" s="28"/>
      <c r="P31" s="28"/>
      <c r="Q31" s="28"/>
      <c r="R31" s="28"/>
      <c r="S31" s="28"/>
      <c r="T31" s="28"/>
      <c r="U31" s="28"/>
      <c r="V31" s="28"/>
      <c r="W31" s="28"/>
      <c r="X31" s="28"/>
      <c r="Y31" s="28"/>
      <c r="Z31" s="28"/>
      <c r="AA31" s="28"/>
      <c r="AB31" s="28"/>
    </row>
    <row r="32">
      <c r="A32" s="21" t="s">
        <v>66</v>
      </c>
      <c r="B32" s="22" t="s">
        <v>66</v>
      </c>
      <c r="C32" s="23" t="str">
        <f>IFERROR(__xludf.DUMMYFUNCTION("GOOGLETRANSLATE(B32, ""en"", ""fr"")"),"Chargement")</f>
        <v>Chargement</v>
      </c>
      <c r="D32" s="23" t="str">
        <f>IFERROR(__xludf.DUMMYFUNCTION("GOOGLETRANSLATE(B32, ""en"", ""es"")"),"Cargando")</f>
        <v>Cargando</v>
      </c>
      <c r="E32" s="23" t="str">
        <f>IFERROR(__xludf.DUMMYFUNCTION("GOOGLETRANSLATE(B32, ""en"", ""ru"")"),"загрузка")</f>
        <v>загрузка</v>
      </c>
      <c r="F32" s="23" t="str">
        <f>IFERROR(__xludf.DUMMYFUNCTION("GOOGLETRANSLATE(B32, ""en"", ""tr"")"),"Yükleniyor")</f>
        <v>Yükleniyor</v>
      </c>
      <c r="G32" s="23" t="str">
        <f>IFERROR(__xludf.DUMMYFUNCTION("GOOGLETRANSLATE(B32, ""en"", ""pt"")"),"Carregando")</f>
        <v>Carregando</v>
      </c>
      <c r="H32" s="24" t="str">
        <f>IFERROR(__xludf.DUMMYFUNCTION("GOOGLETRANSLATE(B32, ""en"", ""de"")"),"Wird geladen")</f>
        <v>Wird geladen</v>
      </c>
      <c r="I32" s="23" t="str">
        <f>IFERROR(__xludf.DUMMYFUNCTION("GOOGLETRANSLATE(B32, ""en"", ""pl"")"),"Ładowanie")</f>
        <v>Ładowanie</v>
      </c>
      <c r="J32" s="25" t="str">
        <f>IFERROR(__xludf.DUMMYFUNCTION("GOOGLETRANSLATE(B32, ""en"", ""zh"")"),"载入中")</f>
        <v>载入中</v>
      </c>
      <c r="K32" s="25" t="str">
        <f>IFERROR(__xludf.DUMMYFUNCTION("GOOGLETRANSLATE(B32, ""en"", ""vi"")"),"Đang tải")</f>
        <v>Đang tải</v>
      </c>
      <c r="L32" s="26" t="str">
        <f>IFERROR(__xludf.DUMMYFUNCTION("GOOGLETRANSLATE(B32, ""en"", ""hr"")"),"Učitavam")</f>
        <v>Učitavam</v>
      </c>
      <c r="M32" s="27"/>
      <c r="N32" s="28"/>
      <c r="O32" s="28"/>
      <c r="P32" s="28"/>
      <c r="Q32" s="28"/>
      <c r="R32" s="28"/>
      <c r="S32" s="28"/>
      <c r="T32" s="28"/>
      <c r="U32" s="28"/>
      <c r="V32" s="28"/>
      <c r="W32" s="28"/>
      <c r="X32" s="28"/>
      <c r="Y32" s="28"/>
      <c r="Z32" s="28"/>
      <c r="AA32" s="28"/>
      <c r="AB32" s="28"/>
    </row>
    <row r="33">
      <c r="A33" s="21" t="s">
        <v>67</v>
      </c>
      <c r="B33" s="22" t="s">
        <v>67</v>
      </c>
      <c r="C33" s="23" t="str">
        <f>IFERROR(__xludf.DUMMYFUNCTION("GOOGLETRANSLATE(B33, ""en"", ""fr"")"),"jeu chargé")</f>
        <v>jeu chargé</v>
      </c>
      <c r="D33" s="23" t="str">
        <f>IFERROR(__xludf.DUMMYFUNCTION("GOOGLETRANSLATE(B33, ""en"", ""es"")"),"juego cargado")</f>
        <v>juego cargado</v>
      </c>
      <c r="E33" s="23" t="str">
        <f>IFERROR(__xludf.DUMMYFUNCTION("GOOGLETRANSLATE(B33, ""en"", ""ru"")"),"Игра загружается")</f>
        <v>Игра загружается</v>
      </c>
      <c r="F33" s="23" t="str">
        <f>IFERROR(__xludf.DUMMYFUNCTION("GOOGLETRANSLATE(B33, ""en"", ""tr"")"),"Oyun yüklendi")</f>
        <v>Oyun yüklendi</v>
      </c>
      <c r="G33" s="23" t="str">
        <f>IFERROR(__xludf.DUMMYFUNCTION("GOOGLETRANSLATE(B33, ""en"", ""pt"")"),"jogo carregado")</f>
        <v>jogo carregado</v>
      </c>
      <c r="H33" s="24" t="str">
        <f>IFERROR(__xludf.DUMMYFUNCTION("GOOGLETRANSLATE(B33, ""en"", ""de"")"),"Spiel geladen")</f>
        <v>Spiel geladen</v>
      </c>
      <c r="I33" s="23" t="str">
        <f>IFERROR(__xludf.DUMMYFUNCTION("GOOGLETRANSLATE(B33, ""en"", ""pl"")"),"gra załadowana")</f>
        <v>gra załadowana</v>
      </c>
      <c r="J33" s="25" t="str">
        <f>IFERROR(__xludf.DUMMYFUNCTION("GOOGLETRANSLATE(B33, ""en"", ""zh"")"),"游戏加载")</f>
        <v>游戏加载</v>
      </c>
      <c r="K33" s="25" t="str">
        <f>IFERROR(__xludf.DUMMYFUNCTION("GOOGLETRANSLATE(B33, ""en"", ""vi"")"),"trò chơi nạp")</f>
        <v>trò chơi nạp</v>
      </c>
      <c r="L33" s="26" t="str">
        <f>IFERROR(__xludf.DUMMYFUNCTION("GOOGLETRANSLATE(B33, ""en"", ""hr"")"),"igra učitava")</f>
        <v>igra učitava</v>
      </c>
      <c r="M33" s="27"/>
      <c r="N33" s="28"/>
      <c r="O33" s="28"/>
      <c r="P33" s="28"/>
      <c r="Q33" s="28"/>
      <c r="R33" s="28"/>
      <c r="S33" s="28"/>
      <c r="T33" s="28"/>
      <c r="U33" s="28"/>
      <c r="V33" s="28"/>
      <c r="W33" s="28"/>
      <c r="X33" s="28"/>
      <c r="Y33" s="28"/>
      <c r="Z33" s="28"/>
      <c r="AA33" s="28"/>
      <c r="AB33" s="28"/>
    </row>
    <row r="34">
      <c r="A34" s="21" t="s">
        <v>68</v>
      </c>
      <c r="B34" s="22" t="s">
        <v>68</v>
      </c>
      <c r="C34" s="23" t="str">
        <f>IFERROR(__xludf.DUMMYFUNCTION("GOOGLETRANSLATE(B34, ""en"", ""fr"")"),"indice suivant")</f>
        <v>indice suivant</v>
      </c>
      <c r="D34" s="23" t="str">
        <f>IFERROR(__xludf.DUMMYFUNCTION("GOOGLETRANSLATE(B34, ""en"", ""es"")"),"indirecta siguiente")</f>
        <v>indirecta siguiente</v>
      </c>
      <c r="E34" s="23" t="str">
        <f>IFERROR(__xludf.DUMMYFUNCTION("GOOGLETRANSLATE(B34, ""en"", ""ru"")"),"Следующая подсказка")</f>
        <v>Следующая подсказка</v>
      </c>
      <c r="F34" s="23" t="str">
        <f>IFERROR(__xludf.DUMMYFUNCTION("GOOGLETRANSLATE(B34, ""en"", ""tr"")"),"Sonraki ipucu")</f>
        <v>Sonraki ipucu</v>
      </c>
      <c r="G34" s="23" t="str">
        <f>IFERROR(__xludf.DUMMYFUNCTION("GOOGLETRANSLATE(B34, ""en"", ""pt"")"),"próxima dica")</f>
        <v>próxima dica</v>
      </c>
      <c r="H34" s="24" t="str">
        <f>IFERROR(__xludf.DUMMYFUNCTION("GOOGLETRANSLATE(B34, ""en"", ""de"")"),"Nächster Tipp")</f>
        <v>Nächster Tipp</v>
      </c>
      <c r="I34" s="23" t="str">
        <f>IFERROR(__xludf.DUMMYFUNCTION("GOOGLETRANSLATE(B34, ""en"", ""pl"")"),"Następna podpowiedź")</f>
        <v>Następna podpowiedź</v>
      </c>
      <c r="J34" s="25" t="str">
        <f>IFERROR(__xludf.DUMMYFUNCTION("GOOGLETRANSLATE(B34, ""en"", ""zh"")"),"下一步提示")</f>
        <v>下一步提示</v>
      </c>
      <c r="K34" s="25" t="str">
        <f>IFERROR(__xludf.DUMMYFUNCTION("GOOGLETRANSLATE(B34, ""en"", ""vi"")"),"gợi ý tiếp theo")</f>
        <v>gợi ý tiếp theo</v>
      </c>
      <c r="L34" s="26" t="str">
        <f>IFERROR(__xludf.DUMMYFUNCTION("GOOGLETRANSLATE(B34, ""en"", ""hr"")"),"Sljedeći savjet")</f>
        <v>Sljedeći savjet</v>
      </c>
      <c r="M34" s="27"/>
      <c r="N34" s="28"/>
      <c r="O34" s="28"/>
      <c r="P34" s="28"/>
      <c r="Q34" s="28"/>
      <c r="R34" s="28"/>
      <c r="S34" s="28"/>
      <c r="T34" s="28"/>
      <c r="U34" s="28"/>
      <c r="V34" s="28"/>
      <c r="W34" s="28"/>
      <c r="X34" s="28"/>
      <c r="Y34" s="28"/>
      <c r="Z34" s="28"/>
      <c r="AA34" s="28"/>
      <c r="AB34" s="28"/>
    </row>
    <row r="35">
      <c r="A35" s="21" t="s">
        <v>69</v>
      </c>
      <c r="B35" s="22" t="s">
        <v>70</v>
      </c>
      <c r="C35" s="23" t="str">
        <f>IFERROR(__xludf.DUMMYFUNCTION("GOOGLETRANSLATE(B35, ""en"", ""fr"")"),"Dungeonz est open source.")</f>
        <v>Dungeonz est open source.</v>
      </c>
      <c r="D35" s="23" t="str">
        <f>IFERROR(__xludf.DUMMYFUNCTION("GOOGLETRANSLATE(B35, ""en"", ""es"")"),"Dungeonz es de código abierto.")</f>
        <v>Dungeonz es de código abierto.</v>
      </c>
      <c r="E35" s="23" t="str">
        <f>IFERROR(__xludf.DUMMYFUNCTION("GOOGLETRANSLATE(B35, ""en"", ""ru"")"),"Dungeonz является открытым исходным кодом.")</f>
        <v>Dungeonz является открытым исходным кодом.</v>
      </c>
      <c r="F35" s="23" t="str">
        <f>IFERROR(__xludf.DUMMYFUNCTION("GOOGLETRANSLATE(B35, ""en"", ""tr"")"),"Dungeonz açık kaynak.")</f>
        <v>Dungeonz açık kaynak.</v>
      </c>
      <c r="G35" s="23" t="str">
        <f>IFERROR(__xludf.DUMMYFUNCTION("GOOGLETRANSLATE(B35, ""en"", ""pt"")"),"Dungeonz é open-source.")</f>
        <v>Dungeonz é open-source.</v>
      </c>
      <c r="H35" s="24" t="str">
        <f>IFERROR(__xludf.DUMMYFUNCTION("GOOGLETRANSLATE(B35, ""en"", ""de"")"),"Dungeonz ist Open-Source.")</f>
        <v>Dungeonz ist Open-Source.</v>
      </c>
      <c r="I35" s="23" t="str">
        <f>IFERROR(__xludf.DUMMYFUNCTION("GOOGLETRANSLATE(B35, ""en"", ""pl"")"),"Dungeonz jest open-source.")</f>
        <v>Dungeonz jest open-source.</v>
      </c>
      <c r="J35" s="25" t="str">
        <f>IFERROR(__xludf.DUMMYFUNCTION("GOOGLETRANSLATE(B35, ""en"", ""zh"")"),"Dungeonz是开源的。")</f>
        <v>Dungeonz是开源的。</v>
      </c>
      <c r="K35" s="25" t="str">
        <f>IFERROR(__xludf.DUMMYFUNCTION("GOOGLETRANSLATE(B35, ""en"", ""vi"")"),"Dungeonz là mã nguồn mở.")</f>
        <v>Dungeonz là mã nguồn mở.</v>
      </c>
      <c r="L35" s="26" t="str">
        <f>IFERROR(__xludf.DUMMYFUNCTION("GOOGLETRANSLATE(B35, ""en"", ""hr"")"),"Dungeonz je open-source.")</f>
        <v>Dungeonz je open-source.</v>
      </c>
      <c r="M35" s="27"/>
      <c r="N35" s="28"/>
      <c r="O35" s="28"/>
      <c r="P35" s="28"/>
      <c r="Q35" s="28"/>
      <c r="R35" s="28"/>
      <c r="S35" s="28"/>
      <c r="T35" s="28"/>
      <c r="U35" s="28"/>
      <c r="V35" s="28"/>
      <c r="W35" s="28"/>
      <c r="X35" s="28"/>
      <c r="Y35" s="28"/>
      <c r="Z35" s="28"/>
      <c r="AA35" s="28"/>
      <c r="AB35" s="28"/>
    </row>
    <row r="36">
      <c r="A36" s="21" t="s">
        <v>71</v>
      </c>
      <c r="B36" s="22" t="s">
        <v>72</v>
      </c>
      <c r="C36" s="23" t="str">
        <f>IFERROR(__xludf.DUMMYFUNCTION("GOOGLETRANSLATE(B36, ""en"", ""fr"")"),"Certaines créatures apparaissent seulement la nuit.")</f>
        <v>Certaines créatures apparaissent seulement la nuit.</v>
      </c>
      <c r="D36" s="23" t="str">
        <f>IFERROR(__xludf.DUMMYFUNCTION("GOOGLETRANSLATE(B36, ""en"", ""es"")"),"Algunas criaturas sólo aparecen durante la noche.")</f>
        <v>Algunas criaturas sólo aparecen durante la noche.</v>
      </c>
      <c r="E36" s="23" t="str">
        <f>IFERROR(__xludf.DUMMYFUNCTION("GOOGLETRANSLATE(B36, ""en"", ""ru"")"),"Некоторые существа появляются только в ночное время.")</f>
        <v>Некоторые существа появляются только в ночное время.</v>
      </c>
      <c r="F36" s="23" t="str">
        <f>IFERROR(__xludf.DUMMYFUNCTION("GOOGLETRANSLATE(B36, ""en"", ""tr"")"),"Bazı canlılar sadece geceleri görünür.")</f>
        <v>Bazı canlılar sadece geceleri görünür.</v>
      </c>
      <c r="G36" s="23" t="str">
        <f>IFERROR(__xludf.DUMMYFUNCTION("GOOGLETRANSLATE(B36, ""en"", ""pt"")"),"Algumas criaturas só aparecem à noite.")</f>
        <v>Algumas criaturas só aparecem à noite.</v>
      </c>
      <c r="H36" s="24" t="str">
        <f>IFERROR(__xludf.DUMMYFUNCTION("GOOGLETRANSLATE(B36, ""en"", ""de"")"),"Manche Kreaturen nur in der Nacht erscheinen.")</f>
        <v>Manche Kreaturen nur in der Nacht erscheinen.</v>
      </c>
      <c r="I36" s="23" t="str">
        <f>IFERROR(__xludf.DUMMYFUNCTION("GOOGLETRANSLATE(B36, ""en"", ""pl"")"),"Niektóre istoty pojawiają się tylko w nocy.")</f>
        <v>Niektóre istoty pojawiają się tylko w nocy.</v>
      </c>
      <c r="J36" s="25" t="str">
        <f>IFERROR(__xludf.DUMMYFUNCTION("GOOGLETRANSLATE(B36, ""en"", ""zh"")"),"有些动物只在夜间出现。")</f>
        <v>有些动物只在夜间出现。</v>
      </c>
      <c r="K36" s="25" t="str">
        <f>IFERROR(__xludf.DUMMYFUNCTION("GOOGLETRANSLATE(B36, ""en"", ""vi"")"),"Một số sinh vật chỉ xuất hiện vào ban đêm.")</f>
        <v>Một số sinh vật chỉ xuất hiện vào ban đêm.</v>
      </c>
      <c r="L36" s="26" t="str">
        <f>IFERROR(__xludf.DUMMYFUNCTION("GOOGLETRANSLATE(B36, ""en"", ""hr"")"),"Neki stvorenja pojavljuju samo noću.")</f>
        <v>Neki stvorenja pojavljuju samo noću.</v>
      </c>
      <c r="M36" s="27"/>
      <c r="N36" s="28"/>
      <c r="O36" s="28"/>
      <c r="P36" s="28"/>
      <c r="Q36" s="28"/>
      <c r="R36" s="28"/>
      <c r="S36" s="28"/>
      <c r="T36" s="28"/>
      <c r="U36" s="28"/>
      <c r="V36" s="28"/>
      <c r="W36" s="28"/>
      <c r="X36" s="28"/>
      <c r="Y36" s="28"/>
      <c r="Z36" s="28"/>
      <c r="AA36" s="28"/>
      <c r="AB36" s="28"/>
    </row>
    <row r="37">
      <c r="A37" s="21" t="s">
        <v>73</v>
      </c>
      <c r="B37" s="22" t="s">
        <v>74</v>
      </c>
      <c r="C37" s="23" t="str">
        <f>IFERROR(__xludf.DUMMYFUNCTION("GOOGLETRANSLATE(B37, ""en"", ""fr"")"),"On peut trouver des ressources plus élevées de niveau plus loin de la ville de départ.")</f>
        <v>On peut trouver des ressources plus élevées de niveau plus loin de la ville de départ.</v>
      </c>
      <c r="D37" s="23" t="str">
        <f>IFERROR(__xludf.DUMMYFUNCTION("GOOGLETRANSLATE(B37, ""en"", ""es"")"),"recursos de nivel superior se encuentran más lejos de la ciudad de partida.")</f>
        <v>recursos de nivel superior se encuentran más lejos de la ciudad de partida.</v>
      </c>
      <c r="E37" s="23" t="str">
        <f>IFERROR(__xludf.DUMMYFUNCTION("GOOGLETRANSLATE(B37, ""en"", ""ru"")"),"Более высокий уровень ресурсы могут быть найдены дальше от стартового города.")</f>
        <v>Более высокий уровень ресурсы могут быть найдены дальше от стартового города.</v>
      </c>
      <c r="F37" s="23" t="str">
        <f>IFERROR(__xludf.DUMMYFUNCTION("GOOGLETRANSLATE(B37, ""en"", ""tr"")"),"Daha yüksek katmanlı kaynakları başlangıç ​​şehirden daha da bulunabilir.")</f>
        <v>Daha yüksek katmanlı kaynakları başlangıç ​​şehirden daha da bulunabilir.</v>
      </c>
      <c r="G37" s="23" t="str">
        <f>IFERROR(__xludf.DUMMYFUNCTION("GOOGLETRANSLATE(B37, ""en"", ""pt"")"),"recursos de nível superior podem ser encontrados mais longe da cidade inicial.")</f>
        <v>recursos de nível superior podem ser encontrados mais longe da cidade inicial.</v>
      </c>
      <c r="H37" s="24" t="str">
        <f>IFERROR(__xludf.DUMMYFUNCTION("GOOGLETRANSLATE(B37, ""en"", ""de"")"),"Höherstufige Ressourcen können weiter von der Start-Stadt zu finden.")</f>
        <v>Höherstufige Ressourcen können weiter von der Start-Stadt zu finden.</v>
      </c>
      <c r="I37" s="23" t="str">
        <f>IFERROR(__xludf.DUMMYFUNCTION("GOOGLETRANSLATE(B37, ""en"", ""pl"")"),"Wyższe zasoby tier można znaleźć dalej od miasta wyjściowej.")</f>
        <v>Wyższe zasoby tier można znaleźć dalej od miasta wyjściowej.</v>
      </c>
      <c r="J37" s="25" t="str">
        <f>IFERROR(__xludf.DUMMYFUNCTION("GOOGLETRANSLATE(B37, ""en"", ""zh"")"),"更高一级的资源可以进一步从起始城市被发现。")</f>
        <v>更高一级的资源可以进一步从起始城市被发现。</v>
      </c>
      <c r="K37" s="25" t="str">
        <f>IFERROR(__xludf.DUMMYFUNCTION("GOOGLETRANSLATE(B37, ""en"", ""vi"")"),"nguồn cấp cao hơn có thể được tìm thấy thêm từ thành phố bắt đầu.")</f>
        <v>nguồn cấp cao hơn có thể được tìm thấy thêm từ thành phố bắt đầu.</v>
      </c>
      <c r="L37" s="26" t="str">
        <f>IFERROR(__xludf.DUMMYFUNCTION("GOOGLETRANSLATE(B37, ""en"", ""hr"")"),"Viši resursi tier mogu naći dalje od početne grada.")</f>
        <v>Viši resursi tier mogu naći dalje od početne grada.</v>
      </c>
      <c r="M37" s="27"/>
      <c r="N37" s="28"/>
      <c r="O37" s="28"/>
      <c r="P37" s="28"/>
      <c r="Q37" s="28"/>
      <c r="R37" s="28"/>
      <c r="S37" s="28"/>
      <c r="T37" s="28"/>
      <c r="U37" s="28"/>
      <c r="V37" s="28"/>
      <c r="W37" s="28"/>
      <c r="X37" s="28"/>
      <c r="Y37" s="28"/>
      <c r="Z37" s="28"/>
      <c r="AA37" s="28"/>
      <c r="AB37" s="28"/>
    </row>
    <row r="38">
      <c r="A38" s="21" t="s">
        <v>75</v>
      </c>
      <c r="B38" s="22" t="s">
        <v>76</v>
      </c>
      <c r="C38" s="23" t="str">
        <f>IFERROR(__xludf.DUMMYFUNCTION("GOOGLETRANSLATE(B38, ""en"", ""fr"")"),"portails Dungeon sont répartis dans le monde entier. Chacun mène à un défi différent.")</f>
        <v>portails Dungeon sont répartis dans le monde entier. Chacun mène à un défi différent.</v>
      </c>
      <c r="D38" s="23" t="str">
        <f>IFERROR(__xludf.DUMMYFUNCTION("GOOGLETRANSLATE(B38, ""en"", ""es"")"),"portales de las mazmorras se extienden por todo el mundo. Cada uno lleva a un desafío diferente.")</f>
        <v>portales de las mazmorras se extienden por todo el mundo. Cada uno lleva a un desafío diferente.</v>
      </c>
      <c r="E38" s="23" t="str">
        <f>IFERROR(__xludf.DUMMYFUNCTION("GOOGLETRANSLATE(B38, ""en"", ""ru"")"),"Dungeon порталы разбросаны по всему миру. Каждый из них ведет к другому вызову.")</f>
        <v>Dungeon порталы разбросаны по всему миру. Каждый из них ведет к другому вызову.</v>
      </c>
      <c r="F38" s="23" t="str">
        <f>IFERROR(__xludf.DUMMYFUNCTION("GOOGLETRANSLATE(B38, ""en"", ""tr"")"),"Zindan portalları dünya çapında yayılır. Farklı meydan Her biri yol açar.")</f>
        <v>Zindan portalları dünya çapında yayılır. Farklı meydan Her biri yol açar.</v>
      </c>
      <c r="G38" s="23" t="str">
        <f>IFERROR(__xludf.DUMMYFUNCTION("GOOGLETRANSLATE(B38, ""en"", ""pt"")"),"portais de masmorra estão espalhados por todo o mundo. Cada um leva a um desafio diferente.")</f>
        <v>portais de masmorra estão espalhados por todo o mundo. Cada um leva a um desafio diferente.</v>
      </c>
      <c r="H38" s="24" t="str">
        <f>IFERROR(__xludf.DUMMYFUNCTION("GOOGLETRANSLATE(B38, ""en"", ""de"")"),"Dungeon-Portale sind in der ganzen Welt zu verbreiten. Alle führen zu einer anderen Herausforderung.")</f>
        <v>Dungeon-Portale sind in der ganzen Welt zu verbreiten. Alle führen zu einer anderen Herausforderung.</v>
      </c>
      <c r="I38" s="23" t="str">
        <f>IFERROR(__xludf.DUMMYFUNCTION("GOOGLETRANSLATE(B38, ""en"", ""pl"")"),"portale lochach są rozproszone po całym świecie. Każdy z nich prowadzi do innej wyzwanie.")</f>
        <v>portale lochach są rozproszone po całym świecie. Każdy z nich prowadzi do innej wyzwanie.</v>
      </c>
      <c r="J38" s="25" t="str">
        <f>IFERROR(__xludf.DUMMYFUNCTION("GOOGLETRANSLATE(B38, ""en"", ""zh"")"),"地牢门户在世界各地蔓延。每一个导致了不同的挑战。")</f>
        <v>地牢门户在世界各地蔓延。每一个导致了不同的挑战。</v>
      </c>
      <c r="K38" s="25" t="str">
        <f>IFERROR(__xludf.DUMMYFUNCTION("GOOGLETRANSLATE(B38, ""en"", ""vi"")"),"cổng Dungeon đang lan rộng khắp thế giới. Mỗi người dẫn đến một thách thức khác nhau.")</f>
        <v>cổng Dungeon đang lan rộng khắp thế giới. Mỗi người dẫn đến một thách thức khác nhau.</v>
      </c>
      <c r="L38" s="26" t="str">
        <f>IFERROR(__xludf.DUMMYFUNCTION("GOOGLETRANSLATE(B38, ""en"", ""hr"")"),"Dungeon portali su širiti diljem svijeta. Svaki od njih dovodi do različitih izazova.")</f>
        <v>Dungeon portali su širiti diljem svijeta. Svaki od njih dovodi do različitih izazova.</v>
      </c>
      <c r="M38" s="27"/>
      <c r="N38" s="28"/>
      <c r="O38" s="28"/>
      <c r="P38" s="28"/>
      <c r="Q38" s="28"/>
      <c r="R38" s="28"/>
      <c r="S38" s="28"/>
      <c r="T38" s="28"/>
      <c r="U38" s="28"/>
      <c r="V38" s="28"/>
      <c r="W38" s="28"/>
      <c r="X38" s="28"/>
      <c r="Y38" s="28"/>
      <c r="Z38" s="28"/>
      <c r="AA38" s="28"/>
      <c r="AB38" s="28"/>
    </row>
    <row r="39">
      <c r="A39" s="21" t="s">
        <v>77</v>
      </c>
      <c r="B39" s="22" t="s">
        <v>78</v>
      </c>
      <c r="C39" s="23" t="str">
        <f>IFERROR(__xludf.DUMMYFUNCTION("GOOGLETRANSLATE(B39, ""en"", ""fr"")"),"Parfois, les patrons se trouvent sur le surmonde.")</f>
        <v>Parfois, les patrons se trouvent sur le surmonde.</v>
      </c>
      <c r="D39" s="23" t="str">
        <f>IFERROR(__xludf.DUMMYFUNCTION("GOOGLETRANSLATE(B39, ""en"", ""es"")"),"A veces, los jefes pueden ser encontrados en el supramundo.")</f>
        <v>A veces, los jefes pueden ser encontrados en el supramundo.</v>
      </c>
      <c r="E39" s="23" t="str">
        <f>IFERROR(__xludf.DUMMYFUNCTION("GOOGLETRANSLATE(B39, ""en"", ""ru"")"),"Иногда боссы могут быть найдены на надземном.")</f>
        <v>Иногда боссы могут быть найдены на надземном.</v>
      </c>
      <c r="F39" s="23" t="str">
        <f>IFERROR(__xludf.DUMMYFUNCTION("GOOGLETRANSLATE(B39, ""en"", ""tr"")"),"Bazen patronları Overworld bulunabilir.")</f>
        <v>Bazen patronları Overworld bulunabilir.</v>
      </c>
      <c r="G39" s="23" t="str">
        <f>IFERROR(__xludf.DUMMYFUNCTION("GOOGLETRANSLATE(B39, ""en"", ""pt"")"),"Às vezes, os chefes podem ser encontradas no mundo superior.")</f>
        <v>Às vezes, os chefes podem ser encontradas no mundo superior.</v>
      </c>
      <c r="H39" s="24" t="str">
        <f>IFERROR(__xludf.DUMMYFUNCTION("GOOGLETRANSLATE(B39, ""en"", ""de"")"),"Manchmal können Bosse auf der Oberwelt zu finden.")</f>
        <v>Manchmal können Bosse auf der Oberwelt zu finden.</v>
      </c>
      <c r="I39" s="23" t="str">
        <f>IFERROR(__xludf.DUMMYFUNCTION("GOOGLETRANSLATE(B39, ""en"", ""pl"")"),"Czasami szefowie można znaleźć na Nadświecie.")</f>
        <v>Czasami szefowie można znaleźć na Nadświecie.</v>
      </c>
      <c r="J39" s="25" t="str">
        <f>IFERROR(__xludf.DUMMYFUNCTION("GOOGLETRANSLATE(B39, ""en"", ""zh"")"),"有时候老板们可以在游戏地图上找到。")</f>
        <v>有时候老板们可以在游戏地图上找到。</v>
      </c>
      <c r="K39" s="25" t="str">
        <f>IFERROR(__xludf.DUMMYFUNCTION("GOOGLETRANSLATE(B39, ""en"", ""vi"")"),"Đôi khi ông chủ có thể được tìm thấy trên Silmeria.")</f>
        <v>Đôi khi ông chủ có thể được tìm thấy trên Silmeria.</v>
      </c>
      <c r="L39" s="26" t="str">
        <f>IFERROR(__xludf.DUMMYFUNCTION("GOOGLETRANSLATE(B39, ""en"", ""hr"")"),"Ponekad šefovi mogu se naći na overworld.")</f>
        <v>Ponekad šefovi mogu se naći na overworld.</v>
      </c>
      <c r="M39" s="27"/>
      <c r="N39" s="28"/>
      <c r="O39" s="28"/>
      <c r="P39" s="28"/>
      <c r="Q39" s="28"/>
      <c r="R39" s="28"/>
      <c r="S39" s="28"/>
      <c r="T39" s="28"/>
      <c r="U39" s="28"/>
      <c r="V39" s="28"/>
      <c r="W39" s="28"/>
      <c r="X39" s="28"/>
      <c r="Y39" s="28"/>
      <c r="Z39" s="28"/>
      <c r="AA39" s="28"/>
      <c r="AB39" s="28"/>
    </row>
    <row r="40">
      <c r="A40" s="21" t="s">
        <v>79</v>
      </c>
      <c r="B40" s="22" t="s">
        <v>80</v>
      </c>
      <c r="C40" s="23" t="str">
        <f>IFERROR(__xludf.DUMMYFUNCTION("GOOGLETRANSLATE(B40, ""en"", ""fr"")"),"Chaque niveau de stat augmente votre poids gagné d'inventaire maximale.")</f>
        <v>Chaque niveau de stat augmente votre poids gagné d'inventaire maximale.</v>
      </c>
      <c r="D40" s="23" t="str">
        <f>IFERROR(__xludf.DUMMYFUNCTION("GOOGLETRANSLATE(B40, ""en"", ""es"")"),"Cada nivel de estadísticas ganó aumenta su peso máximo de inventario.")</f>
        <v>Cada nivel de estadísticas ganó aumenta su peso máximo de inventario.</v>
      </c>
      <c r="E40" s="23" t="str">
        <f>IFERROR(__xludf.DUMMYFUNCTION("GOOGLETRANSLATE(B40, ""en"", ""ru"")"),"Каждый уровень стата получил увеличивает максимальный вес инвентаря.")</f>
        <v>Каждый уровень стата получил увеличивает максимальный вес инвентаря.</v>
      </c>
      <c r="F40" s="23" t="str">
        <f>IFERROR(__xludf.DUMMYFUNCTION("GOOGLETRANSLATE(B40, ""en"", ""tr"")"),"Her istatistik seviyesi arttıkça maksimum envanter kilo aldı.")</f>
        <v>Her istatistik seviyesi arttıkça maksimum envanter kilo aldı.</v>
      </c>
      <c r="G40" s="23" t="str">
        <f>IFERROR(__xludf.DUMMYFUNCTION("GOOGLETRANSLATE(B40, ""en"", ""pt"")"),"Cada nível do stat aumenta ganhou o seu peso máximo de inventário.")</f>
        <v>Cada nível do stat aumenta ganhou o seu peso máximo de inventário.</v>
      </c>
      <c r="H40" s="24" t="str">
        <f>IFERROR(__xludf.DUMMYFUNCTION("GOOGLETRANSLATE(B40, ""en"", ""de"")"),"Jedes stat Niveau erhöht Ihr maximales Inventar an Gewicht gewonnen.")</f>
        <v>Jedes stat Niveau erhöht Ihr maximales Inventar an Gewicht gewonnen.</v>
      </c>
      <c r="I40" s="23" t="str">
        <f>IFERROR(__xludf.DUMMYFUNCTION("GOOGLETRANSLATE(B40, ""en"", ""pl"")"),"Każdy poziom stat zyskał zwiększa maksymalny ciężar zapasów.")</f>
        <v>Każdy poziom stat zyskał zwiększa maksymalny ciężar zapasów.</v>
      </c>
      <c r="J40" s="25" t="str">
        <f>IFERROR(__xludf.DUMMYFUNCTION("GOOGLETRANSLATE(B40, ""en"", ""zh"")"),"每一个统计水平得到提高您的最高库存量。")</f>
        <v>每一个统计水平得到提高您的最高库存量。</v>
      </c>
      <c r="K40" s="25" t="str">
        <f>IFERROR(__xludf.DUMMYFUNCTION("GOOGLETRANSLATE(B40, ""en"", ""vi"")"),"Mỗi cấp độ stat đạt được tăng trọng lượng hàng tồn kho tối đa.")</f>
        <v>Mỗi cấp độ stat đạt được tăng trọng lượng hàng tồn kho tối đa.</v>
      </c>
      <c r="L40" s="26" t="str">
        <f>IFERROR(__xludf.DUMMYFUNCTION("GOOGLETRANSLATE(B40, ""en"", ""hr"")"),"Svaka razina stat stekao povećava maksimalnu težinu zaliha.")</f>
        <v>Svaka razina stat stekao povećava maksimalnu težinu zaliha.</v>
      </c>
      <c r="M40" s="27"/>
      <c r="N40" s="28"/>
      <c r="O40" s="28"/>
      <c r="P40" s="28"/>
      <c r="Q40" s="28"/>
      <c r="R40" s="28"/>
      <c r="S40" s="28"/>
      <c r="T40" s="28"/>
      <c r="U40" s="28"/>
      <c r="V40" s="28"/>
      <c r="W40" s="28"/>
      <c r="X40" s="28"/>
      <c r="Y40" s="28"/>
      <c r="Z40" s="28"/>
      <c r="AA40" s="28"/>
      <c r="AB40" s="28"/>
    </row>
    <row r="41">
      <c r="A41" s="21" t="s">
        <v>81</v>
      </c>
      <c r="B41" s="22" t="s">
        <v>82</v>
      </c>
      <c r="C41" s="23" t="str">
        <f>IFERROR(__xludf.DUMMYFUNCTION("GOOGLETRANSLATE(B41, ""en"", ""fr"")"),"Avec les statistiques de craft plus élevés, ont augmenté objets d'artisanat quantité ou la durabilité.")</f>
        <v>Avec les statistiques de craft plus élevés, ont augmenté objets d'artisanat quantité ou la durabilité.</v>
      </c>
      <c r="D41" s="23" t="str">
        <f>IFERROR(__xludf.DUMMYFUNCTION("GOOGLETRANSLATE(B41, ""en"", ""es"")"),"Con las estadísticas de artesanía más altos, objetos fabricados han aumentado la cantidad o la durabilidad.")</f>
        <v>Con las estadísticas de artesanía más altos, objetos fabricados han aumentado la cantidad o la durabilidad.</v>
      </c>
      <c r="E41" s="23" t="str">
        <f>IFERROR(__xludf.DUMMYFUNCTION("GOOGLETRANSLATE(B41, ""en"", ""ru"")"),"При более высокой статистике крафта, Выделанные элементы увеличили количество или долговечность.")</f>
        <v>При более высокой статистике крафта, Выделанные элементы увеличили количество или долговечность.</v>
      </c>
      <c r="F41" s="23" t="str">
        <f>IFERROR(__xludf.DUMMYFUNCTION("GOOGLETRANSLATE(B41, ""en"", ""tr"")"),"Daha yüksek işçiliği istatistikleri ile hazırlanmış ürün miktarı veya dayanıklılığını artırmıştır.")</f>
        <v>Daha yüksek işçiliği istatistikleri ile hazırlanmış ürün miktarı veya dayanıklılığını artırmıştır.</v>
      </c>
      <c r="G41" s="23" t="str">
        <f>IFERROR(__xludf.DUMMYFUNCTION("GOOGLETRANSLATE(B41, ""en"", ""pt"")"),"Com estatísticas de artesanato mais elevados, itens artesanais têm aumentado a quantidade ou a durabilidade.")</f>
        <v>Com estatísticas de artesanato mais elevados, itens artesanais têm aumentado a quantidade ou a durabilidade.</v>
      </c>
      <c r="H41" s="24" t="str">
        <f>IFERROR(__xludf.DUMMYFUNCTION("GOOGLETRANSLATE(B41, ""en"", ""de"")"),"Bei höheren Crafting Statistiken haben hergestellte Gegenstände Menge oder Haltbarkeit erhöht.")</f>
        <v>Bei höheren Crafting Statistiken haben hergestellte Gegenstände Menge oder Haltbarkeit erhöht.</v>
      </c>
      <c r="I41" s="23" t="str">
        <f>IFERROR(__xludf.DUMMYFUNCTION("GOOGLETRANSLATE(B41, ""en"", ""pl"")"),"Przy wyższych statystykach rzemieślniczych, zdobione przedmioty wzrosła ilość lub trwałość.")</f>
        <v>Przy wyższych statystykach rzemieślniczych, zdobione przedmioty wzrosła ilość lub trwałość.</v>
      </c>
      <c r="J41" s="25" t="str">
        <f>IFERROR(__xludf.DUMMYFUNCTION("GOOGLETRANSLATE(B41, ""en"", ""zh"")"),"随着高等教育各具特色的统计，制作的物品都增加数量或耐久性。")</f>
        <v>随着高等教育各具特色的统计，制作的物品都增加数量或耐久性。</v>
      </c>
      <c r="K41" s="25" t="str">
        <f>IFERROR(__xludf.DUMMYFUNCTION("GOOGLETRANSLATE(B41, ""en"", ""vi"")"),"Với số liệu thống kê crafting cao hơn, các mục crafted đã tăng số lượng hoặc độ bền.")</f>
        <v>Với số liệu thống kê crafting cao hơn, các mục crafted đã tăng số lượng hoặc độ bền.</v>
      </c>
      <c r="L41" s="26" t="str">
        <f>IFERROR(__xludf.DUMMYFUNCTION("GOOGLETRANSLATE(B41, ""en"", ""hr"")"),"S višim statistikama lukavost, crafted stavke povećale količinu ili trajnost.")</f>
        <v>S višim statistikama lukavost, crafted stavke povećale količinu ili trajnost.</v>
      </c>
      <c r="M41" s="27"/>
      <c r="N41" s="28"/>
      <c r="O41" s="28"/>
      <c r="P41" s="28"/>
      <c r="Q41" s="28"/>
      <c r="R41" s="28"/>
      <c r="S41" s="28"/>
      <c r="T41" s="28"/>
      <c r="U41" s="28"/>
      <c r="V41" s="28"/>
      <c r="W41" s="28"/>
      <c r="X41" s="28"/>
      <c r="Y41" s="28"/>
      <c r="Z41" s="28"/>
      <c r="AA41" s="28"/>
      <c r="AB41" s="28"/>
    </row>
    <row r="42">
      <c r="A42" s="21" t="s">
        <v>83</v>
      </c>
      <c r="B42" s="22" t="s">
        <v>84</v>
      </c>
      <c r="C42" s="23" t="str">
        <f>IFERROR(__xludf.DUMMYFUNCTION("GOOGLETRANSLATE(B42, ""en"", ""fr"")"),"Joignez-vous au serveur Discorde pour obtenir de l'aide, le commerce, ou faire des suggestions.")</f>
        <v>Joignez-vous au serveur Discorde pour obtenir de l'aide, le commerce, ou faire des suggestions.</v>
      </c>
      <c r="D42" s="23" t="str">
        <f>IFERROR(__xludf.DUMMYFUNCTION("GOOGLETRANSLATE(B42, ""en"", ""es"")"),"Una el servidor discordia para obtener sugerencias de ayuda, comercio, o hacer.")</f>
        <v>Una el servidor discordia para obtener sugerencias de ayuda, comercio, o hacer.</v>
      </c>
      <c r="E42" s="23" t="str">
        <f>IFERROR(__xludf.DUMMYFUNCTION("GOOGLETRANSLATE(B42, ""en"", ""ru"")"),"Присоединяйтесь к серверу раздора, чтобы получить помощь, торговля, или вносить предложения.")</f>
        <v>Присоединяйтесь к серверу раздора, чтобы получить помощь, торговля, или вносить предложения.</v>
      </c>
      <c r="F42" s="23" t="str">
        <f>IFERROR(__xludf.DUMMYFUNCTION("GOOGLETRANSLATE(B42, ""en"", ""tr"")"),"yardım, ticari veya marka öneri almak için ikilik var sunucusunu katılın.")</f>
        <v>yardım, ticari veya marka öneri almak için ikilik var sunucusunu katılın.</v>
      </c>
      <c r="G42" s="23" t="str">
        <f>IFERROR(__xludf.DUMMYFUNCTION("GOOGLETRANSLATE(B42, ""en"", ""pt"")"),"Junte o servidor Discórdia para obter sugestões de ajuda, comércio, ou fazer.")</f>
        <v>Junte o servidor Discórdia para obter sugestões de ajuda, comércio, ou fazer.</v>
      </c>
      <c r="H42" s="24" t="str">
        <f>IFERROR(__xludf.DUMMYFUNCTION("GOOGLETRANSLATE(B42, ""en"", ""de"")"),"Schließen Sie sich den Discord Server Hilfe, Handel, oder Vorschläge machen zu bekommen.")</f>
        <v>Schließen Sie sich den Discord Server Hilfe, Handel, oder Vorschläge machen zu bekommen.</v>
      </c>
      <c r="I42" s="23" t="str">
        <f>IFERROR(__xludf.DUMMYFUNCTION("GOOGLETRANSLATE(B42, ""en"", ""pl"")"),"Dołącz serwer niezgody dostać propozycje pomocy, handlowych, lub dokonać.")</f>
        <v>Dołącz serwer niezgody dostać propozycje pomocy, handlowych, lub dokonać.</v>
      </c>
      <c r="J42" s="25" t="str">
        <f>IFERROR(__xludf.DUMMYFUNCTION("GOOGLETRANSLATE(B42, ""en"", ""zh"")"),"加入不和谐的服务器，以获得帮助，贸易，或提出建议。")</f>
        <v>加入不和谐的服务器，以获得帮助，贸易，或提出建议。</v>
      </c>
      <c r="K42" s="25" t="str">
        <f>IFERROR(__xludf.DUMMYFUNCTION("GOOGLETRANSLATE(B42, ""en"", ""vi"")"),"Tham gia vào máy chủ bất hòa để có được sự giúp đỡ, thương mại, hoặc đưa ra đề nghị.")</f>
        <v>Tham gia vào máy chủ bất hòa để có được sự giúp đỡ, thương mại, hoặc đưa ra đề nghị.</v>
      </c>
      <c r="L42" s="26" t="str">
        <f>IFERROR(__xludf.DUMMYFUNCTION("GOOGLETRANSLATE(B42, ""en"", ""hr"")"),"Pridružite nesklad poslužitelj za pomoć, trgovačke ili sugestije.")</f>
        <v>Pridružite nesklad poslužitelj za pomoć, trgovačke ili sugestije.</v>
      </c>
      <c r="M42" s="27"/>
      <c r="N42" s="28"/>
      <c r="O42" s="28"/>
      <c r="P42" s="28"/>
      <c r="Q42" s="28"/>
      <c r="R42" s="28"/>
      <c r="S42" s="28"/>
      <c r="T42" s="28"/>
      <c r="U42" s="28"/>
      <c r="V42" s="28"/>
      <c r="W42" s="28"/>
      <c r="X42" s="28"/>
      <c r="Y42" s="28"/>
      <c r="Z42" s="28"/>
      <c r="AA42" s="28"/>
      <c r="AB42" s="28"/>
    </row>
    <row r="43">
      <c r="A43" s="21" t="s">
        <v>85</v>
      </c>
      <c r="B43" s="22" t="s">
        <v>86</v>
      </c>
      <c r="C43" s="23" t="str">
        <f>IFERROR(__xludf.DUMMYFUNCTION("GOOGLETRANSLATE(B43, ""en"", ""fr"")"),"Certains donjons ont des chambres de bonus avec butin supplémentaire qui ne sont accessibles que lorsque d'autres portes verrouillées sont ouvertes dans un ordre spécifique.")</f>
        <v>Certains donjons ont des chambres de bonus avec butin supplémentaire qui ne sont accessibles que lorsque d'autres portes verrouillées sont ouvertes dans un ordre spécifique.</v>
      </c>
      <c r="D43" s="23" t="str">
        <f>IFERROR(__xludf.DUMMYFUNCTION("GOOGLETRANSLATE(B43, ""en"", ""es"")"),"Algunas mazmorras tienen salas de bonus con el botín extra que sólo se puede acceder cuando otras puertas cerradas se abren en un orden específico.")</f>
        <v>Algunas mazmorras tienen salas de bonus con el botín extra que sólo se puede acceder cuando otras puertas cerradas se abren en un orden específico.</v>
      </c>
      <c r="E43" s="23" t="str">
        <f>IFERROR(__xludf.DUMMYFUNCTION("GOOGLETRANSLATE(B43, ""en"", ""ru"")"),"Некоторые подземелий есть бонусные номера с дополнительным бабло, которые могут быть доступны только тогда, когда другие запертые двери открываются в определенном порядке.")</f>
        <v>Некоторые подземелий есть бонусные номера с дополнительным бабло, которые могут быть доступны только тогда, когда другие запертые двери открываются в определенном порядке.</v>
      </c>
      <c r="F43" s="23" t="str">
        <f>IFERROR(__xludf.DUMMYFUNCTION("GOOGLETRANSLATE(B43, ""en"", ""tr"")"),"Bazı zindan diğer kilitli kapılar belirli bir sırada açıldıklarında sadece erişilebilir fazladan yağma bonus oda var.")</f>
        <v>Bazı zindan diğer kilitli kapılar belirli bir sırada açıldıklarında sadece erişilebilir fazladan yağma bonus oda var.</v>
      </c>
      <c r="G43" s="23" t="str">
        <f>IFERROR(__xludf.DUMMYFUNCTION("GOOGLETRANSLATE(B43, ""en"", ""pt"")"),"Algumas masmorras têm salas de bônus com grana extra que só pode ser acessado quando outras portas trancadas são abertas em uma ordem específica.")</f>
        <v>Algumas masmorras têm salas de bônus com grana extra que só pode ser acessado quando outras portas trancadas são abertas em uma ordem específica.</v>
      </c>
      <c r="H43" s="24" t="str">
        <f>IFERROR(__xludf.DUMMYFUNCTION("GOOGLETRANSLATE(B43, ""en"", ""de"")"),"Einige Dungeons haben Bonus-Zimmer mit extra Beute, die nur zugegriffen werden kann, wenn andere verschlossene Türen werden in einer bestimmten Reihenfolge geöffnet.")</f>
        <v>Einige Dungeons haben Bonus-Zimmer mit extra Beute, die nur zugegriffen werden kann, wenn andere verschlossene Türen werden in einer bestimmten Reihenfolge geöffnet.</v>
      </c>
      <c r="I43" s="23" t="str">
        <f>IFERROR(__xludf.DUMMYFUNCTION("GOOGLETRANSLATE(B43, ""en"", ""pl"")"),"Niektóre pokoje mają lochy bonusowych z dodatkowym łupów, które można uzyskać tylko wtedy, gdy inne zamknięte drzwi są otwierane w kolejności określonej.")</f>
        <v>Niektóre pokoje mają lochy bonusowych z dodatkowym łupów, które można uzyskać tylko wtedy, gdy inne zamknięte drzwi są otwierane w kolejności określonej.</v>
      </c>
      <c r="J43" s="25" t="str">
        <f>IFERROR(__xludf.DUMMYFUNCTION("GOOGLETRANSLATE(B43, ""en"", ""zh"")"),"有些地下城有奖金配备了额外的战利品时，其他车门锁定在一个特定的顺序被打开，只能进行访问。")</f>
        <v>有些地下城有奖金配备了额外的战利品时，其他车门锁定在一个特定的顺序被打开，只能进行访问。</v>
      </c>
      <c r="K43" s="25" t="str">
        <f>IFERROR(__xludf.DUMMYFUNCTION("GOOGLETRANSLATE(B43, ""en"", ""vi"")"),"Một số hang động có phòng tiền thưởng với chiến lợi phẩm bổ sung mà chỉ có thể được truy cập khi cửa bị khóa khác được mở ra theo một thứ tự cụ thể.")</f>
        <v>Một số hang động có phòng tiền thưởng với chiến lợi phẩm bổ sung mà chỉ có thể được truy cập khi cửa bị khóa khác được mở ra theo một thứ tự cụ thể.</v>
      </c>
      <c r="L43" s="26" t="str">
        <f>IFERROR(__xludf.DUMMYFUNCTION("GOOGLETRANSLATE(B43, ""en"", ""hr"")"),"Neki tamnice imaju bonus sobe s pomoćnim plijen koji se može pristupiti tek kada su ostali zaključana vrata otvorena u određenom redoslijedu.")</f>
        <v>Neki tamnice imaju bonus sobe s pomoćnim plijen koji se može pristupiti tek kada su ostali zaključana vrata otvorena u određenom redoslijedu.</v>
      </c>
      <c r="M43" s="27"/>
      <c r="N43" s="28"/>
      <c r="O43" s="28"/>
      <c r="P43" s="28"/>
      <c r="Q43" s="28"/>
      <c r="R43" s="28"/>
      <c r="S43" s="28"/>
      <c r="T43" s="28"/>
      <c r="U43" s="28"/>
      <c r="V43" s="28"/>
      <c r="W43" s="28"/>
      <c r="X43" s="28"/>
      <c r="Y43" s="28"/>
      <c r="Z43" s="28"/>
      <c r="AA43" s="28"/>
      <c r="AB43" s="28"/>
    </row>
    <row r="44">
      <c r="A44" s="21" t="s">
        <v>87</v>
      </c>
      <c r="B44" s="22" t="s">
        <v>88</v>
      </c>
      <c r="C44" s="23" t="str">
        <f>IFERROR(__xludf.DUMMYFUNCTION("GOOGLETRANSLATE(B44, ""en"", ""fr"")"),"Bluecaps se trouve à côté de l'eau.")</f>
        <v>Bluecaps se trouve à côté de l'eau.</v>
      </c>
      <c r="D44" s="23" t="str">
        <f>IFERROR(__xludf.DUMMYFUNCTION("GOOGLETRANSLATE(B44, ""en"", ""es"")"),"Bluecaps se encuentran junto al agua.")</f>
        <v>Bluecaps se encuentran junto al agua.</v>
      </c>
      <c r="E44" s="23" t="str">
        <f>IFERROR(__xludf.DUMMYFUNCTION("GOOGLETRANSLATE(B44, ""en"", ""ru"")"),"Bluecaps можно найти рядом с водой.")</f>
        <v>Bluecaps можно найти рядом с водой.</v>
      </c>
      <c r="F44" s="23" t="str">
        <f>IFERROR(__xludf.DUMMYFUNCTION("GOOGLETRANSLATE(B44, ""en"", ""tr"")"),"Bluecaps suya yanında bulunabilir.")</f>
        <v>Bluecaps suya yanında bulunabilir.</v>
      </c>
      <c r="G44" s="23" t="str">
        <f>IFERROR(__xludf.DUMMYFUNCTION("GOOGLETRANSLATE(B44, ""en"", ""pt"")"),"Bluecaps pode ser encontrada ao lado da água.")</f>
        <v>Bluecaps pode ser encontrada ao lado da água.</v>
      </c>
      <c r="H44" s="24" t="str">
        <f>IFERROR(__xludf.DUMMYFUNCTION("GOOGLETRANSLATE(B44, ""en"", ""de"")"),"Bluecaps kann neben Wasser gefunden werden.")</f>
        <v>Bluecaps kann neben Wasser gefunden werden.</v>
      </c>
      <c r="I44" s="23" t="str">
        <f>IFERROR(__xludf.DUMMYFUNCTION("GOOGLETRANSLATE(B44, ""en"", ""pl"")"),"Bluecaps można znaleźć obok wody.")</f>
        <v>Bluecaps można znaleźć obok wody.</v>
      </c>
      <c r="J44" s="25" t="str">
        <f>IFERROR(__xludf.DUMMYFUNCTION("GOOGLETRANSLATE(B44, ""en"", ""zh"")"),"Bluecaps可旁边的水被发现。")</f>
        <v>Bluecaps可旁边的水被发现。</v>
      </c>
      <c r="K44" s="25" t="str">
        <f>IFERROR(__xludf.DUMMYFUNCTION("GOOGLETRANSLATE(B44, ""en"", ""vi"")"),"Bluecaps thể được tìm thấy bên cạnh nước.")</f>
        <v>Bluecaps thể được tìm thấy bên cạnh nước.</v>
      </c>
      <c r="L44" s="26" t="str">
        <f>IFERROR(__xludf.DUMMYFUNCTION("GOOGLETRANSLATE(B44, ""en"", ""hr"")"),"Bluecaps se može naći pored vode.")</f>
        <v>Bluecaps se može naći pored vode.</v>
      </c>
      <c r="M44" s="27"/>
      <c r="N44" s="28"/>
      <c r="O44" s="28"/>
      <c r="P44" s="28"/>
      <c r="Q44" s="28"/>
      <c r="R44" s="28"/>
      <c r="S44" s="28"/>
      <c r="T44" s="28"/>
      <c r="U44" s="28"/>
      <c r="V44" s="28"/>
      <c r="W44" s="28"/>
      <c r="X44" s="28"/>
      <c r="Y44" s="28"/>
      <c r="Z44" s="28"/>
      <c r="AA44" s="28"/>
      <c r="AB44" s="28"/>
    </row>
    <row r="45">
      <c r="A45" s="21" t="s">
        <v>89</v>
      </c>
      <c r="B45" s="22" t="s">
        <v>90</v>
      </c>
      <c r="C45" s="23" t="str">
        <f>IFERROR(__xludf.DUMMYFUNCTION("GOOGLETRANSLATE(B45, ""en"", ""fr"")"),"Redcaps se trouvent dans des grottes.")</f>
        <v>Redcaps se trouvent dans des grottes.</v>
      </c>
      <c r="D45" s="23" t="str">
        <f>IFERROR(__xludf.DUMMYFUNCTION("GOOGLETRANSLATE(B45, ""en"", ""es"")"),"Redcaps se pueden encontrar en cuevas.")</f>
        <v>Redcaps se pueden encontrar en cuevas.</v>
      </c>
      <c r="E45" s="23" t="str">
        <f>IFERROR(__xludf.DUMMYFUNCTION("GOOGLETRANSLATE(B45, ""en"", ""ru"")"),"Redcaps могут быть найдены в пещерах.")</f>
        <v>Redcaps могут быть найдены в пещерах.</v>
      </c>
      <c r="F45" s="23" t="str">
        <f>IFERROR(__xludf.DUMMYFUNCTION("GOOGLETRANSLATE(B45, ""en"", ""tr"")"),"Redcaps mağaralarda bulunabilir.")</f>
        <v>Redcaps mağaralarda bulunabilir.</v>
      </c>
      <c r="G45" s="23" t="str">
        <f>IFERROR(__xludf.DUMMYFUNCTION("GOOGLETRANSLATE(B45, ""en"", ""pt"")"),"Redcaps podem ser encontrados em cavernas.")</f>
        <v>Redcaps podem ser encontrados em cavernas.</v>
      </c>
      <c r="H45" s="24" t="str">
        <f>IFERROR(__xludf.DUMMYFUNCTION("GOOGLETRANSLATE(B45, ""en"", ""de"")"),"Redcaps kann in Höhlen gefunden werden.")</f>
        <v>Redcaps kann in Höhlen gefunden werden.</v>
      </c>
      <c r="I45" s="23" t="str">
        <f>IFERROR(__xludf.DUMMYFUNCTION("GOOGLETRANSLATE(B45, ""en"", ""pl"")"),"Redcaps można znaleźć w jaskiniach.")</f>
        <v>Redcaps można znaleźć w jaskiniach.</v>
      </c>
      <c r="J45" s="25" t="str">
        <f>IFERROR(__xludf.DUMMYFUNCTION("GOOGLETRANSLATE(B45, ""en"", ""zh"")"),"Redcaps可以在洞穴中被发现。")</f>
        <v>Redcaps可以在洞穴中被发现。</v>
      </c>
      <c r="K45" s="25" t="str">
        <f>IFERROR(__xludf.DUMMYFUNCTION("GOOGLETRANSLATE(B45, ""en"", ""vi"")"),"Redcaps thể được tìm thấy trong các hang động.")</f>
        <v>Redcaps thể được tìm thấy trong các hang động.</v>
      </c>
      <c r="L45" s="26" t="str">
        <f>IFERROR(__xludf.DUMMYFUNCTION("GOOGLETRANSLATE(B45, ""en"", ""hr"")"),"Redcaps se može naći u špiljama.")</f>
        <v>Redcaps se može naći u špiljama.</v>
      </c>
      <c r="M45" s="27"/>
      <c r="N45" s="28"/>
      <c r="O45" s="28"/>
      <c r="P45" s="28"/>
      <c r="Q45" s="28"/>
      <c r="R45" s="28"/>
      <c r="S45" s="28"/>
      <c r="T45" s="28"/>
      <c r="U45" s="28"/>
      <c r="V45" s="28"/>
      <c r="W45" s="28"/>
      <c r="X45" s="28"/>
      <c r="Y45" s="28"/>
      <c r="Z45" s="28"/>
      <c r="AA45" s="28"/>
      <c r="AB45" s="28"/>
    </row>
    <row r="46">
      <c r="A46" s="21" t="s">
        <v>91</v>
      </c>
      <c r="B46" s="22" t="s">
        <v>91</v>
      </c>
      <c r="C46" s="23" t="str">
        <f>IFERROR(__xludf.DUMMYFUNCTION("GOOGLETRANSLATE(B46, ""en"", ""fr"")"),"Acheter")</f>
        <v>Acheter</v>
      </c>
      <c r="D46" s="23" t="str">
        <f>IFERROR(__xludf.DUMMYFUNCTION("GOOGLETRANSLATE(B46, ""en"", ""es"")"),"Comprar")</f>
        <v>Comprar</v>
      </c>
      <c r="E46" s="23" t="str">
        <f>IFERROR(__xludf.DUMMYFUNCTION("GOOGLETRANSLATE(B46, ""en"", ""ru"")"),"Купить")</f>
        <v>Купить</v>
      </c>
      <c r="F46" s="23" t="str">
        <f>IFERROR(__xludf.DUMMYFUNCTION("GOOGLETRANSLATE(B46, ""en"", ""tr"")"),"Satın")</f>
        <v>Satın</v>
      </c>
      <c r="G46" s="23" t="str">
        <f>IFERROR(__xludf.DUMMYFUNCTION("GOOGLETRANSLATE(B46, ""en"", ""pt"")"),"Comprar")</f>
        <v>Comprar</v>
      </c>
      <c r="H46" s="24" t="str">
        <f>IFERROR(__xludf.DUMMYFUNCTION("GOOGLETRANSLATE(B46, ""en"", ""de"")"),"Kaufen")</f>
        <v>Kaufen</v>
      </c>
      <c r="I46" s="23" t="str">
        <f>IFERROR(__xludf.DUMMYFUNCTION("GOOGLETRANSLATE(B46, ""en"", ""pl"")"),"Kup")</f>
        <v>Kup</v>
      </c>
      <c r="J46" s="25" t="str">
        <f>IFERROR(__xludf.DUMMYFUNCTION("GOOGLETRANSLATE(B46, ""en"", ""zh"")"),"买")</f>
        <v>买</v>
      </c>
      <c r="K46" s="25" t="str">
        <f>IFERROR(__xludf.DUMMYFUNCTION("GOOGLETRANSLATE(B46, ""en"", ""vi"")"),"Mua")</f>
        <v>Mua</v>
      </c>
      <c r="L46" s="26" t="str">
        <f>IFERROR(__xludf.DUMMYFUNCTION("GOOGLETRANSLATE(B46, ""en"", ""hr"")"),"Kupiti")</f>
        <v>Kupiti</v>
      </c>
      <c r="M46" s="27"/>
      <c r="N46" s="28"/>
      <c r="O46" s="28"/>
      <c r="P46" s="28"/>
      <c r="Q46" s="28"/>
      <c r="R46" s="28"/>
      <c r="S46" s="28"/>
      <c r="T46" s="28"/>
      <c r="U46" s="28"/>
      <c r="V46" s="28"/>
      <c r="W46" s="28"/>
      <c r="X46" s="28"/>
      <c r="Y46" s="28"/>
      <c r="Z46" s="28"/>
      <c r="AA46" s="28"/>
      <c r="AB46" s="28"/>
    </row>
    <row r="47">
      <c r="A47" s="21" t="s">
        <v>92</v>
      </c>
      <c r="B47" s="22" t="s">
        <v>92</v>
      </c>
      <c r="C47" s="23" t="str">
        <f>IFERROR(__xludf.DUMMYFUNCTION("GOOGLETRANSLATE(B47, ""en"", ""fr"")"),"J'accepte")</f>
        <v>J'accepte</v>
      </c>
      <c r="D47" s="23" t="str">
        <f>IFERROR(__xludf.DUMMYFUNCTION("GOOGLETRANSLATE(B47, ""en"", ""es"")"),"Aceptar")</f>
        <v>Aceptar</v>
      </c>
      <c r="E47" s="23" t="str">
        <f>IFERROR(__xludf.DUMMYFUNCTION("GOOGLETRANSLATE(B47, ""en"", ""ru"")"),"Принимать")</f>
        <v>Принимать</v>
      </c>
      <c r="F47" s="23" t="str">
        <f>IFERROR(__xludf.DUMMYFUNCTION("GOOGLETRANSLATE(B47, ""en"", ""tr"")"),"Kabul etmek")</f>
        <v>Kabul etmek</v>
      </c>
      <c r="G47" s="23" t="str">
        <f>IFERROR(__xludf.DUMMYFUNCTION("GOOGLETRANSLATE(B47, ""en"", ""pt"")"),"Aceitar")</f>
        <v>Aceitar</v>
      </c>
      <c r="H47" s="24" t="str">
        <f>IFERROR(__xludf.DUMMYFUNCTION("GOOGLETRANSLATE(B47, ""en"", ""de"")"),"Akzeptieren")</f>
        <v>Akzeptieren</v>
      </c>
      <c r="I47" s="23" t="str">
        <f>IFERROR(__xludf.DUMMYFUNCTION("GOOGLETRANSLATE(B47, ""en"", ""pl"")"),"Zaakceptować")</f>
        <v>Zaakceptować</v>
      </c>
      <c r="J47" s="25" t="str">
        <f>IFERROR(__xludf.DUMMYFUNCTION("GOOGLETRANSLATE(B47, ""en"", ""zh"")"),"接受")</f>
        <v>接受</v>
      </c>
      <c r="K47" s="25" t="str">
        <f>IFERROR(__xludf.DUMMYFUNCTION("GOOGLETRANSLATE(B47, ""en"", ""vi"")"),"Chấp nhận")</f>
        <v>Chấp nhận</v>
      </c>
      <c r="L47" s="26" t="str">
        <f>IFERROR(__xludf.DUMMYFUNCTION("GOOGLETRANSLATE(B47, ""en"", ""hr"")"),"Prihvatiti")</f>
        <v>Prihvatiti</v>
      </c>
      <c r="M47" s="27"/>
      <c r="N47" s="28"/>
      <c r="O47" s="28"/>
      <c r="P47" s="28"/>
      <c r="Q47" s="28"/>
      <c r="R47" s="28"/>
      <c r="S47" s="28"/>
      <c r="T47" s="28"/>
      <c r="U47" s="28"/>
      <c r="V47" s="28"/>
      <c r="W47" s="28"/>
      <c r="X47" s="28"/>
      <c r="Y47" s="28"/>
      <c r="Z47" s="28"/>
      <c r="AA47" s="28"/>
      <c r="AB47" s="28"/>
    </row>
    <row r="48">
      <c r="A48" s="21" t="s">
        <v>93</v>
      </c>
      <c r="B48" s="22" t="s">
        <v>93</v>
      </c>
      <c r="C48" s="23" t="str">
        <f>IFERROR(__xludf.DUMMYFUNCTION("GOOGLETRANSLATE(B48, ""en"", ""fr"")"),"Spectacle")</f>
        <v>Spectacle</v>
      </c>
      <c r="D48" s="23" t="str">
        <f>IFERROR(__xludf.DUMMYFUNCTION("GOOGLETRANSLATE(B48, ""en"", ""es"")"),"Show")</f>
        <v>Show</v>
      </c>
      <c r="E48" s="23" t="str">
        <f>IFERROR(__xludf.DUMMYFUNCTION("GOOGLETRANSLATE(B48, ""en"", ""ru"")"),"Показывать")</f>
        <v>Показывать</v>
      </c>
      <c r="F48" s="23" t="str">
        <f>IFERROR(__xludf.DUMMYFUNCTION("GOOGLETRANSLATE(B48, ""en"", ""tr"")"),"Göstermek")</f>
        <v>Göstermek</v>
      </c>
      <c r="G48" s="23" t="str">
        <f>IFERROR(__xludf.DUMMYFUNCTION("GOOGLETRANSLATE(B48, ""en"", ""pt"")"),"mostrar")</f>
        <v>mostrar</v>
      </c>
      <c r="H48" s="24" t="str">
        <f>IFERROR(__xludf.DUMMYFUNCTION("GOOGLETRANSLATE(B48, ""en"", ""de"")"),"Show")</f>
        <v>Show</v>
      </c>
      <c r="I48" s="23" t="str">
        <f>IFERROR(__xludf.DUMMYFUNCTION("GOOGLETRANSLATE(B48, ""en"", ""pl"")"),"Pokazać")</f>
        <v>Pokazać</v>
      </c>
      <c r="J48" s="25" t="str">
        <f>IFERROR(__xludf.DUMMYFUNCTION("GOOGLETRANSLATE(B48, ""en"", ""zh"")"),"表演")</f>
        <v>表演</v>
      </c>
      <c r="K48" s="25" t="str">
        <f>IFERROR(__xludf.DUMMYFUNCTION("GOOGLETRANSLATE(B48, ""en"", ""vi"")"),"Chỉ")</f>
        <v>Chỉ</v>
      </c>
      <c r="L48" s="26" t="str">
        <f>IFERROR(__xludf.DUMMYFUNCTION("GOOGLETRANSLATE(B48, ""en"", ""hr"")"),"Pokazati")</f>
        <v>Pokazati</v>
      </c>
      <c r="M48" s="27"/>
      <c r="N48" s="28"/>
      <c r="O48" s="28"/>
      <c r="P48" s="28"/>
      <c r="Q48" s="28"/>
      <c r="R48" s="28"/>
      <c r="S48" s="28"/>
      <c r="T48" s="28"/>
      <c r="U48" s="28"/>
      <c r="V48" s="28"/>
      <c r="W48" s="28"/>
      <c r="X48" s="28"/>
      <c r="Y48" s="28"/>
      <c r="Z48" s="28"/>
      <c r="AA48" s="28"/>
      <c r="AB48" s="28"/>
    </row>
    <row r="49">
      <c r="A49" s="21" t="s">
        <v>94</v>
      </c>
      <c r="B49" s="22" t="s">
        <v>95</v>
      </c>
      <c r="C49" s="23" t="str">
        <f>IFERROR(__xludf.DUMMYFUNCTION("GOOGLETRANSLATE(B49, ""en"", ""fr"")"),"En savoir plus sur le jeu sur le Wiki")</f>
        <v>En savoir plus sur le jeu sur le Wiki</v>
      </c>
      <c r="D49" s="23" t="str">
        <f>IFERROR(__xludf.DUMMYFUNCTION("GOOGLETRANSLATE(B49, ""en"", ""es"")"),"Más información sobre el juego en la Wiki")</f>
        <v>Más información sobre el juego en la Wiki</v>
      </c>
      <c r="E49" s="23" t="str">
        <f>IFERROR(__xludf.DUMMYFUNCTION("GOOGLETRANSLATE(B49, ""en"", ""ru"")"),"Узнайте больше об игре на Wiki")</f>
        <v>Узнайте больше об игре на Wiki</v>
      </c>
      <c r="F49" s="23" t="str">
        <f>IFERROR(__xludf.DUMMYFUNCTION("GOOGLETRANSLATE(B49, ""en"", ""tr"")"),"Wiki'deki oyun hakkında daha fazla bilgi")</f>
        <v>Wiki'deki oyun hakkında daha fazla bilgi</v>
      </c>
      <c r="G49" s="23" t="str">
        <f>IFERROR(__xludf.DUMMYFUNCTION("GOOGLETRANSLATE(B49, ""en"", ""pt"")"),"Saiba mais sobre o jogo no Wiki")</f>
        <v>Saiba mais sobre o jogo no Wiki</v>
      </c>
      <c r="H49" s="24" t="str">
        <f>IFERROR(__xludf.DUMMYFUNCTION("GOOGLETRANSLATE(B49, ""en"", ""de"")"),"Erfahren Sie mehr über das Spiel auf dem Wiki")</f>
        <v>Erfahren Sie mehr über das Spiel auf dem Wiki</v>
      </c>
      <c r="I49" s="23" t="str">
        <f>IFERROR(__xludf.DUMMYFUNCTION("GOOGLETRANSLATE(B49, ""en"", ""pl"")"),"Dowiedz się więcej o grze na wiki")</f>
        <v>Dowiedz się więcej o grze na wiki</v>
      </c>
      <c r="J49" s="25" t="str">
        <f>IFERROR(__xludf.DUMMYFUNCTION("GOOGLETRANSLATE(B49, ""en"", ""zh"")"),"了解更多关于维基游戏")</f>
        <v>了解更多关于维基游戏</v>
      </c>
      <c r="K49" s="25" t="str">
        <f>IFERROR(__xludf.DUMMYFUNCTION("GOOGLETRANSLATE(B49, ""en"", ""vi"")"),"Tìm hiểu thêm về các trò chơi trên Wiki")</f>
        <v>Tìm hiểu thêm về các trò chơi trên Wiki</v>
      </c>
      <c r="L49" s="26" t="str">
        <f>IFERROR(__xludf.DUMMYFUNCTION("GOOGLETRANSLATE(B49, ""en"", ""hr"")"),"Saznajte više o igri na Wiki")</f>
        <v>Saznajte više o igri na Wiki</v>
      </c>
      <c r="M49" s="27"/>
      <c r="N49" s="28"/>
      <c r="O49" s="28"/>
      <c r="P49" s="28"/>
      <c r="Q49" s="28"/>
      <c r="R49" s="28"/>
      <c r="S49" s="28"/>
      <c r="T49" s="28"/>
      <c r="U49" s="28"/>
      <c r="V49" s="28"/>
      <c r="W49" s="28"/>
      <c r="X49" s="28"/>
      <c r="Y49" s="28"/>
      <c r="Z49" s="28"/>
      <c r="AA49" s="28"/>
      <c r="AB49" s="28"/>
    </row>
    <row r="50">
      <c r="A50" s="21" t="s">
        <v>96</v>
      </c>
      <c r="B50" s="22" t="s">
        <v>97</v>
      </c>
      <c r="C50" s="23" t="str">
        <f>IFERROR(__xludf.DUMMYFUNCTION("GOOGLETRANSLATE(B50, ""en"", ""fr"")"),"Discutez avec d'autres joueurs sur la Discorde")</f>
        <v>Discutez avec d'autres joueurs sur la Discorde</v>
      </c>
      <c r="D50" s="23" t="str">
        <f>IFERROR(__xludf.DUMMYFUNCTION("GOOGLETRANSLATE(B50, ""en"", ""es"")"),"Chatear con otros jugadores en discordia")</f>
        <v>Chatear con otros jugadores en discordia</v>
      </c>
      <c r="E50" s="23" t="str">
        <f>IFERROR(__xludf.DUMMYFUNCTION("GOOGLETRANSLATE(B50, ""en"", ""ru"")"),"Общайтесь с другими игроками на раздоре")</f>
        <v>Общайтесь с другими игроками на раздоре</v>
      </c>
      <c r="F50" s="23" t="str">
        <f>IFERROR(__xludf.DUMMYFUNCTION("GOOGLETRANSLATE(B50, ""en"", ""tr"")"),"Discord diğer oyuncularla sohbet")</f>
        <v>Discord diğer oyuncularla sohbet</v>
      </c>
      <c r="G50" s="23" t="str">
        <f>IFERROR(__xludf.DUMMYFUNCTION("GOOGLETRANSLATE(B50, ""en"", ""pt"")"),"Bate-papo com outros jogadores no Discórdia")</f>
        <v>Bate-papo com outros jogadores no Discórdia</v>
      </c>
      <c r="H50" s="24" t="str">
        <f>IFERROR(__xludf.DUMMYFUNCTION("GOOGLETRANSLATE(B50, ""en"", ""de"")"),"Chat mit anderen Spielern auf Discord")</f>
        <v>Chat mit anderen Spielern auf Discord</v>
      </c>
      <c r="I50" s="23" t="str">
        <f>IFERROR(__xludf.DUMMYFUNCTION("GOOGLETRANSLATE(B50, ""en"", ""pl"")"),"Rozmawiać z innymi graczami na Niezgody")</f>
        <v>Rozmawiać z innymi graczami na Niezgody</v>
      </c>
      <c r="J50" s="25" t="str">
        <f>IFERROR(__xludf.DUMMYFUNCTION("GOOGLETRANSLATE(B50, ""en"", ""zh"")"),"与不和谐其他玩家聊天")</f>
        <v>与不和谐其他玩家聊天</v>
      </c>
      <c r="K50" s="25" t="str">
        <f>IFERROR(__xludf.DUMMYFUNCTION("GOOGLETRANSLATE(B50, ""en"", ""vi"")"),"Trò chuyện với những người chơi khác trên bất hòa")</f>
        <v>Trò chuyện với những người chơi khác trên bất hòa</v>
      </c>
      <c r="L50" s="26" t="str">
        <f>IFERROR(__xludf.DUMMYFUNCTION("GOOGLETRANSLATE(B50, ""en"", ""hr"")"),"Chat sa ostalim igračima na razdora")</f>
        <v>Chat sa ostalim igračima na razdora</v>
      </c>
      <c r="M50" s="27"/>
      <c r="N50" s="28"/>
      <c r="O50" s="28"/>
      <c r="P50" s="28"/>
      <c r="Q50" s="28"/>
      <c r="R50" s="28"/>
      <c r="S50" s="28"/>
      <c r="T50" s="28"/>
      <c r="U50" s="28"/>
      <c r="V50" s="28"/>
      <c r="W50" s="28"/>
      <c r="X50" s="28"/>
      <c r="Y50" s="28"/>
      <c r="Z50" s="28"/>
      <c r="AA50" s="28"/>
      <c r="AB50" s="28"/>
    </row>
    <row r="51">
      <c r="A51" s="21" t="s">
        <v>98</v>
      </c>
      <c r="B51" s="22" t="s">
        <v>99</v>
      </c>
      <c r="C51" s="23" t="str">
        <f>IFERROR(__xludf.DUMMYFUNCTION("GOOGLETRANSLATE(B51, ""en"", ""fr"")"),"Entrez un message")</f>
        <v>Entrez un message</v>
      </c>
      <c r="D51" s="23" t="str">
        <f>IFERROR(__xludf.DUMMYFUNCTION("GOOGLETRANSLATE(B51, ""en"", ""es"")"),"Introducir un mensaje")</f>
        <v>Introducir un mensaje</v>
      </c>
      <c r="E51" s="23" t="str">
        <f>IFERROR(__xludf.DUMMYFUNCTION("GOOGLETRANSLATE(B51, ""en"", ""ru"")"),"Введите сообщение")</f>
        <v>Введите сообщение</v>
      </c>
      <c r="F51" s="23" t="str">
        <f>IFERROR(__xludf.DUMMYFUNCTION("GOOGLETRANSLATE(B51, ""en"", ""tr"")"),"Bir ileti girin")</f>
        <v>Bir ileti girin</v>
      </c>
      <c r="G51" s="23" t="str">
        <f>IFERROR(__xludf.DUMMYFUNCTION("GOOGLETRANSLATE(B51, ""en"", ""pt"")"),"Digite uma mensagem")</f>
        <v>Digite uma mensagem</v>
      </c>
      <c r="H51" s="24" t="str">
        <f>IFERROR(__xludf.DUMMYFUNCTION("GOOGLETRANSLATE(B51, ""en"", ""de"")"),"Geben Sie eine Nachricht")</f>
        <v>Geben Sie eine Nachricht</v>
      </c>
      <c r="I51" s="23" t="str">
        <f>IFERROR(__xludf.DUMMYFUNCTION("GOOGLETRANSLATE(B51, ""en"", ""pl"")"),"Wpisz wiadomość")</f>
        <v>Wpisz wiadomość</v>
      </c>
      <c r="J51" s="25" t="str">
        <f>IFERROR(__xludf.DUMMYFUNCTION("GOOGLETRANSLATE(B51, ""en"", ""zh"")"),"输入消息")</f>
        <v>输入消息</v>
      </c>
      <c r="K51" s="25" t="str">
        <f>IFERROR(__xludf.DUMMYFUNCTION("GOOGLETRANSLATE(B51, ""en"", ""vi"")"),"Nhập tin nhắn")</f>
        <v>Nhập tin nhắn</v>
      </c>
      <c r="L51" s="26" t="str">
        <f>IFERROR(__xludf.DUMMYFUNCTION("GOOGLETRANSLATE(B51, ""en"", ""hr"")"),"Unesite poruku")</f>
        <v>Unesite poruku</v>
      </c>
      <c r="M51" s="27"/>
      <c r="N51" s="28"/>
      <c r="O51" s="28"/>
      <c r="P51" s="28"/>
      <c r="Q51" s="28"/>
      <c r="R51" s="28"/>
      <c r="S51" s="28"/>
      <c r="T51" s="28"/>
      <c r="U51" s="28"/>
      <c r="V51" s="28"/>
      <c r="W51" s="28"/>
      <c r="X51" s="28"/>
      <c r="Y51" s="28"/>
      <c r="Z51" s="28"/>
      <c r="AA51" s="28"/>
      <c r="AB51" s="28"/>
    </row>
    <row r="52">
      <c r="A52" s="21" t="s">
        <v>100</v>
      </c>
      <c r="B52" s="22" t="s">
        <v>101</v>
      </c>
      <c r="C52" s="23" t="str">
        <f>IFERROR(__xludf.DUMMYFUNCTION("GOOGLETRANSLATE(B52, ""en"", ""fr"")"),"~ ~ Commande non valide
Type / suivi par r, g, b, ou y
pour changer de couleur dans le chat.")</f>
        <v>~ ~ Commande non valide
Type / suivi par r, g, b, ou y
pour changer de couleur dans le chat.</v>
      </c>
      <c r="D52" s="23" t="str">
        <f>IFERROR(__xludf.DUMMYFUNCTION("GOOGLETRANSLATE(B52, ""en"", ""es"")"),"~ ~ Comando no válido
Tipo / seguido de r, g, b, o y
para cambiar el color de chat.")</f>
        <v>~ ~ Comando no válido
Tipo / seguido de r, g, b, o y
para cambiar el color de chat.</v>
      </c>
      <c r="E52" s="23" t="str">
        <f>IFERROR(__xludf.DUMMYFUNCTION("GOOGLETRANSLATE(B52, ""en"", ""ru"")"),"~ Недопустимая команда ~
Тип / г с последующим, G, B, или у
изменить цвет чата.")</f>
        <v>~ Недопустимая команда ~
Тип / г с последующим, G, B, или у
изменить цвет чата.</v>
      </c>
      <c r="F52" s="23" t="str">
        <f>IFERROR(__xludf.DUMMYFUNCTION("GOOGLETRANSLATE(B52, ""en"", ""tr"")"),"~ Geçersiz komut ~
Tip / R, G, B, veya y ve ardından
sohbet rengini değiştirmek için.")</f>
        <v>~ Geçersiz komut ~
Tip / R, G, B, veya y ve ardından
sohbet rengini değiştirmek için.</v>
      </c>
      <c r="G52" s="23" t="str">
        <f>IFERROR(__xludf.DUMMYFUNCTION("GOOGLETRANSLATE(B52, ""en"", ""pt"")"),"~ Comando inválido ~
Tipo / seguido por r, g, b, ou y
para mudar a cor chat.")</f>
        <v>~ Comando inválido ~
Tipo / seguido por r, g, b, ou y
para mudar a cor chat.</v>
      </c>
      <c r="H52" s="24" t="str">
        <f>IFERROR(__xludf.DUMMYFUNCTION("GOOGLETRANSLATE(B52, ""en"", ""de"")"),"~ Ungültiger Befehl ~
Typ / gefolgt von r, g, b, y oder
Chat-Farbe zu ändern.")</f>
        <v>~ Ungültiger Befehl ~
Typ / gefolgt von r, g, b, y oder
Chat-Farbe zu ändern.</v>
      </c>
      <c r="I52" s="23" t="str">
        <f>IFERROR(__xludf.DUMMYFUNCTION("GOOGLETRANSLATE(B52, ""en"", ""pl"")"),"~ Nieprawidłowe polecenie ~
Typ /, a następnie R, G, B, lub y
zmienić kolor czatu.")</f>
        <v>~ Nieprawidłowe polecenie ~
Typ /, a następnie R, G, B, lub y
zmienić kolor czatu.</v>
      </c>
      <c r="J52" s="25" t="str">
        <f>IFERROR(__xludf.DUMMYFUNCTION("GOOGLETRANSLATE(B52, ""en"", ""zh"")"),"〜无效的命令〜
类型/随后的R，G，B，或y
改变聊天的颜色。")</f>
        <v>〜无效的命令〜
类型/随后的R，G，B，或y
改变聊天的颜色。</v>
      </c>
      <c r="K52" s="25" t="str">
        <f>IFERROR(__xludf.DUMMYFUNCTION("GOOGLETRANSLATE(B52, ""en"", ""vi"")"),"~ Lệnh không hợp lệ ~
Loại / tiếp theo r, g, b, hoặc y
để thay đổi màu chat.")</f>
        <v>~ Lệnh không hợp lệ ~
Loại / tiếp theo r, g, b, hoặc y
để thay đổi màu chat.</v>
      </c>
      <c r="L52" s="26" t="str">
        <f>IFERROR(__xludf.DUMMYFUNCTION("GOOGLETRANSLATE(B52, ""en"", ""hr"")"),"-Neispravan naredba-
Tip / zatim R, G, B ili y
mijenjati chat boju.")</f>
        <v>-Neispravan naredba-
Tip / zatim R, G, B ili y
mijenjati chat boju.</v>
      </c>
      <c r="M52" s="27"/>
      <c r="N52" s="28"/>
      <c r="O52" s="28"/>
      <c r="P52" s="28"/>
      <c r="Q52" s="28"/>
      <c r="R52" s="28"/>
      <c r="S52" s="28"/>
      <c r="T52" s="28"/>
      <c r="U52" s="28"/>
      <c r="V52" s="28"/>
      <c r="W52" s="28"/>
      <c r="X52" s="28"/>
      <c r="Y52" s="28"/>
      <c r="Z52" s="28"/>
      <c r="AA52" s="28"/>
      <c r="AB52" s="28"/>
    </row>
    <row r="53">
      <c r="A53" s="21" t="s">
        <v>102</v>
      </c>
      <c r="B53" s="22" t="s">
        <v>103</v>
      </c>
      <c r="C53" s="23" t="str">
        <f>IFERROR(__xludf.DUMMYFUNCTION("GOOGLETRANSLATE(B53, ""en"", ""fr"")"),"Statistiques")</f>
        <v>Statistiques</v>
      </c>
      <c r="D53" s="23" t="str">
        <f>IFERROR(__xludf.DUMMYFUNCTION("GOOGLETRANSLATE(B53, ""en"", ""es"")"),"estadísticas")</f>
        <v>estadísticas</v>
      </c>
      <c r="E53" s="23" t="str">
        <f>IFERROR(__xludf.DUMMYFUNCTION("GOOGLETRANSLATE(B53, ""en"", ""ru"")"),"Статистика")</f>
        <v>Статистика</v>
      </c>
      <c r="F53" s="23" t="str">
        <f>IFERROR(__xludf.DUMMYFUNCTION("GOOGLETRANSLATE(B53, ""en"", ""tr"")"),"İstatistikleri")</f>
        <v>İstatistikleri</v>
      </c>
      <c r="G53" s="23" t="str">
        <f>IFERROR(__xludf.DUMMYFUNCTION("GOOGLETRANSLATE(B53, ""en"", ""pt"")"),"Estatísticas")</f>
        <v>Estatísticas</v>
      </c>
      <c r="H53" s="24" t="str">
        <f>IFERROR(__xludf.DUMMYFUNCTION("GOOGLETRANSLATE(B53, ""en"", ""de"")"),"Statistiken")</f>
        <v>Statistiken</v>
      </c>
      <c r="I53" s="23" t="str">
        <f>IFERROR(__xludf.DUMMYFUNCTION("GOOGLETRANSLATE(B53, ""en"", ""pl"")"),"Statystyki")</f>
        <v>Statystyki</v>
      </c>
      <c r="J53" s="25" t="str">
        <f>IFERROR(__xludf.DUMMYFUNCTION("GOOGLETRANSLATE(B53, ""en"", ""zh"")"),"统计")</f>
        <v>统计</v>
      </c>
      <c r="K53" s="25" t="str">
        <f>IFERROR(__xludf.DUMMYFUNCTION("GOOGLETRANSLATE(B53, ""en"", ""vi"")"),"Thống kê")</f>
        <v>Thống kê</v>
      </c>
      <c r="L53" s="26" t="str">
        <f>IFERROR(__xludf.DUMMYFUNCTION("GOOGLETRANSLATE(B53, ""en"", ""hr"")"),"Statistike")</f>
        <v>Statistike</v>
      </c>
      <c r="M53" s="28"/>
      <c r="N53" s="28"/>
      <c r="O53" s="28"/>
      <c r="P53" s="28"/>
      <c r="Q53" s="28"/>
      <c r="R53" s="28"/>
      <c r="S53" s="28"/>
      <c r="T53" s="28"/>
      <c r="U53" s="28"/>
      <c r="V53" s="28"/>
      <c r="W53" s="28"/>
      <c r="X53" s="28"/>
      <c r="Y53" s="28"/>
      <c r="Z53" s="28"/>
      <c r="AA53" s="28"/>
      <c r="AB53" s="28"/>
    </row>
    <row r="54">
      <c r="A54" s="21" t="s">
        <v>104</v>
      </c>
      <c r="B54" s="22" t="s">
        <v>105</v>
      </c>
      <c r="C54" s="23" t="str">
        <f>IFERROR(__xludf.DUMMYFUNCTION("GOOGLETRANSLATE(B54, ""en"", ""fr"")"),"Tâches")</f>
        <v>Tâches</v>
      </c>
      <c r="D54" s="23" t="str">
        <f>IFERROR(__xludf.DUMMYFUNCTION("GOOGLETRANSLATE(B54, ""en"", ""es"")"),"Tareas")</f>
        <v>Tareas</v>
      </c>
      <c r="E54" s="23" t="str">
        <f>IFERROR(__xludf.DUMMYFUNCTION("GOOGLETRANSLATE(B54, ""en"", ""ru"")"),"Задачи")</f>
        <v>Задачи</v>
      </c>
      <c r="F54" s="23" t="str">
        <f>IFERROR(__xludf.DUMMYFUNCTION("GOOGLETRANSLATE(B54, ""en"", ""tr"")"),"Görevler")</f>
        <v>Görevler</v>
      </c>
      <c r="G54" s="23" t="str">
        <f>IFERROR(__xludf.DUMMYFUNCTION("GOOGLETRANSLATE(B54, ""en"", ""pt"")"),"Tarefas")</f>
        <v>Tarefas</v>
      </c>
      <c r="H54" s="24" t="str">
        <f>IFERROR(__xludf.DUMMYFUNCTION("GOOGLETRANSLATE(B54, ""en"", ""de"")"),"Aufgaben")</f>
        <v>Aufgaben</v>
      </c>
      <c r="I54" s="23" t="str">
        <f>IFERROR(__xludf.DUMMYFUNCTION("GOOGLETRANSLATE(B54, ""en"", ""pl"")"),"zadania")</f>
        <v>zadania</v>
      </c>
      <c r="J54" s="25" t="str">
        <f>IFERROR(__xludf.DUMMYFUNCTION("GOOGLETRANSLATE(B54, ""en"", ""zh"")"),"任务")</f>
        <v>任务</v>
      </c>
      <c r="K54" s="25" t="str">
        <f>IFERROR(__xludf.DUMMYFUNCTION("GOOGLETRANSLATE(B54, ""en"", ""vi"")"),"Nhiệm vụ")</f>
        <v>Nhiệm vụ</v>
      </c>
      <c r="L54" s="26" t="str">
        <f>IFERROR(__xludf.DUMMYFUNCTION("GOOGLETRANSLATE(B54, ""en"", ""hr"")"),"zadaci")</f>
        <v>zadaci</v>
      </c>
      <c r="M54" s="28"/>
      <c r="N54" s="28"/>
      <c r="O54" s="28"/>
      <c r="P54" s="28"/>
      <c r="Q54" s="28"/>
      <c r="R54" s="28"/>
      <c r="S54" s="28"/>
      <c r="T54" s="28"/>
      <c r="U54" s="28"/>
      <c r="V54" s="28"/>
      <c r="W54" s="28"/>
      <c r="X54" s="28"/>
      <c r="Y54" s="28"/>
      <c r="Z54" s="28"/>
      <c r="AA54" s="28"/>
      <c r="AB54" s="28"/>
    </row>
    <row r="55">
      <c r="A55" s="21" t="s">
        <v>106</v>
      </c>
      <c r="B55" s="22" t="s">
        <v>107</v>
      </c>
      <c r="C55" s="23" t="str">
        <f>IFERROR(__xludf.DUMMYFUNCTION("GOOGLETRANSLATE(B55, ""en"", ""fr"")"),"Carte du monde")</f>
        <v>Carte du monde</v>
      </c>
      <c r="D55" s="23" t="str">
        <f>IFERROR(__xludf.DUMMYFUNCTION("GOOGLETRANSLATE(B55, ""en"", ""es"")"),"Mapa del mundo")</f>
        <v>Mapa del mundo</v>
      </c>
      <c r="E55" s="23" t="str">
        <f>IFERROR(__xludf.DUMMYFUNCTION("GOOGLETRANSLATE(B55, ""en"", ""ru"")"),"Карта мира")</f>
        <v>Карта мира</v>
      </c>
      <c r="F55" s="23" t="str">
        <f>IFERROR(__xludf.DUMMYFUNCTION("GOOGLETRANSLATE(B55, ""en"", ""tr"")"),"Dünya haritası")</f>
        <v>Dünya haritası</v>
      </c>
      <c r="G55" s="23" t="str">
        <f>IFERROR(__xludf.DUMMYFUNCTION("GOOGLETRANSLATE(B55, ""en"", ""pt"")"),"Mapa mundial")</f>
        <v>Mapa mundial</v>
      </c>
      <c r="H55" s="24" t="str">
        <f>IFERROR(__xludf.DUMMYFUNCTION("GOOGLETRANSLATE(B55, ""en"", ""de"")"),"Weltkarte")</f>
        <v>Weltkarte</v>
      </c>
      <c r="I55" s="23" t="str">
        <f>IFERROR(__xludf.DUMMYFUNCTION("GOOGLETRANSLATE(B55, ""en"", ""pl"")"),"Mapa świata")</f>
        <v>Mapa świata</v>
      </c>
      <c r="J55" s="25" t="str">
        <f>IFERROR(__xludf.DUMMYFUNCTION("GOOGLETRANSLATE(B55, ""en"", ""zh"")"),"世界地图")</f>
        <v>世界地图</v>
      </c>
      <c r="K55" s="25" t="str">
        <f>IFERROR(__xludf.DUMMYFUNCTION("GOOGLETRANSLATE(B55, ""en"", ""vi"")"),"Bản đồ thế giới")</f>
        <v>Bản đồ thế giới</v>
      </c>
      <c r="L55" s="26" t="str">
        <f>IFERROR(__xludf.DUMMYFUNCTION("GOOGLETRANSLATE(B55, ""en"", ""hr"")"),"Karta svijeta")</f>
        <v>Karta svijeta</v>
      </c>
      <c r="M55" s="28"/>
      <c r="N55" s="28"/>
      <c r="O55" s="28"/>
      <c r="P55" s="28"/>
      <c r="Q55" s="28"/>
      <c r="R55" s="28"/>
      <c r="S55" s="28"/>
      <c r="T55" s="28"/>
      <c r="U55" s="28"/>
      <c r="V55" s="28"/>
      <c r="W55" s="28"/>
      <c r="X55" s="28"/>
      <c r="Y55" s="28"/>
      <c r="Z55" s="28"/>
      <c r="AA55" s="28"/>
      <c r="AB55" s="28"/>
    </row>
    <row r="56">
      <c r="A56" s="21" t="s">
        <v>108</v>
      </c>
      <c r="B56" s="22" t="s">
        <v>109</v>
      </c>
      <c r="C56" s="23" t="str">
        <f>IFERROR(__xludf.DUMMYFUNCTION("GOOGLETRANSLATE(B56, ""en"", ""fr"")"),"Clan")</f>
        <v>Clan</v>
      </c>
      <c r="D56" s="23" t="str">
        <f>IFERROR(__xludf.DUMMYFUNCTION("GOOGLETRANSLATE(B56, ""en"", ""es"")"),"Clan")</f>
        <v>Clan</v>
      </c>
      <c r="E56" s="23" t="str">
        <f>IFERROR(__xludf.DUMMYFUNCTION("GOOGLETRANSLATE(B56, ""en"", ""ru"")"),"клан")</f>
        <v>клан</v>
      </c>
      <c r="F56" s="23" t="str">
        <f>IFERROR(__xludf.DUMMYFUNCTION("GOOGLETRANSLATE(B56, ""en"", ""tr"")"),"klan")</f>
        <v>klan</v>
      </c>
      <c r="G56" s="23" t="str">
        <f>IFERROR(__xludf.DUMMYFUNCTION("GOOGLETRANSLATE(B56, ""en"", ""pt"")"),"Clã")</f>
        <v>Clã</v>
      </c>
      <c r="H56" s="24" t="str">
        <f>IFERROR(__xludf.DUMMYFUNCTION("GOOGLETRANSLATE(B56, ""en"", ""de"")"),"Clan")</f>
        <v>Clan</v>
      </c>
      <c r="I56" s="23" t="str">
        <f>IFERROR(__xludf.DUMMYFUNCTION("GOOGLETRANSLATE(B56, ""en"", ""pl"")"),"Klan")</f>
        <v>Klan</v>
      </c>
      <c r="J56" s="25" t="str">
        <f>IFERROR(__xludf.DUMMYFUNCTION("GOOGLETRANSLATE(B56, ""en"", ""zh"")"),"氏族")</f>
        <v>氏族</v>
      </c>
      <c r="K56" s="25" t="str">
        <f>IFERROR(__xludf.DUMMYFUNCTION("GOOGLETRANSLATE(B56, ""en"", ""vi"")"),"Clan")</f>
        <v>Clan</v>
      </c>
      <c r="L56" s="26" t="str">
        <f>IFERROR(__xludf.DUMMYFUNCTION("GOOGLETRANSLATE(B56, ""en"", ""hr"")"),"Klan")</f>
        <v>Klan</v>
      </c>
      <c r="M56" s="28"/>
      <c r="N56" s="28"/>
      <c r="O56" s="28"/>
      <c r="P56" s="28"/>
      <c r="Q56" s="28"/>
      <c r="R56" s="28"/>
      <c r="S56" s="28"/>
      <c r="T56" s="28"/>
      <c r="U56" s="28"/>
      <c r="V56" s="28"/>
      <c r="W56" s="28"/>
      <c r="X56" s="28"/>
      <c r="Y56" s="28"/>
      <c r="Z56" s="28"/>
      <c r="AA56" s="28"/>
      <c r="AB56" s="28"/>
    </row>
    <row r="57">
      <c r="A57" s="21" t="s">
        <v>110</v>
      </c>
      <c r="B57" s="22" t="s">
        <v>111</v>
      </c>
      <c r="C57" s="23" t="str">
        <f>IFERROR(__xludf.DUMMYFUNCTION("GOOGLETRANSLATE(B57, ""en"", ""fr"")"),"Inventaire")</f>
        <v>Inventaire</v>
      </c>
      <c r="D57" s="23" t="str">
        <f>IFERROR(__xludf.DUMMYFUNCTION("GOOGLETRANSLATE(B57, ""en"", ""es"")"),"Inventario")</f>
        <v>Inventario</v>
      </c>
      <c r="E57" s="23" t="str">
        <f>IFERROR(__xludf.DUMMYFUNCTION("GOOGLETRANSLATE(B57, ""en"", ""ru"")"),"инвентарь")</f>
        <v>инвентарь</v>
      </c>
      <c r="F57" s="23" t="str">
        <f>IFERROR(__xludf.DUMMYFUNCTION("GOOGLETRANSLATE(B57, ""en"", ""tr"")"),"Envanter")</f>
        <v>Envanter</v>
      </c>
      <c r="G57" s="23" t="str">
        <f>IFERROR(__xludf.DUMMYFUNCTION("GOOGLETRANSLATE(B57, ""en"", ""pt"")"),"Inventário")</f>
        <v>Inventário</v>
      </c>
      <c r="H57" s="24" t="str">
        <f>IFERROR(__xludf.DUMMYFUNCTION("GOOGLETRANSLATE(B57, ""en"", ""de"")"),"Inventar")</f>
        <v>Inventar</v>
      </c>
      <c r="I57" s="23" t="str">
        <f>IFERROR(__xludf.DUMMYFUNCTION("GOOGLETRANSLATE(B57, ""en"", ""pl"")"),"Inwentarz")</f>
        <v>Inwentarz</v>
      </c>
      <c r="J57" s="25" t="str">
        <f>IFERROR(__xludf.DUMMYFUNCTION("GOOGLETRANSLATE(B57, ""en"", ""zh"")"),"存货")</f>
        <v>存货</v>
      </c>
      <c r="K57" s="25" t="str">
        <f>IFERROR(__xludf.DUMMYFUNCTION("GOOGLETRANSLATE(B57, ""en"", ""vi"")"),"Hàng tồn kho")</f>
        <v>Hàng tồn kho</v>
      </c>
      <c r="L57" s="26" t="str">
        <f>IFERROR(__xludf.DUMMYFUNCTION("GOOGLETRANSLATE(B57, ""en"", ""hr"")"),"Inventar")</f>
        <v>Inventar</v>
      </c>
      <c r="M57" s="28"/>
      <c r="N57" s="28"/>
      <c r="O57" s="28"/>
      <c r="P57" s="28"/>
      <c r="Q57" s="28"/>
      <c r="R57" s="28"/>
      <c r="S57" s="28"/>
      <c r="T57" s="28"/>
      <c r="U57" s="28"/>
      <c r="V57" s="28"/>
      <c r="W57" s="28"/>
      <c r="X57" s="28"/>
      <c r="Y57" s="28"/>
      <c r="Z57" s="28"/>
      <c r="AA57" s="28"/>
      <c r="AB57" s="28"/>
    </row>
    <row r="58">
      <c r="A58" s="21" t="s">
        <v>112</v>
      </c>
      <c r="B58" s="22" t="s">
        <v>113</v>
      </c>
      <c r="C58" s="23" t="str">
        <f>IFERROR(__xludf.DUMMYFUNCTION("GOOGLETRANSLATE(B58, ""en"", ""fr"")"),"Compte: Définissez un nom d'utilisateur et mot de passe pour ce personnage pour sauvegarder votre progression.")</f>
        <v>Compte: Définissez un nom d'utilisateur et mot de passe pour ce personnage pour sauvegarder votre progression.</v>
      </c>
      <c r="D58" s="23" t="str">
        <f>IFERROR(__xludf.DUMMYFUNCTION("GOOGLETRANSLATE(B58, ""en"", ""es"")"),"Cuenta: Establecer un nombre de usuario y contraseña para este personaje para salvar su progreso.")</f>
        <v>Cuenta: Establecer un nombre de usuario y contraseña para este personaje para salvar su progreso.</v>
      </c>
      <c r="E58" s="23" t="str">
        <f>IFERROR(__xludf.DUMMYFUNCTION("GOOGLETRANSLATE(B58, ""en"", ""ru"")"),"Счет: Установить имя пользователя и пароль для этого персонажа, чтобы сохранить ваш прогресс.")</f>
        <v>Счет: Установить имя пользователя и пароль для этого персонажа, чтобы сохранить ваш прогресс.</v>
      </c>
      <c r="F58" s="23" t="str">
        <f>IFERROR(__xludf.DUMMYFUNCTION("GOOGLETRANSLATE(B58, ""en"", ""tr"")"),"Hesap: ilerleme kaydetmek için bu karakter için bir kullanıcı adı ve şifre belirleyin.")</f>
        <v>Hesap: ilerleme kaydetmek için bu karakter için bir kullanıcı adı ve şifre belirleyin.</v>
      </c>
      <c r="G58" s="23" t="str">
        <f>IFERROR(__xludf.DUMMYFUNCTION("GOOGLETRANSLATE(B58, ""en"", ""pt"")"),"Conta: Defina um nome de usuário e senha para este personagem para salvar seu progresso.")</f>
        <v>Conta: Defina um nome de usuário e senha para este personagem para salvar seu progresso.</v>
      </c>
      <c r="H58" s="24" t="str">
        <f>IFERROR(__xludf.DUMMYFUNCTION("GOOGLETRANSLATE(B58, ""en"", ""de"")"),"Konto: Benutzername und Passwort für diesen Zeichensatz Ihren Fortschritt zu speichern.")</f>
        <v>Konto: Benutzername und Passwort für diesen Zeichensatz Ihren Fortschritt zu speichern.</v>
      </c>
      <c r="I58" s="23" t="str">
        <f>IFERROR(__xludf.DUMMYFUNCTION("GOOGLETRANSLATE(B58, ""en"", ""pl"")"),"Konta: Ustaw nazwę użytkownika i hasło do tego znaku, aby zapisać swoje postępy.")</f>
        <v>Konta: Ustaw nazwę użytkownika i hasło do tego znaku, aby zapisać swoje postępy.</v>
      </c>
      <c r="J58" s="25" t="str">
        <f>IFERROR(__xludf.DUMMYFUNCTION("GOOGLETRANSLATE(B58, ""en"", ""zh"")"),"帐户：这个人物以保存进度设置一个用户名和密码。")</f>
        <v>帐户：这个人物以保存进度设置一个用户名和密码。</v>
      </c>
      <c r="K58" s="25" t="str">
        <f>IFERROR(__xludf.DUMMYFUNCTION("GOOGLETRANSLATE(B58, ""en"", ""vi"")"),"Tài khoản: Đặt một tên người dùng và mật khẩu cho nhân vật này để lưu tiến bộ của bạn.")</f>
        <v>Tài khoản: Đặt một tên người dùng và mật khẩu cho nhân vật này để lưu tiến bộ của bạn.</v>
      </c>
      <c r="L58" s="26" t="str">
        <f>IFERROR(__xludf.DUMMYFUNCTION("GOOGLETRANSLATE(B58, ""en"", ""hr"")"),"Račun: Postavite korisničko ime i lozinku za ovaj lik da spasi svoj napredak.")</f>
        <v>Račun: Postavite korisničko ime i lozinku za ovaj lik da spasi svoj napredak.</v>
      </c>
      <c r="M58" s="28"/>
      <c r="N58" s="28"/>
      <c r="O58" s="28"/>
      <c r="P58" s="28"/>
      <c r="Q58" s="28"/>
      <c r="R58" s="28"/>
      <c r="S58" s="28"/>
      <c r="T58" s="28"/>
      <c r="U58" s="28"/>
      <c r="V58" s="28"/>
      <c r="W58" s="28"/>
      <c r="X58" s="28"/>
      <c r="Y58" s="28"/>
      <c r="Z58" s="28"/>
      <c r="AA58" s="28"/>
      <c r="AB58" s="28"/>
    </row>
    <row r="59">
      <c r="A59" s="21" t="s">
        <v>114</v>
      </c>
      <c r="B59" s="22" t="s">
        <v>115</v>
      </c>
      <c r="C59" s="23" t="str">
        <f>IFERROR(__xludf.DUMMYFUNCTION("GOOGLETRANSLATE(B59, ""en"", ""fr"")"),"Réglages: Appuyez sur pour afficher / masquer plus d'options.")</f>
        <v>Réglages: Appuyez sur pour afficher / masquer plus d'options.</v>
      </c>
      <c r="D59" s="23" t="str">
        <f>IFERROR(__xludf.DUMMYFUNCTION("GOOGLETRANSLATE(B59, ""en"", ""es"")"),"Ajustes: Pulse para mostrar / ocultar más opciones.")</f>
        <v>Ajustes: Pulse para mostrar / ocultar más opciones.</v>
      </c>
      <c r="E59" s="23" t="str">
        <f>IFERROR(__xludf.DUMMYFUNCTION("GOOGLETRANSLATE(B59, ""en"", ""ru"")"),"Настройки: Нажмите, чтобы показать / скрыть другие варианты.")</f>
        <v>Настройки: Нажмите, чтобы показать / скрыть другие варианты.</v>
      </c>
      <c r="F59" s="23" t="str">
        <f>IFERROR(__xludf.DUMMYFUNCTION("GOOGLETRANSLATE(B59, ""en"", ""tr"")"),"Ayarlar: Basın / göstermek daha fazla seçenek gizlemek için.")</f>
        <v>Ayarlar: Basın / göstermek daha fazla seçenek gizlemek için.</v>
      </c>
      <c r="G59" s="23" t="str">
        <f>IFERROR(__xludf.DUMMYFUNCTION("GOOGLETRANSLATE(B59, ""en"", ""pt"")"),"Configurações: Pressione para mostrar / ocultar mais opções.")</f>
        <v>Configurações: Pressione para mostrar / ocultar mais opções.</v>
      </c>
      <c r="H59" s="24" t="str">
        <f>IFERROR(__xludf.DUMMYFUNCTION("GOOGLETRANSLATE(B59, ""en"", ""de"")"),"Einstellungen: Drücken Sie, um ein- / auszublenden mehr Optionen.")</f>
        <v>Einstellungen: Drücken Sie, um ein- / auszublenden mehr Optionen.</v>
      </c>
      <c r="I59" s="23" t="str">
        <f>IFERROR(__xludf.DUMMYFUNCTION("GOOGLETRANSLATE(B59, ""en"", ""pl"")"),"Ustawienia: Naciśnij, aby pokazać / ukryć więcej opcji.")</f>
        <v>Ustawienia: Naciśnij, aby pokazać / ukryć więcej opcji.</v>
      </c>
      <c r="J59" s="25" t="str">
        <f>IFERROR(__xludf.DUMMYFUNCTION("GOOGLETRANSLATE(B59, ""en"", ""zh"")"),"设置：按显示/隐藏更多选项。")</f>
        <v>设置：按显示/隐藏更多选项。</v>
      </c>
      <c r="K59" s="25" t="str">
        <f>IFERROR(__xludf.DUMMYFUNCTION("GOOGLETRANSLATE(B59, ""en"", ""vi"")"),"Cài đặt: Nhấn để hiển thị / ẩn thêm nhiều lựa chọn.")</f>
        <v>Cài đặt: Nhấn để hiển thị / ẩn thêm nhiều lựa chọn.</v>
      </c>
      <c r="L59" s="26" t="str">
        <f>IFERROR(__xludf.DUMMYFUNCTION("GOOGLETRANSLATE(B59, ""en"", ""hr"")"),"Postavke: Pritisnite za prikaz / skrivanje više opcija.")</f>
        <v>Postavke: Pritisnite za prikaz / skrivanje više opcija.</v>
      </c>
      <c r="M59" s="28"/>
      <c r="N59" s="28"/>
      <c r="O59" s="28"/>
      <c r="P59" s="28"/>
      <c r="Q59" s="28"/>
      <c r="R59" s="28"/>
      <c r="S59" s="28"/>
      <c r="T59" s="28"/>
      <c r="U59" s="28"/>
      <c r="V59" s="28"/>
      <c r="W59" s="28"/>
      <c r="X59" s="28"/>
      <c r="Y59" s="28"/>
      <c r="Z59" s="28"/>
      <c r="AA59" s="28"/>
      <c r="AB59" s="28"/>
    </row>
    <row r="60">
      <c r="A60" s="21" t="s">
        <v>116</v>
      </c>
      <c r="B60" s="22" t="s">
        <v>116</v>
      </c>
      <c r="C60" s="23" t="str">
        <f>IFERROR(__xludf.DUMMYFUNCTION("GOOGLETRANSLATE(B60, ""en"", ""fr"")"),"Paramètres")</f>
        <v>Paramètres</v>
      </c>
      <c r="D60" s="23" t="str">
        <f>IFERROR(__xludf.DUMMYFUNCTION("GOOGLETRANSLATE(B60, ""en"", ""es"")"),"Ajustes")</f>
        <v>Ajustes</v>
      </c>
      <c r="E60" s="23" t="str">
        <f>IFERROR(__xludf.DUMMYFUNCTION("GOOGLETRANSLATE(B60, ""en"", ""ru"")"),"Настройки")</f>
        <v>Настройки</v>
      </c>
      <c r="F60" s="23" t="str">
        <f>IFERROR(__xludf.DUMMYFUNCTION("GOOGLETRANSLATE(B60, ""en"", ""tr"")"),"Ayarlar")</f>
        <v>Ayarlar</v>
      </c>
      <c r="G60" s="23" t="str">
        <f>IFERROR(__xludf.DUMMYFUNCTION("GOOGLETRANSLATE(B60, ""en"", ""pt"")"),"Definições")</f>
        <v>Definições</v>
      </c>
      <c r="H60" s="24" t="str">
        <f>IFERROR(__xludf.DUMMYFUNCTION("GOOGLETRANSLATE(B60, ""en"", ""de"")"),"die Einstellungen")</f>
        <v>die Einstellungen</v>
      </c>
      <c r="I60" s="23" t="str">
        <f>IFERROR(__xludf.DUMMYFUNCTION("GOOGLETRANSLATE(B60, ""en"", ""pl"")"),"Ustawienia")</f>
        <v>Ustawienia</v>
      </c>
      <c r="J60" s="25" t="str">
        <f>IFERROR(__xludf.DUMMYFUNCTION("GOOGLETRANSLATE(B60, ""en"", ""zh"")"),"设置")</f>
        <v>设置</v>
      </c>
      <c r="K60" s="25" t="str">
        <f>IFERROR(__xludf.DUMMYFUNCTION("GOOGLETRANSLATE(B60, ""en"", ""vi"")"),"Cài đặt")</f>
        <v>Cài đặt</v>
      </c>
      <c r="L60" s="26" t="str">
        <f>IFERROR(__xludf.DUMMYFUNCTION("GOOGLETRANSLATE(B60, ""en"", ""hr"")"),"postavke")</f>
        <v>postavke</v>
      </c>
      <c r="M60" s="28"/>
      <c r="N60" s="28"/>
      <c r="O60" s="28"/>
      <c r="P60" s="28"/>
      <c r="Q60" s="28"/>
      <c r="R60" s="28"/>
      <c r="S60" s="28"/>
      <c r="T60" s="28"/>
      <c r="U60" s="28"/>
      <c r="V60" s="28"/>
      <c r="W60" s="28"/>
      <c r="X60" s="28"/>
      <c r="Y60" s="28"/>
      <c r="Z60" s="28"/>
      <c r="AA60" s="28"/>
      <c r="AB60" s="28"/>
    </row>
    <row r="61">
      <c r="A61" s="21" t="s">
        <v>117</v>
      </c>
      <c r="B61" s="22" t="s">
        <v>118</v>
      </c>
      <c r="C61" s="23" t="str">
        <f>IFERROR(__xludf.DUMMYFUNCTION("GOOGLETRANSLATE(B61, ""en"", ""fr"")"),"Plein écran")</f>
        <v>Plein écran</v>
      </c>
      <c r="D61" s="23" t="str">
        <f>IFERROR(__xludf.DUMMYFUNCTION("GOOGLETRANSLATE(B61, ""en"", ""es"")"),"Pantalla completa")</f>
        <v>Pantalla completa</v>
      </c>
      <c r="E61" s="23" t="str">
        <f>IFERROR(__xludf.DUMMYFUNCTION("GOOGLETRANSLATE(B61, ""en"", ""ru"")"),"Полноэкранный")</f>
        <v>Полноэкранный</v>
      </c>
      <c r="F61" s="23" t="str">
        <f>IFERROR(__xludf.DUMMYFUNCTION("GOOGLETRANSLATE(B61, ""en"", ""tr"")"),"Tam ekran")</f>
        <v>Tam ekran</v>
      </c>
      <c r="G61" s="23" t="str">
        <f>IFERROR(__xludf.DUMMYFUNCTION("GOOGLETRANSLATE(B61, ""en"", ""pt"")"),"Tela cheia")</f>
        <v>Tela cheia</v>
      </c>
      <c r="H61" s="24" t="str">
        <f>IFERROR(__xludf.DUMMYFUNCTION("GOOGLETRANSLATE(B61, ""en"", ""de"")"),"Vollbild")</f>
        <v>Vollbild</v>
      </c>
      <c r="I61" s="23" t="str">
        <f>IFERROR(__xludf.DUMMYFUNCTION("GOOGLETRANSLATE(B61, ""en"", ""pl"")"),"Pełny ekran")</f>
        <v>Pełny ekran</v>
      </c>
      <c r="J61" s="25" t="str">
        <f>IFERROR(__xludf.DUMMYFUNCTION("GOOGLETRANSLATE(B61, ""en"", ""zh"")"),"全屏")</f>
        <v>全屏</v>
      </c>
      <c r="K61" s="25" t="str">
        <f>IFERROR(__xludf.DUMMYFUNCTION("GOOGLETRANSLATE(B61, ""en"", ""vi"")"),"Toàn màn hình")</f>
        <v>Toàn màn hình</v>
      </c>
      <c r="L61" s="26" t="str">
        <f>IFERROR(__xludf.DUMMYFUNCTION("GOOGLETRANSLATE(B61, ""en"", ""hr"")"),"Puni zaslon")</f>
        <v>Puni zaslon</v>
      </c>
      <c r="M61" s="28"/>
      <c r="N61" s="28"/>
      <c r="O61" s="28"/>
      <c r="P61" s="28"/>
      <c r="Q61" s="28"/>
      <c r="R61" s="28"/>
      <c r="S61" s="28"/>
      <c r="T61" s="28"/>
      <c r="U61" s="28"/>
      <c r="V61" s="28"/>
      <c r="W61" s="28"/>
      <c r="X61" s="28"/>
      <c r="Y61" s="28"/>
      <c r="Z61" s="28"/>
      <c r="AA61" s="28"/>
      <c r="AB61" s="28"/>
    </row>
    <row r="62">
      <c r="A62" s="21" t="s">
        <v>119</v>
      </c>
      <c r="B62" s="22" t="s">
        <v>120</v>
      </c>
      <c r="C62" s="23" t="str">
        <f>IFERROR(__xludf.DUMMYFUNCTION("GOOGLETRANSLATE(B62, ""en"", ""fr"")"),"Volume de la musique")</f>
        <v>Volume de la musique</v>
      </c>
      <c r="D62" s="23" t="str">
        <f>IFERROR(__xludf.DUMMYFUNCTION("GOOGLETRANSLATE(B62, ""en"", ""es"")"),"Volumen de la música")</f>
        <v>Volumen de la música</v>
      </c>
      <c r="E62" s="23" t="str">
        <f>IFERROR(__xludf.DUMMYFUNCTION("GOOGLETRANSLATE(B62, ""en"", ""ru"")"),"громкость музыки")</f>
        <v>громкость музыки</v>
      </c>
      <c r="F62" s="23" t="str">
        <f>IFERROR(__xludf.DUMMYFUNCTION("GOOGLETRANSLATE(B62, ""en"", ""tr"")"),"Müzik sesi")</f>
        <v>Müzik sesi</v>
      </c>
      <c r="G62" s="23" t="str">
        <f>IFERROR(__xludf.DUMMYFUNCTION("GOOGLETRANSLATE(B62, ""en"", ""pt"")"),"Volume da música")</f>
        <v>Volume da música</v>
      </c>
      <c r="H62" s="24" t="str">
        <f>IFERROR(__xludf.DUMMYFUNCTION("GOOGLETRANSLATE(B62, ""en"", ""de"")"),"Musiklautstärke")</f>
        <v>Musiklautstärke</v>
      </c>
      <c r="I62" s="23" t="str">
        <f>IFERROR(__xludf.DUMMYFUNCTION("GOOGLETRANSLATE(B62, ""en"", ""pl"")"),"Głośność muzyki")</f>
        <v>Głośność muzyki</v>
      </c>
      <c r="J62" s="25" t="str">
        <f>IFERROR(__xludf.DUMMYFUNCTION("GOOGLETRANSLATE(B62, ""en"", ""zh"")"),"音乐音量")</f>
        <v>音乐音量</v>
      </c>
      <c r="K62" s="25" t="str">
        <f>IFERROR(__xludf.DUMMYFUNCTION("GOOGLETRANSLATE(B62, ""en"", ""vi"")"),"Âm lượng nhạc")</f>
        <v>Âm lượng nhạc</v>
      </c>
      <c r="L62" s="26" t="str">
        <f>IFERROR(__xludf.DUMMYFUNCTION("GOOGLETRANSLATE(B62, ""en"", ""hr"")"),"volumen Glazba")</f>
        <v>volumen Glazba</v>
      </c>
      <c r="M62" s="28"/>
      <c r="N62" s="28"/>
      <c r="O62" s="28"/>
      <c r="P62" s="28"/>
      <c r="Q62" s="28"/>
      <c r="R62" s="28"/>
      <c r="S62" s="28"/>
      <c r="T62" s="28"/>
      <c r="U62" s="28"/>
      <c r="V62" s="28"/>
      <c r="W62" s="28"/>
      <c r="X62" s="28"/>
      <c r="Y62" s="28"/>
      <c r="Z62" s="28"/>
      <c r="AA62" s="28"/>
      <c r="AB62" s="28"/>
    </row>
    <row r="63">
      <c r="A63" s="21" t="s">
        <v>121</v>
      </c>
      <c r="B63" s="22" t="s">
        <v>122</v>
      </c>
      <c r="C63" s="23" t="str">
        <f>IFERROR(__xludf.DUMMYFUNCTION("GOOGLETRANSLATE(B63, ""en"", ""fr"")"),"Le volume des effets")</f>
        <v>Le volume des effets</v>
      </c>
      <c r="D63" s="23" t="str">
        <f>IFERROR(__xludf.DUMMYFUNCTION("GOOGLETRANSLATE(B63, ""en"", ""es"")"),"volumen de los efectos")</f>
        <v>volumen de los efectos</v>
      </c>
      <c r="E63" s="23" t="str">
        <f>IFERROR(__xludf.DUMMYFUNCTION("GOOGLETRANSLATE(B63, ""en"", ""ru"")"),"объем эффектов")</f>
        <v>объем эффектов</v>
      </c>
      <c r="F63" s="23" t="str">
        <f>IFERROR(__xludf.DUMMYFUNCTION("GOOGLETRANSLATE(B63, ""en"", ""tr"")"),"Efektler hacmi")</f>
        <v>Efektler hacmi</v>
      </c>
      <c r="G63" s="23" t="str">
        <f>IFERROR(__xludf.DUMMYFUNCTION("GOOGLETRANSLATE(B63, ""en"", ""pt"")"),"volume de efeitos")</f>
        <v>volume de efeitos</v>
      </c>
      <c r="H63" s="24" t="str">
        <f>IFERROR(__xludf.DUMMYFUNCTION("GOOGLETRANSLATE(B63, ""en"", ""de"")"),"Effekte Volumen")</f>
        <v>Effekte Volumen</v>
      </c>
      <c r="I63" s="23" t="str">
        <f>IFERROR(__xludf.DUMMYFUNCTION("GOOGLETRANSLATE(B63, ""en"", ""pl"")"),"głośność efektów")</f>
        <v>głośność efektów</v>
      </c>
      <c r="J63" s="25" t="str">
        <f>IFERROR(__xludf.DUMMYFUNCTION("GOOGLETRANSLATE(B63, ""en"", ""zh"")"),"影响量")</f>
        <v>影响量</v>
      </c>
      <c r="K63" s="25" t="str">
        <f>IFERROR(__xludf.DUMMYFUNCTION("GOOGLETRANSLATE(B63, ""en"", ""vi"")"),"khối lượng tác")</f>
        <v>khối lượng tác</v>
      </c>
      <c r="L63" s="26" t="str">
        <f>IFERROR(__xludf.DUMMYFUNCTION("GOOGLETRANSLATE(B63, ""en"", ""hr"")"),"volumen učinci")</f>
        <v>volumen učinci</v>
      </c>
      <c r="M63" s="28"/>
      <c r="N63" s="28"/>
      <c r="O63" s="28"/>
      <c r="P63" s="28"/>
      <c r="Q63" s="28"/>
      <c r="R63" s="28"/>
      <c r="S63" s="28"/>
      <c r="T63" s="28"/>
      <c r="U63" s="28"/>
      <c r="V63" s="28"/>
      <c r="W63" s="28"/>
      <c r="X63" s="28"/>
      <c r="Y63" s="28"/>
      <c r="Z63" s="28"/>
      <c r="AA63" s="28"/>
      <c r="AB63" s="28"/>
    </row>
    <row r="64">
      <c r="A64" s="21" t="s">
        <v>123</v>
      </c>
      <c r="B64" s="22" t="s">
        <v>124</v>
      </c>
      <c r="C64" s="23" t="str">
        <f>IFERROR(__xludf.DUMMYFUNCTION("GOOGLETRANSLATE(B64, ""en"", ""fr"")"),"échelle GUI")</f>
        <v>échelle GUI</v>
      </c>
      <c r="D64" s="23" t="str">
        <f>IFERROR(__xludf.DUMMYFUNCTION("GOOGLETRANSLATE(B64, ""en"", ""es"")"),"escala GUI")</f>
        <v>escala GUI</v>
      </c>
      <c r="E64" s="23" t="str">
        <f>IFERROR(__xludf.DUMMYFUNCTION("GOOGLETRANSLATE(B64, ""en"", ""ru"")"),"масштаб GUI")</f>
        <v>масштаб GUI</v>
      </c>
      <c r="F64" s="23" t="str">
        <f>IFERROR(__xludf.DUMMYFUNCTION("GOOGLETRANSLATE(B64, ""en"", ""tr"")"),"GUI ölçeği")</f>
        <v>GUI ölçeği</v>
      </c>
      <c r="G64" s="23" t="str">
        <f>IFERROR(__xludf.DUMMYFUNCTION("GOOGLETRANSLATE(B64, ""en"", ""pt"")"),"escala GUI")</f>
        <v>escala GUI</v>
      </c>
      <c r="H64" s="24" t="str">
        <f>IFERROR(__xludf.DUMMYFUNCTION("GOOGLETRANSLATE(B64, ""en"", ""de"")"),"GUI-Skala")</f>
        <v>GUI-Skala</v>
      </c>
      <c r="I64" s="23" t="str">
        <f>IFERROR(__xludf.DUMMYFUNCTION("GOOGLETRANSLATE(B64, ""en"", ""pl"")"),"skala GUI")</f>
        <v>skala GUI</v>
      </c>
      <c r="J64" s="25" t="str">
        <f>IFERROR(__xludf.DUMMYFUNCTION("GOOGLETRANSLATE(B64, ""en"", ""zh"")"),"GUI规模")</f>
        <v>GUI规模</v>
      </c>
      <c r="K64" s="25" t="str">
        <f>IFERROR(__xludf.DUMMYFUNCTION("GOOGLETRANSLATE(B64, ""en"", ""vi"")"),"quy mô GUI")</f>
        <v>quy mô GUI</v>
      </c>
      <c r="L64" s="26" t="str">
        <f>IFERROR(__xludf.DUMMYFUNCTION("GOOGLETRANSLATE(B64, ""en"", ""hr"")"),"GUI ljestvica")</f>
        <v>GUI ljestvica</v>
      </c>
      <c r="M64" s="28"/>
      <c r="N64" s="28"/>
      <c r="O64" s="28"/>
      <c r="P64" s="28"/>
      <c r="Q64" s="28"/>
      <c r="R64" s="28"/>
      <c r="S64" s="28"/>
      <c r="T64" s="28"/>
      <c r="U64" s="28"/>
      <c r="V64" s="28"/>
      <c r="W64" s="28"/>
      <c r="X64" s="28"/>
      <c r="Y64" s="28"/>
      <c r="Z64" s="28"/>
      <c r="AA64" s="28"/>
      <c r="AB64" s="28"/>
    </row>
    <row r="65">
      <c r="A65" s="21" t="s">
        <v>125</v>
      </c>
      <c r="B65" s="22" t="s">
        <v>126</v>
      </c>
      <c r="C65" s="23" t="str">
        <f>IFERROR(__xludf.DUMMYFUNCTION("GOOGLETRANSLATE(B65, ""en"", ""fr"")"),"Afficher le D-pad virtuel")</f>
        <v>Afficher le D-pad virtuel</v>
      </c>
      <c r="D65" s="23" t="str">
        <f>IFERROR(__xludf.DUMMYFUNCTION("GOOGLETRANSLATE(B65, ""en"", ""es"")"),"Mostrar el D-pad virtual")</f>
        <v>Mostrar el D-pad virtual</v>
      </c>
      <c r="E65" s="23" t="str">
        <f>IFERROR(__xludf.DUMMYFUNCTION("GOOGLETRANSLATE(B65, ""en"", ""ru"")"),"Показать виртуальный D-Pad")</f>
        <v>Показать виртуальный D-Pad</v>
      </c>
      <c r="F65" s="23" t="str">
        <f>IFERROR(__xludf.DUMMYFUNCTION("GOOGLETRANSLATE(B65, ""en"", ""tr"")"),"Sanal D-pad göster")</f>
        <v>Sanal D-pad göster</v>
      </c>
      <c r="G65" s="23" t="str">
        <f>IFERROR(__xludf.DUMMYFUNCTION("GOOGLETRANSLATE(B65, ""en"", ""pt"")"),"Mostrar o D-pad virtual")</f>
        <v>Mostrar o D-pad virtual</v>
      </c>
      <c r="H65" s="24" t="str">
        <f>IFERROR(__xludf.DUMMYFUNCTION("GOOGLETRANSLATE(B65, ""en"", ""de"")"),"Zeigen Sie die virtuelle D-Pad")</f>
        <v>Zeigen Sie die virtuelle D-Pad</v>
      </c>
      <c r="I65" s="23" t="str">
        <f>IFERROR(__xludf.DUMMYFUNCTION("GOOGLETRANSLATE(B65, ""en"", ""pl"")"),"Pokaż wirtualny D-pad")</f>
        <v>Pokaż wirtualny D-pad</v>
      </c>
      <c r="J65" s="25" t="str">
        <f>IFERROR(__xludf.DUMMYFUNCTION("GOOGLETRANSLATE(B65, ""en"", ""zh"")"),"显示虚拟d垫")</f>
        <v>显示虚拟d垫</v>
      </c>
      <c r="K65" s="25" t="str">
        <f>IFERROR(__xludf.DUMMYFUNCTION("GOOGLETRANSLATE(B65, ""en"", ""vi"")"),"Hiện D-pad ảo")</f>
        <v>Hiện D-pad ảo</v>
      </c>
      <c r="L65" s="26" t="str">
        <f>IFERROR(__xludf.DUMMYFUNCTION("GOOGLETRANSLATE(B65, ""en"", ""hr"")"),"Prikaži virtualni D-pad")</f>
        <v>Prikaži virtualni D-pad</v>
      </c>
      <c r="M65" s="28"/>
      <c r="N65" s="28"/>
      <c r="O65" s="28"/>
      <c r="P65" s="28"/>
      <c r="Q65" s="28"/>
      <c r="R65" s="28"/>
      <c r="S65" s="28"/>
      <c r="T65" s="28"/>
      <c r="U65" s="28"/>
      <c r="V65" s="28"/>
      <c r="W65" s="28"/>
      <c r="X65" s="28"/>
      <c r="Y65" s="28"/>
      <c r="Z65" s="28"/>
      <c r="AA65" s="28"/>
      <c r="AB65" s="28"/>
    </row>
    <row r="66">
      <c r="A66" s="21" t="s">
        <v>127</v>
      </c>
      <c r="B66" s="22" t="s">
        <v>128</v>
      </c>
      <c r="C66" s="23" t="str">
        <f>IFERROR(__xludf.DUMMYFUNCTION("GOOGLETRANSLATE(B66, ""en"", ""fr"")"),"Ajouter ramassées articles à Hotbar")</f>
        <v>Ajouter ramassées articles à Hotbar</v>
      </c>
      <c r="D66" s="23" t="str">
        <f>IFERROR(__xludf.DUMMYFUNCTION("GOOGLETRANSLATE(B66, ""en"", ""es"")"),"Añadir recogido artículos a barra de acceso rápido")</f>
        <v>Añadir recogido artículos a barra de acceso rápido</v>
      </c>
      <c r="E66" s="23" t="str">
        <f>IFERROR(__xludf.DUMMYFUNCTION("GOOGLETRANSLATE(B66, ""en"", ""ru"")"),"Добавить подобранные элементы в хотбар")</f>
        <v>Добавить подобранные элементы в хотбар</v>
      </c>
      <c r="F66" s="23" t="str">
        <f>IFERROR(__xludf.DUMMYFUNCTION("GOOGLETRANSLATE(B66, ""en"", ""tr"")"),"Kısayol çubuğunun için kaldırdı öğe ekle")</f>
        <v>Kısayol çubuğunun için kaldırdı öğe ekle</v>
      </c>
      <c r="G66" s="23" t="str">
        <f>IFERROR(__xludf.DUMMYFUNCTION("GOOGLETRANSLATE(B66, ""en"", ""pt"")"),"Adicionar pegou itens para hotbar")</f>
        <v>Adicionar pegou itens para hotbar</v>
      </c>
      <c r="H66" s="24" t="str">
        <f>IFERROR(__xludf.DUMMYFUNCTION("GOOGLETRANSLATE(B66, ""en"", ""de"")"),"Fügen Sie nahm Elemente hotbar")</f>
        <v>Fügen Sie nahm Elemente hotbar</v>
      </c>
      <c r="I66" s="23" t="str">
        <f>IFERROR(__xludf.DUMMYFUNCTION("GOOGLETRANSLATE(B66, ""en"", ""pl"")"),"Dodaj odbierane elementy do Hotbar")</f>
        <v>Dodaj odbierane elementy do Hotbar</v>
      </c>
      <c r="J66" s="25" t="str">
        <f>IFERROR(__xludf.DUMMYFUNCTION("GOOGLETRANSLATE(B66, ""en"", ""zh"")"),"添加拿起物品快捷栏")</f>
        <v>添加拿起物品快捷栏</v>
      </c>
      <c r="K66" s="25" t="str">
        <f>IFERROR(__xludf.DUMMYFUNCTION("GOOGLETRANSLATE(B66, ""en"", ""vi"")"),"Thêm nhặt mục để Hotbar")</f>
        <v>Thêm nhặt mục để Hotbar</v>
      </c>
      <c r="L66" s="26" t="str">
        <f>IFERROR(__xludf.DUMMYFUNCTION("GOOGLETRANSLATE(B66, ""en"", ""hr"")"),"Dodaj pokupila stavke hotbar")</f>
        <v>Dodaj pokupila stavke hotbar</v>
      </c>
      <c r="M66" s="28"/>
      <c r="N66" s="28"/>
      <c r="O66" s="28"/>
      <c r="P66" s="28"/>
      <c r="Q66" s="28"/>
      <c r="R66" s="28"/>
      <c r="S66" s="28"/>
      <c r="T66" s="28"/>
      <c r="U66" s="28"/>
      <c r="V66" s="28"/>
      <c r="W66" s="28"/>
      <c r="X66" s="28"/>
      <c r="Y66" s="28"/>
      <c r="Z66" s="28"/>
      <c r="AA66" s="28"/>
      <c r="AB66" s="28"/>
    </row>
    <row r="67">
      <c r="A67" s="21" t="s">
        <v>129</v>
      </c>
      <c r="B67" s="22" t="s">
        <v>130</v>
      </c>
      <c r="C67" s="23" t="str">
        <f>IFERROR(__xludf.DUMMYFUNCTION("GOOGLETRANSLATE(B67, ""en"", ""fr"")"),"filtre jurons chat")</f>
        <v>filtre jurons chat</v>
      </c>
      <c r="D67" s="23" t="str">
        <f>IFERROR(__xludf.DUMMYFUNCTION("GOOGLETRANSLATE(B67, ""en"", ""es"")"),"filtro de malas palabras de chat")</f>
        <v>filtro de malas palabras de chat</v>
      </c>
      <c r="E67" s="23" t="str">
        <f>IFERROR(__xludf.DUMMYFUNCTION("GOOGLETRANSLATE(B67, ""en"", ""ru"")"),"Чат профанация фильтр")</f>
        <v>Чат профанация фильтр</v>
      </c>
      <c r="F67" s="23" t="str">
        <f>IFERROR(__xludf.DUMMYFUNCTION("GOOGLETRANSLATE(B67, ""en"", ""tr"")"),"Sohbet küfür filtresi")</f>
        <v>Sohbet küfür filtresi</v>
      </c>
      <c r="G67" s="23" t="str">
        <f>IFERROR(__xludf.DUMMYFUNCTION("GOOGLETRANSLATE(B67, ""en"", ""pt"")"),"filtro de palavras de baixo calão do bate-papo")</f>
        <v>filtro de palavras de baixo calão do bate-papo</v>
      </c>
      <c r="H67" s="24" t="str">
        <f>IFERROR(__xludf.DUMMYFUNCTION("GOOGLETRANSLATE(B67, ""en"", ""de"")"),"Chat Profanität Filter")</f>
        <v>Chat Profanität Filter</v>
      </c>
      <c r="I67" s="23" t="str">
        <f>IFERROR(__xludf.DUMMYFUNCTION("GOOGLETRANSLATE(B67, ""en"", ""pl"")"),"Czat filtr wulgaryzmów")</f>
        <v>Czat filtr wulgaryzmów</v>
      </c>
      <c r="J67" s="25" t="str">
        <f>IFERROR(__xludf.DUMMYFUNCTION("GOOGLETRANSLATE(B67, ""en"", ""zh"")"),"聊天亵渎过滤器")</f>
        <v>聊天亵渎过滤器</v>
      </c>
      <c r="K67" s="25" t="str">
        <f>IFERROR(__xludf.DUMMYFUNCTION("GOOGLETRANSLATE(B67, ""en"", ""vi"")"),"lọc thô tục trò chuyện")</f>
        <v>lọc thô tục trò chuyện</v>
      </c>
      <c r="L67" s="26" t="str">
        <f>IFERROR(__xludf.DUMMYFUNCTION("GOOGLETRANSLATE(B67, ""en"", ""hr"")"),"Chat vulgarnost filter")</f>
        <v>Chat vulgarnost filter</v>
      </c>
      <c r="M67" s="28"/>
      <c r="N67" s="28"/>
      <c r="O67" s="28"/>
      <c r="P67" s="28"/>
      <c r="Q67" s="28"/>
      <c r="R67" s="28"/>
      <c r="S67" s="28"/>
      <c r="T67" s="28"/>
      <c r="U67" s="28"/>
      <c r="V67" s="28"/>
      <c r="W67" s="28"/>
      <c r="X67" s="28"/>
      <c r="Y67" s="28"/>
      <c r="Z67" s="28"/>
      <c r="AA67" s="28"/>
      <c r="AB67" s="28"/>
    </row>
    <row r="68">
      <c r="A68" s="21" t="s">
        <v>131</v>
      </c>
      <c r="B68" s="22" t="s">
        <v>132</v>
      </c>
      <c r="C68" s="23" t="str">
        <f>IFERROR(__xludf.DUMMYFUNCTION("GOOGLETRANSLATE(B68, ""en"", ""fr"")"),"scintillement lumière")</f>
        <v>scintillement lumière</v>
      </c>
      <c r="D68" s="23" t="str">
        <f>IFERROR(__xludf.DUMMYFUNCTION("GOOGLETRANSLATE(B68, ""en"", ""es"")"),"parpadeo de la luz")</f>
        <v>parpadeo de la luz</v>
      </c>
      <c r="E68" s="23" t="str">
        <f>IFERROR(__xludf.DUMMYFUNCTION("GOOGLETRANSLATE(B68, ""en"", ""ru"")"),"Свет мерцания")</f>
        <v>Свет мерцания</v>
      </c>
      <c r="F68" s="23" t="str">
        <f>IFERROR(__xludf.DUMMYFUNCTION("GOOGLETRANSLATE(B68, ""en"", ""tr"")"),"Işık titreşim")</f>
        <v>Işık titreşim</v>
      </c>
      <c r="G68" s="23" t="str">
        <f>IFERROR(__xludf.DUMMYFUNCTION("GOOGLETRANSLATE(B68, ""en"", ""pt"")"),"flicker luz")</f>
        <v>flicker luz</v>
      </c>
      <c r="H68" s="24" t="str">
        <f>IFERROR(__xludf.DUMMYFUNCTION("GOOGLETRANSLATE(B68, ""en"", ""de"")"),"Lichtflimmern")</f>
        <v>Lichtflimmern</v>
      </c>
      <c r="I68" s="23" t="str">
        <f>IFERROR(__xludf.DUMMYFUNCTION("GOOGLETRANSLATE(B68, ""en"", ""pl"")"),"migotania światła")</f>
        <v>migotania światła</v>
      </c>
      <c r="J68" s="25" t="str">
        <f>IFERROR(__xludf.DUMMYFUNCTION("GOOGLETRANSLATE(B68, ""en"", ""zh"")"),"灯闪烁")</f>
        <v>灯闪烁</v>
      </c>
      <c r="K68" s="25" t="str">
        <f>IFERROR(__xludf.DUMMYFUNCTION("GOOGLETRANSLATE(B68, ""en"", ""vi"")"),"nhấp nháy ánh sáng")</f>
        <v>nhấp nháy ánh sáng</v>
      </c>
      <c r="L68" s="26" t="str">
        <f>IFERROR(__xludf.DUMMYFUNCTION("GOOGLETRANSLATE(B68, ""en"", ""hr"")"),"svjetlo treperenje")</f>
        <v>svjetlo treperenje</v>
      </c>
      <c r="M68" s="28"/>
      <c r="N68" s="28"/>
      <c r="O68" s="28"/>
      <c r="P68" s="28"/>
      <c r="Q68" s="28"/>
      <c r="R68" s="28"/>
      <c r="S68" s="28"/>
      <c r="T68" s="28"/>
      <c r="U68" s="28"/>
      <c r="V68" s="28"/>
      <c r="W68" s="28"/>
      <c r="X68" s="28"/>
      <c r="Y68" s="28"/>
      <c r="Z68" s="28"/>
      <c r="AA68" s="28"/>
      <c r="AB68" s="28"/>
    </row>
    <row r="69">
      <c r="A69" s="21" t="s">
        <v>133</v>
      </c>
      <c r="B69" s="22" t="s">
        <v>134</v>
      </c>
      <c r="C69" s="23" t="str">
        <f>IFERROR(__xludf.DUMMYFUNCTION("GOOGLETRANSLATE(B69, ""en"", ""fr"")"),"Afficher Compteur de FPS")</f>
        <v>Afficher Compteur de FPS</v>
      </c>
      <c r="D69" s="23" t="str">
        <f>IFERROR(__xludf.DUMMYFUNCTION("GOOGLETRANSLATE(B69, ""en"", ""es"")"),"Mostrar contador de FPS")</f>
        <v>Mostrar contador de FPS</v>
      </c>
      <c r="E69" s="23" t="str">
        <f>IFERROR(__xludf.DUMMYFUNCTION("GOOGLETRANSLATE(B69, ""en"", ""ru"")"),"счетчик Показать FPS")</f>
        <v>счетчик Показать FPS</v>
      </c>
      <c r="F69" s="23" t="str">
        <f>IFERROR(__xludf.DUMMYFUNCTION("GOOGLETRANSLATE(B69, ""en"", ""tr"")"),"Göster FPS sayacı")</f>
        <v>Göster FPS sayacı</v>
      </c>
      <c r="G69" s="23" t="str">
        <f>IFERROR(__xludf.DUMMYFUNCTION("GOOGLETRANSLATE(B69, ""en"", ""pt"")"),"Contador Mostrar FPS")</f>
        <v>Contador Mostrar FPS</v>
      </c>
      <c r="H69" s="24" t="str">
        <f>IFERROR(__xludf.DUMMYFUNCTION("GOOGLETRANSLATE(B69, ""en"", ""de"")"),"Show FPS Zähler")</f>
        <v>Show FPS Zähler</v>
      </c>
      <c r="I69" s="23" t="str">
        <f>IFERROR(__xludf.DUMMYFUNCTION("GOOGLETRANSLATE(B69, ""en"", ""pl"")"),"Pokaż licznik FPS")</f>
        <v>Pokaż licznik FPS</v>
      </c>
      <c r="J69" s="25" t="str">
        <f>IFERROR(__xludf.DUMMYFUNCTION("GOOGLETRANSLATE(B69, ""en"", ""zh"")"),"显示FPS计数器")</f>
        <v>显示FPS计数器</v>
      </c>
      <c r="K69" s="25" t="str">
        <f>IFERROR(__xludf.DUMMYFUNCTION("GOOGLETRANSLATE(B69, ""en"", ""vi"")"),"Hiện Bộ đếm FPS")</f>
        <v>Hiện Bộ đếm FPS</v>
      </c>
      <c r="L69" s="26" t="str">
        <f>IFERROR(__xludf.DUMMYFUNCTION("GOOGLETRANSLATE(B69, ""en"", ""hr"")"),"Prikaži FPS brojač")</f>
        <v>Prikaži FPS brojač</v>
      </c>
      <c r="M69" s="28"/>
      <c r="N69" s="28"/>
      <c r="O69" s="28"/>
      <c r="P69" s="28"/>
      <c r="Q69" s="28"/>
      <c r="R69" s="28"/>
      <c r="S69" s="28"/>
      <c r="T69" s="28"/>
      <c r="U69" s="28"/>
      <c r="V69" s="28"/>
      <c r="W69" s="28"/>
      <c r="X69" s="28"/>
      <c r="Y69" s="28"/>
      <c r="Z69" s="28"/>
      <c r="AA69" s="28"/>
      <c r="AB69" s="28"/>
    </row>
    <row r="70">
      <c r="A70" s="21" t="s">
        <v>135</v>
      </c>
      <c r="B70" s="22" t="s">
        <v>136</v>
      </c>
      <c r="C70" s="23" t="str">
        <f>IFERROR(__xludf.DUMMYFUNCTION("GOOGLETRANSLATE(B70, ""en"", ""fr"")"),"Créer un compte")</f>
        <v>Créer un compte</v>
      </c>
      <c r="D70" s="23" t="str">
        <f>IFERROR(__xludf.DUMMYFUNCTION("GOOGLETRANSLATE(B70, ""en"", ""es"")"),"Crear una cuenta")</f>
        <v>Crear una cuenta</v>
      </c>
      <c r="E70" s="23" t="str">
        <f>IFERROR(__xludf.DUMMYFUNCTION("GOOGLETRANSLATE(B70, ""en"", ""ru"")"),"Зарегистрироваться")</f>
        <v>Зарегистрироваться</v>
      </c>
      <c r="F70" s="23" t="str">
        <f>IFERROR(__xludf.DUMMYFUNCTION("GOOGLETRANSLATE(B70, ""en"", ""tr"")"),"Hesap oluşturmak")</f>
        <v>Hesap oluşturmak</v>
      </c>
      <c r="G70" s="23" t="str">
        <f>IFERROR(__xludf.DUMMYFUNCTION("GOOGLETRANSLATE(B70, ""en"", ""pt"")"),"Criar Conta")</f>
        <v>Criar Conta</v>
      </c>
      <c r="H70" s="24" t="str">
        <f>IFERROR(__xludf.DUMMYFUNCTION("GOOGLETRANSLATE(B70, ""en"", ""de"")"),"Benutzerkonto erstellen")</f>
        <v>Benutzerkonto erstellen</v>
      </c>
      <c r="I70" s="23" t="str">
        <f>IFERROR(__xludf.DUMMYFUNCTION("GOOGLETRANSLATE(B70, ""en"", ""pl"")"),"Utwórz konto")</f>
        <v>Utwórz konto</v>
      </c>
      <c r="J70" s="25" t="str">
        <f>IFERROR(__xludf.DUMMYFUNCTION("GOOGLETRANSLATE(B70, ""en"", ""zh"")"),"创建帐号")</f>
        <v>创建帐号</v>
      </c>
      <c r="K70" s="25" t="str">
        <f>IFERROR(__xludf.DUMMYFUNCTION("GOOGLETRANSLATE(B70, ""en"", ""vi"")"),"Tạo tài khoản")</f>
        <v>Tạo tài khoản</v>
      </c>
      <c r="L70" s="26" t="str">
        <f>IFERROR(__xludf.DUMMYFUNCTION("GOOGLETRANSLATE(B70, ""en"", ""hr"")"),"Izradi račun")</f>
        <v>Izradi račun</v>
      </c>
      <c r="M70" s="28"/>
      <c r="N70" s="28"/>
      <c r="O70" s="28"/>
      <c r="P70" s="28"/>
      <c r="Q70" s="28"/>
      <c r="R70" s="28"/>
      <c r="S70" s="28"/>
      <c r="T70" s="28"/>
      <c r="U70" s="28"/>
      <c r="V70" s="28"/>
      <c r="W70" s="28"/>
      <c r="X70" s="28"/>
      <c r="Y70" s="28"/>
      <c r="Z70" s="28"/>
      <c r="AA70" s="28"/>
      <c r="AB70" s="28"/>
    </row>
    <row r="71">
      <c r="A71" s="21" t="s">
        <v>137</v>
      </c>
      <c r="B71" s="22" t="s">
        <v>138</v>
      </c>
      <c r="C71" s="23" t="str">
        <f>IFERROR(__xludf.DUMMYFUNCTION("GOOGLETRANSLATE(B71, ""en"", ""fr"")"),"Choisissez un nom d'utilisateur et mot de passe pour enregistrer ce caractère si vous pouvez vous connecter plus tard.")</f>
        <v>Choisissez un nom d'utilisateur et mot de passe pour enregistrer ce caractère si vous pouvez vous connecter plus tard.</v>
      </c>
      <c r="D71" s="23" t="str">
        <f>IFERROR(__xludf.DUMMYFUNCTION("GOOGLETRANSLATE(B71, ""en"", ""es"")"),"Elija un nombre de usuario y contraseña para salvar este personaje para que pueda conectarse en otro momento.")</f>
        <v>Elija un nombre de usuario y contraseña para salvar este personaje para que pueda conectarse en otro momento.</v>
      </c>
      <c r="E71" s="23" t="str">
        <f>IFERROR(__xludf.DUMMYFUNCTION("GOOGLETRANSLATE(B71, ""en"", ""ru"")"),"Выберите имя пользователя и пароль, чтобы сохранить этот символ, так что вы можете войти позже.")</f>
        <v>Выберите имя пользователя и пароль, чтобы сохранить этот символ, так что вы можете войти позже.</v>
      </c>
      <c r="F71" s="23" t="str">
        <f>IFERROR(__xludf.DUMMYFUNCTION("GOOGLETRANSLATE(B71, ""en"", ""tr"")"),"Daha sonra giriş yapabilirsiniz, böylece bu karakteri kurtarmak için bir kullanıcı adı ve şifre seçin.")</f>
        <v>Daha sonra giriş yapabilirsiniz, böylece bu karakteri kurtarmak için bir kullanıcı adı ve şifre seçin.</v>
      </c>
      <c r="G71" s="23" t="str">
        <f>IFERROR(__xludf.DUMMYFUNCTION("GOOGLETRANSLATE(B71, ""en"", ""pt"")"),"Escolha um nome de usuário e senha para salvar este personagem para que você possa acessar mais tarde.")</f>
        <v>Escolha um nome de usuário e senha para salvar este personagem para que você possa acessar mais tarde.</v>
      </c>
      <c r="H71" s="24" t="str">
        <f>IFERROR(__xludf.DUMMYFUNCTION("GOOGLETRANSLATE(B71, ""en"", ""de"")"),"Wählen Sie einen Benutzernamen und ein Passwort dieses Zeichen zu speichern, um sie später anmelden können.")</f>
        <v>Wählen Sie einen Benutzernamen und ein Passwort dieses Zeichen zu speichern, um sie später anmelden können.</v>
      </c>
      <c r="I71" s="23" t="str">
        <f>IFERROR(__xludf.DUMMYFUNCTION("GOOGLETRANSLATE(B71, ""en"", ""pl"")"),"Wybierz nazwę użytkownika i hasło, aby uratować tę postać tak można zalogować się później.")</f>
        <v>Wybierz nazwę użytkownika i hasło, aby uratować tę postać tak można zalogować się później.</v>
      </c>
      <c r="J71" s="25" t="str">
        <f>IFERROR(__xludf.DUMMYFUNCTION("GOOGLETRANSLATE(B71, ""en"", ""zh"")"),"选择一个用户名和密码保存这个角色，所以你可以稍后登录。")</f>
        <v>选择一个用户名和密码保存这个角色，所以你可以稍后登录。</v>
      </c>
      <c r="K71" s="25" t="str">
        <f>IFERROR(__xludf.DUMMYFUNCTION("GOOGLETRANSLATE(B71, ""en"", ""vi"")"),"Chọn tên người dùng và mật khẩu để lưu nhân vật này để bạn có thể đăng nhập sau.")</f>
        <v>Chọn tên người dùng và mật khẩu để lưu nhân vật này để bạn có thể đăng nhập sau.</v>
      </c>
      <c r="L71" s="26" t="str">
        <f>IFERROR(__xludf.DUMMYFUNCTION("GOOGLETRANSLATE(B71, ""en"", ""hr"")"),"Odaberite korisničko ime i lozinku za spremanje ovaj lik, tako da možete se prijaviti kasnije.")</f>
        <v>Odaberite korisničko ime i lozinku za spremanje ovaj lik, tako da možete se prijaviti kasnije.</v>
      </c>
      <c r="M71" s="28"/>
      <c r="N71" s="28"/>
      <c r="O71" s="28"/>
      <c r="P71" s="28"/>
      <c r="Q71" s="28"/>
      <c r="R71" s="28"/>
      <c r="S71" s="28"/>
      <c r="T71" s="28"/>
      <c r="U71" s="28"/>
      <c r="V71" s="28"/>
      <c r="W71" s="28"/>
      <c r="X71" s="28"/>
      <c r="Y71" s="28"/>
      <c r="Z71" s="28"/>
      <c r="AA71" s="28"/>
      <c r="AB71" s="28"/>
    </row>
    <row r="72">
      <c r="A72" s="21" t="s">
        <v>139</v>
      </c>
      <c r="B72" s="22" t="s">
        <v>140</v>
      </c>
      <c r="C72" s="23" t="str">
        <f>IFERROR(__xludf.DUMMYFUNCTION("GOOGLETRANSLATE(B72, ""en"", ""fr"")"),"Entrez un nom d'utilisateur")</f>
        <v>Entrez un nom d'utilisateur</v>
      </c>
      <c r="D72" s="23" t="str">
        <f>IFERROR(__xludf.DUMMYFUNCTION("GOOGLETRANSLATE(B72, ""en"", ""es"")"),"Introduzca un nombre de usuario")</f>
        <v>Introduzca un nombre de usuario</v>
      </c>
      <c r="E72" s="23" t="str">
        <f>IFERROR(__xludf.DUMMYFUNCTION("GOOGLETRANSLATE(B72, ""en"", ""ru"")"),"Введите имя пользователя")</f>
        <v>Введите имя пользователя</v>
      </c>
      <c r="F72" s="23" t="str">
        <f>IFERROR(__xludf.DUMMYFUNCTION("GOOGLETRANSLATE(B72, ""en"", ""tr"")"),"Bir kullanıcı adı girin")</f>
        <v>Bir kullanıcı adı girin</v>
      </c>
      <c r="G72" s="23" t="str">
        <f>IFERROR(__xludf.DUMMYFUNCTION("GOOGLETRANSLATE(B72, ""en"", ""pt"")"),"Digite um nome de usuário")</f>
        <v>Digite um nome de usuário</v>
      </c>
      <c r="H72" s="24" t="str">
        <f>IFERROR(__xludf.DUMMYFUNCTION("GOOGLETRANSLATE(B72, ""en"", ""de"")"),"Gebe einen Benutzernamen ein")</f>
        <v>Gebe einen Benutzernamen ein</v>
      </c>
      <c r="I72" s="23" t="str">
        <f>IFERROR(__xludf.DUMMYFUNCTION("GOOGLETRANSLATE(B72, ""en"", ""pl"")"),"Wpisz nazwę użytkownika")</f>
        <v>Wpisz nazwę użytkownika</v>
      </c>
      <c r="J72" s="25" t="str">
        <f>IFERROR(__xludf.DUMMYFUNCTION("GOOGLETRANSLATE(B72, ""en"", ""zh"")"),"输入用户名")</f>
        <v>输入用户名</v>
      </c>
      <c r="K72" s="25" t="str">
        <f>IFERROR(__xludf.DUMMYFUNCTION("GOOGLETRANSLATE(B72, ""en"", ""vi"")"),"Nhập tên người sử dụng")</f>
        <v>Nhập tên người sử dụng</v>
      </c>
      <c r="L72" s="26" t="str">
        <f>IFERROR(__xludf.DUMMYFUNCTION("GOOGLETRANSLATE(B72, ""en"", ""hr"")"),"Unesite korisničko ime")</f>
        <v>Unesite korisničko ime</v>
      </c>
      <c r="M72" s="28"/>
      <c r="N72" s="28"/>
      <c r="O72" s="28"/>
      <c r="P72" s="28"/>
      <c r="Q72" s="28"/>
      <c r="R72" s="28"/>
      <c r="S72" s="28"/>
      <c r="T72" s="28"/>
      <c r="U72" s="28"/>
      <c r="V72" s="28"/>
      <c r="W72" s="28"/>
      <c r="X72" s="28"/>
      <c r="Y72" s="28"/>
      <c r="Z72" s="28"/>
      <c r="AA72" s="28"/>
      <c r="AB72" s="28"/>
    </row>
    <row r="73">
      <c r="A73" s="21" t="s">
        <v>141</v>
      </c>
      <c r="B73" s="22" t="s">
        <v>142</v>
      </c>
      <c r="C73" s="23" t="str">
        <f>IFERROR(__xludf.DUMMYFUNCTION("GOOGLETRANSLATE(B73, ""en"", ""fr"")"),"Entrer un mot de passe")</f>
        <v>Entrer un mot de passe</v>
      </c>
      <c r="D73" s="23" t="str">
        <f>IFERROR(__xludf.DUMMYFUNCTION("GOOGLETRANSLATE(B73, ""en"", ""es"")"),"Ingrese una contraseña")</f>
        <v>Ingrese una contraseña</v>
      </c>
      <c r="E73" s="23" t="str">
        <f>IFERROR(__xludf.DUMMYFUNCTION("GOOGLETRANSLATE(B73, ""en"", ""ru"")"),"введите пароль")</f>
        <v>введите пароль</v>
      </c>
      <c r="F73" s="23" t="str">
        <f>IFERROR(__xludf.DUMMYFUNCTION("GOOGLETRANSLATE(B73, ""en"", ""tr"")"),"Bir parola girin")</f>
        <v>Bir parola girin</v>
      </c>
      <c r="G73" s="23" t="str">
        <f>IFERROR(__xludf.DUMMYFUNCTION("GOOGLETRANSLATE(B73, ""en"", ""pt"")"),"insira uma senha")</f>
        <v>insira uma senha</v>
      </c>
      <c r="H73" s="24" t="str">
        <f>IFERROR(__xludf.DUMMYFUNCTION("GOOGLETRANSLATE(B73, ""en"", ""de"")"),"Geben Sie ein Passwort ein")</f>
        <v>Geben Sie ein Passwort ein</v>
      </c>
      <c r="I73" s="23" t="str">
        <f>IFERROR(__xludf.DUMMYFUNCTION("GOOGLETRANSLATE(B73, ""en"", ""pl"")"),"Wprowadź hasło")</f>
        <v>Wprowadź hasło</v>
      </c>
      <c r="J73" s="25" t="str">
        <f>IFERROR(__xludf.DUMMYFUNCTION("GOOGLETRANSLATE(B73, ""en"", ""zh"")"),"输入密码")</f>
        <v>输入密码</v>
      </c>
      <c r="K73" s="25" t="str">
        <f>IFERROR(__xludf.DUMMYFUNCTION("GOOGLETRANSLATE(B73, ""en"", ""vi"")"),"nhập mật khẩu")</f>
        <v>nhập mật khẩu</v>
      </c>
      <c r="L73" s="26" t="str">
        <f>IFERROR(__xludf.DUMMYFUNCTION("GOOGLETRANSLATE(B73, ""en"", ""hr"")"),"Unesite lozinku")</f>
        <v>Unesite lozinku</v>
      </c>
      <c r="M73" s="28"/>
      <c r="N73" s="28"/>
      <c r="O73" s="28"/>
      <c r="P73" s="28"/>
      <c r="Q73" s="28"/>
      <c r="R73" s="28"/>
      <c r="S73" s="28"/>
      <c r="T73" s="28"/>
      <c r="U73" s="28"/>
      <c r="V73" s="28"/>
      <c r="W73" s="28"/>
      <c r="X73" s="28"/>
      <c r="Y73" s="28"/>
      <c r="Z73" s="28"/>
      <c r="AA73" s="28"/>
      <c r="AB73" s="28"/>
    </row>
    <row r="74">
      <c r="A74" s="21" t="s">
        <v>136</v>
      </c>
      <c r="B74" s="22" t="s">
        <v>136</v>
      </c>
      <c r="C74" s="23" t="str">
        <f>IFERROR(__xludf.DUMMYFUNCTION("GOOGLETRANSLATE(B74, ""en"", ""fr"")"),"Créer un compte")</f>
        <v>Créer un compte</v>
      </c>
      <c r="D74" s="23" t="str">
        <f>IFERROR(__xludf.DUMMYFUNCTION("GOOGLETRANSLATE(B74, ""en"", ""es"")"),"Crear una cuenta")</f>
        <v>Crear una cuenta</v>
      </c>
      <c r="E74" s="23" t="str">
        <f>IFERROR(__xludf.DUMMYFUNCTION("GOOGLETRANSLATE(B74, ""en"", ""ru"")"),"Зарегистрироваться")</f>
        <v>Зарегистрироваться</v>
      </c>
      <c r="F74" s="23" t="str">
        <f>IFERROR(__xludf.DUMMYFUNCTION("GOOGLETRANSLATE(B74, ""en"", ""tr"")"),"Hesap oluşturmak")</f>
        <v>Hesap oluşturmak</v>
      </c>
      <c r="G74" s="23" t="str">
        <f>IFERROR(__xludf.DUMMYFUNCTION("GOOGLETRANSLATE(B74, ""en"", ""pt"")"),"Criar Conta")</f>
        <v>Criar Conta</v>
      </c>
      <c r="H74" s="24" t="str">
        <f>IFERROR(__xludf.DUMMYFUNCTION("GOOGLETRANSLATE(B74, ""en"", ""de"")"),"Benutzerkonto erstellen")</f>
        <v>Benutzerkonto erstellen</v>
      </c>
      <c r="I74" s="23" t="str">
        <f>IFERROR(__xludf.DUMMYFUNCTION("GOOGLETRANSLATE(B74, ""en"", ""pl"")"),"Utwórz konto")</f>
        <v>Utwórz konto</v>
      </c>
      <c r="J74" s="25" t="str">
        <f>IFERROR(__xludf.DUMMYFUNCTION("GOOGLETRANSLATE(B74, ""en"", ""zh"")"),"创建帐号")</f>
        <v>创建帐号</v>
      </c>
      <c r="K74" s="25" t="str">
        <f>IFERROR(__xludf.DUMMYFUNCTION("GOOGLETRANSLATE(B74, ""en"", ""vi"")"),"Tạo tài khoản")</f>
        <v>Tạo tài khoản</v>
      </c>
      <c r="L74" s="26" t="str">
        <f>IFERROR(__xludf.DUMMYFUNCTION("GOOGLETRANSLATE(B74, ""en"", ""hr"")"),"Izradi račun")</f>
        <v>Izradi račun</v>
      </c>
      <c r="M74" s="28"/>
      <c r="N74" s="28"/>
      <c r="O74" s="28"/>
      <c r="P74" s="28"/>
      <c r="Q74" s="28"/>
      <c r="R74" s="28"/>
      <c r="S74" s="28"/>
      <c r="T74" s="28"/>
      <c r="U74" s="28"/>
      <c r="V74" s="28"/>
      <c r="W74" s="28"/>
      <c r="X74" s="28"/>
      <c r="Y74" s="28"/>
      <c r="Z74" s="28"/>
      <c r="AA74" s="28"/>
      <c r="AB74" s="28"/>
    </row>
    <row r="75">
      <c r="A75" s="21" t="s">
        <v>143</v>
      </c>
      <c r="B75" s="22" t="s">
        <v>143</v>
      </c>
      <c r="C75" s="23" t="str">
        <f>IFERROR(__xludf.DUMMYFUNCTION("GOOGLETRANSLATE(B75, ""en"", ""fr"")"),"Nom d'utilisateur pris")</f>
        <v>Nom d'utilisateur pris</v>
      </c>
      <c r="D75" s="23" t="str">
        <f>IFERROR(__xludf.DUMMYFUNCTION("GOOGLETRANSLATE(B75, ""en"", ""es"")"),"Nombre de usuario tomado")</f>
        <v>Nombre de usuario tomado</v>
      </c>
      <c r="E75" s="23" t="str">
        <f>IFERROR(__xludf.DUMMYFUNCTION("GOOGLETRANSLATE(B75, ""en"", ""ru"")"),"Имя пользователя принято")</f>
        <v>Имя пользователя принято</v>
      </c>
      <c r="F75" s="23" t="str">
        <f>IFERROR(__xludf.DUMMYFUNCTION("GOOGLETRANSLATE(B75, ""en"", ""tr"")"),"Kullanıcı adı alınmış")</f>
        <v>Kullanıcı adı alınmış</v>
      </c>
      <c r="G75" s="23" t="str">
        <f>IFERROR(__xludf.DUMMYFUNCTION("GOOGLETRANSLATE(B75, ""en"", ""pt"")"),"Nome de usuário já utilizado")</f>
        <v>Nome de usuário já utilizado</v>
      </c>
      <c r="H75" s="24" t="str">
        <f>IFERROR(__xludf.DUMMYFUNCTION("GOOGLETRANSLATE(B75, ""en"", ""de"")"),"Benutzername vergeben")</f>
        <v>Benutzername vergeben</v>
      </c>
      <c r="I75" s="23" t="str">
        <f>IFERROR(__xludf.DUMMYFUNCTION("GOOGLETRANSLATE(B75, ""en"", ""pl"")"),"Nazwa użytkownika zajęta")</f>
        <v>Nazwa użytkownika zajęta</v>
      </c>
      <c r="J75" s="25" t="str">
        <f>IFERROR(__xludf.DUMMYFUNCTION("GOOGLETRANSLATE(B75, ""en"", ""zh"")"),"用户名已被使用")</f>
        <v>用户名已被使用</v>
      </c>
      <c r="K75" s="25" t="str">
        <f>IFERROR(__xludf.DUMMYFUNCTION("GOOGLETRANSLATE(B75, ""en"", ""vi"")"),"Tên này đã dc sử dụng")</f>
        <v>Tên này đã dc sử dụng</v>
      </c>
      <c r="L75" s="26" t="str">
        <f>IFERROR(__xludf.DUMMYFUNCTION("GOOGLETRANSLATE(B75, ""en"", ""hr"")"),"Korisničko ime zauzeto")</f>
        <v>Korisničko ime zauzeto</v>
      </c>
      <c r="M75" s="28"/>
      <c r="N75" s="28"/>
      <c r="O75" s="28"/>
      <c r="P75" s="28"/>
      <c r="Q75" s="28"/>
      <c r="R75" s="28"/>
      <c r="S75" s="28"/>
      <c r="T75" s="28"/>
      <c r="U75" s="28"/>
      <c r="V75" s="28"/>
      <c r="W75" s="28"/>
      <c r="X75" s="28"/>
      <c r="Y75" s="28"/>
      <c r="Z75" s="28"/>
      <c r="AA75" s="28"/>
      <c r="AB75" s="28"/>
    </row>
    <row r="76">
      <c r="A76" s="21" t="s">
        <v>144</v>
      </c>
      <c r="B76" s="22" t="s">
        <v>145</v>
      </c>
      <c r="C76" s="23" t="str">
        <f>IFERROR(__xludf.DUMMYFUNCTION("GOOGLETRANSLATE(B76, ""en"", ""fr"")"),"Compte")</f>
        <v>Compte</v>
      </c>
      <c r="D76" s="23" t="str">
        <f>IFERROR(__xludf.DUMMYFUNCTION("GOOGLETRANSLATE(B76, ""en"", ""es"")"),"Cuenta")</f>
        <v>Cuenta</v>
      </c>
      <c r="E76" s="23" t="str">
        <f>IFERROR(__xludf.DUMMYFUNCTION("GOOGLETRANSLATE(B76, ""en"", ""ru"")"),"Счет")</f>
        <v>Счет</v>
      </c>
      <c r="F76" s="23" t="str">
        <f>IFERROR(__xludf.DUMMYFUNCTION("GOOGLETRANSLATE(B76, ""en"", ""tr"")"),"hesap")</f>
        <v>hesap</v>
      </c>
      <c r="G76" s="23" t="str">
        <f>IFERROR(__xludf.DUMMYFUNCTION("GOOGLETRANSLATE(B76, ""en"", ""pt"")"),"Conta")</f>
        <v>Conta</v>
      </c>
      <c r="H76" s="24" t="str">
        <f>IFERROR(__xludf.DUMMYFUNCTION("GOOGLETRANSLATE(B76, ""en"", ""de"")"),"Konto")</f>
        <v>Konto</v>
      </c>
      <c r="I76" s="23" t="str">
        <f>IFERROR(__xludf.DUMMYFUNCTION("GOOGLETRANSLATE(B76, ""en"", ""pl"")"),"Konto")</f>
        <v>Konto</v>
      </c>
      <c r="J76" s="25" t="str">
        <f>IFERROR(__xludf.DUMMYFUNCTION("GOOGLETRANSLATE(B76, ""en"", ""zh"")"),"帐户")</f>
        <v>帐户</v>
      </c>
      <c r="K76" s="25" t="str">
        <f>IFERROR(__xludf.DUMMYFUNCTION("GOOGLETRANSLATE(B76, ""en"", ""vi"")"),"Tài khoản")</f>
        <v>Tài khoản</v>
      </c>
      <c r="L76" s="26" t="str">
        <f>IFERROR(__xludf.DUMMYFUNCTION("GOOGLETRANSLATE(B76, ""en"", ""hr"")"),"Račun")</f>
        <v>Račun</v>
      </c>
      <c r="M76" s="28"/>
      <c r="N76" s="28"/>
      <c r="O76" s="28"/>
      <c r="P76" s="28"/>
      <c r="Q76" s="28"/>
      <c r="R76" s="28"/>
      <c r="S76" s="28"/>
      <c r="T76" s="28"/>
      <c r="U76" s="28"/>
      <c r="V76" s="28"/>
      <c r="W76" s="28"/>
      <c r="X76" s="28"/>
      <c r="Y76" s="28"/>
      <c r="Z76" s="28"/>
      <c r="AA76" s="28"/>
      <c r="AB76" s="28"/>
    </row>
    <row r="77">
      <c r="A77" s="21" t="s">
        <v>146</v>
      </c>
      <c r="B77" s="22" t="s">
        <v>147</v>
      </c>
      <c r="C77" s="23" t="str">
        <f>IFERROR(__xludf.DUMMYFUNCTION("GOOGLETRANSLATE(B77, ""en"", ""fr"")"),"Changer le mot de passe")</f>
        <v>Changer le mot de passe</v>
      </c>
      <c r="D77" s="23" t="str">
        <f>IFERROR(__xludf.DUMMYFUNCTION("GOOGLETRANSLATE(B77, ""en"", ""es"")"),"Cambiar la contraseña")</f>
        <v>Cambiar la contraseña</v>
      </c>
      <c r="E77" s="23" t="str">
        <f>IFERROR(__xludf.DUMMYFUNCTION("GOOGLETRANSLATE(B77, ""en"", ""ru"")"),"Измени пароль")</f>
        <v>Измени пароль</v>
      </c>
      <c r="F77" s="23" t="str">
        <f>IFERROR(__xludf.DUMMYFUNCTION("GOOGLETRANSLATE(B77, ""en"", ""tr"")"),"Şifre değiştir")</f>
        <v>Şifre değiştir</v>
      </c>
      <c r="G77" s="23" t="str">
        <f>IFERROR(__xludf.DUMMYFUNCTION("GOOGLETRANSLATE(B77, ""en"", ""pt"")"),"Alterar a senha")</f>
        <v>Alterar a senha</v>
      </c>
      <c r="H77" s="24" t="str">
        <f>IFERROR(__xludf.DUMMYFUNCTION("GOOGLETRANSLATE(B77, ""en"", ""de"")"),"Kennwort ändern")</f>
        <v>Kennwort ändern</v>
      </c>
      <c r="I77" s="23" t="str">
        <f>IFERROR(__xludf.DUMMYFUNCTION("GOOGLETRANSLATE(B77, ""en"", ""pl"")"),"Zmień hasło")</f>
        <v>Zmień hasło</v>
      </c>
      <c r="J77" s="25" t="str">
        <f>IFERROR(__xludf.DUMMYFUNCTION("GOOGLETRANSLATE(B77, ""en"", ""zh"")"),"更改密码")</f>
        <v>更改密码</v>
      </c>
      <c r="K77" s="25" t="str">
        <f>IFERROR(__xludf.DUMMYFUNCTION("GOOGLETRANSLATE(B77, ""en"", ""vi"")"),"Đổi mật khẩu")</f>
        <v>Đổi mật khẩu</v>
      </c>
      <c r="L77" s="26" t="str">
        <f>IFERROR(__xludf.DUMMYFUNCTION("GOOGLETRANSLATE(B77, ""en"", ""hr"")"),"promjena lozinke")</f>
        <v>promjena lozinke</v>
      </c>
      <c r="M77" s="28"/>
      <c r="N77" s="28"/>
      <c r="O77" s="28"/>
      <c r="P77" s="28"/>
      <c r="Q77" s="28"/>
      <c r="R77" s="28"/>
      <c r="S77" s="28"/>
      <c r="T77" s="28"/>
      <c r="U77" s="28"/>
      <c r="V77" s="28"/>
      <c r="W77" s="28"/>
      <c r="X77" s="28"/>
      <c r="Y77" s="28"/>
      <c r="Z77" s="28"/>
      <c r="AA77" s="28"/>
      <c r="AB77" s="28"/>
    </row>
    <row r="78">
      <c r="A78" s="21" t="s">
        <v>148</v>
      </c>
      <c r="B78" s="22" t="s">
        <v>149</v>
      </c>
      <c r="C78" s="23" t="str">
        <f>IFERROR(__xludf.DUMMYFUNCTION("GOOGLETRANSLATE(B78, ""en"", ""fr"")"),"Changer de nom")</f>
        <v>Changer de nom</v>
      </c>
      <c r="D78" s="23" t="str">
        <f>IFERROR(__xludf.DUMMYFUNCTION("GOOGLETRANSLATE(B78, ""en"", ""es"")"),"Cambiar nombre")</f>
        <v>Cambiar nombre</v>
      </c>
      <c r="E78" s="23" t="str">
        <f>IFERROR(__xludf.DUMMYFUNCTION("GOOGLETRANSLATE(B78, ""en"", ""ru"")"),"Сменить имя")</f>
        <v>Сменить имя</v>
      </c>
      <c r="F78" s="23" t="str">
        <f>IFERROR(__xludf.DUMMYFUNCTION("GOOGLETRANSLATE(B78, ""en"", ""tr"")"),"İsmini değiştir")</f>
        <v>İsmini değiştir</v>
      </c>
      <c r="G78" s="23" t="str">
        <f>IFERROR(__xludf.DUMMYFUNCTION("GOOGLETRANSLATE(B78, ""en"", ""pt"")"),"Mude o nome")</f>
        <v>Mude o nome</v>
      </c>
      <c r="H78" s="24" t="str">
        <f>IFERROR(__xludf.DUMMYFUNCTION("GOOGLETRANSLATE(B78, ""en"", ""de"")"),"Namen ändern")</f>
        <v>Namen ändern</v>
      </c>
      <c r="I78" s="23" t="str">
        <f>IFERROR(__xludf.DUMMYFUNCTION("GOOGLETRANSLATE(B78, ""en"", ""pl"")"),"Zmień nazwę")</f>
        <v>Zmień nazwę</v>
      </c>
      <c r="J78" s="25" t="str">
        <f>IFERROR(__xludf.DUMMYFUNCTION("GOOGLETRANSLATE(B78, ""en"", ""zh"")"),"更换名字")</f>
        <v>更换名字</v>
      </c>
      <c r="K78" s="25" t="str">
        <f>IFERROR(__xludf.DUMMYFUNCTION("GOOGLETRANSLATE(B78, ""en"", ""vi"")"),"Đổi tên")</f>
        <v>Đổi tên</v>
      </c>
      <c r="L78" s="26" t="str">
        <f>IFERROR(__xludf.DUMMYFUNCTION("GOOGLETRANSLATE(B78, ""en"", ""hr"")"),"promjena imena")</f>
        <v>promjena imena</v>
      </c>
      <c r="M78" s="28"/>
      <c r="N78" s="28"/>
      <c r="O78" s="28"/>
      <c r="P78" s="28"/>
      <c r="Q78" s="28"/>
      <c r="R78" s="28"/>
      <c r="S78" s="28"/>
      <c r="T78" s="28"/>
      <c r="U78" s="28"/>
      <c r="V78" s="28"/>
      <c r="W78" s="28"/>
      <c r="X78" s="28"/>
      <c r="Y78" s="28"/>
      <c r="Z78" s="28"/>
      <c r="AA78" s="28"/>
      <c r="AB78" s="28"/>
    </row>
    <row r="79">
      <c r="A79" s="21" t="s">
        <v>150</v>
      </c>
      <c r="B79" s="22" t="s">
        <v>150</v>
      </c>
      <c r="C79" s="23" t="str">
        <f>IFERROR(__xludf.DUMMYFUNCTION("GOOGLETRANSLATE(B79, ""en"", ""fr"")"),"Mot de passe actuel")</f>
        <v>Mot de passe actuel</v>
      </c>
      <c r="D79" s="23" t="str">
        <f>IFERROR(__xludf.DUMMYFUNCTION("GOOGLETRANSLATE(B79, ""en"", ""es"")"),"Contraseña actual")</f>
        <v>Contraseña actual</v>
      </c>
      <c r="E79" s="23" t="str">
        <f>IFERROR(__xludf.DUMMYFUNCTION("GOOGLETRANSLATE(B79, ""en"", ""ru"")"),"Текущий пароль")</f>
        <v>Текущий пароль</v>
      </c>
      <c r="F79" s="23" t="str">
        <f>IFERROR(__xludf.DUMMYFUNCTION("GOOGLETRANSLATE(B79, ""en"", ""tr"")"),"Şimdiki Şifre")</f>
        <v>Şimdiki Şifre</v>
      </c>
      <c r="G79" s="23" t="str">
        <f>IFERROR(__xludf.DUMMYFUNCTION("GOOGLETRANSLATE(B79, ""en"", ""pt"")"),"Senha atual")</f>
        <v>Senha atual</v>
      </c>
      <c r="H79" s="24" t="str">
        <f>IFERROR(__xludf.DUMMYFUNCTION("GOOGLETRANSLATE(B79, ""en"", ""de"")"),"Jetziges Passwort")</f>
        <v>Jetziges Passwort</v>
      </c>
      <c r="I79" s="23" t="str">
        <f>IFERROR(__xludf.DUMMYFUNCTION("GOOGLETRANSLATE(B79, ""en"", ""pl"")"),"Aktualne hasło")</f>
        <v>Aktualne hasło</v>
      </c>
      <c r="J79" s="25" t="str">
        <f>IFERROR(__xludf.DUMMYFUNCTION("GOOGLETRANSLATE(B79, ""en"", ""zh"")"),"当前密码")</f>
        <v>当前密码</v>
      </c>
      <c r="K79" s="25" t="str">
        <f>IFERROR(__xludf.DUMMYFUNCTION("GOOGLETRANSLATE(B79, ""en"", ""vi"")"),"Mật khẩu hiện tại")</f>
        <v>Mật khẩu hiện tại</v>
      </c>
      <c r="L79" s="26" t="str">
        <f>IFERROR(__xludf.DUMMYFUNCTION("GOOGLETRANSLATE(B79, ""en"", ""hr"")"),"Trenutna lozinka")</f>
        <v>Trenutna lozinka</v>
      </c>
      <c r="M79" s="28"/>
      <c r="N79" s="28"/>
      <c r="O79" s="28"/>
      <c r="P79" s="28"/>
      <c r="Q79" s="28"/>
      <c r="R79" s="28"/>
      <c r="S79" s="28"/>
      <c r="T79" s="28"/>
      <c r="U79" s="28"/>
      <c r="V79" s="28"/>
      <c r="W79" s="28"/>
      <c r="X79" s="28"/>
      <c r="Y79" s="28"/>
      <c r="Z79" s="28"/>
      <c r="AA79" s="28"/>
      <c r="AB79" s="28"/>
    </row>
    <row r="80">
      <c r="A80" s="21" t="s">
        <v>151</v>
      </c>
      <c r="B80" s="22" t="s">
        <v>151</v>
      </c>
      <c r="C80" s="23" t="str">
        <f>IFERROR(__xludf.DUMMYFUNCTION("GOOGLETRANSLATE(B80, ""en"", ""fr"")"),"Nouveau mot de passe")</f>
        <v>Nouveau mot de passe</v>
      </c>
      <c r="D80" s="23" t="str">
        <f>IFERROR(__xludf.DUMMYFUNCTION("GOOGLETRANSLATE(B80, ""en"", ""es"")"),"Nueva contraseña")</f>
        <v>Nueva contraseña</v>
      </c>
      <c r="E80" s="23" t="str">
        <f>IFERROR(__xludf.DUMMYFUNCTION("GOOGLETRANSLATE(B80, ""en"", ""ru"")"),"Новый пароль")</f>
        <v>Новый пароль</v>
      </c>
      <c r="F80" s="23" t="str">
        <f>IFERROR(__xludf.DUMMYFUNCTION("GOOGLETRANSLATE(B80, ""en"", ""tr"")"),"Yeni Şifre")</f>
        <v>Yeni Şifre</v>
      </c>
      <c r="G80" s="23" t="str">
        <f>IFERROR(__xludf.DUMMYFUNCTION("GOOGLETRANSLATE(B80, ""en"", ""pt"")"),"Nova Senha")</f>
        <v>Nova Senha</v>
      </c>
      <c r="H80" s="24" t="str">
        <f>IFERROR(__xludf.DUMMYFUNCTION("GOOGLETRANSLATE(B80, ""en"", ""de"")"),"Neues Kennwort")</f>
        <v>Neues Kennwort</v>
      </c>
      <c r="I80" s="23" t="str">
        <f>IFERROR(__xludf.DUMMYFUNCTION("GOOGLETRANSLATE(B80, ""en"", ""pl"")"),"Nowe hasło")</f>
        <v>Nowe hasło</v>
      </c>
      <c r="J80" s="25" t="str">
        <f>IFERROR(__xludf.DUMMYFUNCTION("GOOGLETRANSLATE(B80, ""en"", ""zh"")"),"新密码")</f>
        <v>新密码</v>
      </c>
      <c r="K80" s="25" t="str">
        <f>IFERROR(__xludf.DUMMYFUNCTION("GOOGLETRANSLATE(B80, ""en"", ""vi"")"),"Mật khẩu mới")</f>
        <v>Mật khẩu mới</v>
      </c>
      <c r="L80" s="26" t="str">
        <f>IFERROR(__xludf.DUMMYFUNCTION("GOOGLETRANSLATE(B80, ""en"", ""hr"")"),"Nova lozinka")</f>
        <v>Nova lozinka</v>
      </c>
      <c r="M80" s="28"/>
      <c r="N80" s="28"/>
      <c r="O80" s="28"/>
      <c r="P80" s="28"/>
      <c r="Q80" s="28"/>
      <c r="R80" s="28"/>
      <c r="S80" s="28"/>
      <c r="T80" s="28"/>
      <c r="U80" s="28"/>
      <c r="V80" s="28"/>
      <c r="W80" s="28"/>
      <c r="X80" s="28"/>
      <c r="Y80" s="28"/>
      <c r="Z80" s="28"/>
      <c r="AA80" s="28"/>
      <c r="AB80" s="28"/>
    </row>
    <row r="81">
      <c r="A81" s="21" t="s">
        <v>152</v>
      </c>
      <c r="B81" s="22" t="s">
        <v>152</v>
      </c>
      <c r="C81" s="23" t="str">
        <f>IFERROR(__xludf.DUMMYFUNCTION("GOOGLETRANSLATE(B81, ""en"", ""fr"")"),"mot de passe actuel incorrect")</f>
        <v>mot de passe actuel incorrect</v>
      </c>
      <c r="D81" s="23" t="str">
        <f>IFERROR(__xludf.DUMMYFUNCTION("GOOGLETRANSLATE(B81, ""en"", ""es"")"),"contraseña actual incorrecta")</f>
        <v>contraseña actual incorrecta</v>
      </c>
      <c r="E81" s="23" t="str">
        <f>IFERROR(__xludf.DUMMYFUNCTION("GOOGLETRANSLATE(B81, ""en"", ""ru"")"),"Некорректный текущий пароль")</f>
        <v>Некорректный текущий пароль</v>
      </c>
      <c r="F81" s="23" t="str">
        <f>IFERROR(__xludf.DUMMYFUNCTION("GOOGLETRANSLATE(B81, ""en"", ""tr"")"),"Yanlış akım şifre")</f>
        <v>Yanlış akım şifre</v>
      </c>
      <c r="G81" s="23" t="str">
        <f>IFERROR(__xludf.DUMMYFUNCTION("GOOGLETRANSLATE(B81, ""en"", ""pt"")"),"senha atual incorreta")</f>
        <v>senha atual incorreta</v>
      </c>
      <c r="H81" s="24" t="str">
        <f>IFERROR(__xludf.DUMMYFUNCTION("GOOGLETRANSLATE(B81, ""en"", ""de"")"),"Falsches aktuelles Passwort")</f>
        <v>Falsches aktuelles Passwort</v>
      </c>
      <c r="I81" s="23" t="str">
        <f>IFERROR(__xludf.DUMMYFUNCTION("GOOGLETRANSLATE(B81, ""en"", ""pl"")"),"Nieprawidłowe hasło prąd")</f>
        <v>Nieprawidłowe hasło prąd</v>
      </c>
      <c r="J81" s="25" t="str">
        <f>IFERROR(__xludf.DUMMYFUNCTION("GOOGLETRANSLATE(B81, ""en"", ""zh"")"),"不正确的当前密码")</f>
        <v>不正确的当前密码</v>
      </c>
      <c r="K81" s="25" t="str">
        <f>IFERROR(__xludf.DUMMYFUNCTION("GOOGLETRANSLATE(B81, ""en"", ""vi"")"),"mật khẩu hiện không chính xác")</f>
        <v>mật khẩu hiện không chính xác</v>
      </c>
      <c r="L81" s="26" t="str">
        <f>IFERROR(__xludf.DUMMYFUNCTION("GOOGLETRANSLATE(B81, ""en"", ""hr"")"),"Neispravno trenutna zaporka")</f>
        <v>Neispravno trenutna zaporka</v>
      </c>
      <c r="M81" s="28"/>
      <c r="N81" s="28"/>
      <c r="O81" s="28"/>
      <c r="P81" s="28"/>
      <c r="Q81" s="28"/>
      <c r="R81" s="28"/>
      <c r="S81" s="28"/>
      <c r="T81" s="28"/>
      <c r="U81" s="28"/>
      <c r="V81" s="28"/>
      <c r="W81" s="28"/>
      <c r="X81" s="28"/>
      <c r="Y81" s="28"/>
      <c r="Z81" s="28"/>
      <c r="AA81" s="28"/>
      <c r="AB81" s="28"/>
    </row>
    <row r="82">
      <c r="A82" s="21" t="s">
        <v>153</v>
      </c>
      <c r="B82" s="22" t="s">
        <v>153</v>
      </c>
      <c r="C82" s="23" t="str">
        <f>IFERROR(__xludf.DUMMYFUNCTION("GOOGLETRANSLATE(B82, ""en"", ""fr"")"),"Mot de passe changé")</f>
        <v>Mot de passe changé</v>
      </c>
      <c r="D82" s="23" t="str">
        <f>IFERROR(__xludf.DUMMYFUNCTION("GOOGLETRANSLATE(B82, ""en"", ""es"")"),"contraseña cambiada")</f>
        <v>contraseña cambiada</v>
      </c>
      <c r="E82" s="23" t="str">
        <f>IFERROR(__xludf.DUMMYFUNCTION("GOOGLETRANSLATE(B82, ""en"", ""ru"")"),"пароль изменен")</f>
        <v>пароль изменен</v>
      </c>
      <c r="F82" s="23" t="str">
        <f>IFERROR(__xludf.DUMMYFUNCTION("GOOGLETRANSLATE(B82, ""en"", ""tr"")"),"şifre değişti")</f>
        <v>şifre değişti</v>
      </c>
      <c r="G82" s="23" t="str">
        <f>IFERROR(__xludf.DUMMYFUNCTION("GOOGLETRANSLATE(B82, ""en"", ""pt"")"),"Senha alterada")</f>
        <v>Senha alterada</v>
      </c>
      <c r="H82" s="24" t="str">
        <f>IFERROR(__xludf.DUMMYFUNCTION("GOOGLETRANSLATE(B82, ""en"", ""de"")"),"Passwort geändert")</f>
        <v>Passwort geändert</v>
      </c>
      <c r="I82" s="23" t="str">
        <f>IFERROR(__xludf.DUMMYFUNCTION("GOOGLETRANSLATE(B82, ""en"", ""pl"")"),"Hasło zostało zmienione")</f>
        <v>Hasło zostało zmienione</v>
      </c>
      <c r="J82" s="25" t="str">
        <f>IFERROR(__xludf.DUMMYFUNCTION("GOOGLETRANSLATE(B82, ""en"", ""zh"")"),"密码已更改")</f>
        <v>密码已更改</v>
      </c>
      <c r="K82" s="25" t="str">
        <f>IFERROR(__xludf.DUMMYFUNCTION("GOOGLETRANSLATE(B82, ""en"", ""vi"")"),"mật khẩu đã được thay đổi")</f>
        <v>mật khẩu đã được thay đổi</v>
      </c>
      <c r="L82" s="26" t="str">
        <f>IFERROR(__xludf.DUMMYFUNCTION("GOOGLETRANSLATE(B82, ""en"", ""hr"")"),"Lozinka promijenio")</f>
        <v>Lozinka promijenio</v>
      </c>
      <c r="M82" s="28"/>
      <c r="N82" s="28"/>
      <c r="O82" s="28"/>
      <c r="P82" s="28"/>
      <c r="Q82" s="28"/>
      <c r="R82" s="28"/>
      <c r="S82" s="28"/>
      <c r="T82" s="28"/>
      <c r="U82" s="28"/>
      <c r="V82" s="28"/>
      <c r="W82" s="28"/>
      <c r="X82" s="28"/>
      <c r="Y82" s="28"/>
      <c r="Z82" s="28"/>
      <c r="AA82" s="28"/>
      <c r="AB82" s="28"/>
    </row>
    <row r="83">
      <c r="A83" s="21" t="s">
        <v>154</v>
      </c>
      <c r="B83" s="22" t="s">
        <v>154</v>
      </c>
      <c r="C83" s="23" t="str">
        <f>IFERROR(__xludf.DUMMYFUNCTION("GOOGLETRANSLATE(B83, ""en"", ""fr"")"),"Nom du personnage actuel")</f>
        <v>Nom du personnage actuel</v>
      </c>
      <c r="D83" s="23" t="str">
        <f>IFERROR(__xludf.DUMMYFUNCTION("GOOGLETRANSLATE(B83, ""en"", ""es"")"),"Nombre del carácter actual")</f>
        <v>Nombre del carácter actual</v>
      </c>
      <c r="E83" s="23" t="str">
        <f>IFERROR(__xludf.DUMMYFUNCTION("GOOGLETRANSLATE(B83, ""en"", ""ru"")"),"Текущее имя персонажа")</f>
        <v>Текущее имя персонажа</v>
      </c>
      <c r="F83" s="23" t="str">
        <f>IFERROR(__xludf.DUMMYFUNCTION("GOOGLETRANSLATE(B83, ""en"", ""tr"")"),"Güncel karakter ismi")</f>
        <v>Güncel karakter ismi</v>
      </c>
      <c r="G83" s="23" t="str">
        <f>IFERROR(__xludf.DUMMYFUNCTION("GOOGLETRANSLATE(B83, ""en"", ""pt"")"),"nome do personagem atual")</f>
        <v>nome do personagem atual</v>
      </c>
      <c r="H83" s="24" t="str">
        <f>IFERROR(__xludf.DUMMYFUNCTION("GOOGLETRANSLATE(B83, ""en"", ""de"")"),"Aktuelle Charakternamen")</f>
        <v>Aktuelle Charakternamen</v>
      </c>
      <c r="I83" s="23" t="str">
        <f>IFERROR(__xludf.DUMMYFUNCTION("GOOGLETRANSLATE(B83, ""en"", ""pl"")"),"Obecna nazwa postaci")</f>
        <v>Obecna nazwa postaci</v>
      </c>
      <c r="J83" s="25" t="str">
        <f>IFERROR(__xludf.DUMMYFUNCTION("GOOGLETRANSLATE(B83, ""en"", ""zh"")"),"当前角色名")</f>
        <v>当前角色名</v>
      </c>
      <c r="K83" s="25" t="str">
        <f>IFERROR(__xludf.DUMMYFUNCTION("GOOGLETRANSLATE(B83, ""en"", ""vi"")"),"tên nhân vật hiện tại")</f>
        <v>tên nhân vật hiện tại</v>
      </c>
      <c r="L83" s="26" t="str">
        <f>IFERROR(__xludf.DUMMYFUNCTION("GOOGLETRANSLATE(B83, ""en"", ""hr"")"),"Trenutni naziv karakter")</f>
        <v>Trenutni naziv karakter</v>
      </c>
      <c r="M83" s="28"/>
      <c r="N83" s="28"/>
      <c r="O83" s="28"/>
      <c r="P83" s="28"/>
      <c r="Q83" s="28"/>
      <c r="R83" s="28"/>
      <c r="S83" s="28"/>
      <c r="T83" s="28"/>
      <c r="U83" s="28"/>
      <c r="V83" s="28"/>
      <c r="W83" s="28"/>
      <c r="X83" s="28"/>
      <c r="Y83" s="28"/>
      <c r="Z83" s="28"/>
      <c r="AA83" s="28"/>
      <c r="AB83" s="28"/>
    </row>
    <row r="84">
      <c r="A84" s="21" t="s">
        <v>155</v>
      </c>
      <c r="B84" s="22" t="s">
        <v>155</v>
      </c>
      <c r="C84" s="23" t="str">
        <f>IFERROR(__xludf.DUMMYFUNCTION("GOOGLETRANSLATE(B84, ""en"", ""fr"")"),"Nouveau nom de personnage")</f>
        <v>Nouveau nom de personnage</v>
      </c>
      <c r="D84" s="23" t="str">
        <f>IFERROR(__xludf.DUMMYFUNCTION("GOOGLETRANSLATE(B84, ""en"", ""es"")"),"Nuevo nombre del personaje")</f>
        <v>Nuevo nombre del personaje</v>
      </c>
      <c r="E84" s="23" t="str">
        <f>IFERROR(__xludf.DUMMYFUNCTION("GOOGLETRANSLATE(B84, ""en"", ""ru"")"),"Новое имя персонажа")</f>
        <v>Новое имя персонажа</v>
      </c>
      <c r="F84" s="23" t="str">
        <f>IFERROR(__xludf.DUMMYFUNCTION("GOOGLETRANSLATE(B84, ""en"", ""tr"")"),"Yeni karakter ismi")</f>
        <v>Yeni karakter ismi</v>
      </c>
      <c r="G84" s="23" t="str">
        <f>IFERROR(__xludf.DUMMYFUNCTION("GOOGLETRANSLATE(B84, ""en"", ""pt"")"),"Nome do novo personagem")</f>
        <v>Nome do novo personagem</v>
      </c>
      <c r="H84" s="24" t="str">
        <f>IFERROR(__xludf.DUMMYFUNCTION("GOOGLETRANSLATE(B84, ""en"", ""de"")"),"Neue Charakternamen")</f>
        <v>Neue Charakternamen</v>
      </c>
      <c r="I84" s="23" t="str">
        <f>IFERROR(__xludf.DUMMYFUNCTION("GOOGLETRANSLATE(B84, ""en"", ""pl"")"),"Nowa nazwa postaci")</f>
        <v>Nowa nazwa postaci</v>
      </c>
      <c r="J84" s="25" t="str">
        <f>IFERROR(__xludf.DUMMYFUNCTION("GOOGLETRANSLATE(B84, ""en"", ""zh"")"),"新角色的名字")</f>
        <v>新角色的名字</v>
      </c>
      <c r="K84" s="25" t="str">
        <f>IFERROR(__xludf.DUMMYFUNCTION("GOOGLETRANSLATE(B84, ""en"", ""vi"")"),"Tên nhân vật mới")</f>
        <v>Tên nhân vật mới</v>
      </c>
      <c r="L84" s="26" t="str">
        <f>IFERROR(__xludf.DUMMYFUNCTION("GOOGLETRANSLATE(B84, ""en"", ""hr"")"),"Novi naziv karakter")</f>
        <v>Novi naziv karakter</v>
      </c>
      <c r="M84" s="28"/>
      <c r="N84" s="28"/>
      <c r="O84" s="28"/>
      <c r="P84" s="28"/>
      <c r="Q84" s="28"/>
      <c r="R84" s="28"/>
      <c r="S84" s="28"/>
      <c r="T84" s="28"/>
      <c r="U84" s="28"/>
      <c r="V84" s="28"/>
      <c r="W84" s="28"/>
      <c r="X84" s="28"/>
      <c r="Y84" s="28"/>
      <c r="Z84" s="28"/>
      <c r="AA84" s="28"/>
      <c r="AB84" s="28"/>
    </row>
    <row r="85">
      <c r="A85" s="21" t="s">
        <v>156</v>
      </c>
      <c r="B85" s="22" t="s">
        <v>157</v>
      </c>
      <c r="C85" s="23" t="str">
        <f>IFERROR(__xludf.DUMMYFUNCTION("GOOGLETRANSLATE(B85, ""en"", ""fr"")"),"Nouveau nom requis.")</f>
        <v>Nouveau nom requis.</v>
      </c>
      <c r="D85" s="23" t="str">
        <f>IFERROR(__xludf.DUMMYFUNCTION("GOOGLETRANSLATE(B85, ""en"", ""es"")"),"Nuevo nombre requerido.")</f>
        <v>Nuevo nombre requerido.</v>
      </c>
      <c r="E85" s="23" t="str">
        <f>IFERROR(__xludf.DUMMYFUNCTION("GOOGLETRANSLATE(B85, ""en"", ""ru"")"),"Новое имя требуется.")</f>
        <v>Новое имя требуется.</v>
      </c>
      <c r="F85" s="23" t="str">
        <f>IFERROR(__xludf.DUMMYFUNCTION("GOOGLETRANSLATE(B85, ""en"", ""tr"")"),"Yeni adı gerekiyor.")</f>
        <v>Yeni adı gerekiyor.</v>
      </c>
      <c r="G85" s="23" t="str">
        <f>IFERROR(__xludf.DUMMYFUNCTION("GOOGLETRANSLATE(B85, ""en"", ""pt"")"),"Novo nome necessário.")</f>
        <v>Novo nome necessário.</v>
      </c>
      <c r="H85" s="24" t="str">
        <f>IFERROR(__xludf.DUMMYFUNCTION("GOOGLETRANSLATE(B85, ""en"", ""de"")"),"Neuer Name erforderlich.")</f>
        <v>Neuer Name erforderlich.</v>
      </c>
      <c r="I85" s="23" t="str">
        <f>IFERROR(__xludf.DUMMYFUNCTION("GOOGLETRANSLATE(B85, ""en"", ""pl"")"),"wymagana nowa nazwa.")</f>
        <v>wymagana nowa nazwa.</v>
      </c>
      <c r="J85" s="25" t="str">
        <f>IFERROR(__xludf.DUMMYFUNCTION("GOOGLETRANSLATE(B85, ""en"", ""zh"")"),"新的名称必需的。")</f>
        <v>新的名称必需的。</v>
      </c>
      <c r="K85" s="25" t="str">
        <f>IFERROR(__xludf.DUMMYFUNCTION("GOOGLETRANSLATE(B85, ""en"", ""vi"")"),"tên mới yêu cầu.")</f>
        <v>tên mới yêu cầu.</v>
      </c>
      <c r="L85" s="26" t="str">
        <f>IFERROR(__xludf.DUMMYFUNCTION("GOOGLETRANSLATE(B85, ""en"", ""hr"")"),"Novo ime je potrebno.")</f>
        <v>Novo ime je potrebno.</v>
      </c>
      <c r="M85" s="28"/>
      <c r="N85" s="28"/>
      <c r="O85" s="28"/>
      <c r="P85" s="28"/>
      <c r="Q85" s="28"/>
      <c r="R85" s="28"/>
      <c r="S85" s="28"/>
      <c r="T85" s="28"/>
      <c r="U85" s="28"/>
      <c r="V85" s="28"/>
      <c r="W85" s="28"/>
      <c r="X85" s="28"/>
      <c r="Y85" s="28"/>
      <c r="Z85" s="28"/>
      <c r="AA85" s="28"/>
      <c r="AB85" s="28"/>
    </row>
    <row r="86">
      <c r="A86" s="21" t="s">
        <v>158</v>
      </c>
      <c r="B86" s="22" t="s">
        <v>159</v>
      </c>
      <c r="C86" s="23" t="str">
        <f>IFERROR(__xludf.DUMMYFUNCTION("GOOGLETRANSLATE(B86, ""en"", ""fr"")"),"Nouveau nom doit être différent du nom actuel.")</f>
        <v>Nouveau nom doit être différent du nom actuel.</v>
      </c>
      <c r="D86" s="23" t="str">
        <f>IFERROR(__xludf.DUMMYFUNCTION("GOOGLETRANSLATE(B86, ""en"", ""es"")"),"El nombre nuevo debe ser diferente que el nombre actual.")</f>
        <v>El nombre nuevo debe ser diferente que el nombre actual.</v>
      </c>
      <c r="E86" s="23" t="str">
        <f>IFERROR(__xludf.DUMMYFUNCTION("GOOGLETRANSLATE(B86, ""en"", ""ru"")"),"Новое имя должно отличаться от имени текущего.")</f>
        <v>Новое имя должно отличаться от имени текущего.</v>
      </c>
      <c r="F86" s="23" t="str">
        <f>IFERROR(__xludf.DUMMYFUNCTION("GOOGLETRANSLATE(B86, ""en"", ""tr"")"),"Yeni isim şimdiki adıyla farklı olmalıdır.")</f>
        <v>Yeni isim şimdiki adıyla farklı olmalıdır.</v>
      </c>
      <c r="G86" s="23" t="str">
        <f>IFERROR(__xludf.DUMMYFUNCTION("GOOGLETRANSLATE(B86, ""en"", ""pt"")"),"Novo nome deve ser diferente do nome atual.")</f>
        <v>Novo nome deve ser diferente do nome atual.</v>
      </c>
      <c r="H86" s="24" t="str">
        <f>IFERROR(__xludf.DUMMYFUNCTION("GOOGLETRANSLATE(B86, ""en"", ""de"")"),"Neuer Name als aktuelle Namen anders sein muss.")</f>
        <v>Neuer Name als aktuelle Namen anders sein muss.</v>
      </c>
      <c r="I86" s="23" t="str">
        <f>IFERROR(__xludf.DUMMYFUNCTION("GOOGLETRANSLATE(B86, ""en"", ""pl"")"),"Nowa nazwa musi być inna niż obecna nazwa.")</f>
        <v>Nowa nazwa musi być inna niż obecna nazwa.</v>
      </c>
      <c r="J86" s="25" t="str">
        <f>IFERROR(__xludf.DUMMYFUNCTION("GOOGLETRANSLATE(B86, ""en"", ""zh"")"),"新名称必须比目前的名称不同。")</f>
        <v>新名称必须比目前的名称不同。</v>
      </c>
      <c r="K86" s="25" t="str">
        <f>IFERROR(__xludf.DUMMYFUNCTION("GOOGLETRANSLATE(B86, ""en"", ""vi"")"),"tên mới phải khác với tên hiện tại.")</f>
        <v>tên mới phải khác với tên hiện tại.</v>
      </c>
      <c r="L86" s="26" t="str">
        <f>IFERROR(__xludf.DUMMYFUNCTION("GOOGLETRANSLATE(B86, ""en"", ""hr"")"),"Novo ime mora biti različita od sadašnje ime.")</f>
        <v>Novo ime mora biti različita od sadašnje ime.</v>
      </c>
      <c r="M86" s="28"/>
      <c r="N86" s="28"/>
      <c r="O86" s="28"/>
      <c r="P86" s="28"/>
      <c r="Q86" s="28"/>
      <c r="R86" s="28"/>
      <c r="S86" s="28"/>
      <c r="T86" s="28"/>
      <c r="U86" s="28"/>
      <c r="V86" s="28"/>
      <c r="W86" s="28"/>
      <c r="X86" s="28"/>
      <c r="Y86" s="28"/>
      <c r="Z86" s="28"/>
      <c r="AA86" s="28"/>
      <c r="AB86" s="28"/>
    </row>
    <row r="87">
      <c r="A87" s="21" t="s">
        <v>160</v>
      </c>
      <c r="B87" s="22" t="s">
        <v>161</v>
      </c>
      <c r="C87" s="23" t="str">
        <f>IFERROR(__xludf.DUMMYFUNCTION("GOOGLETRANSLATE(B87, ""en"", ""fr"")"),"Nom du personnage a changé.")</f>
        <v>Nom du personnage a changé.</v>
      </c>
      <c r="D87" s="23" t="str">
        <f>IFERROR(__xludf.DUMMYFUNCTION("GOOGLETRANSLATE(B87, ""en"", ""es"")"),"Nombre del personaje cambió.")</f>
        <v>Nombre del personaje cambió.</v>
      </c>
      <c r="E87" s="23" t="str">
        <f>IFERROR(__xludf.DUMMYFUNCTION("GOOGLETRANSLATE(B87, ""en"", ""ru"")"),"Имя персонажа изменилось.")</f>
        <v>Имя персонажа изменилось.</v>
      </c>
      <c r="F87" s="23" t="str">
        <f>IFERROR(__xludf.DUMMYFUNCTION("GOOGLETRANSLATE(B87, ""en"", ""tr"")"),"Karakter adı değiştirildi.")</f>
        <v>Karakter adı değiştirildi.</v>
      </c>
      <c r="G87" s="23" t="str">
        <f>IFERROR(__xludf.DUMMYFUNCTION("GOOGLETRANSLATE(B87, ""en"", ""pt"")"),"Nome do personagem mudou.")</f>
        <v>Nome do personagem mudou.</v>
      </c>
      <c r="H87" s="24" t="str">
        <f>IFERROR(__xludf.DUMMYFUNCTION("GOOGLETRANSLATE(B87, ""en"", ""de"")"),"Name geändert.")</f>
        <v>Name geändert.</v>
      </c>
      <c r="I87" s="23" t="str">
        <f>IFERROR(__xludf.DUMMYFUNCTION("GOOGLETRANSLATE(B87, ""en"", ""pl"")"),"nazwa postaci zmieniona.")</f>
        <v>nazwa postaci zmieniona.</v>
      </c>
      <c r="J87" s="25" t="str">
        <f>IFERROR(__xludf.DUMMYFUNCTION("GOOGLETRANSLATE(B87, ""en"", ""zh"")"),"汉字名称变更。")</f>
        <v>汉字名称变更。</v>
      </c>
      <c r="K87" s="25" t="str">
        <f>IFERROR(__xludf.DUMMYFUNCTION("GOOGLETRANSLATE(B87, ""en"", ""vi"")"),"Tên nhân vật đã thay đổi.")</f>
        <v>Tên nhân vật đã thay đổi.</v>
      </c>
      <c r="L87" s="26" t="str">
        <f>IFERROR(__xludf.DUMMYFUNCTION("GOOGLETRANSLATE(B87, ""en"", ""hr"")"),"promijenio ime karakter.")</f>
        <v>promijenio ime karakter.</v>
      </c>
      <c r="M87" s="28"/>
      <c r="N87" s="28"/>
      <c r="O87" s="28"/>
      <c r="P87" s="28"/>
      <c r="Q87" s="28"/>
      <c r="R87" s="28"/>
      <c r="S87" s="28"/>
      <c r="T87" s="28"/>
      <c r="U87" s="28"/>
      <c r="V87" s="28"/>
      <c r="W87" s="28"/>
      <c r="X87" s="28"/>
      <c r="Y87" s="28"/>
      <c r="Z87" s="28"/>
      <c r="AA87" s="28"/>
      <c r="AB87" s="28"/>
    </row>
    <row r="88">
      <c r="A88" s="21" t="s">
        <v>162</v>
      </c>
      <c r="B88" s="22" t="s">
        <v>163</v>
      </c>
      <c r="C88" s="23" t="str">
        <f>IFERROR(__xludf.DUMMYFUNCTION("GOOGLETRANSLATE(B88, ""en"", ""fr"")"),"articles d'achat")</f>
        <v>articles d'achat</v>
      </c>
      <c r="D88" s="23" t="str">
        <f>IFERROR(__xludf.DUMMYFUNCTION("GOOGLETRANSLATE(B88, ""en"", ""es"")"),"artículos de compra")</f>
        <v>artículos de compra</v>
      </c>
      <c r="E88" s="23" t="str">
        <f>IFERROR(__xludf.DUMMYFUNCTION("GOOGLETRANSLATE(B88, ""en"", ""ru"")"),"пункты Покупка")</f>
        <v>пункты Покупка</v>
      </c>
      <c r="F88" s="23" t="str">
        <f>IFERROR(__xludf.DUMMYFUNCTION("GOOGLETRANSLATE(B88, ""en"", ""tr"")"),"Alış ürün")</f>
        <v>Alış ürün</v>
      </c>
      <c r="G88" s="23" t="str">
        <f>IFERROR(__xludf.DUMMYFUNCTION("GOOGLETRANSLATE(B88, ""en"", ""pt"")"),"itens de compra")</f>
        <v>itens de compra</v>
      </c>
      <c r="H88" s="24" t="str">
        <f>IFERROR(__xludf.DUMMYFUNCTION("GOOGLETRANSLATE(B88, ""en"", ""de"")"),"Kaufen Sie Artikel")</f>
        <v>Kaufen Sie Artikel</v>
      </c>
      <c r="I88" s="23" t="str">
        <f>IFERROR(__xludf.DUMMYFUNCTION("GOOGLETRANSLATE(B88, ""en"", ""pl"")"),"Kupowanie przedmiotów")</f>
        <v>Kupowanie przedmiotów</v>
      </c>
      <c r="J88" s="25" t="str">
        <f>IFERROR(__xludf.DUMMYFUNCTION("GOOGLETRANSLATE(B88, ""en"", ""zh"")"),"购买物品")</f>
        <v>购买物品</v>
      </c>
      <c r="K88" s="25" t="str">
        <f>IFERROR(__xludf.DUMMYFUNCTION("GOOGLETRANSLATE(B88, ""en"", ""vi"")"),"mục mua")</f>
        <v>mục mua</v>
      </c>
      <c r="L88" s="26" t="str">
        <f>IFERROR(__xludf.DUMMYFUNCTION("GOOGLETRANSLATE(B88, ""en"", ""hr"")"),"stavke Kupnja")</f>
        <v>stavke Kupnja</v>
      </c>
      <c r="M88" s="28"/>
      <c r="N88" s="28"/>
      <c r="O88" s="28"/>
      <c r="P88" s="28"/>
      <c r="Q88" s="28"/>
      <c r="R88" s="28"/>
      <c r="S88" s="28"/>
      <c r="T88" s="28"/>
      <c r="U88" s="28"/>
      <c r="V88" s="28"/>
      <c r="W88" s="28"/>
      <c r="X88" s="28"/>
      <c r="Y88" s="28"/>
      <c r="Z88" s="28"/>
      <c r="AA88" s="28"/>
      <c r="AB88" s="28"/>
    </row>
    <row r="89">
      <c r="A89" s="21" t="s">
        <v>164</v>
      </c>
      <c r="B89" s="22" t="s">
        <v>165</v>
      </c>
      <c r="C89" s="23" t="str">
        <f>IFERROR(__xludf.DUMMYFUNCTION("GOOGLETRANSLATE(B89, ""en"", ""fr"")"),"La cueillette")</f>
        <v>La cueillette</v>
      </c>
      <c r="D89" s="23" t="str">
        <f>IFERROR(__xludf.DUMMYFUNCTION("GOOGLETRANSLATE(B89, ""en"", ""es"")"),"Reunión")</f>
        <v>Reunión</v>
      </c>
      <c r="E89" s="23" t="str">
        <f>IFERROR(__xludf.DUMMYFUNCTION("GOOGLETRANSLATE(B89, ""en"", ""ru"")"),"Встреча")</f>
        <v>Встреча</v>
      </c>
      <c r="F89" s="23" t="str">
        <f>IFERROR(__xludf.DUMMYFUNCTION("GOOGLETRANSLATE(B89, ""en"", ""tr"")"),"toplanma")</f>
        <v>toplanma</v>
      </c>
      <c r="G89" s="23" t="str">
        <f>IFERROR(__xludf.DUMMYFUNCTION("GOOGLETRANSLATE(B89, ""en"", ""pt"")"),"Reunião")</f>
        <v>Reunião</v>
      </c>
      <c r="H89" s="24" t="str">
        <f>IFERROR(__xludf.DUMMYFUNCTION("GOOGLETRANSLATE(B89, ""en"", ""de"")"),"Versammlung")</f>
        <v>Versammlung</v>
      </c>
      <c r="I89" s="23" t="str">
        <f>IFERROR(__xludf.DUMMYFUNCTION("GOOGLETRANSLATE(B89, ""en"", ""pl"")"),"Zebranie")</f>
        <v>Zebranie</v>
      </c>
      <c r="J89" s="25" t="str">
        <f>IFERROR(__xludf.DUMMYFUNCTION("GOOGLETRANSLATE(B89, ""en"", ""zh"")"),"搜集")</f>
        <v>搜集</v>
      </c>
      <c r="K89" s="25" t="str">
        <f>IFERROR(__xludf.DUMMYFUNCTION("GOOGLETRANSLATE(B89, ""en"", ""vi"")"),"Thu thập")</f>
        <v>Thu thập</v>
      </c>
      <c r="L89" s="26" t="str">
        <f>IFERROR(__xludf.DUMMYFUNCTION("GOOGLETRANSLATE(B89, ""en"", ""hr"")"),"Prikupljanje")</f>
        <v>Prikupljanje</v>
      </c>
      <c r="M89" s="28"/>
      <c r="N89" s="28"/>
      <c r="O89" s="28"/>
      <c r="P89" s="28"/>
      <c r="Q89" s="28"/>
      <c r="R89" s="28"/>
      <c r="S89" s="28"/>
      <c r="T89" s="28"/>
      <c r="U89" s="28"/>
      <c r="V89" s="28"/>
      <c r="W89" s="28"/>
      <c r="X89" s="28"/>
      <c r="Y89" s="28"/>
      <c r="Z89" s="28"/>
      <c r="AA89" s="28"/>
      <c r="AB89" s="28"/>
    </row>
    <row r="90">
      <c r="A90" s="21" t="s">
        <v>166</v>
      </c>
      <c r="B90" s="22" t="s">
        <v>167</v>
      </c>
      <c r="C90" s="23" t="str">
        <f>IFERROR(__xludf.DUMMYFUNCTION("GOOGLETRANSLATE(B90, ""en"", ""fr"")"),"vêtements Crafting")</f>
        <v>vêtements Crafting</v>
      </c>
      <c r="D90" s="23" t="str">
        <f>IFERROR(__xludf.DUMMYFUNCTION("GOOGLETRANSLATE(B90, ""en"", ""es"")"),"La elaboración de la ropa")</f>
        <v>La elaboración de la ropa</v>
      </c>
      <c r="E90" s="23" t="str">
        <f>IFERROR(__xludf.DUMMYFUNCTION("GOOGLETRANSLATE(B90, ""en"", ""ru"")"),"Крафт одежды")</f>
        <v>Крафт одежды</v>
      </c>
      <c r="F90" s="23" t="str">
        <f>IFERROR(__xludf.DUMMYFUNCTION("GOOGLETRANSLATE(B90, ""en"", ""tr"")"),"kıyafet hazırlama")</f>
        <v>kıyafet hazırlama</v>
      </c>
      <c r="G90" s="23" t="str">
        <f>IFERROR(__xludf.DUMMYFUNCTION("GOOGLETRANSLATE(B90, ""en"", ""pt"")"),"Crafting roupas")</f>
        <v>Crafting roupas</v>
      </c>
      <c r="H90" s="24" t="str">
        <f>IFERROR(__xludf.DUMMYFUNCTION("GOOGLETRANSLATE(B90, ""en"", ""de"")"),"Crafting Kleidung")</f>
        <v>Crafting Kleidung</v>
      </c>
      <c r="I90" s="23" t="str">
        <f>IFERROR(__xludf.DUMMYFUNCTION("GOOGLETRANSLATE(B90, ""en"", ""pl"")"),"Crafting ubrania")</f>
        <v>Crafting ubrania</v>
      </c>
      <c r="J90" s="25" t="str">
        <f>IFERROR(__xludf.DUMMYFUNCTION("GOOGLETRANSLATE(B90, ""en"", ""zh"")"),"各具特色的衣服")</f>
        <v>各具特色的衣服</v>
      </c>
      <c r="K90" s="25" t="str">
        <f>IFERROR(__xludf.DUMMYFUNCTION("GOOGLETRANSLATE(B90, ""en"", ""vi"")"),"crafting quần áo")</f>
        <v>crafting quần áo</v>
      </c>
      <c r="L90" s="26" t="str">
        <f>IFERROR(__xludf.DUMMYFUNCTION("GOOGLETRANSLATE(B90, ""en"", ""hr"")"),"Crafting odjeću")</f>
        <v>Crafting odjeću</v>
      </c>
      <c r="M90" s="28"/>
      <c r="N90" s="28"/>
      <c r="O90" s="28"/>
      <c r="P90" s="28"/>
      <c r="Q90" s="28"/>
      <c r="R90" s="28"/>
      <c r="S90" s="28"/>
      <c r="T90" s="28"/>
      <c r="U90" s="28"/>
      <c r="V90" s="28"/>
      <c r="W90" s="28"/>
      <c r="X90" s="28"/>
      <c r="Y90" s="28"/>
      <c r="Z90" s="28"/>
      <c r="AA90" s="28"/>
      <c r="AB90" s="28"/>
    </row>
    <row r="91">
      <c r="A91" s="21" t="s">
        <v>168</v>
      </c>
      <c r="B91" s="22" t="s">
        <v>169</v>
      </c>
      <c r="C91" s="23" t="str">
        <f>IFERROR(__xludf.DUMMYFUNCTION("GOOGLETRANSLATE(B91, ""en"", ""fr"")"),"barres métalliques d'artisanat")</f>
        <v>barres métalliques d'artisanat</v>
      </c>
      <c r="D91" s="23" t="str">
        <f>IFERROR(__xludf.DUMMYFUNCTION("GOOGLETRANSLATE(B91, ""en"", ""es"")"),"La elaboración de barras de metal")</f>
        <v>La elaboración de barras de metal</v>
      </c>
      <c r="E91" s="23" t="str">
        <f>IFERROR(__xludf.DUMMYFUNCTION("GOOGLETRANSLATE(B91, ""en"", ""ru"")"),"Крафт металлических прутков")</f>
        <v>Крафт металлических прутков</v>
      </c>
      <c r="F91" s="23" t="str">
        <f>IFERROR(__xludf.DUMMYFUNCTION("GOOGLETRANSLATE(B91, ""en"", ""tr"")"),"metal çubuklar hazırlama")</f>
        <v>metal çubuklar hazırlama</v>
      </c>
      <c r="G91" s="23" t="str">
        <f>IFERROR(__xludf.DUMMYFUNCTION("GOOGLETRANSLATE(B91, ""en"", ""pt"")"),"Elaboração de barras de metal")</f>
        <v>Elaboração de barras de metal</v>
      </c>
      <c r="H91" s="24" t="str">
        <f>IFERROR(__xludf.DUMMYFUNCTION("GOOGLETRANSLATE(B91, ""en"", ""de"")"),"Crafting Metallstangen")</f>
        <v>Crafting Metallstangen</v>
      </c>
      <c r="I91" s="23" t="str">
        <f>IFERROR(__xludf.DUMMYFUNCTION("GOOGLETRANSLATE(B91, ""en"", ""pl"")"),"Crafting prętów metalowych")</f>
        <v>Crafting prętów metalowych</v>
      </c>
      <c r="J91" s="25" t="str">
        <f>IFERROR(__xludf.DUMMYFUNCTION("GOOGLETRANSLATE(B91, ""en"", ""zh"")"),"各具特色的金属条")</f>
        <v>各具特色的金属条</v>
      </c>
      <c r="K91" s="25" t="str">
        <f>IFERROR(__xludf.DUMMYFUNCTION("GOOGLETRANSLATE(B91, ""en"", ""vi"")"),"Phác thảo các thanh kim loại")</f>
        <v>Phác thảo các thanh kim loại</v>
      </c>
      <c r="L91" s="26" t="str">
        <f>IFERROR(__xludf.DUMMYFUNCTION("GOOGLETRANSLATE(B91, ""en"", ""hr"")"),"Lukavost metalnih šipki")</f>
        <v>Lukavost metalnih šipki</v>
      </c>
      <c r="M91" s="28"/>
      <c r="N91" s="28"/>
      <c r="O91" s="28"/>
      <c r="P91" s="28"/>
      <c r="Q91" s="28"/>
      <c r="R91" s="28"/>
      <c r="S91" s="28"/>
      <c r="T91" s="28"/>
      <c r="U91" s="28"/>
      <c r="V91" s="28"/>
      <c r="W91" s="28"/>
      <c r="X91" s="28"/>
      <c r="Y91" s="28"/>
      <c r="Z91" s="28"/>
      <c r="AA91" s="28"/>
      <c r="AB91" s="28"/>
    </row>
    <row r="92">
      <c r="A92" s="21" t="s">
        <v>170</v>
      </c>
      <c r="B92" s="22" t="s">
        <v>171</v>
      </c>
      <c r="C92" s="23" t="str">
        <f>IFERROR(__xludf.DUMMYFUNCTION("GOOGLETRANSLATE(B92, ""en"", ""fr"")"),"armes Crafting")</f>
        <v>armes Crafting</v>
      </c>
      <c r="D92" s="23" t="str">
        <f>IFERROR(__xludf.DUMMYFUNCTION("GOOGLETRANSLATE(B92, ""en"", ""es"")"),"armas de artesanía")</f>
        <v>armas de artesanía</v>
      </c>
      <c r="E92" s="23" t="str">
        <f>IFERROR(__xludf.DUMMYFUNCTION("GOOGLETRANSLATE(B92, ""en"", ""ru"")"),"Крафт оружия")</f>
        <v>Крафт оружия</v>
      </c>
      <c r="F92" s="23" t="str">
        <f>IFERROR(__xludf.DUMMYFUNCTION("GOOGLETRANSLATE(B92, ""en"", ""tr"")"),"işçiliği silahlar")</f>
        <v>işçiliği silahlar</v>
      </c>
      <c r="G92" s="23" t="str">
        <f>IFERROR(__xludf.DUMMYFUNCTION("GOOGLETRANSLATE(B92, ""en"", ""pt"")"),"armas Crafting")</f>
        <v>armas Crafting</v>
      </c>
      <c r="H92" s="24" t="str">
        <f>IFERROR(__xludf.DUMMYFUNCTION("GOOGLETRANSLATE(B92, ""en"", ""de"")"),"Crafting Waffen")</f>
        <v>Crafting Waffen</v>
      </c>
      <c r="I92" s="23" t="str">
        <f>IFERROR(__xludf.DUMMYFUNCTION("GOOGLETRANSLATE(B92, ""en"", ""pl"")"),"broń Crafting")</f>
        <v>broń Crafting</v>
      </c>
      <c r="J92" s="25" t="str">
        <f>IFERROR(__xludf.DUMMYFUNCTION("GOOGLETRANSLATE(B92, ""en"", ""zh"")"),"各具特色的武器")</f>
        <v>各具特色的武器</v>
      </c>
      <c r="K92" s="25" t="str">
        <f>IFERROR(__xludf.DUMMYFUNCTION("GOOGLETRANSLATE(B92, ""en"", ""vi"")"),"vũ khí crafting")</f>
        <v>vũ khí crafting</v>
      </c>
      <c r="L92" s="26" t="str">
        <f>IFERROR(__xludf.DUMMYFUNCTION("GOOGLETRANSLATE(B92, ""en"", ""hr"")"),"crafting oružja")</f>
        <v>crafting oružja</v>
      </c>
      <c r="M92" s="28"/>
      <c r="N92" s="28"/>
      <c r="O92" s="28"/>
      <c r="P92" s="28"/>
      <c r="Q92" s="28"/>
      <c r="R92" s="28"/>
      <c r="S92" s="28"/>
      <c r="T92" s="28"/>
      <c r="U92" s="28"/>
      <c r="V92" s="28"/>
      <c r="W92" s="28"/>
      <c r="X92" s="28"/>
      <c r="Y92" s="28"/>
      <c r="Z92" s="28"/>
      <c r="AA92" s="28"/>
      <c r="AB92" s="28"/>
    </row>
    <row r="93">
      <c r="A93" s="21" t="s">
        <v>172</v>
      </c>
      <c r="B93" s="22" t="s">
        <v>173</v>
      </c>
      <c r="C93" s="23" t="str">
        <f>IFERROR(__xludf.DUMMYFUNCTION("GOOGLETRANSLATE(B93, ""en"", ""fr"")"),"Bancaire")</f>
        <v>Bancaire</v>
      </c>
      <c r="D93" s="23" t="str">
        <f>IFERROR(__xludf.DUMMYFUNCTION("GOOGLETRANSLATE(B93, ""en"", ""es"")"),"Bancario")</f>
        <v>Bancario</v>
      </c>
      <c r="E93" s="23" t="str">
        <f>IFERROR(__xludf.DUMMYFUNCTION("GOOGLETRANSLATE(B93, ""en"", ""ru"")"),"Банковское дело")</f>
        <v>Банковское дело</v>
      </c>
      <c r="F93" s="23" t="str">
        <f>IFERROR(__xludf.DUMMYFUNCTION("GOOGLETRANSLATE(B93, ""en"", ""tr"")"),"Bankacılık")</f>
        <v>Bankacılık</v>
      </c>
      <c r="G93" s="23" t="str">
        <f>IFERROR(__xludf.DUMMYFUNCTION("GOOGLETRANSLATE(B93, ""en"", ""pt"")"),"Bancário")</f>
        <v>Bancário</v>
      </c>
      <c r="H93" s="24" t="str">
        <f>IFERROR(__xludf.DUMMYFUNCTION("GOOGLETRANSLATE(B93, ""en"", ""de"")"),"Bankwesen")</f>
        <v>Bankwesen</v>
      </c>
      <c r="I93" s="23" t="str">
        <f>IFERROR(__xludf.DUMMYFUNCTION("GOOGLETRANSLATE(B93, ""en"", ""pl"")"),"Bankowość")</f>
        <v>Bankowość</v>
      </c>
      <c r="J93" s="25" t="str">
        <f>IFERROR(__xludf.DUMMYFUNCTION("GOOGLETRANSLATE(B93, ""en"", ""zh"")"),"银行业")</f>
        <v>银行业</v>
      </c>
      <c r="K93" s="25" t="str">
        <f>IFERROR(__xludf.DUMMYFUNCTION("GOOGLETRANSLATE(B93, ""en"", ""vi"")"),"ngân hàng")</f>
        <v>ngân hàng</v>
      </c>
      <c r="L93" s="26" t="str">
        <f>IFERROR(__xludf.DUMMYFUNCTION("GOOGLETRANSLATE(B93, ""en"", ""hr"")"),"Bankarstvo")</f>
        <v>Bankarstvo</v>
      </c>
      <c r="M93" s="28"/>
      <c r="N93" s="28"/>
      <c r="O93" s="28"/>
      <c r="P93" s="28"/>
      <c r="Q93" s="28"/>
      <c r="R93" s="28"/>
      <c r="S93" s="28"/>
      <c r="T93" s="28"/>
      <c r="U93" s="28"/>
      <c r="V93" s="28"/>
      <c r="W93" s="28"/>
      <c r="X93" s="28"/>
      <c r="Y93" s="28"/>
      <c r="Z93" s="28"/>
      <c r="AA93" s="28"/>
      <c r="AB93" s="28"/>
    </row>
    <row r="94">
      <c r="A94" s="21" t="s">
        <v>174</v>
      </c>
      <c r="B94" s="22" t="s">
        <v>175</v>
      </c>
      <c r="C94" s="23" t="str">
        <f>IFERROR(__xludf.DUMMYFUNCTION("GOOGLETRANSLATE(B94, ""en"", ""fr"")"),"Combat")</f>
        <v>Combat</v>
      </c>
      <c r="D94" s="23" t="str">
        <f>IFERROR(__xludf.DUMMYFUNCTION("GOOGLETRANSLATE(B94, ""en"", ""es"")"),"Combate")</f>
        <v>Combate</v>
      </c>
      <c r="E94" s="23" t="str">
        <f>IFERROR(__xludf.DUMMYFUNCTION("GOOGLETRANSLATE(B94, ""en"", ""ru"")"),"бой")</f>
        <v>бой</v>
      </c>
      <c r="F94" s="23" t="str">
        <f>IFERROR(__xludf.DUMMYFUNCTION("GOOGLETRANSLATE(B94, ""en"", ""tr"")"),"savaş")</f>
        <v>savaş</v>
      </c>
      <c r="G94" s="23" t="str">
        <f>IFERROR(__xludf.DUMMYFUNCTION("GOOGLETRANSLATE(B94, ""en"", ""pt"")"),"Combate")</f>
        <v>Combate</v>
      </c>
      <c r="H94" s="24" t="str">
        <f>IFERROR(__xludf.DUMMYFUNCTION("GOOGLETRANSLATE(B94, ""en"", ""de"")"),"Kampf")</f>
        <v>Kampf</v>
      </c>
      <c r="I94" s="23" t="str">
        <f>IFERROR(__xludf.DUMMYFUNCTION("GOOGLETRANSLATE(B94, ""en"", ""pl"")"),"Walka")</f>
        <v>Walka</v>
      </c>
      <c r="J94" s="25" t="str">
        <f>IFERROR(__xludf.DUMMYFUNCTION("GOOGLETRANSLATE(B94, ""en"", ""zh"")"),"战斗")</f>
        <v>战斗</v>
      </c>
      <c r="K94" s="25" t="str">
        <f>IFERROR(__xludf.DUMMYFUNCTION("GOOGLETRANSLATE(B94, ""en"", ""vi"")"),"Chiến đấu")</f>
        <v>Chiến đấu</v>
      </c>
      <c r="L94" s="26" t="str">
        <f>IFERROR(__xludf.DUMMYFUNCTION("GOOGLETRANSLATE(B94, ""en"", ""hr"")"),"borba")</f>
        <v>borba</v>
      </c>
      <c r="M94" s="28"/>
      <c r="N94" s="28"/>
      <c r="O94" s="28"/>
      <c r="P94" s="28"/>
      <c r="Q94" s="28"/>
      <c r="R94" s="28"/>
      <c r="S94" s="28"/>
      <c r="T94" s="28"/>
      <c r="U94" s="28"/>
      <c r="V94" s="28"/>
      <c r="W94" s="28"/>
      <c r="X94" s="28"/>
      <c r="Y94" s="28"/>
      <c r="Z94" s="28"/>
      <c r="AA94" s="28"/>
      <c r="AB94" s="28"/>
    </row>
    <row r="95">
      <c r="A95" s="21" t="s">
        <v>176</v>
      </c>
      <c r="B95" s="22" t="s">
        <v>177</v>
      </c>
      <c r="C95" s="23" t="str">
        <f>IFERROR(__xludf.DUMMYFUNCTION("GOOGLETRANSLATE(B95, ""en"", ""fr"")"),"TOUT")</f>
        <v>TOUT</v>
      </c>
      <c r="D95" s="23" t="str">
        <f>IFERROR(__xludf.DUMMYFUNCTION("GOOGLETRANSLATE(B95, ""en"", ""es"")"),"TODAS")</f>
        <v>TODAS</v>
      </c>
      <c r="E95" s="23" t="str">
        <f>IFERROR(__xludf.DUMMYFUNCTION("GOOGLETRANSLATE(B95, ""en"", ""ru"")"),"ВСЕ")</f>
        <v>ВСЕ</v>
      </c>
      <c r="F95" s="23" t="str">
        <f>IFERROR(__xludf.DUMMYFUNCTION("GOOGLETRANSLATE(B95, ""en"", ""tr"")"),"HERŞEY")</f>
        <v>HERŞEY</v>
      </c>
      <c r="G95" s="23" t="str">
        <f>IFERROR(__xludf.DUMMYFUNCTION("GOOGLETRANSLATE(B95, ""en"", ""pt"")"),"TUDO")</f>
        <v>TUDO</v>
      </c>
      <c r="H95" s="24" t="str">
        <f>IFERROR(__xludf.DUMMYFUNCTION("GOOGLETRANSLATE(B95, ""en"", ""de"")"),"ALLE")</f>
        <v>ALLE</v>
      </c>
      <c r="I95" s="23" t="str">
        <f>IFERROR(__xludf.DUMMYFUNCTION("GOOGLETRANSLATE(B95, ""en"", ""pl"")"),"WSZYSTKO")</f>
        <v>WSZYSTKO</v>
      </c>
      <c r="J95" s="25" t="str">
        <f>IFERROR(__xludf.DUMMYFUNCTION("GOOGLETRANSLATE(B95, ""en"", ""zh"")"),"全部")</f>
        <v>全部</v>
      </c>
      <c r="K95" s="25" t="str">
        <f>IFERROR(__xludf.DUMMYFUNCTION("GOOGLETRANSLATE(B95, ""en"", ""vi"")"),"TẤT CẢ")</f>
        <v>TẤT CẢ</v>
      </c>
      <c r="L95" s="26" t="str">
        <f>IFERROR(__xludf.DUMMYFUNCTION("GOOGLETRANSLATE(B95, ""en"", ""hr"")"),"SVI")</f>
        <v>SVI</v>
      </c>
      <c r="M95" s="28"/>
      <c r="N95" s="28"/>
      <c r="O95" s="28"/>
      <c r="P95" s="28"/>
      <c r="Q95" s="28"/>
      <c r="R95" s="28"/>
      <c r="S95" s="28"/>
      <c r="T95" s="28"/>
      <c r="U95" s="28"/>
      <c r="V95" s="28"/>
      <c r="W95" s="28"/>
      <c r="X95" s="28"/>
      <c r="Y95" s="28"/>
      <c r="Z95" s="28"/>
      <c r="AA95" s="28"/>
      <c r="AB95" s="28"/>
    </row>
    <row r="96">
      <c r="A96" s="21" t="s">
        <v>178</v>
      </c>
      <c r="B96" s="22" t="s">
        <v>179</v>
      </c>
      <c r="C96" s="23" t="str">
        <f>IFERROR(__xludf.DUMMYFUNCTION("GOOGLETRANSLATE(B96, ""en"", ""fr"")"),"LOCAL")</f>
        <v>LOCAL</v>
      </c>
      <c r="D96" s="23" t="str">
        <f>IFERROR(__xludf.DUMMYFUNCTION("GOOGLETRANSLATE(B96, ""en"", ""es"")"),"LOCAL")</f>
        <v>LOCAL</v>
      </c>
      <c r="E96" s="23" t="str">
        <f>IFERROR(__xludf.DUMMYFUNCTION("GOOGLETRANSLATE(B96, ""en"", ""ru"")"),"МЕСТНЫЙ")</f>
        <v>МЕСТНЫЙ</v>
      </c>
      <c r="F96" s="23" t="str">
        <f>IFERROR(__xludf.DUMMYFUNCTION("GOOGLETRANSLATE(B96, ""en"", ""tr"")"),"YEREL")</f>
        <v>YEREL</v>
      </c>
      <c r="G96" s="23" t="str">
        <f>IFERROR(__xludf.DUMMYFUNCTION("GOOGLETRANSLATE(B96, ""en"", ""pt"")"),"LOCAL")</f>
        <v>LOCAL</v>
      </c>
      <c r="H96" s="24" t="str">
        <f>IFERROR(__xludf.DUMMYFUNCTION("GOOGLETRANSLATE(B96, ""en"", ""de"")"),"LOKAL")</f>
        <v>LOKAL</v>
      </c>
      <c r="I96" s="23" t="str">
        <f>IFERROR(__xludf.DUMMYFUNCTION("GOOGLETRANSLATE(B96, ""en"", ""pl"")"),"LOKALNY")</f>
        <v>LOKALNY</v>
      </c>
      <c r="J96" s="25" t="str">
        <f>IFERROR(__xludf.DUMMYFUNCTION("GOOGLETRANSLATE(B96, ""en"", ""zh"")"),"当地的")</f>
        <v>当地的</v>
      </c>
      <c r="K96" s="25" t="str">
        <f>IFERROR(__xludf.DUMMYFUNCTION("GOOGLETRANSLATE(B96, ""en"", ""vi"")"),"ĐỊA PHƯƠNG")</f>
        <v>ĐỊA PHƯƠNG</v>
      </c>
      <c r="L96" s="26" t="str">
        <f>IFERROR(__xludf.DUMMYFUNCTION("GOOGLETRANSLATE(B96, ""en"", ""hr"")"),"LOKALNI")</f>
        <v>LOKALNI</v>
      </c>
      <c r="M96" s="28"/>
      <c r="N96" s="28"/>
      <c r="O96" s="28"/>
      <c r="P96" s="28"/>
      <c r="Q96" s="28"/>
      <c r="R96" s="28"/>
      <c r="S96" s="28"/>
      <c r="T96" s="28"/>
      <c r="U96" s="28"/>
      <c r="V96" s="28"/>
      <c r="W96" s="28"/>
      <c r="X96" s="28"/>
      <c r="Y96" s="28"/>
      <c r="Z96" s="28"/>
      <c r="AA96" s="28"/>
      <c r="AB96" s="28"/>
    </row>
    <row r="97">
      <c r="A97" s="21" t="s">
        <v>180</v>
      </c>
      <c r="B97" s="22" t="s">
        <v>181</v>
      </c>
      <c r="C97" s="23" t="str">
        <f>IFERROR(__xludf.DUMMYFUNCTION("GOOGLETRANSLATE(B97, ""en"", ""fr"")"),"GLOBAL")</f>
        <v>GLOBAL</v>
      </c>
      <c r="D97" s="23" t="str">
        <f>IFERROR(__xludf.DUMMYFUNCTION("GOOGLETRANSLATE(B97, ""en"", ""es"")"),"GLOBAL")</f>
        <v>GLOBAL</v>
      </c>
      <c r="E97" s="23" t="str">
        <f>IFERROR(__xludf.DUMMYFUNCTION("GOOGLETRANSLATE(B97, ""en"", ""ru"")"),"ГЛОБАЛЬНЫЙ")</f>
        <v>ГЛОБАЛЬНЫЙ</v>
      </c>
      <c r="F97" s="23" t="str">
        <f>IFERROR(__xludf.DUMMYFUNCTION("GOOGLETRANSLATE(B97, ""en"", ""tr"")"),"KÜRESEL")</f>
        <v>KÜRESEL</v>
      </c>
      <c r="G97" s="23" t="str">
        <f>IFERROR(__xludf.DUMMYFUNCTION("GOOGLETRANSLATE(B97, ""en"", ""pt"")"),"GLOBAL")</f>
        <v>GLOBAL</v>
      </c>
      <c r="H97" s="24" t="str">
        <f>IFERROR(__xludf.DUMMYFUNCTION("GOOGLETRANSLATE(B97, ""en"", ""de"")"),"GLOBAL")</f>
        <v>GLOBAL</v>
      </c>
      <c r="I97" s="23" t="str">
        <f>IFERROR(__xludf.DUMMYFUNCTION("GOOGLETRANSLATE(B97, ""en"", ""pl"")"),"ŚWIATOWY")</f>
        <v>ŚWIATOWY</v>
      </c>
      <c r="J97" s="25" t="str">
        <f>IFERROR(__xludf.DUMMYFUNCTION("GOOGLETRANSLATE(B97, ""en"", ""zh"")"),"全球的")</f>
        <v>全球的</v>
      </c>
      <c r="K97" s="25" t="str">
        <f>IFERROR(__xludf.DUMMYFUNCTION("GOOGLETRANSLATE(B97, ""en"", ""vi"")"),"TOÀN CẦU")</f>
        <v>TOÀN CẦU</v>
      </c>
      <c r="L97" s="26" t="str">
        <f>IFERROR(__xludf.DUMMYFUNCTION("GOOGLETRANSLATE(B97, ""en"", ""hr"")"),"GLOBALNO")</f>
        <v>GLOBALNO</v>
      </c>
      <c r="M97" s="28"/>
      <c r="N97" s="28"/>
      <c r="O97" s="28"/>
      <c r="P97" s="28"/>
      <c r="Q97" s="28"/>
      <c r="R97" s="28"/>
      <c r="S97" s="28"/>
      <c r="T97" s="28"/>
      <c r="U97" s="28"/>
      <c r="V97" s="28"/>
      <c r="W97" s="28"/>
      <c r="X97" s="28"/>
      <c r="Y97" s="28"/>
      <c r="Z97" s="28"/>
      <c r="AA97" s="28"/>
      <c r="AB97" s="28"/>
    </row>
    <row r="98">
      <c r="A98" s="21" t="s">
        <v>182</v>
      </c>
      <c r="B98" s="22" t="s">
        <v>183</v>
      </c>
      <c r="C98" s="23" t="str">
        <f>IFERROR(__xludf.DUMMYFUNCTION("GOOGLETRANSLATE(B98, ""en"", ""fr"")"),"COMMERCE")</f>
        <v>COMMERCE</v>
      </c>
      <c r="D98" s="23" t="str">
        <f>IFERROR(__xludf.DUMMYFUNCTION("GOOGLETRANSLATE(B98, ""en"", ""es"")"),"COMERCIO")</f>
        <v>COMERCIO</v>
      </c>
      <c r="E98" s="23" t="str">
        <f>IFERROR(__xludf.DUMMYFUNCTION("GOOGLETRANSLATE(B98, ""en"", ""ru"")"),"ТОРГОВЛЯ")</f>
        <v>ТОРГОВЛЯ</v>
      </c>
      <c r="F98" s="23" t="str">
        <f>IFERROR(__xludf.DUMMYFUNCTION("GOOGLETRANSLATE(B98, ""en"", ""tr"")"),"TİCARET")</f>
        <v>TİCARET</v>
      </c>
      <c r="G98" s="23" t="str">
        <f>IFERROR(__xludf.DUMMYFUNCTION("GOOGLETRANSLATE(B98, ""en"", ""pt"")"),"TROCA")</f>
        <v>TROCA</v>
      </c>
      <c r="H98" s="24" t="str">
        <f>IFERROR(__xludf.DUMMYFUNCTION("GOOGLETRANSLATE(B98, ""en"", ""de"")"),"HANDEL")</f>
        <v>HANDEL</v>
      </c>
      <c r="I98" s="23" t="str">
        <f>IFERROR(__xludf.DUMMYFUNCTION("GOOGLETRANSLATE(B98, ""en"", ""pl"")"),"HANDEL")</f>
        <v>HANDEL</v>
      </c>
      <c r="J98" s="25" t="str">
        <f>IFERROR(__xludf.DUMMYFUNCTION("GOOGLETRANSLATE(B98, ""en"", ""zh"")"),"贸易")</f>
        <v>贸易</v>
      </c>
      <c r="K98" s="25" t="str">
        <f>IFERROR(__xludf.DUMMYFUNCTION("GOOGLETRANSLATE(B98, ""en"", ""vi"")"),"BUÔN BÁN")</f>
        <v>BUÔN BÁN</v>
      </c>
      <c r="L98" s="26" t="str">
        <f>IFERROR(__xludf.DUMMYFUNCTION("GOOGLETRANSLATE(B98, ""en"", ""hr"")"),"TRGOVINA")</f>
        <v>TRGOVINA</v>
      </c>
      <c r="M98" s="28"/>
      <c r="N98" s="28"/>
      <c r="O98" s="28"/>
      <c r="P98" s="28"/>
      <c r="Q98" s="28"/>
      <c r="R98" s="28"/>
      <c r="S98" s="28"/>
      <c r="T98" s="28"/>
      <c r="U98" s="28"/>
      <c r="V98" s="28"/>
      <c r="W98" s="28"/>
      <c r="X98" s="28"/>
      <c r="Y98" s="28"/>
      <c r="Z98" s="28"/>
      <c r="AA98" s="28"/>
      <c r="AB98" s="28"/>
    </row>
    <row r="99">
      <c r="A99" s="21" t="s">
        <v>184</v>
      </c>
      <c r="B99" s="22" t="s">
        <v>185</v>
      </c>
      <c r="C99" s="23" t="str">
        <f>IFERROR(__xludf.DUMMYFUNCTION("GOOGLETRANSLATE(B99, ""en"", ""fr"")"),"Tapez un message")</f>
        <v>Tapez un message</v>
      </c>
      <c r="D99" s="23" t="str">
        <f>IFERROR(__xludf.DUMMYFUNCTION("GOOGLETRANSLATE(B99, ""en"", ""es"")"),"Escribir un mensaje")</f>
        <v>Escribir un mensaje</v>
      </c>
      <c r="E99" s="23" t="str">
        <f>IFERROR(__xludf.DUMMYFUNCTION("GOOGLETRANSLATE(B99, ""en"", ""ru"")"),"Введите сообщение")</f>
        <v>Введите сообщение</v>
      </c>
      <c r="F99" s="23" t="str">
        <f>IFERROR(__xludf.DUMMYFUNCTION("GOOGLETRANSLATE(B99, ""en"", ""tr"")"),"Bir mesaj yazın")</f>
        <v>Bir mesaj yazın</v>
      </c>
      <c r="G99" s="23" t="str">
        <f>IFERROR(__xludf.DUMMYFUNCTION("GOOGLETRANSLATE(B99, ""en"", ""pt"")"),"Digite uma mensagem")</f>
        <v>Digite uma mensagem</v>
      </c>
      <c r="H99" s="24" t="str">
        <f>IFERROR(__xludf.DUMMYFUNCTION("GOOGLETRANSLATE(B99, ""en"", ""de"")"),"Geben Sie eine Nachricht")</f>
        <v>Geben Sie eine Nachricht</v>
      </c>
      <c r="I99" s="23" t="str">
        <f>IFERROR(__xludf.DUMMYFUNCTION("GOOGLETRANSLATE(B99, ""en"", ""pl"")"),"Wpisz wiadomość")</f>
        <v>Wpisz wiadomość</v>
      </c>
      <c r="J99" s="25" t="str">
        <f>IFERROR(__xludf.DUMMYFUNCTION("GOOGLETRANSLATE(B99, ""en"", ""zh"")"),"键入消息")</f>
        <v>键入消息</v>
      </c>
      <c r="K99" s="25" t="str">
        <f>IFERROR(__xludf.DUMMYFUNCTION("GOOGLETRANSLATE(B99, ""en"", ""vi"")"),"Gõ một tin nhắn")</f>
        <v>Gõ một tin nhắn</v>
      </c>
      <c r="L99" s="26" t="str">
        <f>IFERROR(__xludf.DUMMYFUNCTION("GOOGLETRANSLATE(B99, ""en"", ""hr"")"),"Upišite poruku")</f>
        <v>Upišite poruku</v>
      </c>
      <c r="M99" s="28"/>
      <c r="N99" s="28"/>
      <c r="O99" s="28"/>
      <c r="P99" s="28"/>
      <c r="Q99" s="28"/>
      <c r="R99" s="28"/>
      <c r="S99" s="28"/>
      <c r="T99" s="28"/>
      <c r="U99" s="28"/>
      <c r="V99" s="28"/>
      <c r="W99" s="28"/>
      <c r="X99" s="28"/>
      <c r="Y99" s="28"/>
      <c r="Z99" s="28"/>
      <c r="AA99" s="28"/>
      <c r="AB99" s="28"/>
    </row>
    <row r="100">
      <c r="A100" s="21" t="s">
        <v>186</v>
      </c>
      <c r="B100" s="22" t="s">
        <v>186</v>
      </c>
      <c r="C100" s="23" t="str">
        <f>IFERROR(__xludf.DUMMYFUNCTION("GOOGLETRANSLATE(B100, ""en"", ""fr"")"),"Refroidir")</f>
        <v>Refroidir</v>
      </c>
      <c r="D100" s="23" t="str">
        <f>IFERROR(__xludf.DUMMYFUNCTION("GOOGLETRANSLATE(B100, ""en"", ""es"")"),"Enfriarse")</f>
        <v>Enfriarse</v>
      </c>
      <c r="E100" s="23" t="str">
        <f>IFERROR(__xludf.DUMMYFUNCTION("GOOGLETRANSLATE(B100, ""en"", ""ru"")"),"Остывать")</f>
        <v>Остывать</v>
      </c>
      <c r="F100" s="23" t="str">
        <f>IFERROR(__xludf.DUMMYFUNCTION("GOOGLETRANSLATE(B100, ""en"", ""tr"")"),"Sakin ol")</f>
        <v>Sakin ol</v>
      </c>
      <c r="G100" s="23" t="str">
        <f>IFERROR(__xludf.DUMMYFUNCTION("GOOGLETRANSLATE(B100, ""en"", ""pt"")"),"Esfriar")</f>
        <v>Esfriar</v>
      </c>
      <c r="H100" s="24" t="str">
        <f>IFERROR(__xludf.DUMMYFUNCTION("GOOGLETRANSLATE(B100, ""en"", ""de"")"),"Abkühlen")</f>
        <v>Abkühlen</v>
      </c>
      <c r="I100" s="23" t="str">
        <f>IFERROR(__xludf.DUMMYFUNCTION("GOOGLETRANSLATE(B100, ""en"", ""pl"")"),"Ochłonąć")</f>
        <v>Ochłonąć</v>
      </c>
      <c r="J100" s="25" t="str">
        <f>IFERROR(__xludf.DUMMYFUNCTION("GOOGLETRANSLATE(B100, ""en"", ""zh"")"),"冷却")</f>
        <v>冷却</v>
      </c>
      <c r="K100" s="25" t="str">
        <f>IFERROR(__xludf.DUMMYFUNCTION("GOOGLETRANSLATE(B100, ""en"", ""vi"")"),"Nguội đi")</f>
        <v>Nguội đi</v>
      </c>
      <c r="L100" s="26" t="str">
        <f>IFERROR(__xludf.DUMMYFUNCTION("GOOGLETRANSLATE(B100, ""en"", ""hr"")"),"Smiri se")</f>
        <v>Smiri se</v>
      </c>
      <c r="M100" s="28"/>
      <c r="N100" s="28"/>
      <c r="O100" s="28"/>
      <c r="P100" s="28"/>
      <c r="Q100" s="28"/>
      <c r="R100" s="28"/>
      <c r="S100" s="28"/>
      <c r="T100" s="28"/>
      <c r="U100" s="28"/>
      <c r="V100" s="28"/>
      <c r="W100" s="28"/>
      <c r="X100" s="28"/>
      <c r="Y100" s="28"/>
      <c r="Z100" s="28"/>
      <c r="AA100" s="28"/>
      <c r="AB100" s="28"/>
    </row>
    <row r="101">
      <c r="A101" s="21" t="s">
        <v>187</v>
      </c>
      <c r="B101" s="22" t="s">
        <v>187</v>
      </c>
      <c r="C101" s="23" t="str">
        <f>IFERROR(__xludf.DUMMYFUNCTION("GOOGLETRANSLATE(B101, ""en"", ""fr"")"),"Envoi en cours")</f>
        <v>Envoi en cours</v>
      </c>
      <c r="D101" s="23" t="str">
        <f>IFERROR(__xludf.DUMMYFUNCTION("GOOGLETRANSLATE(B101, ""en"", ""es"")"),"Enviando")</f>
        <v>Enviando</v>
      </c>
      <c r="E101" s="23" t="str">
        <f>IFERROR(__xludf.DUMMYFUNCTION("GOOGLETRANSLATE(B101, ""en"", ""ru"")"),"Отправка")</f>
        <v>Отправка</v>
      </c>
      <c r="F101" s="23" t="str">
        <f>IFERROR(__xludf.DUMMYFUNCTION("GOOGLETRANSLATE(B101, ""en"", ""tr"")"),"gönderme")</f>
        <v>gönderme</v>
      </c>
      <c r="G101" s="23" t="str">
        <f>IFERROR(__xludf.DUMMYFUNCTION("GOOGLETRANSLATE(B101, ""en"", ""pt"")"),"transmissão")</f>
        <v>transmissão</v>
      </c>
      <c r="H101" s="24" t="str">
        <f>IFERROR(__xludf.DUMMYFUNCTION("GOOGLETRANSLATE(B101, ""en"", ""de"")"),"Versendung")</f>
        <v>Versendung</v>
      </c>
      <c r="I101" s="23" t="str">
        <f>IFERROR(__xludf.DUMMYFUNCTION("GOOGLETRANSLATE(B101, ""en"", ""pl"")"),"Wysyłanie")</f>
        <v>Wysyłanie</v>
      </c>
      <c r="J101" s="25" t="str">
        <f>IFERROR(__xludf.DUMMYFUNCTION("GOOGLETRANSLATE(B101, ""en"", ""zh"")"),"发出")</f>
        <v>发出</v>
      </c>
      <c r="K101" s="25" t="str">
        <f>IFERROR(__xludf.DUMMYFUNCTION("GOOGLETRANSLATE(B101, ""en"", ""vi"")"),"Gửi")</f>
        <v>Gửi</v>
      </c>
      <c r="L101" s="26" t="str">
        <f>IFERROR(__xludf.DUMMYFUNCTION("GOOGLETRANSLATE(B101, ""en"", ""hr"")"),"slanje")</f>
        <v>slanje</v>
      </c>
      <c r="M101" s="28"/>
      <c r="N101" s="28"/>
      <c r="O101" s="28"/>
      <c r="P101" s="28"/>
      <c r="Q101" s="28"/>
      <c r="R101" s="28"/>
      <c r="S101" s="28"/>
      <c r="T101" s="28"/>
      <c r="U101" s="28"/>
      <c r="V101" s="28"/>
      <c r="W101" s="28"/>
      <c r="X101" s="28"/>
      <c r="Y101" s="28"/>
      <c r="Z101" s="28"/>
      <c r="AA101" s="28"/>
      <c r="AB101" s="28"/>
    </row>
    <row r="102">
      <c r="A102" s="21" t="s">
        <v>188</v>
      </c>
      <c r="B102" s="22" t="s">
        <v>103</v>
      </c>
      <c r="C102" s="23" t="str">
        <f>IFERROR(__xludf.DUMMYFUNCTION("GOOGLETRANSLATE(B102, ""en"", ""fr"")"),"Statistiques")</f>
        <v>Statistiques</v>
      </c>
      <c r="D102" s="23" t="str">
        <f>IFERROR(__xludf.DUMMYFUNCTION("GOOGLETRANSLATE(B102, ""en"", ""es"")"),"estadísticas")</f>
        <v>estadísticas</v>
      </c>
      <c r="E102" s="23" t="str">
        <f>IFERROR(__xludf.DUMMYFUNCTION("GOOGLETRANSLATE(B102, ""en"", ""ru"")"),"Статистика")</f>
        <v>Статистика</v>
      </c>
      <c r="F102" s="23" t="str">
        <f>IFERROR(__xludf.DUMMYFUNCTION("GOOGLETRANSLATE(B102, ""en"", ""tr"")"),"İstatistikleri")</f>
        <v>İstatistikleri</v>
      </c>
      <c r="G102" s="23" t="str">
        <f>IFERROR(__xludf.DUMMYFUNCTION("GOOGLETRANSLATE(B102, ""en"", ""pt"")"),"Estatísticas")</f>
        <v>Estatísticas</v>
      </c>
      <c r="H102" s="24" t="str">
        <f>IFERROR(__xludf.DUMMYFUNCTION("GOOGLETRANSLATE(B102, ""en"", ""de"")"),"Statistiken")</f>
        <v>Statistiken</v>
      </c>
      <c r="I102" s="23" t="str">
        <f>IFERROR(__xludf.DUMMYFUNCTION("GOOGLETRANSLATE(B102, ""en"", ""pl"")"),"Statystyki")</f>
        <v>Statystyki</v>
      </c>
      <c r="J102" s="25" t="str">
        <f>IFERROR(__xludf.DUMMYFUNCTION("GOOGLETRANSLATE(B102, ""en"", ""zh"")"),"统计")</f>
        <v>统计</v>
      </c>
      <c r="K102" s="25" t="str">
        <f>IFERROR(__xludf.DUMMYFUNCTION("GOOGLETRANSLATE(B102, ""en"", ""vi"")"),"Thống kê")</f>
        <v>Thống kê</v>
      </c>
      <c r="L102" s="26" t="str">
        <f>IFERROR(__xludf.DUMMYFUNCTION("GOOGLETRANSLATE(B102, ""en"", ""hr"")"),"Statistike")</f>
        <v>Statistike</v>
      </c>
      <c r="M102" s="28"/>
      <c r="N102" s="28"/>
      <c r="O102" s="28"/>
      <c r="P102" s="28"/>
      <c r="Q102" s="28"/>
      <c r="R102" s="28"/>
      <c r="S102" s="28"/>
      <c r="T102" s="28"/>
      <c r="U102" s="28"/>
      <c r="V102" s="28"/>
      <c r="W102" s="28"/>
      <c r="X102" s="28"/>
      <c r="Y102" s="28"/>
      <c r="Z102" s="28"/>
      <c r="AA102" s="28"/>
      <c r="AB102" s="28"/>
    </row>
    <row r="103">
      <c r="A103" s="21" t="s">
        <v>189</v>
      </c>
      <c r="B103" s="22" t="s">
        <v>190</v>
      </c>
      <c r="C103" s="23" t="str">
        <f>IFERROR(__xludf.DUMMYFUNCTION("GOOGLETRANSLATE(B103, ""en"", ""fr"")"),"Banque")</f>
        <v>Banque</v>
      </c>
      <c r="D103" s="23" t="str">
        <f>IFERROR(__xludf.DUMMYFUNCTION("GOOGLETRANSLATE(B103, ""en"", ""es"")"),"Banco")</f>
        <v>Banco</v>
      </c>
      <c r="E103" s="23" t="str">
        <f>IFERROR(__xludf.DUMMYFUNCTION("GOOGLETRANSLATE(B103, ""en"", ""ru"")"),"банк")</f>
        <v>банк</v>
      </c>
      <c r="F103" s="23" t="str">
        <f>IFERROR(__xludf.DUMMYFUNCTION("GOOGLETRANSLATE(B103, ""en"", ""tr"")"),"Banka")</f>
        <v>Banka</v>
      </c>
      <c r="G103" s="23" t="str">
        <f>IFERROR(__xludf.DUMMYFUNCTION("GOOGLETRANSLATE(B103, ""en"", ""pt"")"),"Banco")</f>
        <v>Banco</v>
      </c>
      <c r="H103" s="24" t="str">
        <f>IFERROR(__xludf.DUMMYFUNCTION("GOOGLETRANSLATE(B103, ""en"", ""de"")"),"Bank")</f>
        <v>Bank</v>
      </c>
      <c r="I103" s="23" t="str">
        <f>IFERROR(__xludf.DUMMYFUNCTION("GOOGLETRANSLATE(B103, ""en"", ""pl"")"),"Bank")</f>
        <v>Bank</v>
      </c>
      <c r="J103" s="25" t="str">
        <f>IFERROR(__xludf.DUMMYFUNCTION("GOOGLETRANSLATE(B103, ""en"", ""zh"")"),"银行")</f>
        <v>银行</v>
      </c>
      <c r="K103" s="25" t="str">
        <f>IFERROR(__xludf.DUMMYFUNCTION("GOOGLETRANSLATE(B103, ""en"", ""vi"")"),"ngân hàng")</f>
        <v>ngân hàng</v>
      </c>
      <c r="L103" s="26" t="str">
        <f>IFERROR(__xludf.DUMMYFUNCTION("GOOGLETRANSLATE(B103, ""en"", ""hr"")"),"Banka")</f>
        <v>Banka</v>
      </c>
      <c r="M103" s="28"/>
      <c r="N103" s="28"/>
      <c r="O103" s="28"/>
      <c r="P103" s="28"/>
      <c r="Q103" s="28"/>
      <c r="R103" s="28"/>
      <c r="S103" s="28"/>
      <c r="T103" s="28"/>
      <c r="U103" s="28"/>
      <c r="V103" s="28"/>
      <c r="W103" s="28"/>
      <c r="X103" s="28"/>
      <c r="Y103" s="28"/>
      <c r="Z103" s="28"/>
      <c r="AA103" s="28"/>
      <c r="AB103" s="28"/>
    </row>
    <row r="104">
      <c r="A104" s="21" t="s">
        <v>191</v>
      </c>
      <c r="B104" s="22" t="s">
        <v>192</v>
      </c>
      <c r="C104" s="23" t="str">
        <f>IFERROR(__xludf.DUMMYFUNCTION("GOOGLETRANSLATE(B104, ""en"", ""fr"")"),"Déposez tous les articles en stock")</f>
        <v>Déposez tous les articles en stock</v>
      </c>
      <c r="D104" s="23" t="str">
        <f>IFERROR(__xludf.DUMMYFUNCTION("GOOGLETRANSLATE(B104, ""en"", ""es"")"),"Depositar todos los artículos del inventario")</f>
        <v>Depositar todos los artículos del inventario</v>
      </c>
      <c r="E104" s="23" t="str">
        <f>IFERROR(__xludf.DUMMYFUNCTION("GOOGLETRANSLATE(B104, ""en"", ""ru"")"),"Депозит все товарно-материальные ценности")</f>
        <v>Депозит все товарно-материальные ценности</v>
      </c>
      <c r="F104" s="23" t="str">
        <f>IFERROR(__xludf.DUMMYFUNCTION("GOOGLETRANSLATE(B104, ""en"", ""tr"")"),"Tüm envanter öğeleri yatırmak")</f>
        <v>Tüm envanter öğeleri yatırmak</v>
      </c>
      <c r="G104" s="23" t="str">
        <f>IFERROR(__xludf.DUMMYFUNCTION("GOOGLETRANSLATE(B104, ""en"", ""pt"")"),"Depositar todos os itens de estoque")</f>
        <v>Depositar todos os itens de estoque</v>
      </c>
      <c r="H104" s="24" t="str">
        <f>IFERROR(__xludf.DUMMYFUNCTION("GOOGLETRANSLATE(B104, ""en"", ""de"")"),"Kaution alle Inventargegenstände")</f>
        <v>Kaution alle Inventargegenstände</v>
      </c>
      <c r="I104" s="23" t="str">
        <f>IFERROR(__xludf.DUMMYFUNCTION("GOOGLETRANSLATE(B104, ""en"", ""pl"")"),"Deponowania wszystkich pozycji magazynowych")</f>
        <v>Deponowania wszystkich pozycji magazynowych</v>
      </c>
      <c r="J104" s="25" t="str">
        <f>IFERROR(__xludf.DUMMYFUNCTION("GOOGLETRANSLATE(B104, ""en"", ""zh"")"),"所有存放在库存物品")</f>
        <v>所有存放在库存物品</v>
      </c>
      <c r="K104" s="25" t="str">
        <f>IFERROR(__xludf.DUMMYFUNCTION("GOOGLETRANSLATE(B104, ""en"", ""vi"")"),"Gửi tất cả các mặt hàng tồn kho")</f>
        <v>Gửi tất cả các mặt hàng tồn kho</v>
      </c>
      <c r="L104" s="26" t="str">
        <f>IFERROR(__xludf.DUMMYFUNCTION("GOOGLETRANSLATE(B104, ""en"", ""hr"")"),"Depozit sve stavke inventar")</f>
        <v>Depozit sve stavke inventar</v>
      </c>
      <c r="M104" s="28"/>
      <c r="N104" s="28"/>
      <c r="O104" s="28"/>
      <c r="P104" s="28"/>
      <c r="Q104" s="28"/>
      <c r="R104" s="28"/>
      <c r="S104" s="28"/>
      <c r="T104" s="28"/>
      <c r="U104" s="28"/>
      <c r="V104" s="28"/>
      <c r="W104" s="28"/>
      <c r="X104" s="28"/>
      <c r="Y104" s="28"/>
      <c r="Z104" s="28"/>
      <c r="AA104" s="28"/>
      <c r="AB104" s="28"/>
    </row>
    <row r="105">
      <c r="A105" s="21" t="s">
        <v>193</v>
      </c>
      <c r="B105" s="22" t="s">
        <v>194</v>
      </c>
      <c r="C105" s="23" t="str">
        <f>IFERROR(__xludf.DUMMYFUNCTION("GOOGLETRANSLATE(B105, ""en"", ""fr"")"),"Vous possédez un compte poids de stockage bancaire ugrade.")</f>
        <v>Vous possédez un compte poids de stockage bancaire ugrade.</v>
      </c>
      <c r="D105" s="23" t="str">
        <f>IFERROR(__xludf.DUMMYFUNCTION("GOOGLETRANSLATE(B105, ""en"", ""es"")"),"Cuenta necesario para ugrade peso almacenamiento de banco.")</f>
        <v>Cuenta necesario para ugrade peso almacenamiento de banco.</v>
      </c>
      <c r="E105" s="23" t="str">
        <f>IFERROR(__xludf.DUMMYFUNCTION("GOOGLETRANSLATE(B105, ""en"", ""ru"")"),"Аккаунт необходимо ugrade вес банковского хранения.")</f>
        <v>Аккаунт необходимо ugrade вес банковского хранения.</v>
      </c>
      <c r="F105" s="23" t="str">
        <f>IFERROR(__xludf.DUMMYFUNCTION("GOOGLETRANSLATE(B105, ""en"", ""tr"")"),"ugrade banka depolama ağırlığına ihtiyaç Hesabı.")</f>
        <v>ugrade banka depolama ağırlığına ihtiyaç Hesabı.</v>
      </c>
      <c r="G105" s="23" t="str">
        <f>IFERROR(__xludf.DUMMYFUNCTION("GOOGLETRANSLATE(B105, ""en"", ""pt"")"),"Conta precisava peso armazenamento banco ugrade.")</f>
        <v>Conta precisava peso armazenamento banco ugrade.</v>
      </c>
      <c r="H105" s="24" t="str">
        <f>IFERROR(__xludf.DUMMYFUNCTION("GOOGLETRANSLATE(B105, ""en"", ""de"")"),"-Konto benötigt, um Ugrade Bankspeicher Gewicht.")</f>
        <v>-Konto benötigt, um Ugrade Bankspeicher Gewicht.</v>
      </c>
      <c r="I105" s="23" t="str">
        <f>IFERROR(__xludf.DUMMYFUNCTION("GOOGLETRANSLATE(B105, ""en"", ""pl"")"),"Konto potrzebne do ugrade wagi przechowywania bankowego.")</f>
        <v>Konto potrzebne do ugrade wagi przechowywania bankowego.</v>
      </c>
      <c r="J105" s="25" t="str">
        <f>IFERROR(__xludf.DUMMYFUNCTION("GOOGLETRANSLATE(B105, ""en"", ""zh"")"),"帐户需要ugrade库存储的重量。")</f>
        <v>帐户需要ugrade库存储的重量。</v>
      </c>
      <c r="K105" s="25" t="str">
        <f>IFERROR(__xludf.DUMMYFUNCTION("GOOGLETRANSLATE(B105, ""en"", ""vi"")"),"Tài khoản cần thiết để cân lưu trữ ngân hàng Ugrade.")</f>
        <v>Tài khoản cần thiết để cân lưu trữ ngân hàng Ugrade.</v>
      </c>
      <c r="L105" s="26" t="str">
        <f>IFERROR(__xludf.DUMMYFUNCTION("GOOGLETRANSLATE(B105, ""en"", ""hr"")"),"Potreban je račun za Unaprijedite težine pohranu banka.")</f>
        <v>Potreban je račun za Unaprijedite težine pohranu banka.</v>
      </c>
      <c r="M105" s="28"/>
      <c r="N105" s="28"/>
      <c r="O105" s="28"/>
      <c r="P105" s="28"/>
      <c r="Q105" s="28"/>
      <c r="R105" s="28"/>
      <c r="S105" s="28"/>
      <c r="T105" s="28"/>
      <c r="U105" s="28"/>
      <c r="V105" s="28"/>
      <c r="W105" s="28"/>
      <c r="X105" s="28"/>
      <c r="Y105" s="28"/>
      <c r="Z105" s="28"/>
      <c r="AA105" s="28"/>
      <c r="AB105" s="28"/>
    </row>
    <row r="106">
      <c r="A106" s="21" t="s">
        <v>195</v>
      </c>
      <c r="B106" s="22" t="s">
        <v>196</v>
      </c>
      <c r="C106" s="23" t="str">
        <f>IFERROR(__xludf.DUMMYFUNCTION("GOOGLETRANSLATE(B106, ""en"", ""fr"")"),"Mise à jour le stockage bancaire")</f>
        <v>Mise à jour le stockage bancaire</v>
      </c>
      <c r="D106" s="23" t="str">
        <f>IFERROR(__xludf.DUMMYFUNCTION("GOOGLETRANSLATE(B106, ""en"", ""es"")"),"almacenamiento en bancos de actualización")</f>
        <v>almacenamiento en bancos de actualización</v>
      </c>
      <c r="E106" s="23" t="str">
        <f>IFERROR(__xludf.DUMMYFUNCTION("GOOGLETRANSLATE(B106, ""en"", ""ru"")"),"Расширьте хранилище банка")</f>
        <v>Расширьте хранилище банка</v>
      </c>
      <c r="F106" s="23" t="str">
        <f>IFERROR(__xludf.DUMMYFUNCTION("GOOGLETRANSLATE(B106, ""en"", ""tr"")"),"Yükseltme banka depolama")</f>
        <v>Yükseltme banka depolama</v>
      </c>
      <c r="G106" s="23" t="str">
        <f>IFERROR(__xludf.DUMMYFUNCTION("GOOGLETRANSLATE(B106, ""en"", ""pt"")"),"armazenamento banco atualização")</f>
        <v>armazenamento banco atualização</v>
      </c>
      <c r="H106" s="24" t="str">
        <f>IFERROR(__xludf.DUMMYFUNCTION("GOOGLETRANSLATE(B106, ""en"", ""de"")"),"Upgrade-Bank-Speicher")</f>
        <v>Upgrade-Bank-Speicher</v>
      </c>
      <c r="I106" s="23" t="str">
        <f>IFERROR(__xludf.DUMMYFUNCTION("GOOGLETRANSLATE(B106, ""en"", ""pl"")"),"Upgrade przechowywania banku")</f>
        <v>Upgrade przechowywania banku</v>
      </c>
      <c r="J106" s="25" t="str">
        <f>IFERROR(__xludf.DUMMYFUNCTION("GOOGLETRANSLATE(B106, ""en"", ""zh"")"),"升级银行存储")</f>
        <v>升级银行存储</v>
      </c>
      <c r="K106" s="25" t="str">
        <f>IFERROR(__xludf.DUMMYFUNCTION("GOOGLETRANSLATE(B106, ""en"", ""vi"")"),"lưu trữ ngân hàng nâng cấp")</f>
        <v>lưu trữ ngân hàng nâng cấp</v>
      </c>
      <c r="L106" s="26" t="str">
        <f>IFERROR(__xludf.DUMMYFUNCTION("GOOGLETRANSLATE(B106, ""en"", ""hr"")"),"Nadogradnja pohrane banka")</f>
        <v>Nadogradnja pohrane banka</v>
      </c>
      <c r="M106" s="28"/>
      <c r="N106" s="28"/>
      <c r="O106" s="28"/>
      <c r="P106" s="28"/>
      <c r="Q106" s="28"/>
      <c r="R106" s="28"/>
      <c r="S106" s="28"/>
      <c r="T106" s="28"/>
      <c r="U106" s="28"/>
      <c r="V106" s="28"/>
      <c r="W106" s="28"/>
      <c r="X106" s="28"/>
      <c r="Y106" s="28"/>
      <c r="Z106" s="28"/>
      <c r="AA106" s="28"/>
      <c r="AB106" s="28"/>
    </row>
    <row r="107">
      <c r="A107" s="21" t="s">
        <v>197</v>
      </c>
      <c r="B107" s="22" t="s">
        <v>197</v>
      </c>
      <c r="C107" s="23" t="str">
        <f>IFERROR(__xludf.DUMMYFUNCTION("GOOGLETRANSLATE(B107, ""en"", ""fr"")"),"Pas assez de gloire")</f>
        <v>Pas assez de gloire</v>
      </c>
      <c r="D107" s="23" t="str">
        <f>IFERROR(__xludf.DUMMYFUNCTION("GOOGLETRANSLATE(B107, ""en"", ""es"")"),"No hay suficiente gloria")</f>
        <v>No hay suficiente gloria</v>
      </c>
      <c r="E107" s="23" t="str">
        <f>IFERROR(__xludf.DUMMYFUNCTION("GOOGLETRANSLATE(B107, ""en"", ""ru"")"),"Не хватает славы")</f>
        <v>Не хватает славы</v>
      </c>
      <c r="F107" s="23" t="str">
        <f>IFERROR(__xludf.DUMMYFUNCTION("GOOGLETRANSLATE(B107, ""en"", ""tr"")"),"Yeterli zafer")</f>
        <v>Yeterli zafer</v>
      </c>
      <c r="G107" s="23" t="str">
        <f>IFERROR(__xludf.DUMMYFUNCTION("GOOGLETRANSLATE(B107, ""en"", ""pt"")"),"Não glória suficiente")</f>
        <v>Não glória suficiente</v>
      </c>
      <c r="H107" s="24" t="str">
        <f>IFERROR(__xludf.DUMMYFUNCTION("GOOGLETRANSLATE(B107, ""en"", ""de"")"),"Nicht genug Ruhm")</f>
        <v>Nicht genug Ruhm</v>
      </c>
      <c r="I107" s="23" t="str">
        <f>IFERROR(__xludf.DUMMYFUNCTION("GOOGLETRANSLATE(B107, ""en"", ""pl"")"),"Nie wystarczająco chwała")</f>
        <v>Nie wystarczająco chwała</v>
      </c>
      <c r="J107" s="25" t="str">
        <f>IFERROR(__xludf.DUMMYFUNCTION("GOOGLETRANSLATE(B107, ""en"", ""zh"")"),"没有足够的荣耀")</f>
        <v>没有足够的荣耀</v>
      </c>
      <c r="K107" s="25" t="str">
        <f>IFERROR(__xludf.DUMMYFUNCTION("GOOGLETRANSLATE(B107, ""en"", ""vi"")"),"Không đủ vinh quang")</f>
        <v>Không đủ vinh quang</v>
      </c>
      <c r="L107" s="26" t="str">
        <f>IFERROR(__xludf.DUMMYFUNCTION("GOOGLETRANSLATE(B107, ""en"", ""hr"")"),"Nedovoljno slava")</f>
        <v>Nedovoljno slava</v>
      </c>
      <c r="M107" s="28"/>
      <c r="N107" s="28"/>
      <c r="O107" s="28"/>
      <c r="P107" s="28"/>
      <c r="Q107" s="28"/>
      <c r="R107" s="28"/>
      <c r="S107" s="28"/>
      <c r="T107" s="28"/>
      <c r="U107" s="28"/>
      <c r="V107" s="28"/>
      <c r="W107" s="28"/>
      <c r="X107" s="28"/>
      <c r="Y107" s="28"/>
      <c r="Z107" s="28"/>
      <c r="AA107" s="28"/>
      <c r="AB107" s="28"/>
    </row>
    <row r="108">
      <c r="A108" s="21" t="s">
        <v>198</v>
      </c>
      <c r="B108" s="22" t="s">
        <v>198</v>
      </c>
      <c r="C108" s="23" t="str">
        <f>IFERROR(__xludf.DUMMYFUNCTION("GOOGLETRANSLATE(B108, ""en"", ""fr"")"),"Stockage")</f>
        <v>Stockage</v>
      </c>
      <c r="D108" s="23" t="str">
        <f>IFERROR(__xludf.DUMMYFUNCTION("GOOGLETRANSLATE(B108, ""en"", ""es"")"),"Almacenamiento")</f>
        <v>Almacenamiento</v>
      </c>
      <c r="E108" s="23" t="str">
        <f>IFERROR(__xludf.DUMMYFUNCTION("GOOGLETRANSLATE(B108, ""en"", ""ru"")"),"Место хранения")</f>
        <v>Место хранения</v>
      </c>
      <c r="F108" s="23" t="str">
        <f>IFERROR(__xludf.DUMMYFUNCTION("GOOGLETRANSLATE(B108, ""en"", ""tr"")"),"Depolama")</f>
        <v>Depolama</v>
      </c>
      <c r="G108" s="23" t="str">
        <f>IFERROR(__xludf.DUMMYFUNCTION("GOOGLETRANSLATE(B108, ""en"", ""pt"")"),"Armazenar")</f>
        <v>Armazenar</v>
      </c>
      <c r="H108" s="24" t="str">
        <f>IFERROR(__xludf.DUMMYFUNCTION("GOOGLETRANSLATE(B108, ""en"", ""de"")"),"Lager")</f>
        <v>Lager</v>
      </c>
      <c r="I108" s="23" t="str">
        <f>IFERROR(__xludf.DUMMYFUNCTION("GOOGLETRANSLATE(B108, ""en"", ""pl"")"),"Przechowywanie")</f>
        <v>Przechowywanie</v>
      </c>
      <c r="J108" s="25" t="str">
        <f>IFERROR(__xludf.DUMMYFUNCTION("GOOGLETRANSLATE(B108, ""en"", ""zh"")"),"贮存")</f>
        <v>贮存</v>
      </c>
      <c r="K108" s="25" t="str">
        <f>IFERROR(__xludf.DUMMYFUNCTION("GOOGLETRANSLATE(B108, ""en"", ""vi"")"),"Lưu trữ")</f>
        <v>Lưu trữ</v>
      </c>
      <c r="L108" s="26" t="str">
        <f>IFERROR(__xludf.DUMMYFUNCTION("GOOGLETRANSLATE(B108, ""en"", ""hr"")"),"skladištenje")</f>
        <v>skladištenje</v>
      </c>
      <c r="M108" s="28"/>
      <c r="N108" s="28"/>
      <c r="O108" s="28"/>
      <c r="P108" s="28"/>
      <c r="Q108" s="28"/>
      <c r="R108" s="28"/>
      <c r="S108" s="28"/>
      <c r="T108" s="28"/>
      <c r="U108" s="28"/>
      <c r="V108" s="28"/>
      <c r="W108" s="28"/>
      <c r="X108" s="28"/>
      <c r="Y108" s="28"/>
      <c r="Z108" s="28"/>
      <c r="AA108" s="28"/>
      <c r="AB108" s="28"/>
    </row>
    <row r="109">
      <c r="A109" s="21" t="s">
        <v>199</v>
      </c>
      <c r="B109" s="22" t="s">
        <v>200</v>
      </c>
      <c r="C109" s="23" t="str">
        <f>IFERROR(__xludf.DUMMYFUNCTION("GOOGLETRANSLATE(B109, ""en"", ""fr"")"),"Poids total de stockage")</f>
        <v>Poids total de stockage</v>
      </c>
      <c r="D109" s="23" t="str">
        <f>IFERROR(__xludf.DUMMYFUNCTION("GOOGLETRANSLATE(B109, ""en"", ""es"")"),"El peso total de almacenamiento")</f>
        <v>El peso total de almacenamiento</v>
      </c>
      <c r="E109" s="23" t="str">
        <f>IFERROR(__xludf.DUMMYFUNCTION("GOOGLETRANSLATE(B109, ""en"", ""ru"")"),"Общий вес хранения")</f>
        <v>Общий вес хранения</v>
      </c>
      <c r="F109" s="23" t="str">
        <f>IFERROR(__xludf.DUMMYFUNCTION("GOOGLETRANSLATE(B109, ""en"", ""tr"")"),"Toplam depolama ağırlığı")</f>
        <v>Toplam depolama ağırlığı</v>
      </c>
      <c r="G109" s="23" t="str">
        <f>IFERROR(__xludf.DUMMYFUNCTION("GOOGLETRANSLATE(B109, ""en"", ""pt"")"),"Peso total de armazenamento")</f>
        <v>Peso total de armazenamento</v>
      </c>
      <c r="H109" s="24" t="str">
        <f>IFERROR(__xludf.DUMMYFUNCTION("GOOGLETRANSLATE(B109, ""en"", ""de"")"),"Gesamtspeichergewicht")</f>
        <v>Gesamtspeichergewicht</v>
      </c>
      <c r="I109" s="23" t="str">
        <f>IFERROR(__xludf.DUMMYFUNCTION("GOOGLETRANSLATE(B109, ""en"", ""pl"")"),"Całkowita waga magazynowanie")</f>
        <v>Całkowita waga magazynowanie</v>
      </c>
      <c r="J109" s="25" t="str">
        <f>IFERROR(__xludf.DUMMYFUNCTION("GOOGLETRANSLATE(B109, ""en"", ""zh"")"),"总存储装置权重")</f>
        <v>总存储装置权重</v>
      </c>
      <c r="K109" s="25" t="str">
        <f>IFERROR(__xludf.DUMMYFUNCTION("GOOGLETRANSLATE(B109, ""en"", ""vi"")"),"Tổng trọng lượng lưu trữ")</f>
        <v>Tổng trọng lượng lưu trữ</v>
      </c>
      <c r="L109" s="26" t="str">
        <f>IFERROR(__xludf.DUMMYFUNCTION("GOOGLETRANSLATE(B109, ""en"", ""hr"")"),"Ukupna težina skladištenje")</f>
        <v>Ukupna težina skladištenje</v>
      </c>
      <c r="M109" s="28"/>
      <c r="N109" s="28"/>
      <c r="O109" s="28"/>
      <c r="P109" s="28"/>
      <c r="Q109" s="28"/>
      <c r="R109" s="28"/>
      <c r="S109" s="28"/>
      <c r="T109" s="28"/>
      <c r="U109" s="28"/>
      <c r="V109" s="28"/>
      <c r="W109" s="28"/>
      <c r="X109" s="28"/>
      <c r="Y109" s="28"/>
      <c r="Z109" s="28"/>
      <c r="AA109" s="28"/>
      <c r="AB109" s="28"/>
    </row>
    <row r="110">
      <c r="A110" s="21" t="s">
        <v>201</v>
      </c>
      <c r="B110" s="22" t="s">
        <v>202</v>
      </c>
      <c r="C110" s="23" t="str">
        <f>IFERROR(__xludf.DUMMYFUNCTION("GOOGLETRANSLATE(B110, ""en"", ""fr"")"),"Le stockage est vide.")</f>
        <v>Le stockage est vide.</v>
      </c>
      <c r="D110" s="23" t="str">
        <f>IFERROR(__xludf.DUMMYFUNCTION("GOOGLETRANSLATE(B110, ""en"", ""es"")"),"Almacenamiento está vacía.")</f>
        <v>Almacenamiento está vacía.</v>
      </c>
      <c r="E110" s="23" t="str">
        <f>IFERROR(__xludf.DUMMYFUNCTION("GOOGLETRANSLATE(B110, ""en"", ""ru"")"),"Хранение пустой.")</f>
        <v>Хранение пустой.</v>
      </c>
      <c r="F110" s="23" t="str">
        <f>IFERROR(__xludf.DUMMYFUNCTION("GOOGLETRANSLATE(B110, ""en"", ""tr"")"),"Depolama boş.")</f>
        <v>Depolama boş.</v>
      </c>
      <c r="G110" s="23" t="str">
        <f>IFERROR(__xludf.DUMMYFUNCTION("GOOGLETRANSLATE(B110, ""en"", ""pt"")"),"Armazenamento está vazio.")</f>
        <v>Armazenamento está vazio.</v>
      </c>
      <c r="H110" s="24" t="str">
        <f>IFERROR(__xludf.DUMMYFUNCTION("GOOGLETRANSLATE(B110, ""en"", ""de"")"),"Storage ist leer.")</f>
        <v>Storage ist leer.</v>
      </c>
      <c r="I110" s="23" t="str">
        <f>IFERROR(__xludf.DUMMYFUNCTION("GOOGLETRANSLATE(B110, ""en"", ""pl"")"),"Storage jest pusty.")</f>
        <v>Storage jest pusty.</v>
      </c>
      <c r="J110" s="25" t="str">
        <f>IFERROR(__xludf.DUMMYFUNCTION("GOOGLETRANSLATE(B110, ""en"", ""zh"")"),"存储是空的。")</f>
        <v>存储是空的。</v>
      </c>
      <c r="K110" s="25" t="str">
        <f>IFERROR(__xludf.DUMMYFUNCTION("GOOGLETRANSLATE(B110, ""en"", ""vi"")"),"Lưu trữ trống.")</f>
        <v>Lưu trữ trống.</v>
      </c>
      <c r="L110" s="26" t="str">
        <f>IFERROR(__xludf.DUMMYFUNCTION("GOOGLETRANSLATE(B110, ""en"", ""hr"")"),"Pohrana je prazna.")</f>
        <v>Pohrana je prazna.</v>
      </c>
      <c r="M110" s="28"/>
      <c r="N110" s="28"/>
      <c r="O110" s="28"/>
      <c r="P110" s="28"/>
      <c r="Q110" s="28"/>
      <c r="R110" s="28"/>
      <c r="S110" s="28"/>
      <c r="T110" s="28"/>
      <c r="U110" s="28"/>
      <c r="V110" s="28"/>
      <c r="W110" s="28"/>
      <c r="X110" s="28"/>
      <c r="Y110" s="28"/>
      <c r="Z110" s="28"/>
      <c r="AA110" s="28"/>
      <c r="AB110" s="28"/>
    </row>
    <row r="111">
      <c r="A111" s="21" t="s">
        <v>203</v>
      </c>
      <c r="B111" s="22" t="s">
        <v>203</v>
      </c>
      <c r="C111" s="23" t="str">
        <f>IFERROR(__xludf.DUMMYFUNCTION("GOOGLETRANSLATE(B111, ""en"", ""fr"")"),"Dépôt")</f>
        <v>Dépôt</v>
      </c>
      <c r="D111" s="23" t="str">
        <f>IFERROR(__xludf.DUMMYFUNCTION("GOOGLETRANSLATE(B111, ""en"", ""es"")"),"Depositar")</f>
        <v>Depositar</v>
      </c>
      <c r="E111" s="23" t="str">
        <f>IFERROR(__xludf.DUMMYFUNCTION("GOOGLETRANSLATE(B111, ""en"", ""ru"")"),"депозит")</f>
        <v>депозит</v>
      </c>
      <c r="F111" s="23" t="str">
        <f>IFERROR(__xludf.DUMMYFUNCTION("GOOGLETRANSLATE(B111, ""en"", ""tr"")"),"Depozito")</f>
        <v>Depozito</v>
      </c>
      <c r="G111" s="23" t="str">
        <f>IFERROR(__xludf.DUMMYFUNCTION("GOOGLETRANSLATE(B111, ""en"", ""pt"")"),"Depósito")</f>
        <v>Depósito</v>
      </c>
      <c r="H111" s="24" t="str">
        <f>IFERROR(__xludf.DUMMYFUNCTION("GOOGLETRANSLATE(B111, ""en"", ""de"")"),"Anzahlung")</f>
        <v>Anzahlung</v>
      </c>
      <c r="I111" s="23" t="str">
        <f>IFERROR(__xludf.DUMMYFUNCTION("GOOGLETRANSLATE(B111, ""en"", ""pl"")"),"Kaucja")</f>
        <v>Kaucja</v>
      </c>
      <c r="J111" s="25" t="str">
        <f>IFERROR(__xludf.DUMMYFUNCTION("GOOGLETRANSLATE(B111, ""en"", ""zh"")"),"订金")</f>
        <v>订金</v>
      </c>
      <c r="K111" s="25" t="str">
        <f>IFERROR(__xludf.DUMMYFUNCTION("GOOGLETRANSLATE(B111, ""en"", ""vi"")"),"Tiền gửi")</f>
        <v>Tiền gửi</v>
      </c>
      <c r="L111" s="26" t="str">
        <f>IFERROR(__xludf.DUMMYFUNCTION("GOOGLETRANSLATE(B111, ""en"", ""hr"")"),"depozit")</f>
        <v>depozit</v>
      </c>
      <c r="M111" s="28"/>
      <c r="N111" s="28"/>
      <c r="O111" s="28"/>
      <c r="P111" s="28"/>
      <c r="Q111" s="28"/>
      <c r="R111" s="28"/>
      <c r="S111" s="28"/>
      <c r="T111" s="28"/>
      <c r="U111" s="28"/>
      <c r="V111" s="28"/>
      <c r="W111" s="28"/>
      <c r="X111" s="28"/>
      <c r="Y111" s="28"/>
      <c r="Z111" s="28"/>
      <c r="AA111" s="28"/>
      <c r="AB111" s="28"/>
    </row>
    <row r="112">
      <c r="A112" s="21" t="s">
        <v>204</v>
      </c>
      <c r="B112" s="22" t="s">
        <v>204</v>
      </c>
      <c r="C112" s="23" t="str">
        <f>IFERROR(__xludf.DUMMYFUNCTION("GOOGLETRANSLATE(B112, ""en"", ""fr"")"),"Retirer")</f>
        <v>Retirer</v>
      </c>
      <c r="D112" s="23" t="str">
        <f>IFERROR(__xludf.DUMMYFUNCTION("GOOGLETRANSLATE(B112, ""en"", ""es"")"),"Retirar")</f>
        <v>Retirar</v>
      </c>
      <c r="E112" s="23" t="str">
        <f>IFERROR(__xludf.DUMMYFUNCTION("GOOGLETRANSLATE(B112, ""en"", ""ru"")"),"Отзывать")</f>
        <v>Отзывать</v>
      </c>
      <c r="F112" s="23" t="str">
        <f>IFERROR(__xludf.DUMMYFUNCTION("GOOGLETRANSLATE(B112, ""en"", ""tr"")"),"Çekil")</f>
        <v>Çekil</v>
      </c>
      <c r="G112" s="23" t="str">
        <f>IFERROR(__xludf.DUMMYFUNCTION("GOOGLETRANSLATE(B112, ""en"", ""pt"")"),"Retirar")</f>
        <v>Retirar</v>
      </c>
      <c r="H112" s="24" t="str">
        <f>IFERROR(__xludf.DUMMYFUNCTION("GOOGLETRANSLATE(B112, ""en"", ""de"")"),"Abheben")</f>
        <v>Abheben</v>
      </c>
      <c r="I112" s="23" t="str">
        <f>IFERROR(__xludf.DUMMYFUNCTION("GOOGLETRANSLATE(B112, ""en"", ""pl"")"),"Wycofać")</f>
        <v>Wycofać</v>
      </c>
      <c r="J112" s="25" t="str">
        <f>IFERROR(__xludf.DUMMYFUNCTION("GOOGLETRANSLATE(B112, ""en"", ""zh"")"),"提取")</f>
        <v>提取</v>
      </c>
      <c r="K112" s="25" t="str">
        <f>IFERROR(__xludf.DUMMYFUNCTION("GOOGLETRANSLATE(B112, ""en"", ""vi"")"),"rút")</f>
        <v>rút</v>
      </c>
      <c r="L112" s="26" t="str">
        <f>IFERROR(__xludf.DUMMYFUNCTION("GOOGLETRANSLATE(B112, ""en"", ""hr"")"),"Povući")</f>
        <v>Povući</v>
      </c>
      <c r="M112" s="28"/>
      <c r="N112" s="28"/>
      <c r="O112" s="28"/>
      <c r="P112" s="28"/>
      <c r="Q112" s="28"/>
      <c r="R112" s="28"/>
      <c r="S112" s="28"/>
      <c r="T112" s="28"/>
      <c r="U112" s="28"/>
      <c r="V112" s="28"/>
      <c r="W112" s="28"/>
      <c r="X112" s="28"/>
      <c r="Y112" s="28"/>
      <c r="Z112" s="28"/>
      <c r="AA112" s="28"/>
      <c r="AB112" s="28"/>
    </row>
    <row r="113">
      <c r="A113" s="21" t="s">
        <v>205</v>
      </c>
      <c r="B113" s="22" t="s">
        <v>205</v>
      </c>
      <c r="C113" s="23" t="str">
        <f>IFERROR(__xludf.DUMMYFUNCTION("GOOGLETRANSLATE(B113, ""en"", ""fr"")"),"Pas assez d'espace libre")</f>
        <v>Pas assez d'espace libre</v>
      </c>
      <c r="D113" s="23" t="str">
        <f>IFERROR(__xludf.DUMMYFUNCTION("GOOGLETRANSLATE(B113, ""en"", ""es"")"),"No hay suficiente espacio libre")</f>
        <v>No hay suficiente espacio libre</v>
      </c>
      <c r="E113" s="23" t="str">
        <f>IFERROR(__xludf.DUMMYFUNCTION("GOOGLETRANSLATE(B113, ""en"", ""ru"")"),"Не достаточно свободного места")</f>
        <v>Не достаточно свободного места</v>
      </c>
      <c r="F113" s="23" t="str">
        <f>IFERROR(__xludf.DUMMYFUNCTION("GOOGLETRANSLATE(B113, ""en"", ""tr"")"),"Yeterince boş alan yok")</f>
        <v>Yeterince boş alan yok</v>
      </c>
      <c r="G113" s="23" t="str">
        <f>IFERROR(__xludf.DUMMYFUNCTION("GOOGLETRANSLATE(B113, ""en"", ""pt"")"),"Não há espaço livre suficiente")</f>
        <v>Não há espaço livre suficiente</v>
      </c>
      <c r="H113" s="24" t="str">
        <f>IFERROR(__xludf.DUMMYFUNCTION("GOOGLETRANSLATE(B113, ""en"", ""de"")"),"Nicht genügend freier Speicherplatz")</f>
        <v>Nicht genügend freier Speicherplatz</v>
      </c>
      <c r="I113" s="23" t="str">
        <f>IFERROR(__xludf.DUMMYFUNCTION("GOOGLETRANSLATE(B113, ""en"", ""pl"")"),"Za mało wolnej przestrzeni")</f>
        <v>Za mało wolnej przestrzeni</v>
      </c>
      <c r="J113" s="25" t="str">
        <f>IFERROR(__xludf.DUMMYFUNCTION("GOOGLETRANSLATE(B113, ""en"", ""zh"")"),"没有足够的自由空间")</f>
        <v>没有足够的自由空间</v>
      </c>
      <c r="K113" s="25" t="str">
        <f>IFERROR(__xludf.DUMMYFUNCTION("GOOGLETRANSLATE(B113, ""en"", ""vi"")"),"Không đủ chỗ trống")</f>
        <v>Không đủ chỗ trống</v>
      </c>
      <c r="L113" s="26" t="str">
        <f>IFERROR(__xludf.DUMMYFUNCTION("GOOGLETRANSLATE(B113, ""en"", ""hr"")"),"Nema dovoljno slobodnog prostora")</f>
        <v>Nema dovoljno slobodnog prostora</v>
      </c>
      <c r="M113" s="28"/>
      <c r="N113" s="28"/>
      <c r="O113" s="28"/>
      <c r="P113" s="28"/>
      <c r="Q113" s="28"/>
      <c r="R113" s="28"/>
      <c r="S113" s="28"/>
      <c r="T113" s="28"/>
      <c r="U113" s="28"/>
      <c r="V113" s="28"/>
      <c r="W113" s="28"/>
      <c r="X113" s="28"/>
      <c r="Y113" s="28"/>
      <c r="Z113" s="28"/>
      <c r="AA113" s="28"/>
      <c r="AB113" s="28"/>
    </row>
    <row r="114">
      <c r="A114" s="21" t="s">
        <v>206</v>
      </c>
      <c r="B114" s="22" t="s">
        <v>111</v>
      </c>
      <c r="C114" s="23" t="str">
        <f>IFERROR(__xludf.DUMMYFUNCTION("GOOGLETRANSLATE(B114, ""en"", ""fr"")"),"Inventaire")</f>
        <v>Inventaire</v>
      </c>
      <c r="D114" s="23" t="str">
        <f>IFERROR(__xludf.DUMMYFUNCTION("GOOGLETRANSLATE(B114, ""en"", ""es"")"),"Inventario")</f>
        <v>Inventario</v>
      </c>
      <c r="E114" s="23" t="str">
        <f>IFERROR(__xludf.DUMMYFUNCTION("GOOGLETRANSLATE(B114, ""en"", ""ru"")"),"инвентарь")</f>
        <v>инвентарь</v>
      </c>
      <c r="F114" s="23" t="str">
        <f>IFERROR(__xludf.DUMMYFUNCTION("GOOGLETRANSLATE(B114, ""en"", ""tr"")"),"Envanter")</f>
        <v>Envanter</v>
      </c>
      <c r="G114" s="23" t="str">
        <f>IFERROR(__xludf.DUMMYFUNCTION("GOOGLETRANSLATE(B114, ""en"", ""pt"")"),"Inventário")</f>
        <v>Inventário</v>
      </c>
      <c r="H114" s="24" t="str">
        <f>IFERROR(__xludf.DUMMYFUNCTION("GOOGLETRANSLATE(B114, ""en"", ""de"")"),"Inventar")</f>
        <v>Inventar</v>
      </c>
      <c r="I114" s="23" t="str">
        <f>IFERROR(__xludf.DUMMYFUNCTION("GOOGLETRANSLATE(B114, ""en"", ""pl"")"),"Inwentarz")</f>
        <v>Inwentarz</v>
      </c>
      <c r="J114" s="25" t="str">
        <f>IFERROR(__xludf.DUMMYFUNCTION("GOOGLETRANSLATE(B114, ""en"", ""zh"")"),"存货")</f>
        <v>存货</v>
      </c>
      <c r="K114" s="25" t="str">
        <f>IFERROR(__xludf.DUMMYFUNCTION("GOOGLETRANSLATE(B114, ""en"", ""vi"")"),"Hàng tồn kho")</f>
        <v>Hàng tồn kho</v>
      </c>
      <c r="L114" s="26" t="str">
        <f>IFERROR(__xludf.DUMMYFUNCTION("GOOGLETRANSLATE(B114, ""en"", ""hr"")"),"Inventar")</f>
        <v>Inventar</v>
      </c>
      <c r="M114" s="28"/>
      <c r="N114" s="28"/>
      <c r="O114" s="28"/>
      <c r="P114" s="28"/>
      <c r="Q114" s="28"/>
      <c r="R114" s="28"/>
      <c r="S114" s="28"/>
      <c r="T114" s="28"/>
      <c r="U114" s="28"/>
      <c r="V114" s="28"/>
      <c r="W114" s="28"/>
      <c r="X114" s="28"/>
      <c r="Y114" s="28"/>
      <c r="Z114" s="28"/>
      <c r="AA114" s="28"/>
      <c r="AB114" s="28"/>
    </row>
    <row r="115">
      <c r="A115" s="21" t="s">
        <v>207</v>
      </c>
      <c r="B115" s="22" t="s">
        <v>208</v>
      </c>
      <c r="C115" s="23" t="str">
        <f>IFERROR(__xludf.DUMMYFUNCTION("GOOGLETRANSLATE(B115, ""en"", ""fr"")"),"Poids total des stocks")</f>
        <v>Poids total des stocks</v>
      </c>
      <c r="D115" s="23" t="str">
        <f>IFERROR(__xludf.DUMMYFUNCTION("GOOGLETRANSLATE(B115, ""en"", ""es"")"),"El peso total del inventario")</f>
        <v>El peso total del inventario</v>
      </c>
      <c r="E115" s="23" t="str">
        <f>IFERROR(__xludf.DUMMYFUNCTION("GOOGLETRANSLATE(B115, ""en"", ""ru"")"),"Общий вес инвентаря")</f>
        <v>Общий вес инвентаря</v>
      </c>
      <c r="F115" s="23" t="str">
        <f>IFERROR(__xludf.DUMMYFUNCTION("GOOGLETRANSLATE(B115, ""en"", ""tr"")"),"Toplam envanter ağırlığı")</f>
        <v>Toplam envanter ağırlığı</v>
      </c>
      <c r="G115" s="23" t="str">
        <f>IFERROR(__xludf.DUMMYFUNCTION("GOOGLETRANSLATE(B115, ""en"", ""pt"")"),"Peso total de inventário")</f>
        <v>Peso total de inventário</v>
      </c>
      <c r="H115" s="24" t="str">
        <f>IFERROR(__xludf.DUMMYFUNCTION("GOOGLETRANSLATE(B115, ""en"", ""de"")"),"Gesamtbestand Gewicht")</f>
        <v>Gesamtbestand Gewicht</v>
      </c>
      <c r="I115" s="23" t="str">
        <f>IFERROR(__xludf.DUMMYFUNCTION("GOOGLETRANSLATE(B115, ""en"", ""pl"")"),"Całkowita waga zapasów")</f>
        <v>Całkowita waga zapasów</v>
      </c>
      <c r="J115" s="25" t="str">
        <f>IFERROR(__xludf.DUMMYFUNCTION("GOOGLETRANSLATE(B115, ""en"", ""zh"")"),"总库存量")</f>
        <v>总库存量</v>
      </c>
      <c r="K115" s="25" t="str">
        <f>IFERROR(__xludf.DUMMYFUNCTION("GOOGLETRANSLATE(B115, ""en"", ""vi"")"),"Tổng trọng lượng hàng tồn kho")</f>
        <v>Tổng trọng lượng hàng tồn kho</v>
      </c>
      <c r="L115" s="26" t="str">
        <f>IFERROR(__xludf.DUMMYFUNCTION("GOOGLETRANSLATE(B115, ""en"", ""hr"")"),"Ukupna težina inventar")</f>
        <v>Ukupna težina inventar</v>
      </c>
      <c r="M115" s="28"/>
      <c r="N115" s="28"/>
      <c r="O115" s="28"/>
      <c r="P115" s="28"/>
      <c r="Q115" s="28"/>
      <c r="R115" s="28"/>
      <c r="S115" s="28"/>
      <c r="T115" s="28"/>
      <c r="U115" s="28"/>
      <c r="V115" s="28"/>
      <c r="W115" s="28"/>
      <c r="X115" s="28"/>
      <c r="Y115" s="28"/>
      <c r="Z115" s="28"/>
      <c r="AA115" s="28"/>
      <c r="AB115" s="28"/>
    </row>
    <row r="116">
      <c r="A116" s="21" t="s">
        <v>209</v>
      </c>
      <c r="B116" s="22" t="s">
        <v>210</v>
      </c>
      <c r="C116" s="23" t="str">
        <f>IFERROR(__xludf.DUMMYFUNCTION("GOOGLETRANSLATE(B116, ""en"", ""fr"")"),"Rechercher")</f>
        <v>Rechercher</v>
      </c>
      <c r="D116" s="23" t="str">
        <f>IFERROR(__xludf.DUMMYFUNCTION("GOOGLETRANSLATE(B116, ""en"", ""es"")"),"Buscar")</f>
        <v>Buscar</v>
      </c>
      <c r="E116" s="23" t="str">
        <f>IFERROR(__xludf.DUMMYFUNCTION("GOOGLETRANSLATE(B116, ""en"", ""ru"")"),"Поиск")</f>
        <v>Поиск</v>
      </c>
      <c r="F116" s="23" t="str">
        <f>IFERROR(__xludf.DUMMYFUNCTION("GOOGLETRANSLATE(B116, ""en"", ""tr"")"),"Arama")</f>
        <v>Arama</v>
      </c>
      <c r="G116" s="23" t="str">
        <f>IFERROR(__xludf.DUMMYFUNCTION("GOOGLETRANSLATE(B116, ""en"", ""pt"")"),"Procurar")</f>
        <v>Procurar</v>
      </c>
      <c r="H116" s="24" t="str">
        <f>IFERROR(__xludf.DUMMYFUNCTION("GOOGLETRANSLATE(B116, ""en"", ""de"")"),"Suche")</f>
        <v>Suche</v>
      </c>
      <c r="I116" s="23" t="str">
        <f>IFERROR(__xludf.DUMMYFUNCTION("GOOGLETRANSLATE(B116, ""en"", ""pl"")"),"Szukaj")</f>
        <v>Szukaj</v>
      </c>
      <c r="J116" s="25" t="str">
        <f>IFERROR(__xludf.DUMMYFUNCTION("GOOGLETRANSLATE(B116, ""en"", ""zh"")"),"搜索")</f>
        <v>搜索</v>
      </c>
      <c r="K116" s="25" t="str">
        <f>IFERROR(__xludf.DUMMYFUNCTION("GOOGLETRANSLATE(B116, ""en"", ""vi"")"),"Tìm kiếm")</f>
        <v>Tìm kiếm</v>
      </c>
      <c r="L116" s="26" t="str">
        <f>IFERROR(__xludf.DUMMYFUNCTION("GOOGLETRANSLATE(B116, ""en"", ""hr"")"),"traži")</f>
        <v>traži</v>
      </c>
      <c r="M116" s="28"/>
      <c r="N116" s="28"/>
      <c r="O116" s="28"/>
      <c r="P116" s="28"/>
      <c r="Q116" s="28"/>
      <c r="R116" s="28"/>
      <c r="S116" s="28"/>
      <c r="T116" s="28"/>
      <c r="U116" s="28"/>
      <c r="V116" s="28"/>
      <c r="W116" s="28"/>
      <c r="X116" s="28"/>
      <c r="Y116" s="28"/>
      <c r="Z116" s="28"/>
      <c r="AA116" s="28"/>
      <c r="AB116" s="28"/>
    </row>
    <row r="117">
      <c r="A117" s="21" t="s">
        <v>211</v>
      </c>
      <c r="B117" s="22" t="s">
        <v>212</v>
      </c>
      <c r="C117" s="23" t="str">
        <f>IFERROR(__xludf.DUMMYFUNCTION("GOOGLETRANSLATE(B117, ""en"", ""fr"")"),"L'inventaire est vide.")</f>
        <v>L'inventaire est vide.</v>
      </c>
      <c r="D117" s="23" t="str">
        <f>IFERROR(__xludf.DUMMYFUNCTION("GOOGLETRANSLATE(B117, ""en"", ""es"")"),"Inventario está vacía.")</f>
        <v>Inventario está vacía.</v>
      </c>
      <c r="E117" s="23" t="str">
        <f>IFERROR(__xludf.DUMMYFUNCTION("GOOGLETRANSLATE(B117, ""en"", ""ru"")"),"Inventory пуст.")</f>
        <v>Inventory пуст.</v>
      </c>
      <c r="F117" s="23" t="str">
        <f>IFERROR(__xludf.DUMMYFUNCTION("GOOGLETRANSLATE(B117, ""en"", ""tr"")"),"Envanter boş.")</f>
        <v>Envanter boş.</v>
      </c>
      <c r="G117" s="23" t="str">
        <f>IFERROR(__xludf.DUMMYFUNCTION("GOOGLETRANSLATE(B117, ""en"", ""pt"")"),"Inventário está vazia.")</f>
        <v>Inventário está vazia.</v>
      </c>
      <c r="H117" s="24" t="str">
        <f>IFERROR(__xludf.DUMMYFUNCTION("GOOGLETRANSLATE(B117, ""en"", ""de"")"),"Inventory ist leer.")</f>
        <v>Inventory ist leer.</v>
      </c>
      <c r="I117" s="23" t="str">
        <f>IFERROR(__xludf.DUMMYFUNCTION("GOOGLETRANSLATE(B117, ""en"", ""pl"")"),"Inwentaryzacja jest pusty.")</f>
        <v>Inwentaryzacja jest pusty.</v>
      </c>
      <c r="J117" s="25" t="str">
        <f>IFERROR(__xludf.DUMMYFUNCTION("GOOGLETRANSLATE(B117, ""en"", ""zh"")"),"库存是空的。")</f>
        <v>库存是空的。</v>
      </c>
      <c r="K117" s="25" t="str">
        <f>IFERROR(__xludf.DUMMYFUNCTION("GOOGLETRANSLATE(B117, ""en"", ""vi"")"),"Hàng tồn kho trống.")</f>
        <v>Hàng tồn kho trống.</v>
      </c>
      <c r="L117" s="26" t="str">
        <f>IFERROR(__xludf.DUMMYFUNCTION("GOOGLETRANSLATE(B117, ""en"", ""hr"")"),"Popis je prazan.")</f>
        <v>Popis je prazan.</v>
      </c>
      <c r="M117" s="28"/>
      <c r="N117" s="28"/>
      <c r="O117" s="28"/>
      <c r="P117" s="28"/>
      <c r="Q117" s="28"/>
      <c r="R117" s="28"/>
      <c r="S117" s="28"/>
      <c r="T117" s="28"/>
      <c r="U117" s="28"/>
      <c r="V117" s="28"/>
      <c r="W117" s="28"/>
      <c r="X117" s="28"/>
      <c r="Y117" s="28"/>
      <c r="Z117" s="28"/>
      <c r="AA117" s="28"/>
      <c r="AB117" s="28"/>
    </row>
    <row r="118">
      <c r="A118" s="21" t="s">
        <v>213</v>
      </c>
      <c r="B118" s="22" t="s">
        <v>213</v>
      </c>
      <c r="C118" s="23" t="str">
        <f>IFERROR(__xludf.DUMMYFUNCTION("GOOGLETRANSLATE(B118, ""en"", ""fr"")"),"Retirer du Hotbar")</f>
        <v>Retirer du Hotbar</v>
      </c>
      <c r="D118" s="23" t="str">
        <f>IFERROR(__xludf.DUMMYFUNCTION("GOOGLETRANSLATE(B118, ""en"", ""es"")"),"Remover de barra de acceso rápido")</f>
        <v>Remover de barra de acceso rápido</v>
      </c>
      <c r="E118" s="23" t="str">
        <f>IFERROR(__xludf.DUMMYFUNCTION("GOOGLETRANSLATE(B118, ""en"", ""ru"")"),"Удалить из хотбар")</f>
        <v>Удалить из хотбар</v>
      </c>
      <c r="F118" s="23" t="str">
        <f>IFERROR(__xludf.DUMMYFUNCTION("GOOGLETRANSLATE(B118, ""en"", ""tr"")"),"Kısayol çubuğunun kaldır")</f>
        <v>Kısayol çubuğunun kaldır</v>
      </c>
      <c r="G118" s="23" t="str">
        <f>IFERROR(__xludf.DUMMYFUNCTION("GOOGLETRANSLATE(B118, ""en"", ""pt"")"),"Retire do hotbar")</f>
        <v>Retire do hotbar</v>
      </c>
      <c r="H118" s="24" t="str">
        <f>IFERROR(__xludf.DUMMYFUNCTION("GOOGLETRANSLATE(B118, ""en"", ""de"")"),"Entfernen von hotbar")</f>
        <v>Entfernen von hotbar</v>
      </c>
      <c r="I118" s="23" t="str">
        <f>IFERROR(__xludf.DUMMYFUNCTION("GOOGLETRANSLATE(B118, ""en"", ""pl"")"),"Usuń z Hotbar")</f>
        <v>Usuń z Hotbar</v>
      </c>
      <c r="J118" s="25" t="str">
        <f>IFERROR(__xludf.DUMMYFUNCTION("GOOGLETRANSLATE(B118, ""en"", ""zh"")"),"从快捷栏删除")</f>
        <v>从快捷栏删除</v>
      </c>
      <c r="K118" s="25" t="str">
        <f>IFERROR(__xludf.DUMMYFUNCTION("GOOGLETRANSLATE(B118, ""en"", ""vi"")"),"Xoá khỏi Hotbar")</f>
        <v>Xoá khỏi Hotbar</v>
      </c>
      <c r="L118" s="26" t="str">
        <f>IFERROR(__xludf.DUMMYFUNCTION("GOOGLETRANSLATE(B118, ""en"", ""hr"")"),"Ukloni iz hotbar")</f>
        <v>Ukloni iz hotbar</v>
      </c>
      <c r="M118" s="28"/>
      <c r="N118" s="28"/>
      <c r="O118" s="28"/>
      <c r="P118" s="28"/>
      <c r="Q118" s="28"/>
      <c r="R118" s="28"/>
      <c r="S118" s="28"/>
      <c r="T118" s="28"/>
      <c r="U118" s="28"/>
      <c r="V118" s="28"/>
      <c r="W118" s="28"/>
      <c r="X118" s="28"/>
      <c r="Y118" s="28"/>
      <c r="Z118" s="28"/>
      <c r="AA118" s="28"/>
      <c r="AB118" s="28"/>
    </row>
    <row r="119">
      <c r="A119" s="21" t="s">
        <v>214</v>
      </c>
      <c r="B119" s="22" t="s">
        <v>214</v>
      </c>
      <c r="C119" s="23" t="str">
        <f>IFERROR(__xludf.DUMMYFUNCTION("GOOGLETRANSLATE(B119, ""en"", ""fr"")"),"Hotbar complète")</f>
        <v>Hotbar complète</v>
      </c>
      <c r="D119" s="23" t="str">
        <f>IFERROR(__xludf.DUMMYFUNCTION("GOOGLETRANSLATE(B119, ""en"", ""es"")"),"barra de acceso completa")</f>
        <v>barra de acceso completa</v>
      </c>
      <c r="E119" s="23" t="str">
        <f>IFERROR(__xludf.DUMMYFUNCTION("GOOGLETRANSLATE(B119, ""en"", ""ru"")"),"Hotbar полный")</f>
        <v>Hotbar полный</v>
      </c>
      <c r="F119" s="23" t="str">
        <f>IFERROR(__xludf.DUMMYFUNCTION("GOOGLETRANSLATE(B119, ""en"", ""tr"")"),"tam Hotbar")</f>
        <v>tam Hotbar</v>
      </c>
      <c r="G119" s="23" t="str">
        <f>IFERROR(__xludf.DUMMYFUNCTION("GOOGLETRANSLATE(B119, ""en"", ""pt"")"),"Hotbar completo")</f>
        <v>Hotbar completo</v>
      </c>
      <c r="H119" s="24" t="str">
        <f>IFERROR(__xludf.DUMMYFUNCTION("GOOGLETRANSLATE(B119, ""en"", ""de"")"),"Hotbar voll")</f>
        <v>Hotbar voll</v>
      </c>
      <c r="I119" s="23" t="str">
        <f>IFERROR(__xludf.DUMMYFUNCTION("GOOGLETRANSLATE(B119, ""en"", ""pl"")"),"Hotbar pełny")</f>
        <v>Hotbar pełny</v>
      </c>
      <c r="J119" s="25" t="str">
        <f>IFERROR(__xludf.DUMMYFUNCTION("GOOGLETRANSLATE(B119, ""en"", ""zh"")"),"快捷栏完整")</f>
        <v>快捷栏完整</v>
      </c>
      <c r="K119" s="25" t="str">
        <f>IFERROR(__xludf.DUMMYFUNCTION("GOOGLETRANSLATE(B119, ""en"", ""vi"")"),"Hotbar đầy đủ")</f>
        <v>Hotbar đầy đủ</v>
      </c>
      <c r="L119" s="26" t="str">
        <f>IFERROR(__xludf.DUMMYFUNCTION("GOOGLETRANSLATE(B119, ""en"", ""hr"")"),"Hotbar puni")</f>
        <v>Hotbar puni</v>
      </c>
      <c r="M119" s="28"/>
      <c r="N119" s="28"/>
      <c r="O119" s="28"/>
      <c r="P119" s="28"/>
      <c r="Q119" s="28"/>
      <c r="R119" s="28"/>
      <c r="S119" s="28"/>
      <c r="T119" s="28"/>
      <c r="U119" s="28"/>
      <c r="V119" s="28"/>
      <c r="W119" s="28"/>
      <c r="X119" s="28"/>
      <c r="Y119" s="28"/>
      <c r="Z119" s="28"/>
      <c r="AA119" s="28"/>
      <c r="AB119" s="28"/>
    </row>
    <row r="120">
      <c r="A120" s="21" t="s">
        <v>215</v>
      </c>
      <c r="B120" s="22" t="s">
        <v>215</v>
      </c>
      <c r="C120" s="23" t="str">
        <f>IFERROR(__xludf.DUMMYFUNCTION("GOOGLETRANSLATE(B120, ""en"", ""fr"")"),"Ajouter à Hotbar")</f>
        <v>Ajouter à Hotbar</v>
      </c>
      <c r="D120" s="23" t="str">
        <f>IFERROR(__xludf.DUMMYFUNCTION("GOOGLETRANSLATE(B120, ""en"", ""es"")"),"Añadir a la barra de acceso rápido")</f>
        <v>Añadir a la barra de acceso rápido</v>
      </c>
      <c r="E120" s="23" t="str">
        <f>IFERROR(__xludf.DUMMYFUNCTION("GOOGLETRANSLATE(B120, ""en"", ""ru"")"),"Добавить в хотбар")</f>
        <v>Добавить в хотбар</v>
      </c>
      <c r="F120" s="23" t="str">
        <f>IFERROR(__xludf.DUMMYFUNCTION("GOOGLETRANSLATE(B120, ""en"", ""tr"")"),"Kısayol çubuğunun ekle")</f>
        <v>Kısayol çubuğunun ekle</v>
      </c>
      <c r="G120" s="23" t="str">
        <f>IFERROR(__xludf.DUMMYFUNCTION("GOOGLETRANSLATE(B120, ""en"", ""pt"")"),"Adicionar a hotbar")</f>
        <v>Adicionar a hotbar</v>
      </c>
      <c r="H120" s="24" t="str">
        <f>IFERROR(__xludf.DUMMYFUNCTION("GOOGLETRANSLATE(B120, ""en"", ""de"")"),"In der hotbar")</f>
        <v>In der hotbar</v>
      </c>
      <c r="I120" s="23" t="str">
        <f>IFERROR(__xludf.DUMMYFUNCTION("GOOGLETRANSLATE(B120, ""en"", ""pl"")"),"Dodaj do Hotbar")</f>
        <v>Dodaj do Hotbar</v>
      </c>
      <c r="J120" s="25" t="str">
        <f>IFERROR(__xludf.DUMMYFUNCTION("GOOGLETRANSLATE(B120, ""en"", ""zh"")"),"添加到快捷栏")</f>
        <v>添加到快捷栏</v>
      </c>
      <c r="K120" s="25" t="str">
        <f>IFERROR(__xludf.DUMMYFUNCTION("GOOGLETRANSLATE(B120, ""en"", ""vi"")"),"Thêm vào Hotbar")</f>
        <v>Thêm vào Hotbar</v>
      </c>
      <c r="L120" s="26" t="str">
        <f>IFERROR(__xludf.DUMMYFUNCTION("GOOGLETRANSLATE(B120, ""en"", ""hr"")"),"Dodaj u hotbar")</f>
        <v>Dodaj u hotbar</v>
      </c>
      <c r="M120" s="28"/>
      <c r="N120" s="28"/>
      <c r="O120" s="28"/>
      <c r="P120" s="28"/>
      <c r="Q120" s="28"/>
      <c r="R120" s="28"/>
      <c r="S120" s="28"/>
      <c r="T120" s="28"/>
      <c r="U120" s="28"/>
      <c r="V120" s="28"/>
      <c r="W120" s="28"/>
      <c r="X120" s="28"/>
      <c r="Y120" s="28"/>
      <c r="Z120" s="28"/>
      <c r="AA120" s="28"/>
      <c r="AB120" s="28"/>
    </row>
    <row r="121">
      <c r="A121" s="21" t="s">
        <v>216</v>
      </c>
      <c r="B121" s="22" t="s">
        <v>216</v>
      </c>
      <c r="C121" s="23" t="str">
        <f>IFERROR(__xludf.DUMMYFUNCTION("GOOGLETRANSLATE(B121, ""en"", ""fr"")"),"Equip rapide")</f>
        <v>Equip rapide</v>
      </c>
      <c r="D121" s="23" t="str">
        <f>IFERROR(__xludf.DUMMYFUNCTION("GOOGLETRANSLATE(B121, ""en"", ""es"")"),"Equipo rápida")</f>
        <v>Equipo rápida</v>
      </c>
      <c r="E121" s="23" t="str">
        <f>IFERROR(__xludf.DUMMYFUNCTION("GOOGLETRANSLATE(B121, ""en"", ""ru"")"),"Быстрый оборудо")</f>
        <v>Быстрый оборудо</v>
      </c>
      <c r="F121" s="23" t="str">
        <f>IFERROR(__xludf.DUMMYFUNCTION("GOOGLETRANSLATE(B121, ""en"", ""tr"")"),"Hızlı donatmak")</f>
        <v>Hızlı donatmak</v>
      </c>
      <c r="G121" s="23" t="str">
        <f>IFERROR(__xludf.DUMMYFUNCTION("GOOGLETRANSLATE(B121, ""en"", ""pt"")"),"equip rápida")</f>
        <v>equip rápida</v>
      </c>
      <c r="H121" s="24" t="str">
        <f>IFERROR(__xludf.DUMMYFUNCTION("GOOGLETRANSLATE(B121, ""en"", ""de"")"),"Schnell Ausrüsten")</f>
        <v>Schnell Ausrüsten</v>
      </c>
      <c r="I121" s="23" t="str">
        <f>IFERROR(__xludf.DUMMYFUNCTION("GOOGLETRANSLATE(B121, ""en"", ""pl"")"),"szybkie Equip")</f>
        <v>szybkie Equip</v>
      </c>
      <c r="J121" s="25" t="str">
        <f>IFERROR(__xludf.DUMMYFUNCTION("GOOGLETRANSLATE(B121, ""en"", ""zh"")"),"快速装备")</f>
        <v>快速装备</v>
      </c>
      <c r="K121" s="25" t="str">
        <f>IFERROR(__xludf.DUMMYFUNCTION("GOOGLETRANSLATE(B121, ""en"", ""vi"")"),"trang bị nhanh")</f>
        <v>trang bị nhanh</v>
      </c>
      <c r="L121" s="26" t="str">
        <f>IFERROR(__xludf.DUMMYFUNCTION("GOOGLETRANSLATE(B121, ""en"", ""hr"")"),"Brzo opremiti")</f>
        <v>Brzo opremiti</v>
      </c>
      <c r="M121" s="28"/>
      <c r="N121" s="28"/>
      <c r="O121" s="28"/>
      <c r="P121" s="28"/>
      <c r="Q121" s="28"/>
      <c r="R121" s="28"/>
      <c r="S121" s="28"/>
      <c r="T121" s="28"/>
      <c r="U121" s="28"/>
      <c r="V121" s="28"/>
      <c r="W121" s="28"/>
      <c r="X121" s="28"/>
      <c r="Y121" s="28"/>
      <c r="Z121" s="28"/>
      <c r="AA121" s="28"/>
      <c r="AB121" s="28"/>
    </row>
    <row r="122">
      <c r="A122" s="21" t="s">
        <v>217</v>
      </c>
      <c r="B122" s="22" t="s">
        <v>217</v>
      </c>
      <c r="C122" s="23" t="str">
        <f>IFERROR(__xludf.DUMMYFUNCTION("GOOGLETRANSLATE(B122, ""en"", ""fr"")"),"utilisation rapide")</f>
        <v>utilisation rapide</v>
      </c>
      <c r="D122" s="23" t="str">
        <f>IFERROR(__xludf.DUMMYFUNCTION("GOOGLETRANSLATE(B122, ""en"", ""es"")"),"el uso rápido")</f>
        <v>el uso rápido</v>
      </c>
      <c r="E122" s="23" t="str">
        <f>IFERROR(__xludf.DUMMYFUNCTION("GOOGLETRANSLATE(B122, ""en"", ""ru"")"),"Быстрое использование")</f>
        <v>Быстрое использование</v>
      </c>
      <c r="F122" s="23" t="str">
        <f>IFERROR(__xludf.DUMMYFUNCTION("GOOGLETRANSLATE(B122, ""en"", ""tr"")"),"Hızlı kullanım")</f>
        <v>Hızlı kullanım</v>
      </c>
      <c r="G122" s="23" t="str">
        <f>IFERROR(__xludf.DUMMYFUNCTION("GOOGLETRANSLATE(B122, ""en"", ""pt"")"),"uso rápido")</f>
        <v>uso rápido</v>
      </c>
      <c r="H122" s="24" t="str">
        <f>IFERROR(__xludf.DUMMYFUNCTION("GOOGLETRANSLATE(B122, ""en"", ""de"")"),"Schnell Einsatz")</f>
        <v>Schnell Einsatz</v>
      </c>
      <c r="I122" s="23" t="str">
        <f>IFERROR(__xludf.DUMMYFUNCTION("GOOGLETRANSLATE(B122, ""en"", ""pl"")"),"szybkie stosowanie")</f>
        <v>szybkie stosowanie</v>
      </c>
      <c r="J122" s="25" t="str">
        <f>IFERROR(__xludf.DUMMYFUNCTION("GOOGLETRANSLATE(B122, ""en"", ""zh"")"),"快速使用")</f>
        <v>快速使用</v>
      </c>
      <c r="K122" s="25" t="str">
        <f>IFERROR(__xludf.DUMMYFUNCTION("GOOGLETRANSLATE(B122, ""en"", ""vi"")"),"sử dụng nhanh chóng")</f>
        <v>sử dụng nhanh chóng</v>
      </c>
      <c r="L122" s="26" t="str">
        <f>IFERROR(__xludf.DUMMYFUNCTION("GOOGLETRANSLATE(B122, ""en"", ""hr"")"),"Brza primjena")</f>
        <v>Brza primjena</v>
      </c>
      <c r="M122" s="28"/>
      <c r="N122" s="28"/>
      <c r="O122" s="28"/>
      <c r="P122" s="28"/>
      <c r="Q122" s="28"/>
      <c r="R122" s="28"/>
      <c r="S122" s="28"/>
      <c r="T122" s="28"/>
      <c r="U122" s="28"/>
      <c r="V122" s="28"/>
      <c r="W122" s="28"/>
      <c r="X122" s="28"/>
      <c r="Y122" s="28"/>
      <c r="Z122" s="28"/>
      <c r="AA122" s="28"/>
      <c r="AB122" s="28"/>
    </row>
    <row r="123">
      <c r="A123" s="21" t="s">
        <v>218</v>
      </c>
      <c r="B123" s="22" t="s">
        <v>218</v>
      </c>
      <c r="C123" s="23" t="str">
        <f>IFERROR(__xludf.DUMMYFUNCTION("GOOGLETRANSLATE(B123, ""en"", ""fr"")"),"Tomber")</f>
        <v>Tomber</v>
      </c>
      <c r="D123" s="23" t="str">
        <f>IFERROR(__xludf.DUMMYFUNCTION("GOOGLETRANSLATE(B123, ""en"", ""es"")"),"Soltar")</f>
        <v>Soltar</v>
      </c>
      <c r="E123" s="23" t="str">
        <f>IFERROR(__xludf.DUMMYFUNCTION("GOOGLETRANSLATE(B123, ""en"", ""ru"")"),"Уронить")</f>
        <v>Уронить</v>
      </c>
      <c r="F123" s="23" t="str">
        <f>IFERROR(__xludf.DUMMYFUNCTION("GOOGLETRANSLATE(B123, ""en"", ""tr"")"),"Düşürmek")</f>
        <v>Düşürmek</v>
      </c>
      <c r="G123" s="23" t="str">
        <f>IFERROR(__xludf.DUMMYFUNCTION("GOOGLETRANSLATE(B123, ""en"", ""pt"")"),"Solta")</f>
        <v>Solta</v>
      </c>
      <c r="H123" s="24" t="str">
        <f>IFERROR(__xludf.DUMMYFUNCTION("GOOGLETRANSLATE(B123, ""en"", ""de"")"),"Fallen")</f>
        <v>Fallen</v>
      </c>
      <c r="I123" s="23" t="str">
        <f>IFERROR(__xludf.DUMMYFUNCTION("GOOGLETRANSLATE(B123, ""en"", ""pl"")"),"Upuszczać")</f>
        <v>Upuszczać</v>
      </c>
      <c r="J123" s="25" t="str">
        <f>IFERROR(__xludf.DUMMYFUNCTION("GOOGLETRANSLATE(B123, ""en"", ""zh"")"),"降低")</f>
        <v>降低</v>
      </c>
      <c r="K123" s="25" t="str">
        <f>IFERROR(__xludf.DUMMYFUNCTION("GOOGLETRANSLATE(B123, ""en"", ""vi"")"),"Rơi vãi")</f>
        <v>Rơi vãi</v>
      </c>
      <c r="L123" s="26" t="str">
        <f>IFERROR(__xludf.DUMMYFUNCTION("GOOGLETRANSLATE(B123, ""en"", ""hr"")"),"Pad")</f>
        <v>Pad</v>
      </c>
      <c r="M123" s="28"/>
      <c r="N123" s="28"/>
      <c r="O123" s="28"/>
      <c r="P123" s="28"/>
      <c r="Q123" s="28"/>
      <c r="R123" s="28"/>
      <c r="S123" s="28"/>
      <c r="T123" s="28"/>
      <c r="U123" s="28"/>
      <c r="V123" s="28"/>
      <c r="W123" s="28"/>
      <c r="X123" s="28"/>
      <c r="Y123" s="28"/>
      <c r="Z123" s="28"/>
      <c r="AA123" s="28"/>
      <c r="AB123" s="28"/>
    </row>
    <row r="124">
      <c r="A124" s="21" t="s">
        <v>219</v>
      </c>
      <c r="B124" s="22" t="s">
        <v>219</v>
      </c>
      <c r="C124" s="23" t="str">
        <f>IFERROR(__xludf.DUMMYFUNCTION("GOOGLETRANSLATE(B124, ""en"", ""fr"")"),"Poids")</f>
        <v>Poids</v>
      </c>
      <c r="D124" s="23" t="str">
        <f>IFERROR(__xludf.DUMMYFUNCTION("GOOGLETRANSLATE(B124, ""en"", ""es"")"),"Peso")</f>
        <v>Peso</v>
      </c>
      <c r="E124" s="23" t="str">
        <f>IFERROR(__xludf.DUMMYFUNCTION("GOOGLETRANSLATE(B124, ""en"", ""ru"")"),"Масса")</f>
        <v>Масса</v>
      </c>
      <c r="F124" s="23" t="str">
        <f>IFERROR(__xludf.DUMMYFUNCTION("GOOGLETRANSLATE(B124, ""en"", ""tr"")"),"Ağırlık")</f>
        <v>Ağırlık</v>
      </c>
      <c r="G124" s="23" t="str">
        <f>IFERROR(__xludf.DUMMYFUNCTION("GOOGLETRANSLATE(B124, ""en"", ""pt"")"),"Peso")</f>
        <v>Peso</v>
      </c>
      <c r="H124" s="24" t="str">
        <f>IFERROR(__xludf.DUMMYFUNCTION("GOOGLETRANSLATE(B124, ""en"", ""de"")"),"Gewicht")</f>
        <v>Gewicht</v>
      </c>
      <c r="I124" s="23" t="str">
        <f>IFERROR(__xludf.DUMMYFUNCTION("GOOGLETRANSLATE(B124, ""en"", ""pl"")"),"Waga")</f>
        <v>Waga</v>
      </c>
      <c r="J124" s="25" t="str">
        <f>IFERROR(__xludf.DUMMYFUNCTION("GOOGLETRANSLATE(B124, ""en"", ""zh"")"),"重量")</f>
        <v>重量</v>
      </c>
      <c r="K124" s="25" t="str">
        <f>IFERROR(__xludf.DUMMYFUNCTION("GOOGLETRANSLATE(B124, ""en"", ""vi"")"),"Cân nặng")</f>
        <v>Cân nặng</v>
      </c>
      <c r="L124" s="26" t="str">
        <f>IFERROR(__xludf.DUMMYFUNCTION("GOOGLETRANSLATE(B124, ""en"", ""hr"")"),"Težina")</f>
        <v>Težina</v>
      </c>
      <c r="M124" s="28"/>
      <c r="N124" s="28"/>
      <c r="O124" s="28"/>
      <c r="P124" s="28"/>
      <c r="Q124" s="28"/>
      <c r="R124" s="28"/>
      <c r="S124" s="28"/>
      <c r="T124" s="28"/>
      <c r="U124" s="28"/>
      <c r="V124" s="28"/>
      <c r="W124" s="28"/>
      <c r="X124" s="28"/>
      <c r="Y124" s="28"/>
      <c r="Z124" s="28"/>
      <c r="AA124" s="28"/>
      <c r="AB124" s="28"/>
    </row>
    <row r="125">
      <c r="A125" s="21" t="s">
        <v>220</v>
      </c>
      <c r="B125" s="22" t="s">
        <v>220</v>
      </c>
      <c r="C125" s="23" t="str">
        <f>IFERROR(__xludf.DUMMYFUNCTION("GOOGLETRANSLATE(B125, ""en"", ""fr"")"),"Afficher les détails du produit")</f>
        <v>Afficher les détails du produit</v>
      </c>
      <c r="D125" s="23" t="str">
        <f>IFERROR(__xludf.DUMMYFUNCTION("GOOGLETRANSLATE(B125, ""en"", ""es"")"),"Mostrar los detalles del artículo")</f>
        <v>Mostrar los detalles del artículo</v>
      </c>
      <c r="E125" s="23" t="str">
        <f>IFERROR(__xludf.DUMMYFUNCTION("GOOGLETRANSLATE(B125, ""en"", ""ru"")"),"детали Показать")</f>
        <v>детали Показать</v>
      </c>
      <c r="F125" s="23" t="str">
        <f>IFERROR(__xludf.DUMMYFUNCTION("GOOGLETRANSLATE(B125, ""en"", ""tr"")"),"Öğe ayrıntılarını göster")</f>
        <v>Öğe ayrıntılarını göster</v>
      </c>
      <c r="G125" s="23" t="str">
        <f>IFERROR(__xludf.DUMMYFUNCTION("GOOGLETRANSLATE(B125, ""en"", ""pt"")"),"Apresentar programa de itens")</f>
        <v>Apresentar programa de itens</v>
      </c>
      <c r="H125" s="24" t="str">
        <f>IFERROR(__xludf.DUMMYFUNCTION("GOOGLETRANSLATE(B125, ""en"", ""de"")"),"Anzeigen Artikeldetails")</f>
        <v>Anzeigen Artikeldetails</v>
      </c>
      <c r="I125" s="23" t="str">
        <f>IFERROR(__xludf.DUMMYFUNCTION("GOOGLETRANSLATE(B125, ""en"", ""pl"")"),"Pokaż artykuł")</f>
        <v>Pokaż artykuł</v>
      </c>
      <c r="J125" s="25" t="str">
        <f>IFERROR(__xludf.DUMMYFUNCTION("GOOGLETRANSLATE(B125, ""en"", ""zh"")"),"显示项目的详细信息")</f>
        <v>显示项目的详细信息</v>
      </c>
      <c r="K125" s="25" t="str">
        <f>IFERROR(__xludf.DUMMYFUNCTION("GOOGLETRANSLATE(B125, ""en"", ""vi"")"),"Hiển thị chi tiết mục")</f>
        <v>Hiển thị chi tiết mục</v>
      </c>
      <c r="L125" s="26" t="str">
        <f>IFERROR(__xludf.DUMMYFUNCTION("GOOGLETRANSLATE(B125, ""en"", ""hr"")"),"Pokaži pojedinosti stavke")</f>
        <v>Pokaži pojedinosti stavke</v>
      </c>
      <c r="M125" s="28"/>
      <c r="N125" s="28"/>
      <c r="O125" s="28"/>
      <c r="P125" s="28"/>
      <c r="Q125" s="28"/>
      <c r="R125" s="28"/>
      <c r="S125" s="28"/>
      <c r="T125" s="28"/>
      <c r="U125" s="28"/>
      <c r="V125" s="28"/>
      <c r="W125" s="28"/>
      <c r="X125" s="28"/>
      <c r="Y125" s="28"/>
      <c r="Z125" s="28"/>
      <c r="AA125" s="28"/>
      <c r="AB125" s="28"/>
    </row>
    <row r="126">
      <c r="A126" s="21" t="s">
        <v>221</v>
      </c>
      <c r="B126" s="22" t="s">
        <v>222</v>
      </c>
      <c r="C126" s="23" t="str">
        <f>IFERROR(__xludf.DUMMYFUNCTION("GOOGLETRANSLATE(B126, ""en"", ""fr"")"),"Aucun élément trouvé.")</f>
        <v>Aucun élément trouvé.</v>
      </c>
      <c r="D126" s="23" t="str">
        <f>IFERROR(__xludf.DUMMYFUNCTION("GOOGLETRANSLATE(B126, ""en"", ""es"")"),"No se encontraron artículos.")</f>
        <v>No se encontraron artículos.</v>
      </c>
      <c r="E126" s="23" t="str">
        <f>IFERROR(__xludf.DUMMYFUNCTION("GOOGLETRANSLATE(B126, ""en"", ""ru"")"),"Ничего не найдено.")</f>
        <v>Ничего не найдено.</v>
      </c>
      <c r="F126" s="23" t="str">
        <f>IFERROR(__xludf.DUMMYFUNCTION("GOOGLETRANSLATE(B126, ""en"", ""tr"")"),"Hiç bir öğe bulunamadı.")</f>
        <v>Hiç bir öğe bulunamadı.</v>
      </c>
      <c r="G126" s="23" t="str">
        <f>IFERROR(__xludf.DUMMYFUNCTION("GOOGLETRANSLATE(B126, ""en"", ""pt"")"),"Nenhum item encontrado.")</f>
        <v>Nenhum item encontrado.</v>
      </c>
      <c r="H126" s="24" t="str">
        <f>IFERROR(__xludf.DUMMYFUNCTION("GOOGLETRANSLATE(B126, ""en"", ""de"")"),"Keine Elemente gefunden.")</f>
        <v>Keine Elemente gefunden.</v>
      </c>
      <c r="I126" s="23" t="str">
        <f>IFERROR(__xludf.DUMMYFUNCTION("GOOGLETRANSLATE(B126, ""en"", ""pl"")"),"Nie znaleziono żadnych przedmiotów.")</f>
        <v>Nie znaleziono żadnych przedmiotów.</v>
      </c>
      <c r="J126" s="25" t="str">
        <f>IFERROR(__xludf.DUMMYFUNCTION("GOOGLETRANSLATE(B126, ""en"", ""zh"")"),"未找到任何项目。")</f>
        <v>未找到任何项目。</v>
      </c>
      <c r="K126" s="25" t="str">
        <f>IFERROR(__xludf.DUMMYFUNCTION("GOOGLETRANSLATE(B126, ""en"", ""vi"")"),"Không tìm thấy vật nào.")</f>
        <v>Không tìm thấy vật nào.</v>
      </c>
      <c r="L126" s="26" t="str">
        <f>IFERROR(__xludf.DUMMYFUNCTION("GOOGLETRANSLATE(B126, ""en"", ""hr"")"),"Nema podataka.")</f>
        <v>Nema podataka.</v>
      </c>
      <c r="M126" s="28"/>
      <c r="N126" s="28"/>
      <c r="O126" s="28"/>
      <c r="P126" s="28"/>
      <c r="Q126" s="28"/>
      <c r="R126" s="28"/>
      <c r="S126" s="28"/>
      <c r="T126" s="28"/>
      <c r="U126" s="28"/>
      <c r="V126" s="28"/>
      <c r="W126" s="28"/>
      <c r="X126" s="28"/>
      <c r="Y126" s="28"/>
      <c r="Z126" s="28"/>
      <c r="AA126" s="28"/>
      <c r="AB126" s="28"/>
    </row>
    <row r="127">
      <c r="A127" s="21" t="s">
        <v>223</v>
      </c>
      <c r="B127" s="22" t="s">
        <v>224</v>
      </c>
      <c r="C127" s="23" t="str">
        <f>IFERROR(__xludf.DUMMYFUNCTION("GOOGLETRANSLATE(B127, ""en"", ""fr"")"),"Aucune option disponible artisanat.")</f>
        <v>Aucune option disponible artisanat.</v>
      </c>
      <c r="D127" s="23" t="str">
        <f>IFERROR(__xludf.DUMMYFUNCTION("GOOGLETRANSLATE(B127, ""en"", ""es"")"),"No hay opciones disponibles que hacen a mano.")</f>
        <v>No hay opciones disponibles que hacen a mano.</v>
      </c>
      <c r="E127" s="23" t="str">
        <f>IFERROR(__xludf.DUMMYFUNCTION("GOOGLETRANSLATE(B127, ""en"", ""ru"")"),"Нет крафта варианты.")</f>
        <v>Нет крафта варианты.</v>
      </c>
      <c r="F127" s="23" t="str">
        <f>IFERROR(__xludf.DUMMYFUNCTION("GOOGLETRANSLATE(B127, ""en"", ""tr"")"),"Hiçbir işçiliği seçenekler kullanılabilir.")</f>
        <v>Hiçbir işçiliği seçenekler kullanılabilir.</v>
      </c>
      <c r="G127" s="23" t="str">
        <f>IFERROR(__xludf.DUMMYFUNCTION("GOOGLETRANSLATE(B127, ""en"", ""pt"")"),"Sem opções de artesanato disponível.")</f>
        <v>Sem opções de artesanato disponível.</v>
      </c>
      <c r="H127" s="24" t="str">
        <f>IFERROR(__xludf.DUMMYFUNCTION("GOOGLETRANSLATE(B127, ""en"", ""de"")"),"Keine Crafting-Optionen zur Verfügung.")</f>
        <v>Keine Crafting-Optionen zur Verfügung.</v>
      </c>
      <c r="I127" s="23" t="str">
        <f>IFERROR(__xludf.DUMMYFUNCTION("GOOGLETRANSLATE(B127, ""en"", ""pl"")"),"Brak opcji rzemieślniczych dostępny.")</f>
        <v>Brak opcji rzemieślniczych dostępny.</v>
      </c>
      <c r="J127" s="25" t="str">
        <f>IFERROR(__xludf.DUMMYFUNCTION("GOOGLETRANSLATE(B127, ""en"", ""zh"")"),"无各具特色的选项。")</f>
        <v>无各具特色的选项。</v>
      </c>
      <c r="K127" s="25" t="str">
        <f>IFERROR(__xludf.DUMMYFUNCTION("GOOGLETRANSLATE(B127, ""en"", ""vi"")"),"Không có tùy chọn crafting sẵn.")</f>
        <v>Không có tùy chọn crafting sẵn.</v>
      </c>
      <c r="L127" s="26" t="str">
        <f>IFERROR(__xludf.DUMMYFUNCTION("GOOGLETRANSLATE(B127, ""en"", ""hr"")"),"Nema crafting opcije na raspolaganju.")</f>
        <v>Nema crafting opcije na raspolaganju.</v>
      </c>
      <c r="M127" s="28"/>
      <c r="N127" s="28"/>
      <c r="O127" s="28"/>
      <c r="P127" s="28"/>
      <c r="Q127" s="28"/>
      <c r="R127" s="28"/>
      <c r="S127" s="28"/>
      <c r="T127" s="28"/>
      <c r="U127" s="28"/>
      <c r="V127" s="28"/>
      <c r="W127" s="28"/>
      <c r="X127" s="28"/>
      <c r="Y127" s="28"/>
      <c r="Z127" s="28"/>
      <c r="AA127" s="28"/>
      <c r="AB127" s="28"/>
    </row>
    <row r="128">
      <c r="A128" s="21" t="s">
        <v>225</v>
      </c>
      <c r="B128" s="22" t="s">
        <v>225</v>
      </c>
      <c r="C128" s="23" t="str">
        <f>IFERROR(__xludf.DUMMYFUNCTION("GOOGLETRANSLATE(B128, ""en"", ""fr"")"),"Artisanat")</f>
        <v>Artisanat</v>
      </c>
      <c r="D128" s="23" t="str">
        <f>IFERROR(__xludf.DUMMYFUNCTION("GOOGLETRANSLATE(B128, ""en"", ""es"")"),"Artesanía")</f>
        <v>Artesanía</v>
      </c>
      <c r="E128" s="23" t="str">
        <f>IFERROR(__xludf.DUMMYFUNCTION("GOOGLETRANSLATE(B128, ""en"", ""ru"")"),"Ремесло")</f>
        <v>Ремесло</v>
      </c>
      <c r="F128" s="23" t="str">
        <f>IFERROR(__xludf.DUMMYFUNCTION("GOOGLETRANSLATE(B128, ""en"", ""tr"")"),"zanaat")</f>
        <v>zanaat</v>
      </c>
      <c r="G128" s="23" t="str">
        <f>IFERROR(__xludf.DUMMYFUNCTION("GOOGLETRANSLATE(B128, ""en"", ""pt"")"),"Construir")</f>
        <v>Construir</v>
      </c>
      <c r="H128" s="24" t="str">
        <f>IFERROR(__xludf.DUMMYFUNCTION("GOOGLETRANSLATE(B128, ""en"", ""de"")"),"Kunst")</f>
        <v>Kunst</v>
      </c>
      <c r="I128" s="23" t="str">
        <f>IFERROR(__xludf.DUMMYFUNCTION("GOOGLETRANSLATE(B128, ""en"", ""pl"")"),"Rzemiosło")</f>
        <v>Rzemiosło</v>
      </c>
      <c r="J128" s="25" t="str">
        <f>IFERROR(__xludf.DUMMYFUNCTION("GOOGLETRANSLATE(B128, ""en"", ""zh"")"),"工艺")</f>
        <v>工艺</v>
      </c>
      <c r="K128" s="25" t="str">
        <f>IFERROR(__xludf.DUMMYFUNCTION("GOOGLETRANSLATE(B128, ""en"", ""vi"")"),"Craft")</f>
        <v>Craft</v>
      </c>
      <c r="L128" s="26" t="str">
        <f>IFERROR(__xludf.DUMMYFUNCTION("GOOGLETRANSLATE(B128, ""en"", ""hr"")"),"čamac")</f>
        <v>čamac</v>
      </c>
      <c r="M128" s="28"/>
      <c r="N128" s="28"/>
      <c r="O128" s="28"/>
      <c r="P128" s="28"/>
      <c r="Q128" s="28"/>
      <c r="R128" s="28"/>
      <c r="S128" s="28"/>
      <c r="T128" s="28"/>
      <c r="U128" s="28"/>
      <c r="V128" s="28"/>
      <c r="W128" s="28"/>
      <c r="X128" s="28"/>
      <c r="Y128" s="28"/>
      <c r="Z128" s="28"/>
      <c r="AA128" s="28"/>
      <c r="AB128" s="28"/>
    </row>
    <row r="129">
      <c r="A129" s="29" t="s">
        <v>226</v>
      </c>
      <c r="B129" s="22" t="s">
        <v>226</v>
      </c>
      <c r="C129" s="23" t="str">
        <f>IFERROR(__xludf.DUMMYFUNCTION("GOOGLETRANSLATE(B129, ""en"", ""fr"")"),"Niveau")</f>
        <v>Niveau</v>
      </c>
      <c r="D129" s="23" t="str">
        <f>IFERROR(__xludf.DUMMYFUNCTION("GOOGLETRANSLATE(B129, ""en"", ""es"")"),"Nivel")</f>
        <v>Nivel</v>
      </c>
      <c r="E129" s="23" t="str">
        <f>IFERROR(__xludf.DUMMYFUNCTION("GOOGLETRANSLATE(B129, ""en"", ""ru"")"),"Уровень")</f>
        <v>Уровень</v>
      </c>
      <c r="F129" s="23" t="str">
        <f>IFERROR(__xludf.DUMMYFUNCTION("GOOGLETRANSLATE(B129, ""en"", ""tr"")"),"seviye")</f>
        <v>seviye</v>
      </c>
      <c r="G129" s="23" t="str">
        <f>IFERROR(__xludf.DUMMYFUNCTION("GOOGLETRANSLATE(B129, ""en"", ""pt"")"),"Nível")</f>
        <v>Nível</v>
      </c>
      <c r="H129" s="24" t="str">
        <f>IFERROR(__xludf.DUMMYFUNCTION("GOOGLETRANSLATE(B129, ""en"", ""de"")"),"Niveau")</f>
        <v>Niveau</v>
      </c>
      <c r="I129" s="23" t="str">
        <f>IFERROR(__xludf.DUMMYFUNCTION("GOOGLETRANSLATE(B129, ""en"", ""pl"")"),"Poziom")</f>
        <v>Poziom</v>
      </c>
      <c r="J129" s="25" t="str">
        <f>IFERROR(__xludf.DUMMYFUNCTION("GOOGLETRANSLATE(B129, ""en"", ""zh"")"),"等级")</f>
        <v>等级</v>
      </c>
      <c r="K129" s="25" t="str">
        <f>IFERROR(__xludf.DUMMYFUNCTION("GOOGLETRANSLATE(B129, ""en"", ""vi"")"),"Cấp độ")</f>
        <v>Cấp độ</v>
      </c>
      <c r="L129" s="26" t="str">
        <f>IFERROR(__xludf.DUMMYFUNCTION("GOOGLETRANSLATE(B129, ""en"", ""hr"")"),"nivo")</f>
        <v>nivo</v>
      </c>
      <c r="M129" s="28"/>
      <c r="N129" s="28"/>
      <c r="O129" s="28"/>
      <c r="P129" s="28"/>
      <c r="Q129" s="28"/>
      <c r="R129" s="28"/>
      <c r="S129" s="28"/>
      <c r="T129" s="28"/>
      <c r="U129" s="28"/>
      <c r="V129" s="28"/>
      <c r="W129" s="28"/>
      <c r="X129" s="28"/>
      <c r="Y129" s="28"/>
      <c r="Z129" s="28"/>
      <c r="AA129" s="28"/>
      <c r="AB129" s="28"/>
    </row>
    <row r="130">
      <c r="A130" s="29" t="s">
        <v>227</v>
      </c>
      <c r="B130" s="22" t="s">
        <v>227</v>
      </c>
      <c r="C130" s="23" t="str">
        <f>IFERROR(__xludf.DUMMYFUNCTION("GOOGLETRANSLATE(B130, ""en"", ""fr"")"),"Exp")</f>
        <v>Exp</v>
      </c>
      <c r="D130" s="23" t="str">
        <f>IFERROR(__xludf.DUMMYFUNCTION("GOOGLETRANSLATE(B130, ""en"", ""es"")"),"Exp")</f>
        <v>Exp</v>
      </c>
      <c r="E130" s="23" t="str">
        <f>IFERROR(__xludf.DUMMYFUNCTION("GOOGLETRANSLATE(B130, ""en"", ""ru"")"),"Exp")</f>
        <v>Exp</v>
      </c>
      <c r="F130" s="23" t="str">
        <f>IFERROR(__xludf.DUMMYFUNCTION("GOOGLETRANSLATE(B130, ""en"", ""tr"")"),"Tecrübe")</f>
        <v>Tecrübe</v>
      </c>
      <c r="G130" s="23" t="str">
        <f>IFERROR(__xludf.DUMMYFUNCTION("GOOGLETRANSLATE(B130, ""en"", ""pt"")"),"Exp")</f>
        <v>Exp</v>
      </c>
      <c r="H130" s="24" t="str">
        <f>IFERROR(__xludf.DUMMYFUNCTION("GOOGLETRANSLATE(B130, ""en"", ""de"")"),"Exp")</f>
        <v>Exp</v>
      </c>
      <c r="I130" s="23" t="str">
        <f>IFERROR(__xludf.DUMMYFUNCTION("GOOGLETRANSLATE(B130, ""en"", ""pl"")"),"Exp")</f>
        <v>Exp</v>
      </c>
      <c r="J130" s="25" t="str">
        <f>IFERROR(__xludf.DUMMYFUNCTION("GOOGLETRANSLATE(B130, ""en"", ""zh"")"),"EXP")</f>
        <v>EXP</v>
      </c>
      <c r="K130" s="25" t="str">
        <f>IFERROR(__xludf.DUMMYFUNCTION("GOOGLETRANSLATE(B130, ""en"", ""vi"")"),"Exp")</f>
        <v>Exp</v>
      </c>
      <c r="L130" s="26" t="str">
        <f>IFERROR(__xludf.DUMMYFUNCTION("GOOGLETRANSLATE(B130, ""en"", ""hr"")"),"Početnik")</f>
        <v>Početnik</v>
      </c>
      <c r="M130" s="28"/>
      <c r="N130" s="28"/>
      <c r="O130" s="28"/>
      <c r="P130" s="28"/>
      <c r="Q130" s="28"/>
      <c r="R130" s="28"/>
      <c r="S130" s="28"/>
      <c r="T130" s="28"/>
      <c r="U130" s="28"/>
      <c r="V130" s="28"/>
      <c r="W130" s="28"/>
      <c r="X130" s="28"/>
      <c r="Y130" s="28"/>
      <c r="Z130" s="28"/>
      <c r="AA130" s="28"/>
      <c r="AB130" s="28"/>
    </row>
    <row r="131">
      <c r="A131" s="29" t="s">
        <v>105</v>
      </c>
      <c r="B131" s="22" t="s">
        <v>105</v>
      </c>
      <c r="C131" s="23" t="str">
        <f>IFERROR(__xludf.DUMMYFUNCTION("GOOGLETRANSLATE(B131, ""en"", ""fr"")"),"Tâches")</f>
        <v>Tâches</v>
      </c>
      <c r="D131" s="23" t="str">
        <f>IFERROR(__xludf.DUMMYFUNCTION("GOOGLETRANSLATE(B131, ""en"", ""es"")"),"Tareas")</f>
        <v>Tareas</v>
      </c>
      <c r="E131" s="23" t="str">
        <f>IFERROR(__xludf.DUMMYFUNCTION("GOOGLETRANSLATE(B131, ""en"", ""ru"")"),"Задачи")</f>
        <v>Задачи</v>
      </c>
      <c r="F131" s="23" t="str">
        <f>IFERROR(__xludf.DUMMYFUNCTION("GOOGLETRANSLATE(B131, ""en"", ""tr"")"),"Görevler")</f>
        <v>Görevler</v>
      </c>
      <c r="G131" s="23" t="str">
        <f>IFERROR(__xludf.DUMMYFUNCTION("GOOGLETRANSLATE(B131, ""en"", ""pt"")"),"Tarefas")</f>
        <v>Tarefas</v>
      </c>
      <c r="H131" s="24" t="str">
        <f>IFERROR(__xludf.DUMMYFUNCTION("GOOGLETRANSLATE(B131, ""en"", ""de"")"),"Aufgaben")</f>
        <v>Aufgaben</v>
      </c>
      <c r="I131" s="23" t="str">
        <f>IFERROR(__xludf.DUMMYFUNCTION("GOOGLETRANSLATE(B131, ""en"", ""pl"")"),"zadania")</f>
        <v>zadania</v>
      </c>
      <c r="J131" s="25" t="str">
        <f>IFERROR(__xludf.DUMMYFUNCTION("GOOGLETRANSLATE(B131, ""en"", ""zh"")"),"任务")</f>
        <v>任务</v>
      </c>
      <c r="K131" s="25" t="str">
        <f>IFERROR(__xludf.DUMMYFUNCTION("GOOGLETRANSLATE(B131, ""en"", ""vi"")"),"Nhiệm vụ")</f>
        <v>Nhiệm vụ</v>
      </c>
      <c r="L131" s="26" t="str">
        <f>IFERROR(__xludf.DUMMYFUNCTION("GOOGLETRANSLATE(B131, ""en"", ""hr"")"),"zadaci")</f>
        <v>zadaci</v>
      </c>
      <c r="M131" s="28"/>
      <c r="N131" s="28"/>
      <c r="O131" s="28"/>
      <c r="P131" s="28"/>
      <c r="Q131" s="28"/>
      <c r="R131" s="28"/>
      <c r="S131" s="28"/>
      <c r="T131" s="28"/>
      <c r="U131" s="28"/>
      <c r="V131" s="28"/>
      <c r="W131" s="28"/>
      <c r="X131" s="28"/>
      <c r="Y131" s="28"/>
      <c r="Z131" s="28"/>
      <c r="AA131" s="28"/>
      <c r="AB131" s="28"/>
    </row>
    <row r="132">
      <c r="A132" s="29" t="s">
        <v>228</v>
      </c>
      <c r="B132" s="22" t="s">
        <v>228</v>
      </c>
      <c r="C132" s="23" t="str">
        <f>IFERROR(__xludf.DUMMYFUNCTION("GOOGLETRANSLATE(B132, ""en"", ""fr"")"),"Tâche")</f>
        <v>Tâche</v>
      </c>
      <c r="D132" s="23" t="str">
        <f>IFERROR(__xludf.DUMMYFUNCTION("GOOGLETRANSLATE(B132, ""en"", ""es"")"),"Tarea")</f>
        <v>Tarea</v>
      </c>
      <c r="E132" s="23" t="str">
        <f>IFERROR(__xludf.DUMMYFUNCTION("GOOGLETRANSLATE(B132, ""en"", ""ru"")"),"Задача")</f>
        <v>Задача</v>
      </c>
      <c r="F132" s="23" t="str">
        <f>IFERROR(__xludf.DUMMYFUNCTION("GOOGLETRANSLATE(B132, ""en"", ""tr"")"),"Görev")</f>
        <v>Görev</v>
      </c>
      <c r="G132" s="23" t="str">
        <f>IFERROR(__xludf.DUMMYFUNCTION("GOOGLETRANSLATE(B132, ""en"", ""pt"")"),"Tarefa")</f>
        <v>Tarefa</v>
      </c>
      <c r="H132" s="24" t="str">
        <f>IFERROR(__xludf.DUMMYFUNCTION("GOOGLETRANSLATE(B132, ""en"", ""de"")"),"Aufgabe")</f>
        <v>Aufgabe</v>
      </c>
      <c r="I132" s="23" t="str">
        <f>IFERROR(__xludf.DUMMYFUNCTION("GOOGLETRANSLATE(B132, ""en"", ""pl"")"),"Zadanie")</f>
        <v>Zadanie</v>
      </c>
      <c r="J132" s="25" t="str">
        <f>IFERROR(__xludf.DUMMYFUNCTION("GOOGLETRANSLATE(B132, ""en"", ""zh"")"),"任务")</f>
        <v>任务</v>
      </c>
      <c r="K132" s="25" t="str">
        <f>IFERROR(__xludf.DUMMYFUNCTION("GOOGLETRANSLATE(B132, ""en"", ""vi"")"),"Bài tập")</f>
        <v>Bài tập</v>
      </c>
      <c r="L132" s="26" t="str">
        <f>IFERROR(__xludf.DUMMYFUNCTION("GOOGLETRANSLATE(B132, ""en"", ""hr"")"),"Zadatak")</f>
        <v>Zadatak</v>
      </c>
      <c r="M132" s="28"/>
      <c r="N132" s="28"/>
      <c r="O132" s="28"/>
      <c r="P132" s="28"/>
      <c r="Q132" s="28"/>
      <c r="R132" s="28"/>
      <c r="S132" s="28"/>
      <c r="T132" s="28"/>
      <c r="U132" s="28"/>
      <c r="V132" s="28"/>
      <c r="W132" s="28"/>
      <c r="X132" s="28"/>
      <c r="Y132" s="28"/>
      <c r="Z132" s="28"/>
      <c r="AA132" s="28"/>
      <c r="AB132" s="28"/>
    </row>
    <row r="133">
      <c r="A133" s="21" t="s">
        <v>229</v>
      </c>
      <c r="B133" s="22" t="s">
        <v>229</v>
      </c>
      <c r="C133" s="23" t="str">
        <f>IFERROR(__xludf.DUMMYFUNCTION("GOOGLETRANSLATE(B133, ""en"", ""fr"")"),"Le progrès")</f>
        <v>Le progrès</v>
      </c>
      <c r="D133" s="23" t="str">
        <f>IFERROR(__xludf.DUMMYFUNCTION("GOOGLETRANSLATE(B133, ""en"", ""es"")"),"Progreso")</f>
        <v>Progreso</v>
      </c>
      <c r="E133" s="23" t="str">
        <f>IFERROR(__xludf.DUMMYFUNCTION("GOOGLETRANSLATE(B133, ""en"", ""ru"")"),"Прогресс")</f>
        <v>Прогресс</v>
      </c>
      <c r="F133" s="23" t="str">
        <f>IFERROR(__xludf.DUMMYFUNCTION("GOOGLETRANSLATE(B133, ""en"", ""tr"")"),"İlerleme")</f>
        <v>İlerleme</v>
      </c>
      <c r="G133" s="23" t="str">
        <f>IFERROR(__xludf.DUMMYFUNCTION("GOOGLETRANSLATE(B133, ""en"", ""pt"")"),"Progresso")</f>
        <v>Progresso</v>
      </c>
      <c r="H133" s="24" t="str">
        <f>IFERROR(__xludf.DUMMYFUNCTION("GOOGLETRANSLATE(B133, ""en"", ""de"")"),"Fortschritt")</f>
        <v>Fortschritt</v>
      </c>
      <c r="I133" s="23" t="str">
        <f>IFERROR(__xludf.DUMMYFUNCTION("GOOGLETRANSLATE(B133, ""en"", ""pl"")"),"Postęp")</f>
        <v>Postęp</v>
      </c>
      <c r="J133" s="25" t="str">
        <f>IFERROR(__xludf.DUMMYFUNCTION("GOOGLETRANSLATE(B133, ""en"", ""zh"")"),"进步")</f>
        <v>进步</v>
      </c>
      <c r="K133" s="25" t="str">
        <f>IFERROR(__xludf.DUMMYFUNCTION("GOOGLETRANSLATE(B133, ""en"", ""vi"")"),"Phát triển")</f>
        <v>Phát triển</v>
      </c>
      <c r="L133" s="26" t="str">
        <f>IFERROR(__xludf.DUMMYFUNCTION("GOOGLETRANSLATE(B133, ""en"", ""hr"")"),"Napredak")</f>
        <v>Napredak</v>
      </c>
      <c r="M133" s="28"/>
      <c r="N133" s="28"/>
      <c r="O133" s="28"/>
      <c r="P133" s="28"/>
      <c r="Q133" s="28"/>
      <c r="R133" s="28"/>
      <c r="S133" s="28"/>
      <c r="T133" s="28"/>
      <c r="U133" s="28"/>
      <c r="V133" s="28"/>
      <c r="W133" s="28"/>
      <c r="X133" s="28"/>
      <c r="Y133" s="28"/>
      <c r="Z133" s="28"/>
      <c r="AA133" s="28"/>
      <c r="AB133" s="28"/>
    </row>
    <row r="134">
      <c r="A134" s="21" t="s">
        <v>230</v>
      </c>
      <c r="B134" s="22" t="s">
        <v>230</v>
      </c>
      <c r="C134" s="23" t="str">
        <f>IFERROR(__xludf.DUMMYFUNCTION("GOOGLETRANSLATE(B134, ""en"", ""fr"")"),"Récompense")</f>
        <v>Récompense</v>
      </c>
      <c r="D134" s="23" t="str">
        <f>IFERROR(__xludf.DUMMYFUNCTION("GOOGLETRANSLATE(B134, ""en"", ""es"")"),"Recompensa")</f>
        <v>Recompensa</v>
      </c>
      <c r="E134" s="23" t="str">
        <f>IFERROR(__xludf.DUMMYFUNCTION("GOOGLETRANSLATE(B134, ""en"", ""ru"")"),"Вознаграждение")</f>
        <v>Вознаграждение</v>
      </c>
      <c r="F134" s="23" t="str">
        <f>IFERROR(__xludf.DUMMYFUNCTION("GOOGLETRANSLATE(B134, ""en"", ""tr"")"),"Ödül")</f>
        <v>Ödül</v>
      </c>
      <c r="G134" s="23" t="str">
        <f>IFERROR(__xludf.DUMMYFUNCTION("GOOGLETRANSLATE(B134, ""en"", ""pt"")"),"Recompensa")</f>
        <v>Recompensa</v>
      </c>
      <c r="H134" s="24" t="str">
        <f>IFERROR(__xludf.DUMMYFUNCTION("GOOGLETRANSLATE(B134, ""en"", ""de"")"),"Belohnung")</f>
        <v>Belohnung</v>
      </c>
      <c r="I134" s="23" t="str">
        <f>IFERROR(__xludf.DUMMYFUNCTION("GOOGLETRANSLATE(B134, ""en"", ""pl"")"),"Nagroda")</f>
        <v>Nagroda</v>
      </c>
      <c r="J134" s="25" t="str">
        <f>IFERROR(__xludf.DUMMYFUNCTION("GOOGLETRANSLATE(B134, ""en"", ""zh"")"),"报酬")</f>
        <v>报酬</v>
      </c>
      <c r="K134" s="25" t="str">
        <f>IFERROR(__xludf.DUMMYFUNCTION("GOOGLETRANSLATE(B134, ""en"", ""vi"")"),"Phần thưởng")</f>
        <v>Phần thưởng</v>
      </c>
      <c r="L134" s="26" t="str">
        <f>IFERROR(__xludf.DUMMYFUNCTION("GOOGLETRANSLATE(B134, ""en"", ""hr"")"),"Nagrada")</f>
        <v>Nagrada</v>
      </c>
      <c r="M134" s="28"/>
      <c r="N134" s="28"/>
      <c r="O134" s="28"/>
      <c r="P134" s="28"/>
      <c r="Q134" s="28"/>
      <c r="R134" s="28"/>
      <c r="S134" s="28"/>
      <c r="T134" s="28"/>
      <c r="U134" s="28"/>
      <c r="V134" s="28"/>
      <c r="W134" s="28"/>
      <c r="X134" s="28"/>
      <c r="Y134" s="28"/>
      <c r="Z134" s="28"/>
      <c r="AA134" s="28"/>
      <c r="AB134" s="28"/>
    </row>
    <row r="135">
      <c r="A135" s="21" t="s">
        <v>231</v>
      </c>
      <c r="B135" s="22" t="s">
        <v>231</v>
      </c>
      <c r="C135" s="23" t="str">
        <f>IFERROR(__xludf.DUMMYFUNCTION("GOOGLETRANSLATE(B135, ""en"", ""fr"")"),"Pister")</f>
        <v>Pister</v>
      </c>
      <c r="D135" s="23" t="str">
        <f>IFERROR(__xludf.DUMMYFUNCTION("GOOGLETRANSLATE(B135, ""en"", ""es"")"),"Pista")</f>
        <v>Pista</v>
      </c>
      <c r="E135" s="23" t="str">
        <f>IFERROR(__xludf.DUMMYFUNCTION("GOOGLETRANSLATE(B135, ""en"", ""ru"")"),"Отслеживать")</f>
        <v>Отслеживать</v>
      </c>
      <c r="F135" s="23" t="str">
        <f>IFERROR(__xludf.DUMMYFUNCTION("GOOGLETRANSLATE(B135, ""en"", ""tr"")"),"Izlemek")</f>
        <v>Izlemek</v>
      </c>
      <c r="G135" s="23" t="str">
        <f>IFERROR(__xludf.DUMMYFUNCTION("GOOGLETRANSLATE(B135, ""en"", ""pt"")"),"Acompanhar")</f>
        <v>Acompanhar</v>
      </c>
      <c r="H135" s="24" t="str">
        <f>IFERROR(__xludf.DUMMYFUNCTION("GOOGLETRANSLATE(B135, ""en"", ""de"")"),"Spur")</f>
        <v>Spur</v>
      </c>
      <c r="I135" s="23" t="str">
        <f>IFERROR(__xludf.DUMMYFUNCTION("GOOGLETRANSLATE(B135, ""en"", ""pl"")"),"Tor")</f>
        <v>Tor</v>
      </c>
      <c r="J135" s="25" t="str">
        <f>IFERROR(__xludf.DUMMYFUNCTION("GOOGLETRANSLATE(B135, ""en"", ""zh"")"),"追踪")</f>
        <v>追踪</v>
      </c>
      <c r="K135" s="25" t="str">
        <f>IFERROR(__xludf.DUMMYFUNCTION("GOOGLETRANSLATE(B135, ""en"", ""vi"")"),"đường ray")</f>
        <v>đường ray</v>
      </c>
      <c r="L135" s="26" t="str">
        <f>IFERROR(__xludf.DUMMYFUNCTION("GOOGLETRANSLATE(B135, ""en"", ""hr"")"),"Staza")</f>
        <v>Staza</v>
      </c>
      <c r="M135" s="28"/>
      <c r="N135" s="28"/>
      <c r="O135" s="28"/>
      <c r="P135" s="28"/>
      <c r="Q135" s="28"/>
      <c r="R135" s="28"/>
      <c r="S135" s="28"/>
      <c r="T135" s="28"/>
      <c r="U135" s="28"/>
      <c r="V135" s="28"/>
      <c r="W135" s="28"/>
      <c r="X135" s="28"/>
      <c r="Y135" s="28"/>
      <c r="Z135" s="28"/>
      <c r="AA135" s="28"/>
      <c r="AB135" s="28"/>
    </row>
    <row r="136">
      <c r="A136" s="21" t="s">
        <v>232</v>
      </c>
      <c r="B136" s="22" t="s">
        <v>232</v>
      </c>
      <c r="C136" s="23" t="str">
        <f>IFERROR(__xludf.DUMMYFUNCTION("GOOGLETRANSLATE(B136, ""en"", ""fr"")"),"Réclamer")</f>
        <v>Réclamer</v>
      </c>
      <c r="D136" s="23" t="str">
        <f>IFERROR(__xludf.DUMMYFUNCTION("GOOGLETRANSLATE(B136, ""en"", ""es"")"),"Afirmar")</f>
        <v>Afirmar</v>
      </c>
      <c r="E136" s="23" t="str">
        <f>IFERROR(__xludf.DUMMYFUNCTION("GOOGLETRANSLATE(B136, ""en"", ""ru"")"),"Требовать")</f>
        <v>Требовать</v>
      </c>
      <c r="F136" s="23" t="str">
        <f>IFERROR(__xludf.DUMMYFUNCTION("GOOGLETRANSLATE(B136, ""en"", ""tr"")"),"İddia")</f>
        <v>İddia</v>
      </c>
      <c r="G136" s="23" t="str">
        <f>IFERROR(__xludf.DUMMYFUNCTION("GOOGLETRANSLATE(B136, ""en"", ""pt"")"),"Afirmação")</f>
        <v>Afirmação</v>
      </c>
      <c r="H136" s="24" t="str">
        <f>IFERROR(__xludf.DUMMYFUNCTION("GOOGLETRANSLATE(B136, ""en"", ""de"")"),"Anspruch")</f>
        <v>Anspruch</v>
      </c>
      <c r="I136" s="23" t="str">
        <f>IFERROR(__xludf.DUMMYFUNCTION("GOOGLETRANSLATE(B136, ""en"", ""pl"")"),"Roszczenie")</f>
        <v>Roszczenie</v>
      </c>
      <c r="J136" s="25" t="str">
        <f>IFERROR(__xludf.DUMMYFUNCTION("GOOGLETRANSLATE(B136, ""en"", ""zh"")"),"宣称")</f>
        <v>宣称</v>
      </c>
      <c r="K136" s="25" t="str">
        <f>IFERROR(__xludf.DUMMYFUNCTION("GOOGLETRANSLATE(B136, ""en"", ""vi"")"),"Yêu cầu")</f>
        <v>Yêu cầu</v>
      </c>
      <c r="L136" s="26" t="str">
        <f>IFERROR(__xludf.DUMMYFUNCTION("GOOGLETRANSLATE(B136, ""en"", ""hr"")"),"Zahtjev")</f>
        <v>Zahtjev</v>
      </c>
      <c r="M136" s="28"/>
      <c r="N136" s="28"/>
      <c r="O136" s="28"/>
      <c r="P136" s="28"/>
      <c r="Q136" s="28"/>
      <c r="R136" s="28"/>
      <c r="S136" s="28"/>
      <c r="T136" s="28"/>
      <c r="U136" s="28"/>
      <c r="V136" s="28"/>
      <c r="W136" s="28"/>
      <c r="X136" s="28"/>
      <c r="Y136" s="28"/>
      <c r="Z136" s="28"/>
      <c r="AA136" s="28"/>
      <c r="AB136" s="28"/>
    </row>
    <row r="137">
      <c r="A137" s="21" t="s">
        <v>233</v>
      </c>
      <c r="B137" s="22" t="s">
        <v>234</v>
      </c>
      <c r="C137" s="23" t="str">
        <f>IFERROR(__xludf.DUMMYFUNCTION("GOOGLETRANSLATE(B137, ""en"", ""fr"")"),"Tâche terminée!")</f>
        <v>Tâche terminée!</v>
      </c>
      <c r="D137" s="23" t="str">
        <f>IFERROR(__xludf.DUMMYFUNCTION("GOOGLETRANSLATE(B137, ""en"", ""es"")"),"¡Tarea terminada!")</f>
        <v>¡Tarea terminada!</v>
      </c>
      <c r="E137" s="23" t="str">
        <f>IFERROR(__xludf.DUMMYFUNCTION("GOOGLETRANSLATE(B137, ""en"", ""ru"")"),"Задача выполнена!")</f>
        <v>Задача выполнена!</v>
      </c>
      <c r="F137" s="23" t="str">
        <f>IFERROR(__xludf.DUMMYFUNCTION("GOOGLETRANSLATE(B137, ""en"", ""tr"")"),"Görev tamamlandı!")</f>
        <v>Görev tamamlandı!</v>
      </c>
      <c r="G137" s="23" t="str">
        <f>IFERROR(__xludf.DUMMYFUNCTION("GOOGLETRANSLATE(B137, ""en"", ""pt"")"),"Tarefa completa!")</f>
        <v>Tarefa completa!</v>
      </c>
      <c r="H137" s="24" t="str">
        <f>IFERROR(__xludf.DUMMYFUNCTION("GOOGLETRANSLATE(B137, ""en"", ""de"")"),"Aufgabe erledigt!")</f>
        <v>Aufgabe erledigt!</v>
      </c>
      <c r="I137" s="23" t="str">
        <f>IFERROR(__xludf.DUMMYFUNCTION("GOOGLETRANSLATE(B137, ""en"", ""pl"")"),"Zadanie ukończone!")</f>
        <v>Zadanie ukończone!</v>
      </c>
      <c r="J137" s="25" t="str">
        <f>IFERROR(__xludf.DUMMYFUNCTION("GOOGLETRANSLATE(B137, ""en"", ""zh"")"),"任务完成！")</f>
        <v>任务完成！</v>
      </c>
      <c r="K137" s="25" t="str">
        <f>IFERROR(__xludf.DUMMYFUNCTION("GOOGLETRANSLATE(B137, ""en"", ""vi"")"),"Nhiệm vụ hoàn thành!")</f>
        <v>Nhiệm vụ hoàn thành!</v>
      </c>
      <c r="L137" s="26" t="str">
        <f>IFERROR(__xludf.DUMMYFUNCTION("GOOGLETRANSLATE(B137, ""en"", ""hr"")"),"Zadatak završena!")</f>
        <v>Zadatak završena!</v>
      </c>
      <c r="M137" s="28"/>
      <c r="N137" s="28"/>
      <c r="O137" s="28"/>
      <c r="P137" s="28"/>
      <c r="Q137" s="28"/>
      <c r="R137" s="28"/>
      <c r="S137" s="28"/>
      <c r="T137" s="28"/>
      <c r="U137" s="28"/>
      <c r="V137" s="28"/>
      <c r="W137" s="28"/>
      <c r="X137" s="28"/>
      <c r="Y137" s="28"/>
      <c r="Z137" s="28"/>
      <c r="AA137" s="28"/>
      <c r="AB137" s="28"/>
    </row>
    <row r="138">
      <c r="A138" s="21" t="s">
        <v>235</v>
      </c>
      <c r="B138" s="22" t="s">
        <v>236</v>
      </c>
      <c r="C138" s="23" t="str">
        <f>IFERROR(__xludf.DUMMYFUNCTION("GOOGLETRANSLATE(B138, ""en"", ""fr"")"),"Tu es mort!")</f>
        <v>Tu es mort!</v>
      </c>
      <c r="D138" s="23" t="str">
        <f>IFERROR(__xludf.DUMMYFUNCTION("GOOGLETRANSLATE(B138, ""en"", ""es"")"),"Moriste!")</f>
        <v>Moriste!</v>
      </c>
      <c r="E138" s="23" t="str">
        <f>IFERROR(__xludf.DUMMYFUNCTION("GOOGLETRANSLATE(B138, ""en"", ""ru"")"),"Ты умер!")</f>
        <v>Ты умер!</v>
      </c>
      <c r="F138" s="23" t="str">
        <f>IFERROR(__xludf.DUMMYFUNCTION("GOOGLETRANSLATE(B138, ""en"", ""tr"")"),"Öldün!")</f>
        <v>Öldün!</v>
      </c>
      <c r="G138" s="23" t="str">
        <f>IFERROR(__xludf.DUMMYFUNCTION("GOOGLETRANSLATE(B138, ""en"", ""pt"")"),"Você morreu!")</f>
        <v>Você morreu!</v>
      </c>
      <c r="H138" s="24" t="str">
        <f>IFERROR(__xludf.DUMMYFUNCTION("GOOGLETRANSLATE(B138, ""en"", ""de"")"),"Du bist gestorben!")</f>
        <v>Du bist gestorben!</v>
      </c>
      <c r="I138" s="23" t="str">
        <f>IFERROR(__xludf.DUMMYFUNCTION("GOOGLETRANSLATE(B138, ""en"", ""pl"")"),"Umarłeś!")</f>
        <v>Umarłeś!</v>
      </c>
      <c r="J138" s="25" t="str">
        <f>IFERROR(__xludf.DUMMYFUNCTION("GOOGLETRANSLATE(B138, ""en"", ""zh"")"),"你死了！")</f>
        <v>你死了！</v>
      </c>
      <c r="K138" s="25" t="str">
        <f>IFERROR(__xludf.DUMMYFUNCTION("GOOGLETRANSLATE(B138, ""en"", ""vi"")"),"Bạn đã chết!")</f>
        <v>Bạn đã chết!</v>
      </c>
      <c r="L138" s="26" t="str">
        <f>IFERROR(__xludf.DUMMYFUNCTION("GOOGLETRANSLATE(B138, ""en"", ""hr"")"),"umro si!")</f>
        <v>umro si!</v>
      </c>
      <c r="M138" s="28"/>
      <c r="N138" s="28"/>
      <c r="O138" s="28"/>
      <c r="P138" s="28"/>
      <c r="Q138" s="28"/>
      <c r="R138" s="28"/>
      <c r="S138" s="28"/>
      <c r="T138" s="28"/>
      <c r="U138" s="28"/>
      <c r="V138" s="28"/>
      <c r="W138" s="28"/>
      <c r="X138" s="28"/>
      <c r="Y138" s="28"/>
      <c r="Z138" s="28"/>
      <c r="AA138" s="28"/>
      <c r="AB138" s="28"/>
    </row>
    <row r="139">
      <c r="A139" s="21" t="s">
        <v>237</v>
      </c>
      <c r="B139" s="22" t="s">
        <v>238</v>
      </c>
      <c r="C139" s="23" t="str">
        <f>IFERROR(__xludf.DUMMYFUNCTION("GOOGLETRANSLATE(B139, ""en"", ""fr"")"),"Mieux préparé la prochaine fois. Les produits durent plus longtemps lorsqu'elle est faite avec des stats de craft plus.")</f>
        <v>Mieux préparé la prochaine fois. Les produits durent plus longtemps lorsqu'elle est faite avec des stats de craft plus.</v>
      </c>
      <c r="D139" s="23" t="str">
        <f>IFERROR(__xludf.DUMMYFUNCTION("GOOGLETRANSLATE(B139, ""en"", ""es"")"),"Estar mejor preparados la próxima vez. Los productos que duran más cuando se hace con las estadísticas de artesanía más altas.")</f>
        <v>Estar mejor preparados la próxima vez. Los productos que duran más cuando se hace con las estadísticas de artesanía más altas.</v>
      </c>
      <c r="E139" s="23" t="str">
        <f>IFERROR(__xludf.DUMMYFUNCTION("GOOGLETRANSLATE(B139, ""en"", ""ru"")"),"Лучше подготовиться в следующий раз. Детали будут длиться дольше, когда сделаны с более высокой статистикой крафта.")</f>
        <v>Лучше подготовиться в следующий раз. Детали будут длиться дольше, когда сделаны с более высокой статистикой крафта.</v>
      </c>
      <c r="F139" s="23" t="str">
        <f>IFERROR(__xludf.DUMMYFUNCTION("GOOGLETRANSLATE(B139, ""en"", ""tr"")"),"dahaki sefere daha iyi hazırlıklı olun. Daha yüksek işçiliği istatistiklerle yaptığında Öğeler uzun sürecek.")</f>
        <v>dahaki sefere daha iyi hazırlıklı olun. Daha yüksek işçiliği istatistiklerle yaptığında Öğeler uzun sürecek.</v>
      </c>
      <c r="G139" s="23" t="str">
        <f>IFERROR(__xludf.DUMMYFUNCTION("GOOGLETRANSLATE(B139, ""en"", ""pt"")"),"Ser mais bem preparado da próxima vez. Itens vai durar mais tempo quando feito com estatísticas de artesanato mais elevados.")</f>
        <v>Ser mais bem preparado da próxima vez. Itens vai durar mais tempo quando feito com estatísticas de artesanato mais elevados.</v>
      </c>
      <c r="H139" s="24" t="str">
        <f>IFERROR(__xludf.DUMMYFUNCTION("GOOGLETRANSLATE(B139, ""en"", ""de"")"),"Wird beim nächsten Mal besser vorbereitet. Artikel wird länger dauern, wenn sie mit höheren Crafting Statistiken gemacht.")</f>
        <v>Wird beim nächsten Mal besser vorbereitet. Artikel wird länger dauern, wenn sie mit höheren Crafting Statistiken gemacht.</v>
      </c>
      <c r="I139" s="23" t="str">
        <f>IFERROR(__xludf.DUMMYFUNCTION("GOOGLETRANSLATE(B139, ""en"", ""pl"")"),"Być lepiej przygotowany następnym razem. Rzeczy są trwalsze, gdy wykonane z wyższymi statystykach rzemieślniczych.")</f>
        <v>Być lepiej przygotowany następnym razem. Rzeczy są trwalsze, gdy wykonane z wyższymi statystykach rzemieślniczych.</v>
      </c>
      <c r="J139" s="25" t="str">
        <f>IFERROR(__xludf.DUMMYFUNCTION("GOOGLETRANSLATE(B139, ""en"", ""zh"")"),"更好地准备下一次。当具有较高各具特色统计制成的物品将持续较长时间。")</f>
        <v>更好地准备下一次。当具有较高各具特色统计制成的物品将持续较长时间。</v>
      </c>
      <c r="K139" s="25" t="str">
        <f>IFERROR(__xludf.DUMMYFUNCTION("GOOGLETRANSLATE(B139, ""en"", ""vi"")"),"Được chuẩn bị tốt hơn thời gian tới. Mục này sẽ kéo dài hơn khi thực hiện với số liệu thống kê crafting cao hơn.")</f>
        <v>Được chuẩn bị tốt hơn thời gian tới. Mục này sẽ kéo dài hơn khi thực hiện với số liệu thống kê crafting cao hơn.</v>
      </c>
      <c r="L139" s="26" t="str">
        <f>IFERROR(__xludf.DUMMYFUNCTION("GOOGLETRANSLATE(B139, ""en"", ""hr"")"),"Biti bolje pripremljeni sljedeći put. Predmeti će trajati duže ako se s višim statistikama lukavost.")</f>
        <v>Biti bolje pripremljeni sljedeći put. Predmeti će trajati duže ako se s višim statistikama lukavost.</v>
      </c>
      <c r="M139" s="28"/>
      <c r="N139" s="28"/>
      <c r="O139" s="28"/>
      <c r="P139" s="28"/>
      <c r="Q139" s="28"/>
      <c r="R139" s="28"/>
      <c r="S139" s="28"/>
      <c r="T139" s="28"/>
      <c r="U139" s="28"/>
      <c r="V139" s="28"/>
      <c r="W139" s="28"/>
      <c r="X139" s="28"/>
      <c r="Y139" s="28"/>
      <c r="Z139" s="28"/>
      <c r="AA139" s="28"/>
      <c r="AB139" s="28"/>
    </row>
    <row r="140">
      <c r="A140" s="21" t="s">
        <v>239</v>
      </c>
      <c r="B140" s="22" t="s">
        <v>240</v>
      </c>
      <c r="C140" s="23" t="str">
        <f>IFERROR(__xludf.DUMMYFUNCTION("GOOGLETRANSLATE(B140, ""en"", ""fr"")"),"Essayez de travailler avec d'autres joueurs lorsque vous faites quelque chose de dangereux.")</f>
        <v>Essayez de travailler avec d'autres joueurs lorsque vous faites quelque chose de dangereux.</v>
      </c>
      <c r="D140" s="23" t="str">
        <f>IFERROR(__xludf.DUMMYFUNCTION("GOOGLETRANSLATE(B140, ""en"", ""es"")"),"Trate de trabajar con otros actores cuando se hace algo peligroso.")</f>
        <v>Trate de trabajar con otros actores cuando se hace algo peligroso.</v>
      </c>
      <c r="E140" s="23" t="str">
        <f>IFERROR(__xludf.DUMMYFUNCTION("GOOGLETRANSLATE(B140, ""en"", ""ru"")"),"Попробуйте работать с другими игроками, когда делает что-то опасное.")</f>
        <v>Попробуйте работать с другими игроками, когда делает что-то опасное.</v>
      </c>
      <c r="F140" s="23" t="str">
        <f>IFERROR(__xludf.DUMMYFUNCTION("GOOGLETRANSLATE(B140, ""en"", ""tr"")"),"tehlikeli bir şey yaparken diğer oyuncular çalışmayı deneyin.")</f>
        <v>tehlikeli bir şey yaparken diğer oyuncular çalışmayı deneyin.</v>
      </c>
      <c r="G140" s="23" t="str">
        <f>IFERROR(__xludf.DUMMYFUNCTION("GOOGLETRANSLATE(B140, ""en"", ""pt"")"),"Tente trabalhar com outros jogadores ao fazer algo perigoso.")</f>
        <v>Tente trabalhar com outros jogadores ao fazer algo perigoso.</v>
      </c>
      <c r="H140" s="24" t="str">
        <f>IFERROR(__xludf.DUMMYFUNCTION("GOOGLETRANSLATE(B140, ""en"", ""de"")"),"Versuchen Sie, mit anderen Spielern zu arbeiten, wenn etwas gefährlich zu tun.")</f>
        <v>Versuchen Sie, mit anderen Spielern zu arbeiten, wenn etwas gefährlich zu tun.</v>
      </c>
      <c r="I140" s="23" t="str">
        <f>IFERROR(__xludf.DUMMYFUNCTION("GOOGLETRANSLATE(B140, ""en"", ""pl"")"),"Spróbować pracy z innymi graczami, gdy robi coś niebezpiecznego.")</f>
        <v>Spróbować pracy z innymi graczami, gdy robi coś niebezpiecznego.</v>
      </c>
      <c r="J140" s="25" t="str">
        <f>IFERROR(__xludf.DUMMYFUNCTION("GOOGLETRANSLATE(B140, ""en"", ""zh"")"),"尝试做一些危险的时候与其他玩家合作。")</f>
        <v>尝试做一些危险的时候与其他玩家合作。</v>
      </c>
      <c r="K140" s="25" t="str">
        <f>IFERROR(__xludf.DUMMYFUNCTION("GOOGLETRANSLATE(B140, ""en"", ""vi"")"),"Cố gắng làm việc với những người chơi khác khi làm điều gì đó nguy hiểm.")</f>
        <v>Cố gắng làm việc với những người chơi khác khi làm điều gì đó nguy hiểm.</v>
      </c>
      <c r="L140" s="26" t="str">
        <f>IFERROR(__xludf.DUMMYFUNCTION("GOOGLETRANSLATE(B140, ""en"", ""hr"")"),"Pokušajte raditi s drugim igračima kada se radi nešto opasno.")</f>
        <v>Pokušajte raditi s drugim igračima kada se radi nešto opasno.</v>
      </c>
      <c r="M140" s="28"/>
      <c r="N140" s="28"/>
      <c r="O140" s="28"/>
      <c r="P140" s="28"/>
      <c r="Q140" s="28"/>
      <c r="R140" s="28"/>
      <c r="S140" s="28"/>
      <c r="T140" s="28"/>
      <c r="U140" s="28"/>
      <c r="V140" s="28"/>
      <c r="W140" s="28"/>
      <c r="X140" s="28"/>
      <c r="Y140" s="28"/>
      <c r="Z140" s="28"/>
      <c r="AA140" s="28"/>
      <c r="AB140" s="28"/>
    </row>
    <row r="141">
      <c r="A141" s="21" t="s">
        <v>241</v>
      </c>
      <c r="B141" s="22" t="s">
        <v>242</v>
      </c>
      <c r="C141" s="23" t="str">
        <f>IFERROR(__xludf.DUMMYFUNCTION("GOOGLETRANSLATE(B141, ""en"", ""fr"")"),"De nombreuses créatures dangereuses apparaissent seulement la nuit.")</f>
        <v>De nombreuses créatures dangereuses apparaissent seulement la nuit.</v>
      </c>
      <c r="D141" s="23" t="str">
        <f>IFERROR(__xludf.DUMMYFUNCTION("GOOGLETRANSLATE(B141, ""en"", ""es"")"),"Muchas criaturas peligrosas sólo aparecen durante la noche.")</f>
        <v>Muchas criaturas peligrosas sólo aparecen durante la noche.</v>
      </c>
      <c r="E141" s="23" t="str">
        <f>IFERROR(__xludf.DUMMYFUNCTION("GOOGLETRANSLATE(B141, ""en"", ""ru"")"),"Многие опасные существа появляются только в ночное время.")</f>
        <v>Многие опасные существа появляются только в ночное время.</v>
      </c>
      <c r="F141" s="23" t="str">
        <f>IFERROR(__xludf.DUMMYFUNCTION("GOOGLETRANSLATE(B141, ""en"", ""tr"")"),"Birçok tehlikeli yaratıklar sadece geceleri görünür.")</f>
        <v>Birçok tehlikeli yaratıklar sadece geceleri görünür.</v>
      </c>
      <c r="G141" s="23" t="str">
        <f>IFERROR(__xludf.DUMMYFUNCTION("GOOGLETRANSLATE(B141, ""en"", ""pt"")"),"Muitas criaturas perigosas só aparecem à noite.")</f>
        <v>Muitas criaturas perigosas só aparecem à noite.</v>
      </c>
      <c r="H141" s="24" t="str">
        <f>IFERROR(__xludf.DUMMYFUNCTION("GOOGLETRANSLATE(B141, ""en"", ""de"")"),"Viele gefährlichen Kreaturen nur in der Nacht erscheinen.")</f>
        <v>Viele gefährlichen Kreaturen nur in der Nacht erscheinen.</v>
      </c>
      <c r="I141" s="23" t="str">
        <f>IFERROR(__xludf.DUMMYFUNCTION("GOOGLETRANSLATE(B141, ""en"", ""pl"")"),"Wiele niebezpiecznych stworzeń pojawiają się tylko w nocy.")</f>
        <v>Wiele niebezpiecznych stworzeń pojawiają się tylko w nocy.</v>
      </c>
      <c r="J141" s="25" t="str">
        <f>IFERROR(__xludf.DUMMYFUNCTION("GOOGLETRANSLATE(B141, ""en"", ""zh"")"),"许多危险的生物只在夜间出现。")</f>
        <v>许多危险的生物只在夜间出现。</v>
      </c>
      <c r="K141" s="25" t="str">
        <f>IFERROR(__xludf.DUMMYFUNCTION("GOOGLETRANSLATE(B141, ""en"", ""vi"")"),"Nhiều sinh vật nguy hiểm chỉ xuất hiện vào ban đêm.")</f>
        <v>Nhiều sinh vật nguy hiểm chỉ xuất hiện vào ban đêm.</v>
      </c>
      <c r="L141" s="26" t="str">
        <f>IFERROR(__xludf.DUMMYFUNCTION("GOOGLETRANSLATE(B141, ""en"", ""hr"")"),"Mnogi opasnih bića pojavljuju samo noću.")</f>
        <v>Mnogi opasnih bića pojavljuju samo noću.</v>
      </c>
      <c r="M141" s="28"/>
      <c r="N141" s="28"/>
      <c r="O141" s="28"/>
      <c r="P141" s="28"/>
      <c r="Q141" s="28"/>
      <c r="R141" s="28"/>
      <c r="S141" s="28"/>
      <c r="T141" s="28"/>
      <c r="U141" s="28"/>
      <c r="V141" s="28"/>
      <c r="W141" s="28"/>
      <c r="X141" s="28"/>
      <c r="Y141" s="28"/>
      <c r="Z141" s="28"/>
      <c r="AA141" s="28"/>
      <c r="AB141" s="28"/>
    </row>
    <row r="142">
      <c r="A142" s="21" t="s">
        <v>243</v>
      </c>
      <c r="B142" s="22" t="s">
        <v>243</v>
      </c>
      <c r="C142" s="23" t="str">
        <f>IFERROR(__xludf.DUMMYFUNCTION("GOOGLETRANSLATE(B142, ""en"", ""fr"")"),"respawn")</f>
        <v>respawn</v>
      </c>
      <c r="D142" s="23" t="str">
        <f>IFERROR(__xludf.DUMMYFUNCTION("GOOGLETRANSLATE(B142, ""en"", ""es"")"),"Reaparición")</f>
        <v>Reaparición</v>
      </c>
      <c r="E142" s="23" t="str">
        <f>IFERROR(__xludf.DUMMYFUNCTION("GOOGLETRANSLATE(B142, ""en"", ""ru"")"),"респаун")</f>
        <v>респаун</v>
      </c>
      <c r="F142" s="23" t="str">
        <f>IFERROR(__xludf.DUMMYFUNCTION("GOOGLETRANSLATE(B142, ""en"", ""tr"")"),"yeniden doğma")</f>
        <v>yeniden doğma</v>
      </c>
      <c r="G142" s="23" t="str">
        <f>IFERROR(__xludf.DUMMYFUNCTION("GOOGLETRANSLATE(B142, ""en"", ""pt"")"),"reaparecimento")</f>
        <v>reaparecimento</v>
      </c>
      <c r="H142" s="24" t="str">
        <f>IFERROR(__xludf.DUMMYFUNCTION("GOOGLETRANSLATE(B142, ""en"", ""de"")"),"Respawn")</f>
        <v>Respawn</v>
      </c>
      <c r="I142" s="23" t="str">
        <f>IFERROR(__xludf.DUMMYFUNCTION("GOOGLETRANSLATE(B142, ""en"", ""pl"")"),"respawn")</f>
        <v>respawn</v>
      </c>
      <c r="J142" s="25" t="str">
        <f>IFERROR(__xludf.DUMMYFUNCTION("GOOGLETRANSLATE(B142, ""en"", ""zh"")"),"重生")</f>
        <v>重生</v>
      </c>
      <c r="K142" s="25" t="str">
        <f>IFERROR(__xludf.DUMMYFUNCTION("GOOGLETRANSLATE(B142, ""en"", ""vi"")"),"Respawn")</f>
        <v>Respawn</v>
      </c>
      <c r="L142" s="26" t="str">
        <f>IFERROR(__xludf.DUMMYFUNCTION("GOOGLETRANSLATE(B142, ""en"", ""hr"")"),"respawn")</f>
        <v>respawn</v>
      </c>
      <c r="M142" s="28"/>
      <c r="N142" s="28"/>
      <c r="O142" s="28"/>
      <c r="P142" s="28"/>
      <c r="Q142" s="28"/>
      <c r="R142" s="28"/>
      <c r="S142" s="28"/>
      <c r="T142" s="28"/>
      <c r="U142" s="28"/>
      <c r="V142" s="28"/>
      <c r="W142" s="28"/>
      <c r="X142" s="28"/>
      <c r="Y142" s="28"/>
      <c r="Z142" s="28"/>
      <c r="AA142" s="28"/>
      <c r="AB142" s="28"/>
    </row>
    <row r="143">
      <c r="A143" s="21" t="s">
        <v>244</v>
      </c>
      <c r="B143" s="22" t="s">
        <v>244</v>
      </c>
      <c r="C143" s="23" t="str">
        <f>IFERROR(__xludf.DUMMYFUNCTION("GOOGLETRANSLATE(B143, ""en"", ""fr"")"),"Donjon")</f>
        <v>Donjon</v>
      </c>
      <c r="D143" s="23" t="str">
        <f>IFERROR(__xludf.DUMMYFUNCTION("GOOGLETRANSLATE(B143, ""en"", ""es"")"),"Calabozo")</f>
        <v>Calabozo</v>
      </c>
      <c r="E143" s="23" t="str">
        <f>IFERROR(__xludf.DUMMYFUNCTION("GOOGLETRANSLATE(B143, ""en"", ""ru"")"),"Подземелье")</f>
        <v>Подземелье</v>
      </c>
      <c r="F143" s="23" t="str">
        <f>IFERROR(__xludf.DUMMYFUNCTION("GOOGLETRANSLATE(B143, ""en"", ""tr"")"),"Zindan")</f>
        <v>Zindan</v>
      </c>
      <c r="G143" s="23" t="str">
        <f>IFERROR(__xludf.DUMMYFUNCTION("GOOGLETRANSLATE(B143, ""en"", ""pt"")"),"Masmorra")</f>
        <v>Masmorra</v>
      </c>
      <c r="H143" s="24" t="str">
        <f>IFERROR(__xludf.DUMMYFUNCTION("GOOGLETRANSLATE(B143, ""en"", ""de"")"),"Verlies")</f>
        <v>Verlies</v>
      </c>
      <c r="I143" s="23" t="str">
        <f>IFERROR(__xludf.DUMMYFUNCTION("GOOGLETRANSLATE(B143, ""en"", ""pl"")"),"Loch")</f>
        <v>Loch</v>
      </c>
      <c r="J143" s="25" t="str">
        <f>IFERROR(__xludf.DUMMYFUNCTION("GOOGLETRANSLATE(B143, ""en"", ""zh"")"),"地下城")</f>
        <v>地下城</v>
      </c>
      <c r="K143" s="25" t="str">
        <f>IFERROR(__xludf.DUMMYFUNCTION("GOOGLETRANSLATE(B143, ""en"", ""vi"")"),"ngục tối")</f>
        <v>ngục tối</v>
      </c>
      <c r="L143" s="26" t="str">
        <f>IFERROR(__xludf.DUMMYFUNCTION("GOOGLETRANSLATE(B143, ""en"", ""hr"")"),"Tamnica")</f>
        <v>Tamnica</v>
      </c>
      <c r="M143" s="28"/>
      <c r="N143" s="28"/>
      <c r="O143" s="28"/>
      <c r="P143" s="28"/>
      <c r="Q143" s="28"/>
      <c r="R143" s="28"/>
      <c r="S143" s="28"/>
      <c r="T143" s="28"/>
      <c r="U143" s="28"/>
      <c r="V143" s="28"/>
      <c r="W143" s="28"/>
      <c r="X143" s="28"/>
      <c r="Y143" s="28"/>
      <c r="Z143" s="28"/>
      <c r="AA143" s="28"/>
      <c r="AB143" s="28"/>
    </row>
    <row r="144">
      <c r="A144" s="21" t="s">
        <v>245</v>
      </c>
      <c r="B144" s="22" t="s">
        <v>245</v>
      </c>
      <c r="C144" s="23" t="str">
        <f>IFERROR(__xludf.DUMMYFUNCTION("GOOGLETRANSLATE(B144, ""en"", ""fr"")"),"Difficulté")</f>
        <v>Difficulté</v>
      </c>
      <c r="D144" s="23" t="str">
        <f>IFERROR(__xludf.DUMMYFUNCTION("GOOGLETRANSLATE(B144, ""en"", ""es"")"),"Dificultad")</f>
        <v>Dificultad</v>
      </c>
      <c r="E144" s="23" t="str">
        <f>IFERROR(__xludf.DUMMYFUNCTION("GOOGLETRANSLATE(B144, ""en"", ""ru"")"),"трудность")</f>
        <v>трудность</v>
      </c>
      <c r="F144" s="23" t="str">
        <f>IFERROR(__xludf.DUMMYFUNCTION("GOOGLETRANSLATE(B144, ""en"", ""tr"")"),"zorluk")</f>
        <v>zorluk</v>
      </c>
      <c r="G144" s="23" t="str">
        <f>IFERROR(__xludf.DUMMYFUNCTION("GOOGLETRANSLATE(B144, ""en"", ""pt"")"),"Dificuldade")</f>
        <v>Dificuldade</v>
      </c>
      <c r="H144" s="24" t="str">
        <f>IFERROR(__xludf.DUMMYFUNCTION("GOOGLETRANSLATE(B144, ""en"", ""de"")"),"Schwierigkeit")</f>
        <v>Schwierigkeit</v>
      </c>
      <c r="I144" s="23" t="str">
        <f>IFERROR(__xludf.DUMMYFUNCTION("GOOGLETRANSLATE(B144, ""en"", ""pl"")"),"Trudność")</f>
        <v>Trudność</v>
      </c>
      <c r="J144" s="25" t="str">
        <f>IFERROR(__xludf.DUMMYFUNCTION("GOOGLETRANSLATE(B144, ""en"", ""zh"")"),"困难")</f>
        <v>困难</v>
      </c>
      <c r="K144" s="25" t="str">
        <f>IFERROR(__xludf.DUMMYFUNCTION("GOOGLETRANSLATE(B144, ""en"", ""vi"")"),"Khó khăn")</f>
        <v>Khó khăn</v>
      </c>
      <c r="L144" s="26" t="str">
        <f>IFERROR(__xludf.DUMMYFUNCTION("GOOGLETRANSLATE(B144, ""en"", ""hr"")"),"teškoća")</f>
        <v>teškoća</v>
      </c>
      <c r="M144" s="28"/>
      <c r="N144" s="28"/>
      <c r="O144" s="28"/>
      <c r="P144" s="28"/>
      <c r="Q144" s="28"/>
      <c r="R144" s="28"/>
      <c r="S144" s="28"/>
      <c r="T144" s="28"/>
      <c r="U144" s="28"/>
      <c r="V144" s="28"/>
      <c r="W144" s="28"/>
      <c r="X144" s="28"/>
      <c r="Y144" s="28"/>
      <c r="Z144" s="28"/>
      <c r="AA144" s="28"/>
      <c r="AB144" s="28"/>
    </row>
    <row r="145">
      <c r="A145" s="21" t="s">
        <v>246</v>
      </c>
      <c r="B145" s="22" t="s">
        <v>246</v>
      </c>
      <c r="C145" s="23" t="str">
        <f>IFERROR(__xludf.DUMMYFUNCTION("GOOGLETRANSLATE(B145, ""en"", ""fr"")"),"Débutant")</f>
        <v>Débutant</v>
      </c>
      <c r="D145" s="23" t="str">
        <f>IFERROR(__xludf.DUMMYFUNCTION("GOOGLETRANSLATE(B145, ""en"", ""es"")"),"Principiante")</f>
        <v>Principiante</v>
      </c>
      <c r="E145" s="23" t="str">
        <f>IFERROR(__xludf.DUMMYFUNCTION("GOOGLETRANSLATE(B145, ""en"", ""ru"")"),"начинающий")</f>
        <v>начинающий</v>
      </c>
      <c r="F145" s="23" t="str">
        <f>IFERROR(__xludf.DUMMYFUNCTION("GOOGLETRANSLATE(B145, ""en"", ""tr"")"),"Acemi")</f>
        <v>Acemi</v>
      </c>
      <c r="G145" s="23" t="str">
        <f>IFERROR(__xludf.DUMMYFUNCTION("GOOGLETRANSLATE(B145, ""en"", ""pt"")"),"Principiante")</f>
        <v>Principiante</v>
      </c>
      <c r="H145" s="24" t="str">
        <f>IFERROR(__xludf.DUMMYFUNCTION("GOOGLETRANSLATE(B145, ""en"", ""de"")"),"Anfänger")</f>
        <v>Anfänger</v>
      </c>
      <c r="I145" s="23" t="str">
        <f>IFERROR(__xludf.DUMMYFUNCTION("GOOGLETRANSLATE(B145, ""en"", ""pl"")"),"Początkujący")</f>
        <v>Początkujący</v>
      </c>
      <c r="J145" s="25" t="str">
        <f>IFERROR(__xludf.DUMMYFUNCTION("GOOGLETRANSLATE(B145, ""en"", ""zh"")"),"初学者")</f>
        <v>初学者</v>
      </c>
      <c r="K145" s="25" t="str">
        <f>IFERROR(__xludf.DUMMYFUNCTION("GOOGLETRANSLATE(B145, ""en"", ""vi"")"),"Người bắt đầu")</f>
        <v>Người bắt đầu</v>
      </c>
      <c r="L145" s="26" t="str">
        <f>IFERROR(__xludf.DUMMYFUNCTION("GOOGLETRANSLATE(B145, ""en"", ""hr"")"),"Početnik")</f>
        <v>Početnik</v>
      </c>
      <c r="M145" s="28"/>
      <c r="N145" s="28"/>
      <c r="O145" s="28"/>
      <c r="P145" s="28"/>
      <c r="Q145" s="28"/>
      <c r="R145" s="28"/>
      <c r="S145" s="28"/>
      <c r="T145" s="28"/>
      <c r="U145" s="28"/>
      <c r="V145" s="28"/>
      <c r="W145" s="28"/>
      <c r="X145" s="28"/>
      <c r="Y145" s="28"/>
      <c r="Z145" s="28"/>
      <c r="AA145" s="28"/>
      <c r="AB145" s="28"/>
    </row>
    <row r="146">
      <c r="A146" s="21" t="s">
        <v>247</v>
      </c>
      <c r="B146" s="22" t="s">
        <v>247</v>
      </c>
      <c r="C146" s="23" t="str">
        <f>IFERROR(__xludf.DUMMYFUNCTION("GOOGLETRANSLATE(B146, ""en"", ""fr"")"),"Avancée")</f>
        <v>Avancée</v>
      </c>
      <c r="D146" s="23" t="str">
        <f>IFERROR(__xludf.DUMMYFUNCTION("GOOGLETRANSLATE(B146, ""en"", ""es"")"),"Avanzado")</f>
        <v>Avanzado</v>
      </c>
      <c r="E146" s="23" t="str">
        <f>IFERROR(__xludf.DUMMYFUNCTION("GOOGLETRANSLATE(B146, ""en"", ""ru"")"),"Передовой")</f>
        <v>Передовой</v>
      </c>
      <c r="F146" s="23" t="str">
        <f>IFERROR(__xludf.DUMMYFUNCTION("GOOGLETRANSLATE(B146, ""en"", ""tr"")"),"ileri")</f>
        <v>ileri</v>
      </c>
      <c r="G146" s="23" t="str">
        <f>IFERROR(__xludf.DUMMYFUNCTION("GOOGLETRANSLATE(B146, ""en"", ""pt"")"),"avançado")</f>
        <v>avançado</v>
      </c>
      <c r="H146" s="24" t="str">
        <f>IFERROR(__xludf.DUMMYFUNCTION("GOOGLETRANSLATE(B146, ""en"", ""de"")"),"fortgeschritten")</f>
        <v>fortgeschritten</v>
      </c>
      <c r="I146" s="23" t="str">
        <f>IFERROR(__xludf.DUMMYFUNCTION("GOOGLETRANSLATE(B146, ""en"", ""pl"")"),"zaawansowane")</f>
        <v>zaawansowane</v>
      </c>
      <c r="J146" s="25" t="str">
        <f>IFERROR(__xludf.DUMMYFUNCTION("GOOGLETRANSLATE(B146, ""en"", ""zh"")"),"先进的")</f>
        <v>先进的</v>
      </c>
      <c r="K146" s="25" t="str">
        <f>IFERROR(__xludf.DUMMYFUNCTION("GOOGLETRANSLATE(B146, ""en"", ""vi"")"),"Nâng cao")</f>
        <v>Nâng cao</v>
      </c>
      <c r="L146" s="26" t="str">
        <f>IFERROR(__xludf.DUMMYFUNCTION("GOOGLETRANSLATE(B146, ""en"", ""hr"")"),"Napredna")</f>
        <v>Napredna</v>
      </c>
      <c r="M146" s="28"/>
      <c r="N146" s="28"/>
      <c r="O146" s="28"/>
      <c r="P146" s="28"/>
      <c r="Q146" s="28"/>
      <c r="R146" s="28"/>
      <c r="S146" s="28"/>
      <c r="T146" s="28"/>
      <c r="U146" s="28"/>
      <c r="V146" s="28"/>
      <c r="W146" s="28"/>
      <c r="X146" s="28"/>
      <c r="Y146" s="28"/>
      <c r="Z146" s="28"/>
      <c r="AA146" s="28"/>
      <c r="AB146" s="28"/>
    </row>
    <row r="147">
      <c r="A147" s="21" t="s">
        <v>248</v>
      </c>
      <c r="B147" s="22" t="s">
        <v>248</v>
      </c>
      <c r="C147" s="23" t="str">
        <f>IFERROR(__xludf.DUMMYFUNCTION("GOOGLETRANSLATE(B147, ""en"", ""fr"")"),"Expert")</f>
        <v>Expert</v>
      </c>
      <c r="D147" s="23" t="str">
        <f>IFERROR(__xludf.DUMMYFUNCTION("GOOGLETRANSLATE(B147, ""en"", ""es"")"),"Experto")</f>
        <v>Experto</v>
      </c>
      <c r="E147" s="23" t="str">
        <f>IFERROR(__xludf.DUMMYFUNCTION("GOOGLETRANSLATE(B147, ""en"", ""ru"")"),"эксперт")</f>
        <v>эксперт</v>
      </c>
      <c r="F147" s="23" t="str">
        <f>IFERROR(__xludf.DUMMYFUNCTION("GOOGLETRANSLATE(B147, ""en"", ""tr"")"),"Uzman")</f>
        <v>Uzman</v>
      </c>
      <c r="G147" s="23" t="str">
        <f>IFERROR(__xludf.DUMMYFUNCTION("GOOGLETRANSLATE(B147, ""en"", ""pt"")"),"Especialista")</f>
        <v>Especialista</v>
      </c>
      <c r="H147" s="24" t="str">
        <f>IFERROR(__xludf.DUMMYFUNCTION("GOOGLETRANSLATE(B147, ""en"", ""de"")"),"Experte")</f>
        <v>Experte</v>
      </c>
      <c r="I147" s="23" t="str">
        <f>IFERROR(__xludf.DUMMYFUNCTION("GOOGLETRANSLATE(B147, ""en"", ""pl"")"),"Ekspert")</f>
        <v>Ekspert</v>
      </c>
      <c r="J147" s="25" t="str">
        <f>IFERROR(__xludf.DUMMYFUNCTION("GOOGLETRANSLATE(B147, ""en"", ""zh"")"),"专家")</f>
        <v>专家</v>
      </c>
      <c r="K147" s="25" t="str">
        <f>IFERROR(__xludf.DUMMYFUNCTION("GOOGLETRANSLATE(B147, ""en"", ""vi"")"),"Chuyên gia")</f>
        <v>Chuyên gia</v>
      </c>
      <c r="L147" s="26" t="str">
        <f>IFERROR(__xludf.DUMMYFUNCTION("GOOGLETRANSLATE(B147, ""en"", ""hr"")"),"Stručnjak")</f>
        <v>Stručnjak</v>
      </c>
      <c r="M147" s="28"/>
      <c r="N147" s="28"/>
      <c r="O147" s="28"/>
      <c r="P147" s="28"/>
      <c r="Q147" s="28"/>
      <c r="R147" s="28"/>
      <c r="S147" s="28"/>
      <c r="T147" s="28"/>
      <c r="U147" s="28"/>
      <c r="V147" s="28"/>
      <c r="W147" s="28"/>
      <c r="X147" s="28"/>
      <c r="Y147" s="28"/>
      <c r="Z147" s="28"/>
      <c r="AA147" s="28"/>
      <c r="AB147" s="28"/>
    </row>
    <row r="148">
      <c r="A148" s="21" t="s">
        <v>249</v>
      </c>
      <c r="B148" s="22" t="s">
        <v>249</v>
      </c>
      <c r="C148" s="23" t="str">
        <f>IFERROR(__xludf.DUMMYFUNCTION("GOOGLETRANSLATE(B148, ""en"", ""fr"")"),"Maître")</f>
        <v>Maître</v>
      </c>
      <c r="D148" s="23" t="str">
        <f>IFERROR(__xludf.DUMMYFUNCTION("GOOGLETRANSLATE(B148, ""en"", ""es"")"),"Maestría")</f>
        <v>Maestría</v>
      </c>
      <c r="E148" s="23" t="str">
        <f>IFERROR(__xludf.DUMMYFUNCTION("GOOGLETRANSLATE(B148, ""en"", ""ru"")"),"Владелец")</f>
        <v>Владелец</v>
      </c>
      <c r="F148" s="23" t="str">
        <f>IFERROR(__xludf.DUMMYFUNCTION("GOOGLETRANSLATE(B148, ""en"", ""tr"")"),"Usta")</f>
        <v>Usta</v>
      </c>
      <c r="G148" s="23" t="str">
        <f>IFERROR(__xludf.DUMMYFUNCTION("GOOGLETRANSLATE(B148, ""en"", ""pt"")"),"Mestre")</f>
        <v>Mestre</v>
      </c>
      <c r="H148" s="24" t="str">
        <f>IFERROR(__xludf.DUMMYFUNCTION("GOOGLETRANSLATE(B148, ""en"", ""de"")"),"Meister")</f>
        <v>Meister</v>
      </c>
      <c r="I148" s="23" t="str">
        <f>IFERROR(__xludf.DUMMYFUNCTION("GOOGLETRANSLATE(B148, ""en"", ""pl"")"),"Mistrz")</f>
        <v>Mistrz</v>
      </c>
      <c r="J148" s="25" t="str">
        <f>IFERROR(__xludf.DUMMYFUNCTION("GOOGLETRANSLATE(B148, ""en"", ""zh"")"),"掌握")</f>
        <v>掌握</v>
      </c>
      <c r="K148" s="25" t="str">
        <f>IFERROR(__xludf.DUMMYFUNCTION("GOOGLETRANSLATE(B148, ""en"", ""vi"")"),"Bậc thầy")</f>
        <v>Bậc thầy</v>
      </c>
      <c r="L148" s="26" t="str">
        <f>IFERROR(__xludf.DUMMYFUNCTION("GOOGLETRANSLATE(B148, ""en"", ""hr"")"),"Ovladati; majstorski")</f>
        <v>Ovladati; majstorski</v>
      </c>
      <c r="M148" s="28"/>
      <c r="N148" s="28"/>
      <c r="O148" s="28"/>
      <c r="P148" s="28"/>
      <c r="Q148" s="28"/>
      <c r="R148" s="28"/>
      <c r="S148" s="28"/>
      <c r="T148" s="28"/>
      <c r="U148" s="28"/>
      <c r="V148" s="28"/>
      <c r="W148" s="28"/>
      <c r="X148" s="28"/>
      <c r="Y148" s="28"/>
      <c r="Z148" s="28"/>
      <c r="AA148" s="28"/>
      <c r="AB148" s="28"/>
    </row>
    <row r="149">
      <c r="A149" s="21" t="s">
        <v>250</v>
      </c>
      <c r="B149" s="22" t="s">
        <v>250</v>
      </c>
      <c r="C149" s="23" t="str">
        <f>IFERROR(__xludf.DUMMYFUNCTION("GOOGLETRANSLATE(B149, ""en"", ""fr"")"),"coût d'entrée")</f>
        <v>coût d'entrée</v>
      </c>
      <c r="D149" s="23" t="str">
        <f>IFERROR(__xludf.DUMMYFUNCTION("GOOGLETRANSLATE(B149, ""en"", ""es"")"),"costo de entrada")</f>
        <v>costo de entrada</v>
      </c>
      <c r="E149" s="23" t="str">
        <f>IFERROR(__xludf.DUMMYFUNCTION("GOOGLETRANSLATE(B149, ""en"", ""ru"")"),"первоначальные расходы")</f>
        <v>первоначальные расходы</v>
      </c>
      <c r="F149" s="23" t="str">
        <f>IFERROR(__xludf.DUMMYFUNCTION("GOOGLETRANSLATE(B149, ""en"", ""tr"")"),"Giriş maliyeti")</f>
        <v>Giriş maliyeti</v>
      </c>
      <c r="G149" s="23" t="str">
        <f>IFERROR(__xludf.DUMMYFUNCTION("GOOGLETRANSLATE(B149, ""en"", ""pt"")"),"custo de entrada")</f>
        <v>custo de entrada</v>
      </c>
      <c r="H149" s="24" t="str">
        <f>IFERROR(__xludf.DUMMYFUNCTION("GOOGLETRANSLATE(B149, ""en"", ""de"")"),"Einstiegskosten")</f>
        <v>Einstiegskosten</v>
      </c>
      <c r="I149" s="23" t="str">
        <f>IFERROR(__xludf.DUMMYFUNCTION("GOOGLETRANSLATE(B149, ""en"", ""pl"")"),"koszt wpisu")</f>
        <v>koszt wpisu</v>
      </c>
      <c r="J149" s="25" t="str">
        <f>IFERROR(__xludf.DUMMYFUNCTION("GOOGLETRANSLATE(B149, ""en"", ""zh"")"),"进入成本")</f>
        <v>进入成本</v>
      </c>
      <c r="K149" s="25" t="str">
        <f>IFERROR(__xludf.DUMMYFUNCTION("GOOGLETRANSLATE(B149, ""en"", ""vi"")"),"chi phí nhập")</f>
        <v>chi phí nhập</v>
      </c>
      <c r="L149" s="26" t="str">
        <f>IFERROR(__xludf.DUMMYFUNCTION("GOOGLETRANSLATE(B149, ""en"", ""hr"")"),"trošak ulaz")</f>
        <v>trošak ulaz</v>
      </c>
      <c r="M149" s="28"/>
      <c r="N149" s="28"/>
      <c r="O149" s="28"/>
      <c r="P149" s="28"/>
      <c r="Q149" s="28"/>
      <c r="R149" s="28"/>
      <c r="S149" s="28"/>
      <c r="T149" s="28"/>
      <c r="U149" s="28"/>
      <c r="V149" s="28"/>
      <c r="W149" s="28"/>
      <c r="X149" s="28"/>
      <c r="Y149" s="28"/>
      <c r="Z149" s="28"/>
      <c r="AA149" s="28"/>
      <c r="AB149" s="28"/>
    </row>
    <row r="150">
      <c r="A150" s="21" t="s">
        <v>251</v>
      </c>
      <c r="B150" s="22" t="s">
        <v>251</v>
      </c>
      <c r="C150" s="23" t="str">
        <f>IFERROR(__xludf.DUMMYFUNCTION("GOOGLETRANSLATE(B150, ""en"", ""fr"")"),"le maximum de joueurs")</f>
        <v>le maximum de joueurs</v>
      </c>
      <c r="D150" s="23" t="str">
        <f>IFERROR(__xludf.DUMMYFUNCTION("GOOGLETRANSLATE(B150, ""en"", ""es"")"),"jugadores máximos")</f>
        <v>jugadores máximos</v>
      </c>
      <c r="E150" s="23" t="str">
        <f>IFERROR(__xludf.DUMMYFUNCTION("GOOGLETRANSLATE(B150, ""en"", ""ru"")"),"максимум игроков")</f>
        <v>максимум игроков</v>
      </c>
      <c r="F150" s="23" t="str">
        <f>IFERROR(__xludf.DUMMYFUNCTION("GOOGLETRANSLATE(B150, ""en"", ""tr"")"),"maksimum oyuncu")</f>
        <v>maksimum oyuncu</v>
      </c>
      <c r="G150" s="23" t="str">
        <f>IFERROR(__xludf.DUMMYFUNCTION("GOOGLETRANSLATE(B150, ""en"", ""pt"")"),"máximo de jogadores")</f>
        <v>máximo de jogadores</v>
      </c>
      <c r="H150" s="24" t="str">
        <f>IFERROR(__xludf.DUMMYFUNCTION("GOOGLETRANSLATE(B150, ""en"", ""de"")"),"Maximale Spielerzahl")</f>
        <v>Maximale Spielerzahl</v>
      </c>
      <c r="I150" s="23" t="str">
        <f>IFERROR(__xludf.DUMMYFUNCTION("GOOGLETRANSLATE(B150, ""en"", ""pl"")"),"maksimum graczy")</f>
        <v>maksimum graczy</v>
      </c>
      <c r="J150" s="25" t="str">
        <f>IFERROR(__xludf.DUMMYFUNCTION("GOOGLETRANSLATE(B150, ""en"", ""zh"")"),"最大的球员")</f>
        <v>最大的球员</v>
      </c>
      <c r="K150" s="25" t="str">
        <f>IFERROR(__xludf.DUMMYFUNCTION("GOOGLETRANSLATE(B150, ""en"", ""vi"")"),"người chơi Max")</f>
        <v>người chơi Max</v>
      </c>
      <c r="L150" s="26" t="str">
        <f>IFERROR(__xludf.DUMMYFUNCTION("GOOGLETRANSLATE(B150, ""en"", ""hr"")"),"maksimalno igrača")</f>
        <v>maksimalno igrača</v>
      </c>
      <c r="M150" s="28"/>
      <c r="N150" s="28"/>
      <c r="O150" s="28"/>
      <c r="P150" s="28"/>
      <c r="Q150" s="28"/>
      <c r="R150" s="28"/>
      <c r="S150" s="28"/>
      <c r="T150" s="28"/>
      <c r="U150" s="28"/>
      <c r="V150" s="28"/>
      <c r="W150" s="28"/>
      <c r="X150" s="28"/>
      <c r="Y150" s="28"/>
      <c r="Z150" s="28"/>
      <c r="AA150" s="28"/>
      <c r="AB150" s="28"/>
    </row>
    <row r="151">
      <c r="A151" s="21" t="s">
        <v>252</v>
      </c>
      <c r="B151" s="22" t="s">
        <v>252</v>
      </c>
      <c r="C151" s="23" t="str">
        <f>IFERROR(__xludf.DUMMYFUNCTION("GOOGLETRANSLATE(B151, ""en"", ""fr"")"),"Créer")</f>
        <v>Créer</v>
      </c>
      <c r="D151" s="23" t="str">
        <f>IFERROR(__xludf.DUMMYFUNCTION("GOOGLETRANSLATE(B151, ""en"", ""es"")"),"Crear")</f>
        <v>Crear</v>
      </c>
      <c r="E151" s="23" t="str">
        <f>IFERROR(__xludf.DUMMYFUNCTION("GOOGLETRANSLATE(B151, ""en"", ""ru"")"),"Создавать")</f>
        <v>Создавать</v>
      </c>
      <c r="F151" s="23" t="str">
        <f>IFERROR(__xludf.DUMMYFUNCTION("GOOGLETRANSLATE(B151, ""en"", ""tr"")"),"Oluşturmak")</f>
        <v>Oluşturmak</v>
      </c>
      <c r="G151" s="23" t="str">
        <f>IFERROR(__xludf.DUMMYFUNCTION("GOOGLETRANSLATE(B151, ""en"", ""pt"")"),"Crio")</f>
        <v>Crio</v>
      </c>
      <c r="H151" s="24" t="str">
        <f>IFERROR(__xludf.DUMMYFUNCTION("GOOGLETRANSLATE(B151, ""en"", ""de"")"),"Erstellen")</f>
        <v>Erstellen</v>
      </c>
      <c r="I151" s="23" t="str">
        <f>IFERROR(__xludf.DUMMYFUNCTION("GOOGLETRANSLATE(B151, ""en"", ""pl"")"),"Stwórz")</f>
        <v>Stwórz</v>
      </c>
      <c r="J151" s="25" t="str">
        <f>IFERROR(__xludf.DUMMYFUNCTION("GOOGLETRANSLATE(B151, ""en"", ""zh"")"),"创造")</f>
        <v>创造</v>
      </c>
      <c r="K151" s="25" t="str">
        <f>IFERROR(__xludf.DUMMYFUNCTION("GOOGLETRANSLATE(B151, ""en"", ""vi"")"),"Tạo nên")</f>
        <v>Tạo nên</v>
      </c>
      <c r="L151" s="26" t="str">
        <f>IFERROR(__xludf.DUMMYFUNCTION("GOOGLETRANSLATE(B151, ""en"", ""hr"")"),"Stvoriti")</f>
        <v>Stvoriti</v>
      </c>
      <c r="M151" s="28"/>
      <c r="N151" s="28"/>
      <c r="O151" s="28"/>
      <c r="P151" s="28"/>
      <c r="Q151" s="28"/>
      <c r="R151" s="28"/>
      <c r="S151" s="28"/>
      <c r="T151" s="28"/>
      <c r="U151" s="28"/>
      <c r="V151" s="28"/>
      <c r="W151" s="28"/>
      <c r="X151" s="28"/>
      <c r="Y151" s="28"/>
      <c r="Z151" s="28"/>
      <c r="AA151" s="28"/>
      <c r="AB151" s="28"/>
    </row>
    <row r="152">
      <c r="A152" s="21" t="s">
        <v>253</v>
      </c>
      <c r="B152" s="22" t="s">
        <v>253</v>
      </c>
      <c r="C152" s="23" t="str">
        <f>IFERROR(__xludf.DUMMYFUNCTION("GOOGLETRANSLATE(B152, ""en"", ""fr"")"),"Quitter")</f>
        <v>Quitter</v>
      </c>
      <c r="D152" s="23" t="str">
        <f>IFERROR(__xludf.DUMMYFUNCTION("GOOGLETRANSLATE(B152, ""en"", ""es"")"),"Licencia")</f>
        <v>Licencia</v>
      </c>
      <c r="E152" s="23" t="str">
        <f>IFERROR(__xludf.DUMMYFUNCTION("GOOGLETRANSLATE(B152, ""en"", ""ru"")"),"Покинуть")</f>
        <v>Покинуть</v>
      </c>
      <c r="F152" s="23" t="str">
        <f>IFERROR(__xludf.DUMMYFUNCTION("GOOGLETRANSLATE(B152, ""en"", ""tr"")"),"Ayrılmak")</f>
        <v>Ayrılmak</v>
      </c>
      <c r="G152" s="23" t="str">
        <f>IFERROR(__xludf.DUMMYFUNCTION("GOOGLETRANSLATE(B152, ""en"", ""pt"")"),"Sair")</f>
        <v>Sair</v>
      </c>
      <c r="H152" s="24" t="str">
        <f>IFERROR(__xludf.DUMMYFUNCTION("GOOGLETRANSLATE(B152, ""en"", ""de"")"),"Verlassen")</f>
        <v>Verlassen</v>
      </c>
      <c r="I152" s="23" t="str">
        <f>IFERROR(__xludf.DUMMYFUNCTION("GOOGLETRANSLATE(B152, ""en"", ""pl"")"),"Wychodzić")</f>
        <v>Wychodzić</v>
      </c>
      <c r="J152" s="25" t="str">
        <f>IFERROR(__xludf.DUMMYFUNCTION("GOOGLETRANSLATE(B152, ""en"", ""zh"")"),"离开")</f>
        <v>离开</v>
      </c>
      <c r="K152" s="25" t="str">
        <f>IFERROR(__xludf.DUMMYFUNCTION("GOOGLETRANSLATE(B152, ""en"", ""vi"")"),"Rời khỏi")</f>
        <v>Rời khỏi</v>
      </c>
      <c r="L152" s="26" t="str">
        <f>IFERROR(__xludf.DUMMYFUNCTION("GOOGLETRANSLATE(B152, ""en"", ""hr"")"),"Napustiti")</f>
        <v>Napustiti</v>
      </c>
      <c r="M152" s="28"/>
      <c r="N152" s="28"/>
      <c r="O152" s="28"/>
      <c r="P152" s="28"/>
      <c r="Q152" s="28"/>
      <c r="R152" s="28"/>
      <c r="S152" s="28"/>
      <c r="T152" s="28"/>
      <c r="U152" s="28"/>
      <c r="V152" s="28"/>
      <c r="W152" s="28"/>
      <c r="X152" s="28"/>
      <c r="Y152" s="28"/>
      <c r="Z152" s="28"/>
      <c r="AA152" s="28"/>
      <c r="AB152" s="28"/>
    </row>
    <row r="153">
      <c r="A153" s="21" t="s">
        <v>254</v>
      </c>
      <c r="B153" s="22" t="s">
        <v>254</v>
      </c>
      <c r="C153" s="23" t="str">
        <f>IFERROR(__xludf.DUMMYFUNCTION("GOOGLETRANSLATE(B153, ""en"", ""fr"")"),"Démarrer")</f>
        <v>Démarrer</v>
      </c>
      <c r="D153" s="23" t="str">
        <f>IFERROR(__xludf.DUMMYFUNCTION("GOOGLETRANSLATE(B153, ""en"", ""es"")"),"Comienzo")</f>
        <v>Comienzo</v>
      </c>
      <c r="E153" s="23" t="str">
        <f>IFERROR(__xludf.DUMMYFUNCTION("GOOGLETRANSLATE(B153, ""en"", ""ru"")"),"Начинать")</f>
        <v>Начинать</v>
      </c>
      <c r="F153" s="23" t="str">
        <f>IFERROR(__xludf.DUMMYFUNCTION("GOOGLETRANSLATE(B153, ""en"", ""tr"")"),"Başlat")</f>
        <v>Başlat</v>
      </c>
      <c r="G153" s="23" t="str">
        <f>IFERROR(__xludf.DUMMYFUNCTION("GOOGLETRANSLATE(B153, ""en"", ""pt"")"),"Começar")</f>
        <v>Começar</v>
      </c>
      <c r="H153" s="24" t="str">
        <f>IFERROR(__xludf.DUMMYFUNCTION("GOOGLETRANSLATE(B153, ""en"", ""de"")"),"Start")</f>
        <v>Start</v>
      </c>
      <c r="I153" s="23" t="str">
        <f>IFERROR(__xludf.DUMMYFUNCTION("GOOGLETRANSLATE(B153, ""en"", ""pl"")"),"Początek")</f>
        <v>Początek</v>
      </c>
      <c r="J153" s="25" t="str">
        <f>IFERROR(__xludf.DUMMYFUNCTION("GOOGLETRANSLATE(B153, ""en"", ""zh"")"),"开始")</f>
        <v>开始</v>
      </c>
      <c r="K153" s="25" t="str">
        <f>IFERROR(__xludf.DUMMYFUNCTION("GOOGLETRANSLATE(B153, ""en"", ""vi"")"),"Khởi đầu")</f>
        <v>Khởi đầu</v>
      </c>
      <c r="L153" s="26" t="str">
        <f>IFERROR(__xludf.DUMMYFUNCTION("GOOGLETRANSLATE(B153, ""en"", ""hr"")"),"Početak")</f>
        <v>Početak</v>
      </c>
      <c r="M153" s="28"/>
      <c r="N153" s="28"/>
      <c r="O153" s="28"/>
      <c r="P153" s="28"/>
      <c r="Q153" s="28"/>
      <c r="R153" s="28"/>
      <c r="S153" s="28"/>
      <c r="T153" s="28"/>
      <c r="U153" s="28"/>
      <c r="V153" s="28"/>
      <c r="W153" s="28"/>
      <c r="X153" s="28"/>
      <c r="Y153" s="28"/>
      <c r="Z153" s="28"/>
      <c r="AA153" s="28"/>
      <c r="AB153" s="28"/>
    </row>
    <row r="154">
      <c r="A154" s="21" t="s">
        <v>255</v>
      </c>
      <c r="B154" s="22" t="s">
        <v>255</v>
      </c>
      <c r="C154" s="23" t="str">
        <f>IFERROR(__xludf.DUMMYFUNCTION("GOOGLETRANSLATE(B154, ""en"", ""fr"")"),"Annuler")</f>
        <v>Annuler</v>
      </c>
      <c r="D154" s="23" t="str">
        <f>IFERROR(__xludf.DUMMYFUNCTION("GOOGLETRANSLATE(B154, ""en"", ""es"")"),"Cancelar")</f>
        <v>Cancelar</v>
      </c>
      <c r="E154" s="23" t="str">
        <f>IFERROR(__xludf.DUMMYFUNCTION("GOOGLETRANSLATE(B154, ""en"", ""ru"")"),"Отмена")</f>
        <v>Отмена</v>
      </c>
      <c r="F154" s="23" t="str">
        <f>IFERROR(__xludf.DUMMYFUNCTION("GOOGLETRANSLATE(B154, ""en"", ""tr"")"),"İptal etmek")</f>
        <v>İptal etmek</v>
      </c>
      <c r="G154" s="23" t="str">
        <f>IFERROR(__xludf.DUMMYFUNCTION("GOOGLETRANSLATE(B154, ""en"", ""pt"")"),"Cancelar")</f>
        <v>Cancelar</v>
      </c>
      <c r="H154" s="24" t="str">
        <f>IFERROR(__xludf.DUMMYFUNCTION("GOOGLETRANSLATE(B154, ""en"", ""de"")"),"Stornieren")</f>
        <v>Stornieren</v>
      </c>
      <c r="I154" s="23" t="str">
        <f>IFERROR(__xludf.DUMMYFUNCTION("GOOGLETRANSLATE(B154, ""en"", ""pl"")"),"Anuluj")</f>
        <v>Anuluj</v>
      </c>
      <c r="J154" s="25" t="str">
        <f>IFERROR(__xludf.DUMMYFUNCTION("GOOGLETRANSLATE(B154, ""en"", ""zh"")"),"取消")</f>
        <v>取消</v>
      </c>
      <c r="K154" s="25" t="str">
        <f>IFERROR(__xludf.DUMMYFUNCTION("GOOGLETRANSLATE(B154, ""en"", ""vi"")"),"hủy bỏ")</f>
        <v>hủy bỏ</v>
      </c>
      <c r="L154" s="26" t="str">
        <f>IFERROR(__xludf.DUMMYFUNCTION("GOOGLETRANSLATE(B154, ""en"", ""hr"")"),"Otkazati")</f>
        <v>Otkazati</v>
      </c>
      <c r="M154" s="28"/>
      <c r="N154" s="28"/>
      <c r="O154" s="28"/>
      <c r="P154" s="28"/>
      <c r="Q154" s="28"/>
      <c r="R154" s="28"/>
      <c r="S154" s="28"/>
      <c r="T154" s="28"/>
      <c r="U154" s="28"/>
      <c r="V154" s="28"/>
      <c r="W154" s="28"/>
      <c r="X154" s="28"/>
      <c r="Y154" s="28"/>
      <c r="Z154" s="28"/>
      <c r="AA154" s="28"/>
      <c r="AB154" s="28"/>
    </row>
    <row r="155">
      <c r="A155" s="21" t="s">
        <v>256</v>
      </c>
      <c r="B155" s="22" t="s">
        <v>256</v>
      </c>
      <c r="C155" s="23" t="str">
        <f>IFERROR(__xludf.DUMMYFUNCTION("GOOGLETRANSLATE(B155, ""en"", ""fr"")"),"Fête")</f>
        <v>Fête</v>
      </c>
      <c r="D155" s="23" t="str">
        <f>IFERROR(__xludf.DUMMYFUNCTION("GOOGLETRANSLATE(B155, ""en"", ""es"")"),"Fiesta")</f>
        <v>Fiesta</v>
      </c>
      <c r="E155" s="23" t="str">
        <f>IFERROR(__xludf.DUMMYFUNCTION("GOOGLETRANSLATE(B155, ""en"", ""ru"")"),"Вечеринка")</f>
        <v>Вечеринка</v>
      </c>
      <c r="F155" s="23" t="str">
        <f>IFERROR(__xludf.DUMMYFUNCTION("GOOGLETRANSLATE(B155, ""en"", ""tr"")"),"Parti")</f>
        <v>Parti</v>
      </c>
      <c r="G155" s="23" t="str">
        <f>IFERROR(__xludf.DUMMYFUNCTION("GOOGLETRANSLATE(B155, ""en"", ""pt"")"),"Partido")</f>
        <v>Partido</v>
      </c>
      <c r="H155" s="24" t="str">
        <f>IFERROR(__xludf.DUMMYFUNCTION("GOOGLETRANSLATE(B155, ""en"", ""de"")"),"Party")</f>
        <v>Party</v>
      </c>
      <c r="I155" s="23" t="str">
        <f>IFERROR(__xludf.DUMMYFUNCTION("GOOGLETRANSLATE(B155, ""en"", ""pl"")"),"Przyjęcie")</f>
        <v>Przyjęcie</v>
      </c>
      <c r="J155" s="25" t="str">
        <f>IFERROR(__xludf.DUMMYFUNCTION("GOOGLETRANSLATE(B155, ""en"", ""zh"")"),"派对")</f>
        <v>派对</v>
      </c>
      <c r="K155" s="25" t="str">
        <f>IFERROR(__xludf.DUMMYFUNCTION("GOOGLETRANSLATE(B155, ""en"", ""vi"")"),"Buổi tiệc")</f>
        <v>Buổi tiệc</v>
      </c>
      <c r="L155" s="26" t="str">
        <f>IFERROR(__xludf.DUMMYFUNCTION("GOOGLETRANSLATE(B155, ""en"", ""hr"")"),"Zabava")</f>
        <v>Zabava</v>
      </c>
      <c r="M155" s="28"/>
      <c r="N155" s="28"/>
      <c r="O155" s="28"/>
      <c r="P155" s="28"/>
      <c r="Q155" s="28"/>
      <c r="R155" s="28"/>
      <c r="S155" s="28"/>
      <c r="T155" s="28"/>
      <c r="U155" s="28"/>
      <c r="V155" s="28"/>
      <c r="W155" s="28"/>
      <c r="X155" s="28"/>
      <c r="Y155" s="28"/>
      <c r="Z155" s="28"/>
      <c r="AA155" s="28"/>
      <c r="AB155" s="28"/>
    </row>
    <row r="156">
      <c r="A156" s="21" t="s">
        <v>257</v>
      </c>
      <c r="B156" s="22" t="s">
        <v>257</v>
      </c>
      <c r="C156" s="23" t="str">
        <f>IFERROR(__xludf.DUMMYFUNCTION("GOOGLETRANSLATE(B156, ""en"", ""fr"")"),"Des soirées")</f>
        <v>Des soirées</v>
      </c>
      <c r="D156" s="23" t="str">
        <f>IFERROR(__xludf.DUMMYFUNCTION("GOOGLETRANSLATE(B156, ""en"", ""es"")"),"Fiestas")</f>
        <v>Fiestas</v>
      </c>
      <c r="E156" s="23" t="str">
        <f>IFERROR(__xludf.DUMMYFUNCTION("GOOGLETRANSLATE(B156, ""en"", ""ru"")"),"Стороны")</f>
        <v>Стороны</v>
      </c>
      <c r="F156" s="23" t="str">
        <f>IFERROR(__xludf.DUMMYFUNCTION("GOOGLETRANSLATE(B156, ""en"", ""tr"")"),"Taraflar")</f>
        <v>Taraflar</v>
      </c>
      <c r="G156" s="23" t="str">
        <f>IFERROR(__xludf.DUMMYFUNCTION("GOOGLETRANSLATE(B156, ""en"", ""pt"")"),"Partidos")</f>
        <v>Partidos</v>
      </c>
      <c r="H156" s="24" t="str">
        <f>IFERROR(__xludf.DUMMYFUNCTION("GOOGLETRANSLATE(B156, ""en"", ""de"")"),"Parteien")</f>
        <v>Parteien</v>
      </c>
      <c r="I156" s="23" t="str">
        <f>IFERROR(__xludf.DUMMYFUNCTION("GOOGLETRANSLATE(B156, ""en"", ""pl"")"),"strony")</f>
        <v>strony</v>
      </c>
      <c r="J156" s="25" t="str">
        <f>IFERROR(__xludf.DUMMYFUNCTION("GOOGLETRANSLATE(B156, ""en"", ""zh"")"),"派对")</f>
        <v>派对</v>
      </c>
      <c r="K156" s="25" t="str">
        <f>IFERROR(__xludf.DUMMYFUNCTION("GOOGLETRANSLATE(B156, ""en"", ""vi"")"),"bên")</f>
        <v>bên</v>
      </c>
      <c r="L156" s="26" t="str">
        <f>IFERROR(__xludf.DUMMYFUNCTION("GOOGLETRANSLATE(B156, ""en"", ""hr"")"),"Strane")</f>
        <v>Strane</v>
      </c>
      <c r="M156" s="28"/>
      <c r="N156" s="28"/>
      <c r="O156" s="28"/>
      <c r="P156" s="28"/>
      <c r="Q156" s="28"/>
      <c r="R156" s="28"/>
      <c r="S156" s="28"/>
      <c r="T156" s="28"/>
      <c r="U156" s="28"/>
      <c r="V156" s="28"/>
      <c r="W156" s="28"/>
      <c r="X156" s="28"/>
      <c r="Y156" s="28"/>
      <c r="Z156" s="28"/>
      <c r="AA156" s="28"/>
      <c r="AB156" s="28"/>
    </row>
    <row r="157">
      <c r="A157" s="21" t="s">
        <v>258</v>
      </c>
      <c r="B157" s="22" t="s">
        <v>250</v>
      </c>
      <c r="C157" s="23" t="str">
        <f>IFERROR(__xludf.DUMMYFUNCTION("GOOGLETRANSLATE(B157, ""en"", ""fr"")"),"coût d'entrée")</f>
        <v>coût d'entrée</v>
      </c>
      <c r="D157" s="23" t="str">
        <f>IFERROR(__xludf.DUMMYFUNCTION("GOOGLETRANSLATE(B157, ""en"", ""es"")"),"costo de entrada")</f>
        <v>costo de entrada</v>
      </c>
      <c r="E157" s="23" t="str">
        <f>IFERROR(__xludf.DUMMYFUNCTION("GOOGLETRANSLATE(B157, ""en"", ""ru"")"),"первоначальные расходы")</f>
        <v>первоначальные расходы</v>
      </c>
      <c r="F157" s="23" t="str">
        <f>IFERROR(__xludf.DUMMYFUNCTION("GOOGLETRANSLATE(B157, ""en"", ""tr"")"),"Giriş maliyeti")</f>
        <v>Giriş maliyeti</v>
      </c>
      <c r="G157" s="23" t="str">
        <f>IFERROR(__xludf.DUMMYFUNCTION("GOOGLETRANSLATE(B157, ""en"", ""pt"")"),"custo de entrada")</f>
        <v>custo de entrada</v>
      </c>
      <c r="H157" s="24" t="str">
        <f>IFERROR(__xludf.DUMMYFUNCTION("GOOGLETRANSLATE(B157, ""en"", ""de"")"),"Einstiegskosten")</f>
        <v>Einstiegskosten</v>
      </c>
      <c r="I157" s="23" t="str">
        <f>IFERROR(__xludf.DUMMYFUNCTION("GOOGLETRANSLATE(B157, ""en"", ""pl"")"),"koszt wpisu")</f>
        <v>koszt wpisu</v>
      </c>
      <c r="J157" s="25" t="str">
        <f>IFERROR(__xludf.DUMMYFUNCTION("GOOGLETRANSLATE(B157, ""en"", ""zh"")"),"进入成本")</f>
        <v>进入成本</v>
      </c>
      <c r="K157" s="25" t="str">
        <f>IFERROR(__xludf.DUMMYFUNCTION("GOOGLETRANSLATE(B157, ""en"", ""vi"")"),"chi phí nhập")</f>
        <v>chi phí nhập</v>
      </c>
      <c r="L157" s="26" t="str">
        <f>IFERROR(__xludf.DUMMYFUNCTION("GOOGLETRANSLATE(B157, ""en"", ""hr"")"),"trošak ulaz")</f>
        <v>trošak ulaz</v>
      </c>
      <c r="M157" s="28"/>
      <c r="N157" s="28"/>
      <c r="O157" s="28"/>
      <c r="P157" s="28"/>
      <c r="Q157" s="28"/>
      <c r="R157" s="28"/>
      <c r="S157" s="28"/>
      <c r="T157" s="28"/>
      <c r="U157" s="28"/>
      <c r="V157" s="28"/>
      <c r="W157" s="28"/>
      <c r="X157" s="28"/>
      <c r="Y157" s="28"/>
      <c r="Z157" s="28"/>
      <c r="AA157" s="28"/>
      <c r="AB157" s="28"/>
    </row>
    <row r="158">
      <c r="A158" s="21" t="s">
        <v>259</v>
      </c>
      <c r="B158" s="22" t="s">
        <v>259</v>
      </c>
      <c r="C158" s="23"/>
      <c r="D158" s="23" t="str">
        <f>IFERROR(__xludf.DUMMYFUNCTION("GOOGLETRANSLATE(B158, ""en"", ""es"")"),"Tiempo restante")</f>
        <v>Tiempo restante</v>
      </c>
      <c r="E158" s="23" t="str">
        <f>IFERROR(__xludf.DUMMYFUNCTION("GOOGLETRANSLATE(B158, ""en"", ""ru"")"),"Времени осталось")</f>
        <v>Времени осталось</v>
      </c>
      <c r="F158" s="23" t="str">
        <f>IFERROR(__xludf.DUMMYFUNCTION("GOOGLETRANSLATE(B158, ""en"", ""tr"")"),"Kalan süre")</f>
        <v>Kalan süre</v>
      </c>
      <c r="G158" s="23" t="str">
        <f>IFERROR(__xludf.DUMMYFUNCTION("GOOGLETRANSLATE(B158, ""en"", ""pt"")"),"Tempo restante")</f>
        <v>Tempo restante</v>
      </c>
      <c r="H158" s="24" t="str">
        <f>IFERROR(__xludf.DUMMYFUNCTION("GOOGLETRANSLATE(B158, ""en"", ""de"")"),"verbleibende Zeit")</f>
        <v>verbleibende Zeit</v>
      </c>
      <c r="I158" s="23" t="str">
        <f>IFERROR(__xludf.DUMMYFUNCTION("GOOGLETRANSLATE(B158, ""en"", ""pl"")"),"Pozostały czas")</f>
        <v>Pozostały czas</v>
      </c>
      <c r="J158" s="25" t="str">
        <f>IFERROR(__xludf.DUMMYFUNCTION("GOOGLETRANSLATE(B158, ""en"", ""zh"")"),"剩余时间")</f>
        <v>剩余时间</v>
      </c>
      <c r="K158" s="25" t="str">
        <f>IFERROR(__xludf.DUMMYFUNCTION("GOOGLETRANSLATE(B158, ""en"", ""vi"")"),"Thời gian còn lại")</f>
        <v>Thời gian còn lại</v>
      </c>
      <c r="L158" s="26" t="str">
        <f>IFERROR(__xludf.DUMMYFUNCTION("GOOGLETRANSLATE(B158, ""en"", ""hr"")"),"Preostalo vrijeme")</f>
        <v>Preostalo vrijeme</v>
      </c>
      <c r="M158" s="28"/>
      <c r="N158" s="28"/>
      <c r="O158" s="28"/>
      <c r="P158" s="28"/>
      <c r="Q158" s="28"/>
      <c r="R158" s="28"/>
      <c r="S158" s="28"/>
      <c r="T158" s="28"/>
      <c r="U158" s="28"/>
      <c r="V158" s="28"/>
      <c r="W158" s="28"/>
      <c r="X158" s="28"/>
      <c r="Y158" s="28"/>
      <c r="Z158" s="28"/>
      <c r="AA158" s="28"/>
      <c r="AB158" s="28"/>
    </row>
    <row r="159">
      <c r="A159" s="21" t="s">
        <v>260</v>
      </c>
      <c r="B159" s="22" t="s">
        <v>261</v>
      </c>
      <c r="C159" s="23" t="str">
        <f>IFERROR(__xludf.DUMMYFUNCTION("GOOGLETRANSLATE(B159, ""en"", ""fr"")"),"égouts de la ville")</f>
        <v>égouts de la ville</v>
      </c>
      <c r="D159" s="23" t="str">
        <f>IFERROR(__xludf.DUMMYFUNCTION("GOOGLETRANSLATE(B159, ""en"", ""es"")"),"alcantarillas de la ciudad")</f>
        <v>alcantarillas de la ciudad</v>
      </c>
      <c r="E159" s="23" t="str">
        <f>IFERROR(__xludf.DUMMYFUNCTION("GOOGLETRANSLATE(B159, ""en"", ""ru"")"),"Городские сточные воды")</f>
        <v>Городские сточные воды</v>
      </c>
      <c r="F159" s="23" t="str">
        <f>IFERROR(__xludf.DUMMYFUNCTION("GOOGLETRANSLATE(B159, ""en"", ""tr"")"),"Şehir kanalizasyon")</f>
        <v>Şehir kanalizasyon</v>
      </c>
      <c r="G159" s="23" t="str">
        <f>IFERROR(__xludf.DUMMYFUNCTION("GOOGLETRANSLATE(B159, ""en"", ""pt"")"),"esgotos da cidade")</f>
        <v>esgotos da cidade</v>
      </c>
      <c r="H159" s="24" t="str">
        <f>IFERROR(__xludf.DUMMYFUNCTION("GOOGLETRANSLATE(B159, ""en"", ""de"")"),"Stadt Kanalisation")</f>
        <v>Stadt Kanalisation</v>
      </c>
      <c r="I159" s="23" t="str">
        <f>IFERROR(__xludf.DUMMYFUNCTION("GOOGLETRANSLATE(B159, ""en"", ""pl"")"),"ścieki miejskie")</f>
        <v>ścieki miejskie</v>
      </c>
      <c r="J159" s="25" t="str">
        <f>IFERROR(__xludf.DUMMYFUNCTION("GOOGLETRANSLATE(B159, ""en"", ""zh"")"),"城市下水道")</f>
        <v>城市下水道</v>
      </c>
      <c r="K159" s="25" t="str">
        <f>IFERROR(__xludf.DUMMYFUNCTION("GOOGLETRANSLATE(B159, ""en"", ""vi"")"),"cống thành phố")</f>
        <v>cống thành phố</v>
      </c>
      <c r="L159" s="26" t="str">
        <f>IFERROR(__xludf.DUMMYFUNCTION("GOOGLETRANSLATE(B159, ""en"", ""hr"")"),"Grad kanalizacija")</f>
        <v>Grad kanalizacija</v>
      </c>
      <c r="M159" s="28"/>
      <c r="N159" s="28"/>
      <c r="O159" s="28"/>
      <c r="P159" s="28"/>
      <c r="Q159" s="28"/>
      <c r="R159" s="28"/>
      <c r="S159" s="28"/>
      <c r="T159" s="28"/>
      <c r="U159" s="28"/>
      <c r="V159" s="28"/>
      <c r="W159" s="28"/>
      <c r="X159" s="28"/>
      <c r="Y159" s="28"/>
      <c r="Z159" s="28"/>
      <c r="AA159" s="28"/>
      <c r="AB159" s="28"/>
    </row>
    <row r="160">
      <c r="A160" s="21" t="s">
        <v>262</v>
      </c>
      <c r="B160" s="22" t="s">
        <v>263</v>
      </c>
      <c r="C160" s="23" t="str">
        <f>IFERROR(__xludf.DUMMYFUNCTION("GOOGLETRANSLATE(B160, ""en"", ""fr"")"),"domaine de la formation Chevalier")</f>
        <v>domaine de la formation Chevalier</v>
      </c>
      <c r="D160" s="23" t="str">
        <f>IFERROR(__xludf.DUMMYFUNCTION("GOOGLETRANSLATE(B160, ""en"", ""es"")"),"arena de entrenamiento Knight")</f>
        <v>arena de entrenamiento Knight</v>
      </c>
      <c r="E160" s="23" t="str">
        <f>IFERROR(__xludf.DUMMYFUNCTION("GOOGLETRANSLATE(B160, ""en"", ""ru"")"),"Knight тренировки арены")</f>
        <v>Knight тренировки арены</v>
      </c>
      <c r="F160" s="23" t="str">
        <f>IFERROR(__xludf.DUMMYFUNCTION("GOOGLETRANSLATE(B160, ""en"", ""tr"")"),"Şövalye eğitim arena")</f>
        <v>Şövalye eğitim arena</v>
      </c>
      <c r="G160" s="23" t="str">
        <f>IFERROR(__xludf.DUMMYFUNCTION("GOOGLETRANSLATE(B160, ""en"", ""pt"")"),"arena de treinamento Cavaleiro")</f>
        <v>arena de treinamento Cavaleiro</v>
      </c>
      <c r="H160" s="24" t="str">
        <f>IFERROR(__xludf.DUMMYFUNCTION("GOOGLETRANSLATE(B160, ""en"", ""de"")"),"Ritter Trainingsarena")</f>
        <v>Ritter Trainingsarena</v>
      </c>
      <c r="I160" s="23" t="str">
        <f>IFERROR(__xludf.DUMMYFUNCTION("GOOGLETRANSLATE(B160, ""en"", ""pl"")"),"Rycerz szkolenie areny")</f>
        <v>Rycerz szkolenie areny</v>
      </c>
      <c r="J160" s="25" t="str">
        <f>IFERROR(__xludf.DUMMYFUNCTION("GOOGLETRANSLATE(B160, ""en"", ""zh"")"),"骑士训练竞技场")</f>
        <v>骑士训练竞技场</v>
      </c>
      <c r="K160" s="25" t="str">
        <f>IFERROR(__xludf.DUMMYFUNCTION("GOOGLETRANSLATE(B160, ""en"", ""vi"")"),"trường đào tạo knight")</f>
        <v>trường đào tạo knight</v>
      </c>
      <c r="L160" s="26" t="str">
        <f>IFERROR(__xludf.DUMMYFUNCTION("GOOGLETRANSLATE(B160, ""en"", ""hr"")"),"Vitez trening arena")</f>
        <v>Vitez trening arena</v>
      </c>
      <c r="M160" s="28"/>
      <c r="N160" s="28"/>
      <c r="O160" s="28"/>
      <c r="P160" s="28"/>
      <c r="Q160" s="28"/>
      <c r="R160" s="28"/>
      <c r="S160" s="28"/>
      <c r="T160" s="28"/>
      <c r="U160" s="28"/>
      <c r="V160" s="28"/>
      <c r="W160" s="28"/>
      <c r="X160" s="28"/>
      <c r="Y160" s="28"/>
      <c r="Z160" s="28"/>
      <c r="AA160" s="28"/>
      <c r="AB160" s="28"/>
    </row>
    <row r="161">
      <c r="A161" s="21" t="s">
        <v>264</v>
      </c>
      <c r="B161" s="22" t="s">
        <v>265</v>
      </c>
      <c r="C161" s="23" t="str">
        <f>IFERROR(__xludf.DUMMYFUNCTION("GOOGLETRANSLATE(B161, ""en"", ""fr"")"),"planque Bandit")</f>
        <v>planque Bandit</v>
      </c>
      <c r="D161" s="23" t="str">
        <f>IFERROR(__xludf.DUMMYFUNCTION("GOOGLETRANSLATE(B161, ""en"", ""es"")"),"escondite de bandido")</f>
        <v>escondite de bandido</v>
      </c>
      <c r="E161" s="23" t="str">
        <f>IFERROR(__xludf.DUMMYFUNCTION("GOOGLETRANSLATE(B161, ""en"", ""ru"")"),"Bandit логово")</f>
        <v>Bandit логово</v>
      </c>
      <c r="F161" s="23" t="str">
        <f>IFERROR(__xludf.DUMMYFUNCTION("GOOGLETRANSLATE(B161, ""en"", ""tr"")"),"Haydut gizlenme yeri")</f>
        <v>Haydut gizlenme yeri</v>
      </c>
      <c r="G161" s="23" t="str">
        <f>IFERROR(__xludf.DUMMYFUNCTION("GOOGLETRANSLATE(B161, ""en"", ""pt"")"),"esconderijo do bandido")</f>
        <v>esconderijo do bandido</v>
      </c>
      <c r="H161" s="24" t="str">
        <f>IFERROR(__xludf.DUMMYFUNCTION("GOOGLETRANSLATE(B161, ""en"", ""de"")"),"Bandit Versteck")</f>
        <v>Bandit Versteck</v>
      </c>
      <c r="I161" s="23" t="str">
        <f>IFERROR(__xludf.DUMMYFUNCTION("GOOGLETRANSLATE(B161, ""en"", ""pl"")"),"Bandit kryjówka")</f>
        <v>Bandit kryjówka</v>
      </c>
      <c r="J161" s="25" t="str">
        <f>IFERROR(__xludf.DUMMYFUNCTION("GOOGLETRANSLATE(B161, ""en"", ""zh"")"),"土匪藏身之处")</f>
        <v>土匪藏身之处</v>
      </c>
      <c r="K161" s="25" t="str">
        <f>IFERROR(__xludf.DUMMYFUNCTION("GOOGLETRANSLATE(B161, ""en"", ""vi"")"),"Bandit nơi ẩn náu")</f>
        <v>Bandit nơi ẩn náu</v>
      </c>
      <c r="L161" s="26" t="str">
        <f>IFERROR(__xludf.DUMMYFUNCTION("GOOGLETRANSLATE(B161, ""en"", ""hr"")"),"Bandit skrovište")</f>
        <v>Bandit skrovište</v>
      </c>
      <c r="M161" s="28"/>
      <c r="N161" s="28"/>
      <c r="O161" s="28"/>
      <c r="P161" s="28"/>
      <c r="Q161" s="28"/>
      <c r="R161" s="28"/>
      <c r="S161" s="28"/>
      <c r="T161" s="28"/>
      <c r="U161" s="28"/>
      <c r="V161" s="28"/>
      <c r="W161" s="28"/>
      <c r="X161" s="28"/>
      <c r="Y161" s="28"/>
      <c r="Z161" s="28"/>
      <c r="AA161" s="28"/>
      <c r="AB161" s="28"/>
    </row>
    <row r="162">
      <c r="A162" s="21" t="s">
        <v>266</v>
      </c>
      <c r="B162" s="22" t="s">
        <v>267</v>
      </c>
      <c r="C162" s="23" t="str">
        <f>IFERROR(__xludf.DUMMYFUNCTION("GOOGLETRANSLATE(B162, ""en"", ""fr"")"),"pyramide Ouest")</f>
        <v>pyramide Ouest</v>
      </c>
      <c r="D162" s="23" t="str">
        <f>IFERROR(__xludf.DUMMYFUNCTION("GOOGLETRANSLATE(B162, ""en"", ""es"")"),"pirámide West")</f>
        <v>pirámide West</v>
      </c>
      <c r="E162" s="23" t="str">
        <f>IFERROR(__xludf.DUMMYFUNCTION("GOOGLETRANSLATE(B162, ""en"", ""ru"")"),"Западная пирамида")</f>
        <v>Западная пирамида</v>
      </c>
      <c r="F162" s="23" t="str">
        <f>IFERROR(__xludf.DUMMYFUNCTION("GOOGLETRANSLATE(B162, ""en"", ""tr"")"),"Batı piramit")</f>
        <v>Batı piramit</v>
      </c>
      <c r="G162" s="23" t="str">
        <f>IFERROR(__xludf.DUMMYFUNCTION("GOOGLETRANSLATE(B162, ""en"", ""pt"")"),"pirâmide oeste")</f>
        <v>pirâmide oeste</v>
      </c>
      <c r="H162" s="24" t="str">
        <f>IFERROR(__xludf.DUMMYFUNCTION("GOOGLETRANSLATE(B162, ""en"", ""de"")"),"West-Pyramide")</f>
        <v>West-Pyramide</v>
      </c>
      <c r="I162" s="23" t="str">
        <f>IFERROR(__xludf.DUMMYFUNCTION("GOOGLETRANSLATE(B162, ""en"", ""pl"")"),"zachód piramida")</f>
        <v>zachód piramida</v>
      </c>
      <c r="J162" s="25" t="str">
        <f>IFERROR(__xludf.DUMMYFUNCTION("GOOGLETRANSLATE(B162, ""en"", ""zh"")"),"西金字塔")</f>
        <v>西金字塔</v>
      </c>
      <c r="K162" s="25" t="str">
        <f>IFERROR(__xludf.DUMMYFUNCTION("GOOGLETRANSLATE(B162, ""en"", ""vi"")"),"kim tự tháp Tây")</f>
        <v>kim tự tháp Tây</v>
      </c>
      <c r="L162" s="26" t="str">
        <f>IFERROR(__xludf.DUMMYFUNCTION("GOOGLETRANSLATE(B162, ""en"", ""hr"")"),"West piramida")</f>
        <v>West piramida</v>
      </c>
      <c r="M162" s="28"/>
      <c r="N162" s="28"/>
      <c r="O162" s="28"/>
      <c r="P162" s="28"/>
      <c r="Q162" s="28"/>
      <c r="R162" s="28"/>
      <c r="S162" s="28"/>
      <c r="T162" s="28"/>
      <c r="U162" s="28"/>
      <c r="V162" s="28"/>
      <c r="W162" s="28"/>
      <c r="X162" s="28"/>
      <c r="Y162" s="28"/>
      <c r="Z162" s="28"/>
      <c r="AA162" s="28"/>
      <c r="AB162" s="28"/>
    </row>
    <row r="163">
      <c r="A163" s="21" t="s">
        <v>268</v>
      </c>
      <c r="B163" s="22" t="s">
        <v>269</v>
      </c>
      <c r="C163" s="23" t="str">
        <f>IFERROR(__xludf.DUMMYFUNCTION("GOOGLETRANSLATE(B163, ""en"", ""fr"")"),"pyramide Est")</f>
        <v>pyramide Est</v>
      </c>
      <c r="D163" s="23" t="str">
        <f>IFERROR(__xludf.DUMMYFUNCTION("GOOGLETRANSLATE(B163, ""en"", ""es"")"),"al este de la pirámide")</f>
        <v>al este de la pirámide</v>
      </c>
      <c r="E163" s="23" t="str">
        <f>IFERROR(__xludf.DUMMYFUNCTION("GOOGLETRANSLATE(B163, ""en"", ""ru"")"),"Восточная пирамида")</f>
        <v>Восточная пирамида</v>
      </c>
      <c r="F163" s="23" t="str">
        <f>IFERROR(__xludf.DUMMYFUNCTION("GOOGLETRANSLATE(B163, ""en"", ""tr"")"),"Doğu piramit")</f>
        <v>Doğu piramit</v>
      </c>
      <c r="G163" s="23" t="str">
        <f>IFERROR(__xludf.DUMMYFUNCTION("GOOGLETRANSLATE(B163, ""en"", ""pt"")"),"pirâmide leste")</f>
        <v>pirâmide leste</v>
      </c>
      <c r="H163" s="24" t="str">
        <f>IFERROR(__xludf.DUMMYFUNCTION("GOOGLETRANSLATE(B163, ""en"", ""de"")"),"East Pyramide")</f>
        <v>East Pyramide</v>
      </c>
      <c r="I163" s="23" t="str">
        <f>IFERROR(__xludf.DUMMYFUNCTION("GOOGLETRANSLATE(B163, ""en"", ""pl"")"),"East piramida")</f>
        <v>East piramida</v>
      </c>
      <c r="J163" s="25" t="str">
        <f>IFERROR(__xludf.DUMMYFUNCTION("GOOGLETRANSLATE(B163, ""en"", ""zh"")"),"东方金字塔")</f>
        <v>东方金字塔</v>
      </c>
      <c r="K163" s="25" t="str">
        <f>IFERROR(__xludf.DUMMYFUNCTION("GOOGLETRANSLATE(B163, ""en"", ""vi"")"),"Đông kim tự tháp")</f>
        <v>Đông kim tự tháp</v>
      </c>
      <c r="L163" s="26" t="str">
        <f>IFERROR(__xludf.DUMMYFUNCTION("GOOGLETRANSLATE(B163, ""en"", ""hr"")"),"Istok piramida")</f>
        <v>Istok piramida</v>
      </c>
      <c r="M163" s="28"/>
      <c r="N163" s="28"/>
      <c r="O163" s="28"/>
      <c r="P163" s="28"/>
      <c r="Q163" s="28"/>
      <c r="R163" s="28"/>
      <c r="S163" s="28"/>
      <c r="T163" s="28"/>
      <c r="U163" s="28"/>
      <c r="V163" s="28"/>
      <c r="W163" s="28"/>
      <c r="X163" s="28"/>
      <c r="Y163" s="28"/>
      <c r="Z163" s="28"/>
      <c r="AA163" s="28"/>
      <c r="AB163" s="28"/>
    </row>
    <row r="164">
      <c r="A164" s="21" t="s">
        <v>270</v>
      </c>
      <c r="B164" s="22" t="s">
        <v>271</v>
      </c>
      <c r="C164" s="23" t="str">
        <f>IFERROR(__xludf.DUMMYFUNCTION("GOOGLETRANSLATE(B164, ""en"", ""fr"")"),"salles de sang")</f>
        <v>salles de sang</v>
      </c>
      <c r="D164" s="23" t="str">
        <f>IFERROR(__xludf.DUMMYFUNCTION("GOOGLETRANSLATE(B164, ""en"", ""es"")"),"salas de sangre")</f>
        <v>salas de sangre</v>
      </c>
      <c r="E164" s="23" t="str">
        <f>IFERROR(__xludf.DUMMYFUNCTION("GOOGLETRANSLATE(B164, ""en"", ""ru"")"),"Кровеносные залы")</f>
        <v>Кровеносные залы</v>
      </c>
      <c r="F164" s="23" t="str">
        <f>IFERROR(__xludf.DUMMYFUNCTION("GOOGLETRANSLATE(B164, ""en"", ""tr"")"),"Kan salonları")</f>
        <v>Kan salonları</v>
      </c>
      <c r="G164" s="23" t="str">
        <f>IFERROR(__xludf.DUMMYFUNCTION("GOOGLETRANSLATE(B164, ""en"", ""pt"")"),"salas de sangue")</f>
        <v>salas de sangue</v>
      </c>
      <c r="H164" s="24" t="str">
        <f>IFERROR(__xludf.DUMMYFUNCTION("GOOGLETRANSLATE(B164, ""en"", ""de"")"),"Bluthallen")</f>
        <v>Bluthallen</v>
      </c>
      <c r="I164" s="23" t="str">
        <f>IFERROR(__xludf.DUMMYFUNCTION("GOOGLETRANSLATE(B164, ""en"", ""pl"")"),"hale krwi")</f>
        <v>hale krwi</v>
      </c>
      <c r="J164" s="25" t="str">
        <f>IFERROR(__xludf.DUMMYFUNCTION("GOOGLETRANSLATE(B164, ""en"", ""zh"")"),"血大厅")</f>
        <v>血大厅</v>
      </c>
      <c r="K164" s="25" t="str">
        <f>IFERROR(__xludf.DUMMYFUNCTION("GOOGLETRANSLATE(B164, ""en"", ""vi"")"),"hội trường máu")</f>
        <v>hội trường máu</v>
      </c>
      <c r="L164" s="26" t="str">
        <f>IFERROR(__xludf.DUMMYFUNCTION("GOOGLETRANSLATE(B164, ""en"", ""hr"")"),"krvni dvorane")</f>
        <v>krvni dvorane</v>
      </c>
      <c r="M164" s="28"/>
      <c r="N164" s="28"/>
      <c r="O164" s="28"/>
      <c r="P164" s="28"/>
      <c r="Q164" s="28"/>
      <c r="R164" s="28"/>
      <c r="S164" s="28"/>
      <c r="T164" s="28"/>
      <c r="U164" s="28"/>
      <c r="V164" s="28"/>
      <c r="W164" s="28"/>
      <c r="X164" s="28"/>
      <c r="Y164" s="28"/>
      <c r="Z164" s="28"/>
      <c r="AA164" s="28"/>
      <c r="AB164" s="28"/>
    </row>
    <row r="165">
      <c r="A165" s="21" t="s">
        <v>272</v>
      </c>
      <c r="B165" s="22" t="s">
        <v>273</v>
      </c>
      <c r="C165" s="23" t="str">
        <f>IFERROR(__xludf.DUMMYFUNCTION("GOOGLETRANSLATE(B165, ""en"", ""fr"")"),"ombre dōjō")</f>
        <v>ombre dōjō</v>
      </c>
      <c r="D165" s="23" t="str">
        <f>IFERROR(__xludf.DUMMYFUNCTION("GOOGLETRANSLATE(B165, ""en"", ""es"")"),"sombra dōjō")</f>
        <v>sombra dōjō</v>
      </c>
      <c r="E165" s="23" t="str">
        <f>IFERROR(__xludf.DUMMYFUNCTION("GOOGLETRANSLATE(B165, ""en"", ""ru"")"),"Тень Dojo")</f>
        <v>Тень Dojo</v>
      </c>
      <c r="F165" s="23" t="str">
        <f>IFERROR(__xludf.DUMMYFUNCTION("GOOGLETRANSLATE(B165, ""en"", ""tr"")"),"dojoda gölge")</f>
        <v>dojoda gölge</v>
      </c>
      <c r="G165" s="23" t="str">
        <f>IFERROR(__xludf.DUMMYFUNCTION("GOOGLETRANSLATE(B165, ""en"", ""pt"")"),"sombra dojo")</f>
        <v>sombra dojo</v>
      </c>
      <c r="H165" s="24" t="str">
        <f>IFERROR(__xludf.DUMMYFUNCTION("GOOGLETRANSLATE(B165, ""en"", ""de"")"),"Schatten Dōjōs")</f>
        <v>Schatten Dōjōs</v>
      </c>
      <c r="I165" s="23" t="str">
        <f>IFERROR(__xludf.DUMMYFUNCTION("GOOGLETRANSLATE(B165, ""en"", ""pl"")"),"cień dojo")</f>
        <v>cień dojo</v>
      </c>
      <c r="J165" s="25" t="str">
        <f>IFERROR(__xludf.DUMMYFUNCTION("GOOGLETRANSLATE(B165, ""en"", ""zh"")"),"暗影道场")</f>
        <v>暗影道场</v>
      </c>
      <c r="K165" s="25" t="str">
        <f>IFERROR(__xludf.DUMMYFUNCTION("GOOGLETRANSLATE(B165, ""en"", ""vi"")"),"shadow võ đường")</f>
        <v>shadow võ đường</v>
      </c>
      <c r="L165" s="26" t="str">
        <f>IFERROR(__xludf.DUMMYFUNCTION("GOOGLETRANSLATE(B165, ""en"", ""hr"")"),"shadow Dojo")</f>
        <v>shadow Dojo</v>
      </c>
      <c r="M165" s="28"/>
      <c r="N165" s="28"/>
      <c r="O165" s="28"/>
      <c r="P165" s="28"/>
      <c r="Q165" s="28"/>
      <c r="R165" s="28"/>
      <c r="S165" s="28"/>
      <c r="T165" s="28"/>
      <c r="U165" s="28"/>
      <c r="V165" s="28"/>
      <c r="W165" s="28"/>
      <c r="X165" s="28"/>
      <c r="Y165" s="28"/>
      <c r="Z165" s="28"/>
      <c r="AA165" s="28"/>
      <c r="AB165" s="28"/>
    </row>
    <row r="166">
      <c r="A166" s="21" t="s">
        <v>274</v>
      </c>
      <c r="B166" s="22" t="s">
        <v>275</v>
      </c>
      <c r="C166" s="23" t="str">
        <f>IFERROR(__xludf.DUMMYFUNCTION("GOOGLETRANSLATE(B166, ""en"", ""fr"")"),"labyrinthe forestier")</f>
        <v>labyrinthe forestier</v>
      </c>
      <c r="D166" s="23" t="str">
        <f>IFERROR(__xludf.DUMMYFUNCTION("GOOGLETRANSLATE(B166, ""en"", ""es"")"),"laberinto de los bosques")</f>
        <v>laberinto de los bosques</v>
      </c>
      <c r="E166" s="23" t="str">
        <f>IFERROR(__xludf.DUMMYFUNCTION("GOOGLETRANSLATE(B166, ""en"", ""ru"")"),"Лесной лабиринт")</f>
        <v>Лесной лабиринт</v>
      </c>
      <c r="F166" s="23" t="str">
        <f>IFERROR(__xludf.DUMMYFUNCTION("GOOGLETRANSLATE(B166, ""en"", ""tr"")"),"Orman labirent")</f>
        <v>Orman labirent</v>
      </c>
      <c r="G166" s="23" t="str">
        <f>IFERROR(__xludf.DUMMYFUNCTION("GOOGLETRANSLATE(B166, ""en"", ""pt"")"),"labirinto floresta")</f>
        <v>labirinto floresta</v>
      </c>
      <c r="H166" s="24" t="str">
        <f>IFERROR(__xludf.DUMMYFUNCTION("GOOGLETRANSLATE(B166, ""en"", ""de"")"),"Waldlabyrinth")</f>
        <v>Waldlabyrinth</v>
      </c>
      <c r="I166" s="23" t="str">
        <f>IFERROR(__xludf.DUMMYFUNCTION("GOOGLETRANSLATE(B166, ""en"", ""pl"")"),"leśny labirynt")</f>
        <v>leśny labirynt</v>
      </c>
      <c r="J166" s="25" t="str">
        <f>IFERROR(__xludf.DUMMYFUNCTION("GOOGLETRANSLATE(B166, ""en"", ""zh"")"),"森林迷宫")</f>
        <v>森林迷宫</v>
      </c>
      <c r="K166" s="25" t="str">
        <f>IFERROR(__xludf.DUMMYFUNCTION("GOOGLETRANSLATE(B166, ""en"", ""vi"")"),"mê cung rừng")</f>
        <v>mê cung rừng</v>
      </c>
      <c r="L166" s="26" t="str">
        <f>IFERROR(__xludf.DUMMYFUNCTION("GOOGLETRANSLATE(B166, ""en"", ""hr"")"),"šuma labirint")</f>
        <v>šuma labirint</v>
      </c>
      <c r="M166" s="28"/>
      <c r="N166" s="28"/>
      <c r="O166" s="28"/>
      <c r="P166" s="28"/>
      <c r="Q166" s="28"/>
      <c r="R166" s="28"/>
      <c r="S166" s="28"/>
      <c r="T166" s="28"/>
      <c r="U166" s="28"/>
      <c r="V166" s="28"/>
      <c r="W166" s="28"/>
      <c r="X166" s="28"/>
      <c r="Y166" s="28"/>
      <c r="Z166" s="28"/>
      <c r="AA166" s="28"/>
      <c r="AB166" s="28"/>
    </row>
    <row r="167">
      <c r="A167" s="21" t="s">
        <v>276</v>
      </c>
      <c r="B167" s="22" t="s">
        <v>277</v>
      </c>
      <c r="C167" s="23" t="str">
        <f>IFERROR(__xludf.DUMMYFUNCTION("GOOGLETRANSLATE(B167, ""en"", ""fr"")"),"domaine de la formation Mage")</f>
        <v>domaine de la formation Mage</v>
      </c>
      <c r="D167" s="23" t="str">
        <f>IFERROR(__xludf.DUMMYFUNCTION("GOOGLETRANSLATE(B167, ""en"", ""es"")"),"campo de la formación Mago")</f>
        <v>campo de la formación Mago</v>
      </c>
      <c r="E167" s="23" t="str">
        <f>IFERROR(__xludf.DUMMYFUNCTION("GOOGLETRANSLATE(B167, ""en"", ""ru"")"),"Mage обучения арена")</f>
        <v>Mage обучения арена</v>
      </c>
      <c r="F167" s="23" t="str">
        <f>IFERROR(__xludf.DUMMYFUNCTION("GOOGLETRANSLATE(B167, ""en"", ""tr"")"),"Büyücü eğitim arena")</f>
        <v>Büyücü eğitim arena</v>
      </c>
      <c r="G167" s="23" t="str">
        <f>IFERROR(__xludf.DUMMYFUNCTION("GOOGLETRANSLATE(B167, ""en"", ""pt"")"),"arena de treinamento de Mage")</f>
        <v>arena de treinamento de Mage</v>
      </c>
      <c r="H167" s="24" t="str">
        <f>IFERROR(__xludf.DUMMYFUNCTION("GOOGLETRANSLATE(B167, ""en"", ""de"")"),"Mage Trainingsarena")</f>
        <v>Mage Trainingsarena</v>
      </c>
      <c r="I167" s="23" t="str">
        <f>IFERROR(__xludf.DUMMYFUNCTION("GOOGLETRANSLATE(B167, ""en"", ""pl"")"),"Mage szkolenie areny")</f>
        <v>Mage szkolenie areny</v>
      </c>
      <c r="J167" s="25" t="str">
        <f>IFERROR(__xludf.DUMMYFUNCTION("GOOGLETRANSLATE(B167, ""en"", ""zh"")"),"法师训练竞技场")</f>
        <v>法师训练竞技场</v>
      </c>
      <c r="K167" s="25" t="str">
        <f>IFERROR(__xludf.DUMMYFUNCTION("GOOGLETRANSLATE(B167, ""en"", ""vi"")"),"trường đào tạo Mage")</f>
        <v>trường đào tạo Mage</v>
      </c>
      <c r="L167" s="26" t="str">
        <f>IFERROR(__xludf.DUMMYFUNCTION("GOOGLETRANSLATE(B167, ""en"", ""hr"")"),"Mage Arena trening")</f>
        <v>Mage Arena trening</v>
      </c>
      <c r="M167" s="28"/>
      <c r="N167" s="28"/>
      <c r="O167" s="28"/>
      <c r="P167" s="28"/>
      <c r="Q167" s="28"/>
      <c r="R167" s="28"/>
      <c r="S167" s="28"/>
      <c r="T167" s="28"/>
      <c r="U167" s="28"/>
      <c r="V167" s="28"/>
      <c r="W167" s="28"/>
      <c r="X167" s="28"/>
      <c r="Y167" s="28"/>
      <c r="Z167" s="28"/>
      <c r="AA167" s="28"/>
      <c r="AB167" s="28"/>
    </row>
    <row r="168">
      <c r="A168" s="21" t="s">
        <v>278</v>
      </c>
      <c r="B168" s="22" t="s">
        <v>279</v>
      </c>
      <c r="C168" s="23" t="str">
        <f>IFERROR(__xludf.DUMMYFUNCTION("GOOGLETRANSLATE(B168, ""en"", ""fr"")"),"Coup")</f>
        <v>Coup</v>
      </c>
      <c r="D168" s="23" t="str">
        <f>IFERROR(__xludf.DUMMYFUNCTION("GOOGLETRANSLATE(B168, ""en"", ""es"")"),"Patear")</f>
        <v>Patear</v>
      </c>
      <c r="E168" s="23" t="str">
        <f>IFERROR(__xludf.DUMMYFUNCTION("GOOGLETRANSLATE(B168, ""en"", ""ru"")"),"Пинать")</f>
        <v>Пинать</v>
      </c>
      <c r="F168" s="23" t="str">
        <f>IFERROR(__xludf.DUMMYFUNCTION("GOOGLETRANSLATE(B168, ""en"", ""tr"")"),"Atmak")</f>
        <v>Atmak</v>
      </c>
      <c r="G168" s="23" t="str">
        <f>IFERROR(__xludf.DUMMYFUNCTION("GOOGLETRANSLATE(B168, ""en"", ""pt"")"),"Pontapé")</f>
        <v>Pontapé</v>
      </c>
      <c r="H168" s="24" t="str">
        <f>IFERROR(__xludf.DUMMYFUNCTION("GOOGLETRANSLATE(B168, ""en"", ""de"")"),"Trete")</f>
        <v>Trete</v>
      </c>
      <c r="I168" s="23" t="str">
        <f>IFERROR(__xludf.DUMMYFUNCTION("GOOGLETRANSLATE(B168, ""en"", ""pl"")"),"kopnięcie")</f>
        <v>kopnięcie</v>
      </c>
      <c r="J168" s="25" t="str">
        <f>IFERROR(__xludf.DUMMYFUNCTION("GOOGLETRANSLATE(B168, ""en"", ""zh"")"),"踢")</f>
        <v>踢</v>
      </c>
      <c r="K168" s="25" t="str">
        <f>IFERROR(__xludf.DUMMYFUNCTION("GOOGLETRANSLATE(B168, ""en"", ""vi"")"),"Đá")</f>
        <v>Đá</v>
      </c>
      <c r="L168" s="26" t="str">
        <f>IFERROR(__xludf.DUMMYFUNCTION("GOOGLETRANSLATE(B168, ""en"", ""hr"")"),"Kick")</f>
        <v>Kick</v>
      </c>
      <c r="M168" s="28"/>
      <c r="N168" s="28"/>
      <c r="O168" s="28"/>
      <c r="P168" s="28"/>
      <c r="Q168" s="28"/>
      <c r="R168" s="28"/>
      <c r="S168" s="28"/>
      <c r="T168" s="28"/>
      <c r="U168" s="28"/>
      <c r="V168" s="28"/>
      <c r="W168" s="28"/>
      <c r="X168" s="28"/>
      <c r="Y168" s="28"/>
      <c r="Z168" s="28"/>
      <c r="AA168" s="28"/>
      <c r="AB168" s="28"/>
    </row>
    <row r="169">
      <c r="A169" s="21" t="s">
        <v>280</v>
      </c>
      <c r="B169" s="22" t="s">
        <v>281</v>
      </c>
      <c r="C169" s="23" t="str">
        <f>IFERROR(__xludf.DUMMYFUNCTION("GOOGLETRANSLATE(B169, ""en"", ""fr"")"),"Promouvoir")</f>
        <v>Promouvoir</v>
      </c>
      <c r="D169" s="23" t="str">
        <f>IFERROR(__xludf.DUMMYFUNCTION("GOOGLETRANSLATE(B169, ""en"", ""es"")"),"Promover")</f>
        <v>Promover</v>
      </c>
      <c r="E169" s="23" t="str">
        <f>IFERROR(__xludf.DUMMYFUNCTION("GOOGLETRANSLATE(B169, ""en"", ""ru"")"),"Продвигать")</f>
        <v>Продвигать</v>
      </c>
      <c r="F169" s="23" t="str">
        <f>IFERROR(__xludf.DUMMYFUNCTION("GOOGLETRANSLATE(B169, ""en"", ""tr"")"),"Desteklemek")</f>
        <v>Desteklemek</v>
      </c>
      <c r="G169" s="23" t="str">
        <f>IFERROR(__xludf.DUMMYFUNCTION("GOOGLETRANSLATE(B169, ""en"", ""pt"")"),"Promover")</f>
        <v>Promover</v>
      </c>
      <c r="H169" s="24" t="str">
        <f>IFERROR(__xludf.DUMMYFUNCTION("GOOGLETRANSLATE(B169, ""en"", ""de"")"),"Fördern")</f>
        <v>Fördern</v>
      </c>
      <c r="I169" s="23" t="str">
        <f>IFERROR(__xludf.DUMMYFUNCTION("GOOGLETRANSLATE(B169, ""en"", ""pl"")"),"Promować")</f>
        <v>Promować</v>
      </c>
      <c r="J169" s="25" t="str">
        <f>IFERROR(__xludf.DUMMYFUNCTION("GOOGLETRANSLATE(B169, ""en"", ""zh"")"),"推动")</f>
        <v>推动</v>
      </c>
      <c r="K169" s="25" t="str">
        <f>IFERROR(__xludf.DUMMYFUNCTION("GOOGLETRANSLATE(B169, ""en"", ""vi"")"),"Khuyến khích")</f>
        <v>Khuyến khích</v>
      </c>
      <c r="L169" s="26" t="str">
        <f>IFERROR(__xludf.DUMMYFUNCTION("GOOGLETRANSLATE(B169, ""en"", ""hr"")"),"unaprijediti")</f>
        <v>unaprijediti</v>
      </c>
      <c r="M169" s="28"/>
      <c r="N169" s="28"/>
      <c r="O169" s="28"/>
      <c r="P169" s="28"/>
      <c r="Q169" s="28"/>
      <c r="R169" s="28"/>
      <c r="S169" s="28"/>
      <c r="T169" s="28"/>
      <c r="U169" s="28"/>
      <c r="V169" s="28"/>
      <c r="W169" s="28"/>
      <c r="X169" s="28"/>
      <c r="Y169" s="28"/>
      <c r="Z169" s="28"/>
      <c r="AA169" s="28"/>
      <c r="AB169" s="28"/>
    </row>
    <row r="170">
      <c r="A170" s="21" t="s">
        <v>282</v>
      </c>
      <c r="B170" s="22" t="s">
        <v>253</v>
      </c>
      <c r="C170" s="23" t="str">
        <f>IFERROR(__xludf.DUMMYFUNCTION("GOOGLETRANSLATE(B170, ""en"", ""fr"")"),"Quitter")</f>
        <v>Quitter</v>
      </c>
      <c r="D170" s="23" t="str">
        <f>IFERROR(__xludf.DUMMYFUNCTION("GOOGLETRANSLATE(B170, ""en"", ""es"")"),"Licencia")</f>
        <v>Licencia</v>
      </c>
      <c r="E170" s="23" t="str">
        <f>IFERROR(__xludf.DUMMYFUNCTION("GOOGLETRANSLATE(B170, ""en"", ""ru"")"),"Покинуть")</f>
        <v>Покинуть</v>
      </c>
      <c r="F170" s="23" t="str">
        <f>IFERROR(__xludf.DUMMYFUNCTION("GOOGLETRANSLATE(B170, ""en"", ""tr"")"),"Ayrılmak")</f>
        <v>Ayrılmak</v>
      </c>
      <c r="G170" s="23" t="str">
        <f>IFERROR(__xludf.DUMMYFUNCTION("GOOGLETRANSLATE(B170, ""en"", ""pt"")"),"Sair")</f>
        <v>Sair</v>
      </c>
      <c r="H170" s="24" t="str">
        <f>IFERROR(__xludf.DUMMYFUNCTION("GOOGLETRANSLATE(B170, ""en"", ""de"")"),"Verlassen")</f>
        <v>Verlassen</v>
      </c>
      <c r="I170" s="23" t="str">
        <f>IFERROR(__xludf.DUMMYFUNCTION("GOOGLETRANSLATE(B170, ""en"", ""pl"")"),"Wychodzić")</f>
        <v>Wychodzić</v>
      </c>
      <c r="J170" s="25" t="str">
        <f>IFERROR(__xludf.DUMMYFUNCTION("GOOGLETRANSLATE(B170, ""en"", ""zh"")"),"离开")</f>
        <v>离开</v>
      </c>
      <c r="K170" s="25" t="str">
        <f>IFERROR(__xludf.DUMMYFUNCTION("GOOGLETRANSLATE(B170, ""en"", ""vi"")"),"Rời khỏi")</f>
        <v>Rời khỏi</v>
      </c>
      <c r="L170" s="26" t="str">
        <f>IFERROR(__xludf.DUMMYFUNCTION("GOOGLETRANSLATE(B170, ""en"", ""hr"")"),"Napustiti")</f>
        <v>Napustiti</v>
      </c>
      <c r="M170" s="28"/>
      <c r="N170" s="28"/>
      <c r="O170" s="28"/>
      <c r="P170" s="28"/>
      <c r="Q170" s="28"/>
      <c r="R170" s="28"/>
      <c r="S170" s="28"/>
      <c r="T170" s="28"/>
      <c r="U170" s="28"/>
      <c r="V170" s="28"/>
      <c r="W170" s="28"/>
      <c r="X170" s="28"/>
      <c r="Y170" s="28"/>
      <c r="Z170" s="28"/>
      <c r="AA170" s="28"/>
      <c r="AB170" s="28"/>
    </row>
    <row r="171">
      <c r="A171" s="21" t="s">
        <v>109</v>
      </c>
      <c r="B171" s="22" t="s">
        <v>109</v>
      </c>
      <c r="C171" s="23" t="str">
        <f>IFERROR(__xludf.DUMMYFUNCTION("GOOGLETRANSLATE(B171, ""en"", ""fr"")"),"Clan")</f>
        <v>Clan</v>
      </c>
      <c r="D171" s="23" t="str">
        <f>IFERROR(__xludf.DUMMYFUNCTION("GOOGLETRANSLATE(B171, ""en"", ""es"")"),"Clan")</f>
        <v>Clan</v>
      </c>
      <c r="E171" s="23" t="str">
        <f>IFERROR(__xludf.DUMMYFUNCTION("GOOGLETRANSLATE(B171, ""en"", ""ru"")"),"клан")</f>
        <v>клан</v>
      </c>
      <c r="F171" s="23" t="str">
        <f>IFERROR(__xludf.DUMMYFUNCTION("GOOGLETRANSLATE(B171, ""en"", ""tr"")"),"klan")</f>
        <v>klan</v>
      </c>
      <c r="G171" s="23" t="str">
        <f>IFERROR(__xludf.DUMMYFUNCTION("GOOGLETRANSLATE(B171, ""en"", ""pt"")"),"Clã")</f>
        <v>Clã</v>
      </c>
      <c r="H171" s="24" t="str">
        <f>IFERROR(__xludf.DUMMYFUNCTION("GOOGLETRANSLATE(B171, ""en"", ""de"")"),"Clan")</f>
        <v>Clan</v>
      </c>
      <c r="I171" s="23" t="str">
        <f>IFERROR(__xludf.DUMMYFUNCTION("GOOGLETRANSLATE(B171, ""en"", ""pl"")"),"Klan")</f>
        <v>Klan</v>
      </c>
      <c r="J171" s="25" t="str">
        <f>IFERROR(__xludf.DUMMYFUNCTION("GOOGLETRANSLATE(B171, ""en"", ""zh"")"),"氏族")</f>
        <v>氏族</v>
      </c>
      <c r="K171" s="25" t="str">
        <f>IFERROR(__xludf.DUMMYFUNCTION("GOOGLETRANSLATE(B171, ""en"", ""vi"")"),"Clan")</f>
        <v>Clan</v>
      </c>
      <c r="L171" s="26" t="str">
        <f>IFERROR(__xludf.DUMMYFUNCTION("GOOGLETRANSLATE(B171, ""en"", ""hr"")"),"Klan")</f>
        <v>Klan</v>
      </c>
      <c r="M171" s="28"/>
      <c r="N171" s="28"/>
      <c r="O171" s="28"/>
      <c r="P171" s="28"/>
      <c r="Q171" s="28"/>
      <c r="R171" s="28"/>
      <c r="S171" s="28"/>
      <c r="T171" s="28"/>
      <c r="U171" s="28"/>
      <c r="V171" s="28"/>
      <c r="W171" s="28"/>
      <c r="X171" s="28"/>
      <c r="Y171" s="28"/>
      <c r="Z171" s="28"/>
      <c r="AA171" s="28"/>
      <c r="AB171" s="28"/>
    </row>
    <row r="172">
      <c r="A172" s="21" t="s">
        <v>283</v>
      </c>
      <c r="B172" s="22" t="s">
        <v>284</v>
      </c>
      <c r="C172" s="23" t="str">
        <f>IFERROR(__xludf.DUMMYFUNCTION("GOOGLETRANSLATE(B172, ""en"", ""fr"")"),"Vous êtes déjà dans un clan.")</f>
        <v>Vous êtes déjà dans un clan.</v>
      </c>
      <c r="D172" s="23" t="str">
        <f>IFERROR(__xludf.DUMMYFUNCTION("GOOGLETRANSLATE(B172, ""en"", ""es"")"),"Ya estás en un clan.")</f>
        <v>Ya estás en un clan.</v>
      </c>
      <c r="E172" s="23" t="str">
        <f>IFERROR(__xludf.DUMMYFUNCTION("GOOGLETRANSLATE(B172, ""en"", ""ru"")"),"Вы уже в клане.")</f>
        <v>Вы уже в клане.</v>
      </c>
      <c r="F172" s="23" t="str">
        <f>IFERROR(__xludf.DUMMYFUNCTION("GOOGLETRANSLATE(B172, ""en"", ""tr"")"),"Bir klan zaten.")</f>
        <v>Bir klan zaten.</v>
      </c>
      <c r="G172" s="23" t="str">
        <f>IFERROR(__xludf.DUMMYFUNCTION("GOOGLETRANSLATE(B172, ""en"", ""pt"")"),"Você já está em um clã.")</f>
        <v>Você já está em um clã.</v>
      </c>
      <c r="H172" s="24" t="str">
        <f>IFERROR(__xludf.DUMMYFUNCTION("GOOGLETRANSLATE(B172, ""en"", ""de"")"),"Sie sind bereits in einem Clan.")</f>
        <v>Sie sind bereits in einem Clan.</v>
      </c>
      <c r="I172" s="23" t="str">
        <f>IFERROR(__xludf.DUMMYFUNCTION("GOOGLETRANSLATE(B172, ""en"", ""pl"")"),"Jesteś już w klanie.")</f>
        <v>Jesteś już w klanie.</v>
      </c>
      <c r="J172" s="25" t="str">
        <f>IFERROR(__xludf.DUMMYFUNCTION("GOOGLETRANSLATE(B172, ""en"", ""zh"")"),"你已经在一个家族。")</f>
        <v>你已经在一个家族。</v>
      </c>
      <c r="K172" s="25" t="str">
        <f>IFERROR(__xludf.DUMMYFUNCTION("GOOGLETRANSLATE(B172, ""en"", ""vi"")"),"Bạn đang tham gia một gia tộc.")</f>
        <v>Bạn đang tham gia một gia tộc.</v>
      </c>
      <c r="L172" s="26" t="str">
        <f>IFERROR(__xludf.DUMMYFUNCTION("GOOGLETRANSLATE(B172, ""en"", ""hr"")"),"Već ste u klanu.")</f>
        <v>Već ste u klanu.</v>
      </c>
      <c r="M172" s="28"/>
      <c r="N172" s="28"/>
      <c r="O172" s="28"/>
      <c r="P172" s="28"/>
      <c r="Q172" s="28"/>
      <c r="R172" s="28"/>
      <c r="S172" s="28"/>
      <c r="T172" s="28"/>
      <c r="U172" s="28"/>
      <c r="V172" s="28"/>
      <c r="W172" s="28"/>
      <c r="X172" s="28"/>
      <c r="Y172" s="28"/>
      <c r="Z172" s="28"/>
      <c r="AA172" s="28"/>
      <c r="AB172" s="28"/>
    </row>
    <row r="173">
      <c r="A173" s="21" t="s">
        <v>285</v>
      </c>
      <c r="B173" s="22" t="s">
        <v>286</v>
      </c>
      <c r="C173" s="23" t="str">
        <f>IFERROR(__xludf.DUMMYFUNCTION("GOOGLETRANSLATE(B173, ""en"", ""fr"")"),"Clan a rejoint!")</f>
        <v>Clan a rejoint!</v>
      </c>
      <c r="D173" s="23" t="str">
        <f>IFERROR(__xludf.DUMMYFUNCTION("GOOGLETRANSLATE(B173, ""en"", ""es"")"),"Clan unió!")</f>
        <v>Clan unió!</v>
      </c>
      <c r="E173" s="23" t="str">
        <f>IFERROR(__xludf.DUMMYFUNCTION("GOOGLETRANSLATE(B173, ""en"", ""ru"")"),"присоединился к клану!")</f>
        <v>присоединился к клану!</v>
      </c>
      <c r="F173" s="23" t="str">
        <f>IFERROR(__xludf.DUMMYFUNCTION("GOOGLETRANSLATE(B173, ""en"", ""tr"")"),"Klan katıldı!")</f>
        <v>Klan katıldı!</v>
      </c>
      <c r="G173" s="23" t="str">
        <f>IFERROR(__xludf.DUMMYFUNCTION("GOOGLETRANSLATE(B173, ""en"", ""pt"")"),"Clã juntou!")</f>
        <v>Clã juntou!</v>
      </c>
      <c r="H173" s="24" t="str">
        <f>IFERROR(__xludf.DUMMYFUNCTION("GOOGLETRANSLATE(B173, ""en"", ""de"")"),"Clan beigetreten!")</f>
        <v>Clan beigetreten!</v>
      </c>
      <c r="I173" s="23" t="str">
        <f>IFERROR(__xludf.DUMMYFUNCTION("GOOGLETRANSLATE(B173, ""en"", ""pl"")"),"Klan dołączył!")</f>
        <v>Klan dołączył!</v>
      </c>
      <c r="J173" s="25" t="str">
        <f>IFERROR(__xludf.DUMMYFUNCTION("GOOGLETRANSLATE(B173, ""en"", ""zh"")"),"氏族加入！")</f>
        <v>氏族加入！</v>
      </c>
      <c r="K173" s="25" t="str">
        <f>IFERROR(__xludf.DUMMYFUNCTION("GOOGLETRANSLATE(B173, ""en"", ""vi"")"),"Clan tham gia!")</f>
        <v>Clan tham gia!</v>
      </c>
      <c r="L173" s="26" t="str">
        <f>IFERROR(__xludf.DUMMYFUNCTION("GOOGLETRANSLATE(B173, ""en"", ""hr"")"),"Clan pridružio!")</f>
        <v>Clan pridružio!</v>
      </c>
      <c r="M173" s="28"/>
      <c r="N173" s="28"/>
      <c r="O173" s="28"/>
      <c r="P173" s="28"/>
      <c r="Q173" s="28"/>
      <c r="R173" s="28"/>
      <c r="S173" s="28"/>
      <c r="T173" s="28"/>
      <c r="U173" s="28"/>
      <c r="V173" s="28"/>
      <c r="W173" s="28"/>
      <c r="X173" s="28"/>
      <c r="Y173" s="28"/>
      <c r="Z173" s="28"/>
      <c r="AA173" s="28"/>
      <c r="AB173" s="28"/>
    </row>
    <row r="174">
      <c r="A174" s="21" t="s">
        <v>287</v>
      </c>
      <c r="B174" s="22" t="s">
        <v>288</v>
      </c>
      <c r="C174" s="23" t="str">
        <f>IFERROR(__xludf.DUMMYFUNCTION("GOOGLETRANSLATE(B174, ""en"", ""fr"")"),"limite de la structure du clan atteint.")</f>
        <v>limite de la structure du clan atteint.</v>
      </c>
      <c r="D174" s="23" t="str">
        <f>IFERROR(__xludf.DUMMYFUNCTION("GOOGLETRANSLATE(B174, ""en"", ""es"")"),"Clan estructura ha alcanzado el límite.")</f>
        <v>Clan estructura ha alcanzado el límite.</v>
      </c>
      <c r="E174" s="23" t="str">
        <f>IFERROR(__xludf.DUMMYFUNCTION("GOOGLETRANSLATE(B174, ""en"", ""ru"")"),"Clan структура достигнут предел.")</f>
        <v>Clan структура достигнут предел.</v>
      </c>
      <c r="F174" s="23" t="str">
        <f>IFERROR(__xludf.DUMMYFUNCTION("GOOGLETRANSLATE(B174, ""en"", ""tr"")"),"Klan yapısı sınırı ulaşmıştır.")</f>
        <v>Klan yapısı sınırı ulaşmıştır.</v>
      </c>
      <c r="G174" s="23" t="str">
        <f>IFERROR(__xludf.DUMMYFUNCTION("GOOGLETRANSLATE(B174, ""en"", ""pt"")"),"Clã limite estrutura alcançado.")</f>
        <v>Clã limite estrutura alcançado.</v>
      </c>
      <c r="H174" s="24" t="str">
        <f>IFERROR(__xludf.DUMMYFUNCTION("GOOGLETRANSLATE(B174, ""en"", ""de"")"),"Klanstruktur Grenze erreicht.")</f>
        <v>Klanstruktur Grenze erreicht.</v>
      </c>
      <c r="I174" s="23" t="str">
        <f>IFERROR(__xludf.DUMMYFUNCTION("GOOGLETRANSLATE(B174, ""en"", ""pl"")"),"Klan granica konstrukcja osiągnięta.")</f>
        <v>Klan granica konstrukcja osiągnięta.</v>
      </c>
      <c r="J174" s="25" t="str">
        <f>IFERROR(__xludf.DUMMYFUNCTION("GOOGLETRANSLATE(B174, ""en"", ""zh"")"),"部族结构达到上限。")</f>
        <v>部族结构达到上限。</v>
      </c>
      <c r="K174" s="25" t="str">
        <f>IFERROR(__xludf.DUMMYFUNCTION("GOOGLETRANSLATE(B174, ""en"", ""vi"")"),"giới hạn cấu trúc gia tộc đạt được.")</f>
        <v>giới hạn cấu trúc gia tộc đạt được.</v>
      </c>
      <c r="L174" s="26" t="str">
        <f>IFERROR(__xludf.DUMMYFUNCTION("GOOGLETRANSLATE(B174, ""en"", ""hr"")"),"Clan granica struktura postignut.")</f>
        <v>Clan granica struktura postignut.</v>
      </c>
      <c r="M174" s="28"/>
      <c r="N174" s="28"/>
      <c r="O174" s="28"/>
      <c r="P174" s="28"/>
      <c r="Q174" s="28"/>
      <c r="R174" s="28"/>
      <c r="S174" s="28"/>
      <c r="T174" s="28"/>
      <c r="U174" s="28"/>
      <c r="V174" s="28"/>
      <c r="W174" s="28"/>
      <c r="X174" s="28"/>
      <c r="Y174" s="28"/>
      <c r="Z174" s="28"/>
      <c r="AA174" s="28"/>
      <c r="AB174" s="28"/>
    </row>
    <row r="175">
      <c r="A175" s="21" t="s">
        <v>289</v>
      </c>
      <c r="B175" s="22" t="s">
        <v>290</v>
      </c>
      <c r="C175" s="23" t="str">
        <f>IFERROR(__xludf.DUMMYFUNCTION("GOOGLETRANSLATE(B175, ""en"", ""fr"")"),"Votre clan a été détruit!")</f>
        <v>Votre clan a été détruit!</v>
      </c>
      <c r="D175" s="23" t="str">
        <f>IFERROR(__xludf.DUMMYFUNCTION("GOOGLETRANSLATE(B175, ""en"", ""es"")"),"Su clan ha sido destruida!")</f>
        <v>Su clan ha sido destruida!</v>
      </c>
      <c r="E175" s="23" t="str">
        <f>IFERROR(__xludf.DUMMYFUNCTION("GOOGLETRANSLATE(B175, ""en"", ""ru"")"),"Ваш клан был уничтожен!")</f>
        <v>Ваш клан был уничтожен!</v>
      </c>
      <c r="F175" s="23" t="str">
        <f>IFERROR(__xludf.DUMMYFUNCTION("GOOGLETRANSLATE(B175, ""en"", ""tr"")"),"Sizin klan yok edildi!")</f>
        <v>Sizin klan yok edildi!</v>
      </c>
      <c r="G175" s="23" t="str">
        <f>IFERROR(__xludf.DUMMYFUNCTION("GOOGLETRANSLATE(B175, ""en"", ""pt"")"),"Seu clã foi destruído!")</f>
        <v>Seu clã foi destruído!</v>
      </c>
      <c r="H175" s="24" t="str">
        <f>IFERROR(__xludf.DUMMYFUNCTION("GOOGLETRANSLATE(B175, ""en"", ""de"")"),"Ihr Clan wurde zerstört!")</f>
        <v>Ihr Clan wurde zerstört!</v>
      </c>
      <c r="I175" s="23" t="str">
        <f>IFERROR(__xludf.DUMMYFUNCTION("GOOGLETRANSLATE(B175, ""en"", ""pl"")"),"Twój klan został zniszczony!")</f>
        <v>Twój klan został zniszczony!</v>
      </c>
      <c r="J175" s="25" t="str">
        <f>IFERROR(__xludf.DUMMYFUNCTION("GOOGLETRANSLATE(B175, ""en"", ""zh"")"),"你的家族已被摧毁！")</f>
        <v>你的家族已被摧毁！</v>
      </c>
      <c r="K175" s="25" t="str">
        <f>IFERROR(__xludf.DUMMYFUNCTION("GOOGLETRANSLATE(B175, ""en"", ""vi"")"),"gia tộc của bạn đã bị phá hủy!")</f>
        <v>gia tộc của bạn đã bị phá hủy!</v>
      </c>
      <c r="L175" s="26" t="str">
        <f>IFERROR(__xludf.DUMMYFUNCTION("GOOGLETRANSLATE(B175, ""en"", ""hr"")"),"Vaš klan je uništen!")</f>
        <v>Vaš klan je uništen!</v>
      </c>
      <c r="M175" s="28"/>
      <c r="N175" s="28"/>
      <c r="O175" s="28"/>
      <c r="P175" s="28"/>
      <c r="Q175" s="28"/>
      <c r="R175" s="28"/>
      <c r="S175" s="28"/>
      <c r="T175" s="28"/>
      <c r="U175" s="28"/>
      <c r="V175" s="28"/>
      <c r="W175" s="28"/>
      <c r="X175" s="28"/>
      <c r="Y175" s="28"/>
      <c r="Z175" s="28"/>
      <c r="AA175" s="28"/>
      <c r="AB175" s="28"/>
    </row>
    <row r="176">
      <c r="A176" s="21" t="s">
        <v>291</v>
      </c>
      <c r="B176" s="22" t="s">
        <v>292</v>
      </c>
      <c r="C176" s="23" t="str">
        <f>IFERROR(__xludf.DUMMYFUNCTION("GOOGLETRANSLATE(B176, ""en"", ""fr"")"),"membre du clan a lancé:")</f>
        <v>membre du clan a lancé:</v>
      </c>
      <c r="D176" s="23" t="str">
        <f>IFERROR(__xludf.DUMMYFUNCTION("GOOGLETRANSLATE(B176, ""en"", ""es"")"),"miembro del clan expulsado:")</f>
        <v>miembro del clan expulsado:</v>
      </c>
      <c r="E176" s="23" t="str">
        <f>IFERROR(__xludf.DUMMYFUNCTION("GOOGLETRANSLATE(B176, ""en"", ""ru"")"),"Член клана ноги:")</f>
        <v>Член клана ноги:</v>
      </c>
      <c r="F176" s="23" t="str">
        <f>IFERROR(__xludf.DUMMYFUNCTION("GOOGLETRANSLATE(B176, ""en"", ""tr"")"),"Klan üyesi tekmeledi:")</f>
        <v>Klan üyesi tekmeledi:</v>
      </c>
      <c r="G176" s="23" t="str">
        <f>IFERROR(__xludf.DUMMYFUNCTION("GOOGLETRANSLATE(B176, ""en"", ""pt"")"),"membro do clã expulso:")</f>
        <v>membro do clã expulso:</v>
      </c>
      <c r="H176" s="24" t="str">
        <f>IFERROR(__xludf.DUMMYFUNCTION("GOOGLETRANSLATE(B176, ""en"", ""de"")"),"Clan Mitglied getreten:")</f>
        <v>Clan Mitglied getreten:</v>
      </c>
      <c r="I176" s="23" t="str">
        <f>IFERROR(__xludf.DUMMYFUNCTION("GOOGLETRANSLATE(B176, ""en"", ""pl"")"),"klanowicz kopnął:")</f>
        <v>klanowicz kopnął:</v>
      </c>
      <c r="J176" s="25" t="str">
        <f>IFERROR(__xludf.DUMMYFUNCTION("GOOGLETRANSLATE(B176, ""en"", ""zh"")"),"氏族成员踢：")</f>
        <v>氏族成员踢：</v>
      </c>
      <c r="K176" s="25" t="str">
        <f>IFERROR(__xludf.DUMMYFUNCTION("GOOGLETRANSLATE(B176, ""en"", ""vi"")"),"thành viên gia tộc đá:")</f>
        <v>thành viên gia tộc đá:</v>
      </c>
      <c r="L176" s="26" t="str">
        <f>IFERROR(__xludf.DUMMYFUNCTION("GOOGLETRANSLATE(B176, ""en"", ""hr"")"),"Član klana nogom:")</f>
        <v>Član klana nogom:</v>
      </c>
      <c r="M176" s="28"/>
      <c r="N176" s="28"/>
      <c r="O176" s="28"/>
      <c r="P176" s="28"/>
      <c r="Q176" s="28"/>
      <c r="R176" s="28"/>
      <c r="S176" s="28"/>
      <c r="T176" s="28"/>
      <c r="U176" s="28"/>
      <c r="V176" s="28"/>
      <c r="W176" s="28"/>
      <c r="X176" s="28"/>
      <c r="Y176" s="28"/>
      <c r="Z176" s="28"/>
      <c r="AA176" s="28"/>
      <c r="AB176" s="28"/>
    </row>
    <row r="177">
      <c r="A177" s="21" t="s">
        <v>293</v>
      </c>
      <c r="B177" s="22" t="s">
        <v>294</v>
      </c>
      <c r="C177" s="23" t="str">
        <f>IFERROR(__xludf.DUMMYFUNCTION("GOOGLETRANSLATE(B177, ""en"", ""fr"")"),"Vous avez été promu dans votre clan.")</f>
        <v>Vous avez été promu dans votre clan.</v>
      </c>
      <c r="D177" s="23" t="str">
        <f>IFERROR(__xludf.DUMMYFUNCTION("GOOGLETRANSLATE(B177, ""en"", ""es"")"),"Usted ha sido promovido en su clan.")</f>
        <v>Usted ha sido promovido en su clan.</v>
      </c>
      <c r="E177" s="23" t="str">
        <f>IFERROR(__xludf.DUMMYFUNCTION("GOOGLETRANSLATE(B177, ""en"", ""ru"")"),"Вы были повышены в вашем клане.")</f>
        <v>Вы были повышены в вашем клане.</v>
      </c>
      <c r="F177" s="23" t="str">
        <f>IFERROR(__xludf.DUMMYFUNCTION("GOOGLETRANSLATE(B177, ""en"", ""tr"")"),"Eğer klan destek görmüşlerdir.")</f>
        <v>Eğer klan destek görmüşlerdir.</v>
      </c>
      <c r="G177" s="23" t="str">
        <f>IFERROR(__xludf.DUMMYFUNCTION("GOOGLETRANSLATE(B177, ""en"", ""pt"")"),"Você foi promovido em seu clã.")</f>
        <v>Você foi promovido em seu clã.</v>
      </c>
      <c r="H177" s="24" t="str">
        <f>IFERROR(__xludf.DUMMYFUNCTION("GOOGLETRANSLATE(B177, ""en"", ""de"")"),"Sie haben in Ihrem Clan gefördert.")</f>
        <v>Sie haben in Ihrem Clan gefördert.</v>
      </c>
      <c r="I177" s="23" t="str">
        <f>IFERROR(__xludf.DUMMYFUNCTION("GOOGLETRANSLATE(B177, ""en"", ""pl"")"),"Został awansowany w swoim klanie.")</f>
        <v>Został awansowany w swoim klanie.</v>
      </c>
      <c r="J177" s="25" t="str">
        <f>IFERROR(__xludf.DUMMYFUNCTION("GOOGLETRANSLATE(B177, ""en"", ""zh"")"),"你已被提升为在你的战队。")</f>
        <v>你已被提升为在你的战队。</v>
      </c>
      <c r="K177" s="25" t="str">
        <f>IFERROR(__xludf.DUMMYFUNCTION("GOOGLETRANSLATE(B177, ""en"", ""vi"")"),"Bạn đã được phát huy trong gia tộc của mình.")</f>
        <v>Bạn đã được phát huy trong gia tộc của mình.</v>
      </c>
      <c r="L177" s="26" t="str">
        <f>IFERROR(__xludf.DUMMYFUNCTION("GOOGLETRANSLATE(B177, ""en"", ""hr"")"),"Ti su promaknut u svoj klan.")</f>
        <v>Ti su promaknut u svoj klan.</v>
      </c>
      <c r="M177" s="28"/>
      <c r="N177" s="28"/>
      <c r="O177" s="28"/>
      <c r="P177" s="28"/>
      <c r="Q177" s="28"/>
      <c r="R177" s="28"/>
      <c r="S177" s="28"/>
      <c r="T177" s="28"/>
      <c r="U177" s="28"/>
      <c r="V177" s="28"/>
      <c r="W177" s="28"/>
      <c r="X177" s="28"/>
      <c r="Y177" s="28"/>
      <c r="Z177" s="28"/>
      <c r="AA177" s="28"/>
      <c r="AB177" s="28"/>
    </row>
    <row r="178">
      <c r="A178" s="21" t="s">
        <v>295</v>
      </c>
      <c r="B178" s="22" t="s">
        <v>296</v>
      </c>
      <c r="C178" s="23" t="str">
        <f>IFERROR(__xludf.DUMMYFUNCTION("GOOGLETRANSLATE(B178, ""en"", ""fr"")"),"Pioche nécessaire pour extraire le minerai.")</f>
        <v>Pioche nécessaire pour extraire le minerai.</v>
      </c>
      <c r="D178" s="23" t="str">
        <f>IFERROR(__xludf.DUMMYFUNCTION("GOOGLETRANSLATE(B178, ""en"", ""es"")"),"Pico necesaria para el mineral de la mina.")</f>
        <v>Pico necesaria para el mineral de la mina.</v>
      </c>
      <c r="E178" s="23" t="str">
        <f>IFERROR(__xludf.DUMMYFUNCTION("GOOGLETRANSLATE(B178, ""en"", ""ru"")"),"Кирка нужно добывать руду.")</f>
        <v>Кирка нужно добывать руду.</v>
      </c>
      <c r="F178" s="23" t="str">
        <f>IFERROR(__xludf.DUMMYFUNCTION("GOOGLETRANSLATE(B178, ""en"", ""tr"")"),"Kazma maden cevheri gerekiyordu.")</f>
        <v>Kazma maden cevheri gerekiyordu.</v>
      </c>
      <c r="G178" s="23" t="str">
        <f>IFERROR(__xludf.DUMMYFUNCTION("GOOGLETRANSLATE(B178, ""en"", ""pt"")"),"Picareta necessário para explorar minério.")</f>
        <v>Picareta necessário para explorar minério.</v>
      </c>
      <c r="H178" s="24" t="str">
        <f>IFERROR(__xludf.DUMMYFUNCTION("GOOGLETRANSLATE(B178, ""en"", ""de"")"),"Pickaxe musste Mine Erz.")</f>
        <v>Pickaxe musste Mine Erz.</v>
      </c>
      <c r="I178" s="23" t="str">
        <f>IFERROR(__xludf.DUMMYFUNCTION("GOOGLETRANSLATE(B178, ""en"", ""pl"")"),"Kilof potrzebne do kopalni rudy.")</f>
        <v>Kilof potrzebne do kopalni rudy.</v>
      </c>
      <c r="J178" s="25" t="str">
        <f>IFERROR(__xludf.DUMMYFUNCTION("GOOGLETRANSLATE(B178, ""en"", ""zh"")"),"镐头需要矿石。")</f>
        <v>镐头需要矿石。</v>
      </c>
      <c r="K178" s="25" t="str">
        <f>IFERROR(__xludf.DUMMYFUNCTION("GOOGLETRANSLATE(B178, ""en"", ""vi"")"),"Cuốc cần thiết để quặng mỏ.")</f>
        <v>Cuốc cần thiết để quặng mỏ.</v>
      </c>
      <c r="L178" s="26" t="str">
        <f>IFERROR(__xludf.DUMMYFUNCTION("GOOGLETRANSLATE(B178, ""en"", ""hr"")"),"Pijuk potrebne za rude.")</f>
        <v>Pijuk potrebne za rude.</v>
      </c>
      <c r="M178" s="28"/>
      <c r="N178" s="28"/>
      <c r="O178" s="28"/>
      <c r="P178" s="28"/>
      <c r="Q178" s="28"/>
      <c r="R178" s="28"/>
      <c r="S178" s="28"/>
      <c r="T178" s="28"/>
      <c r="U178" s="28"/>
      <c r="V178" s="28"/>
      <c r="W178" s="28"/>
      <c r="X178" s="28"/>
      <c r="Y178" s="28"/>
      <c r="Z178" s="28"/>
      <c r="AA178" s="28"/>
      <c r="AB178" s="28"/>
    </row>
    <row r="179">
      <c r="A179" s="21" t="s">
        <v>297</v>
      </c>
      <c r="B179" s="22" t="s">
        <v>297</v>
      </c>
      <c r="C179" s="23" t="str">
        <f>IFERROR(__xludf.DUMMYFUNCTION("GOOGLETRANSLATE(B179, ""en"", ""fr"")"),"Ramassez article")</f>
        <v>Ramassez article</v>
      </c>
      <c r="D179" s="23" t="str">
        <f>IFERROR(__xludf.DUMMYFUNCTION("GOOGLETRANSLATE(B179, ""en"", ""es"")"),"Recoge elemento")</f>
        <v>Recoge elemento</v>
      </c>
      <c r="E179" s="23" t="str">
        <f>IFERROR(__xludf.DUMMYFUNCTION("GOOGLETRANSLATE(B179, ""en"", ""ru"")"),"Выберите пункт")</f>
        <v>Выберите пункт</v>
      </c>
      <c r="F179" s="23" t="str">
        <f>IFERROR(__xludf.DUMMYFUNCTION("GOOGLETRANSLATE(B179, ""en"", ""tr"")"),"öğeyi al")</f>
        <v>öğeyi al</v>
      </c>
      <c r="G179" s="23" t="str">
        <f>IFERROR(__xludf.DUMMYFUNCTION("GOOGLETRANSLATE(B179, ""en"", ""pt"")"),"Pegar objeto")</f>
        <v>Pegar objeto</v>
      </c>
      <c r="H179" s="24" t="str">
        <f>IFERROR(__xludf.DUMMYFUNCTION("GOOGLETRANSLATE(B179, ""en"", ""de"")"),"Pick-up Artikel")</f>
        <v>Pick-up Artikel</v>
      </c>
      <c r="I179" s="23" t="str">
        <f>IFERROR(__xludf.DUMMYFUNCTION("GOOGLETRANSLATE(B179, ""en"", ""pl"")"),"Podnieść przedmiot")</f>
        <v>Podnieść przedmiot</v>
      </c>
      <c r="J179" s="25" t="str">
        <f>IFERROR(__xludf.DUMMYFUNCTION("GOOGLETRANSLATE(B179, ""en"", ""zh"")"),"拿起项目")</f>
        <v>拿起项目</v>
      </c>
      <c r="K179" s="25" t="str">
        <f>IFERROR(__xludf.DUMMYFUNCTION("GOOGLETRANSLATE(B179, ""en"", ""vi"")"),"Đón mục")</f>
        <v>Đón mục</v>
      </c>
      <c r="L179" s="26" t="str">
        <f>IFERROR(__xludf.DUMMYFUNCTION("GOOGLETRANSLATE(B179, ""en"", ""hr"")"),"Javi se stavke")</f>
        <v>Javi se stavke</v>
      </c>
      <c r="M179" s="28"/>
      <c r="N179" s="28"/>
      <c r="O179" s="28"/>
      <c r="P179" s="28"/>
      <c r="Q179" s="28"/>
      <c r="R179" s="28"/>
      <c r="S179" s="28"/>
      <c r="T179" s="28"/>
      <c r="U179" s="28"/>
      <c r="V179" s="28"/>
      <c r="W179" s="28"/>
      <c r="X179" s="28"/>
      <c r="Y179" s="28"/>
      <c r="Z179" s="28"/>
      <c r="AA179" s="28"/>
      <c r="AB179" s="28"/>
    </row>
    <row r="180">
      <c r="A180" s="21" t="s">
        <v>298</v>
      </c>
      <c r="B180" s="22" t="s">
        <v>298</v>
      </c>
      <c r="C180" s="23" t="str">
        <f>IFERROR(__xludf.DUMMYFUNCTION("GOOGLETRANSLATE(B180, ""en"", ""fr"")"),"Base")</f>
        <v>Base</v>
      </c>
      <c r="D180" s="23" t="str">
        <f>IFERROR(__xludf.DUMMYFUNCTION("GOOGLETRANSLATE(B180, ""en"", ""es"")"),"Base")</f>
        <v>Base</v>
      </c>
      <c r="E180" s="23" t="str">
        <f>IFERROR(__xludf.DUMMYFUNCTION("GOOGLETRANSLATE(B180, ""en"", ""ru"")"),"База")</f>
        <v>База</v>
      </c>
      <c r="F180" s="23" t="str">
        <f>IFERROR(__xludf.DUMMYFUNCTION("GOOGLETRANSLATE(B180, ""en"", ""tr"")"),"baz")</f>
        <v>baz</v>
      </c>
      <c r="G180" s="23" t="str">
        <f>IFERROR(__xludf.DUMMYFUNCTION("GOOGLETRANSLATE(B180, ""en"", ""pt"")"),"Base")</f>
        <v>Base</v>
      </c>
      <c r="H180" s="24" t="str">
        <f>IFERROR(__xludf.DUMMYFUNCTION("GOOGLETRANSLATE(B180, ""en"", ""de"")"),"Base")</f>
        <v>Base</v>
      </c>
      <c r="I180" s="23" t="str">
        <f>IFERROR(__xludf.DUMMYFUNCTION("GOOGLETRANSLATE(B180, ""en"", ""pl"")"),"Baza")</f>
        <v>Baza</v>
      </c>
      <c r="J180" s="25" t="str">
        <f>IFERROR(__xludf.DUMMYFUNCTION("GOOGLETRANSLATE(B180, ""en"", ""zh"")"),"根据")</f>
        <v>根据</v>
      </c>
      <c r="K180" s="25" t="str">
        <f>IFERROR(__xludf.DUMMYFUNCTION("GOOGLETRANSLATE(B180, ""en"", ""vi"")"),"Căn cứ")</f>
        <v>Căn cứ</v>
      </c>
      <c r="L180" s="26" t="str">
        <f>IFERROR(__xludf.DUMMYFUNCTION("GOOGLETRANSLATE(B180, ""en"", ""hr"")"),"Baza")</f>
        <v>Baza</v>
      </c>
      <c r="M180" s="28"/>
      <c r="N180" s="28"/>
      <c r="O180" s="28"/>
      <c r="P180" s="28"/>
      <c r="Q180" s="28"/>
      <c r="R180" s="28"/>
      <c r="S180" s="28"/>
      <c r="T180" s="28"/>
      <c r="U180" s="28"/>
      <c r="V180" s="28"/>
      <c r="W180" s="28"/>
      <c r="X180" s="28"/>
      <c r="Y180" s="28"/>
      <c r="Z180" s="28"/>
      <c r="AA180" s="28"/>
      <c r="AB180" s="28"/>
    </row>
    <row r="181">
      <c r="A181" s="21" t="s">
        <v>299</v>
      </c>
      <c r="B181" s="22" t="s">
        <v>299</v>
      </c>
      <c r="C181" s="23" t="str">
        <f>IFERROR(__xludf.DUMMYFUNCTION("GOOGLETRANSLATE(B181, ""en"", ""fr"")"),"Enclume")</f>
        <v>Enclume</v>
      </c>
      <c r="D181" s="23" t="str">
        <f>IFERROR(__xludf.DUMMYFUNCTION("GOOGLETRANSLATE(B181, ""en"", ""es"")"),"Yunque")</f>
        <v>Yunque</v>
      </c>
      <c r="E181" s="23" t="str">
        <f>IFERROR(__xludf.DUMMYFUNCTION("GOOGLETRANSLATE(B181, ""en"", ""ru"")"),"наковальня")</f>
        <v>наковальня</v>
      </c>
      <c r="F181" s="23" t="str">
        <f>IFERROR(__xludf.DUMMYFUNCTION("GOOGLETRANSLATE(B181, ""en"", ""tr"")"),"Örs")</f>
        <v>Örs</v>
      </c>
      <c r="G181" s="23" t="str">
        <f>IFERROR(__xludf.DUMMYFUNCTION("GOOGLETRANSLATE(B181, ""en"", ""pt"")"),"Bigorna")</f>
        <v>Bigorna</v>
      </c>
      <c r="H181" s="24" t="str">
        <f>IFERROR(__xludf.DUMMYFUNCTION("GOOGLETRANSLATE(B181, ""en"", ""de"")"),"Amboss")</f>
        <v>Amboss</v>
      </c>
      <c r="I181" s="23" t="str">
        <f>IFERROR(__xludf.DUMMYFUNCTION("GOOGLETRANSLATE(B181, ""en"", ""pl"")"),"Kowadło")</f>
        <v>Kowadło</v>
      </c>
      <c r="J181" s="25" t="str">
        <f>IFERROR(__xludf.DUMMYFUNCTION("GOOGLETRANSLATE(B181, ""en"", ""zh"")"),"砧")</f>
        <v>砧</v>
      </c>
      <c r="K181" s="25" t="str">
        <f>IFERROR(__xludf.DUMMYFUNCTION("GOOGLETRANSLATE(B181, ""en"", ""vi"")"),"cái de")</f>
        <v>cái de</v>
      </c>
      <c r="L181" s="26" t="str">
        <f>IFERROR(__xludf.DUMMYFUNCTION("GOOGLETRANSLATE(B181, ""en"", ""hr"")"),"Nakovanj")</f>
        <v>Nakovanj</v>
      </c>
      <c r="M181" s="28"/>
      <c r="N181" s="28"/>
      <c r="O181" s="28"/>
      <c r="P181" s="28"/>
      <c r="Q181" s="28"/>
      <c r="R181" s="28"/>
      <c r="S181" s="28"/>
      <c r="T181" s="28"/>
      <c r="U181" s="28"/>
      <c r="V181" s="28"/>
      <c r="W181" s="28"/>
      <c r="X181" s="28"/>
      <c r="Y181" s="28"/>
      <c r="Z181" s="28"/>
      <c r="AA181" s="28"/>
      <c r="AB181" s="28"/>
    </row>
    <row r="182">
      <c r="A182" s="21" t="s">
        <v>300</v>
      </c>
      <c r="B182" s="22" t="s">
        <v>300</v>
      </c>
      <c r="C182" s="23" t="str">
        <f>IFERROR(__xludf.DUMMYFUNCTION("GOOGLETRANSLATE(B182, ""en"", ""fr"")"),"fourneau")</f>
        <v>fourneau</v>
      </c>
      <c r="D182" s="23" t="str">
        <f>IFERROR(__xludf.DUMMYFUNCTION("GOOGLETRANSLATE(B182, ""en"", ""es"")"),"Horno")</f>
        <v>Horno</v>
      </c>
      <c r="E182" s="23" t="str">
        <f>IFERROR(__xludf.DUMMYFUNCTION("GOOGLETRANSLATE(B182, ""en"", ""ru"")"),"печь")</f>
        <v>печь</v>
      </c>
      <c r="F182" s="23" t="str">
        <f>IFERROR(__xludf.DUMMYFUNCTION("GOOGLETRANSLATE(B182, ""en"", ""tr"")"),"Fırın")</f>
        <v>Fırın</v>
      </c>
      <c r="G182" s="23" t="str">
        <f>IFERROR(__xludf.DUMMYFUNCTION("GOOGLETRANSLATE(B182, ""en"", ""pt"")"),"Forno")</f>
        <v>Forno</v>
      </c>
      <c r="H182" s="24" t="str">
        <f>IFERROR(__xludf.DUMMYFUNCTION("GOOGLETRANSLATE(B182, ""en"", ""de"")"),"Ofen")</f>
        <v>Ofen</v>
      </c>
      <c r="I182" s="23" t="str">
        <f>IFERROR(__xludf.DUMMYFUNCTION("GOOGLETRANSLATE(B182, ""en"", ""pl"")"),"Piec")</f>
        <v>Piec</v>
      </c>
      <c r="J182" s="25" t="str">
        <f>IFERROR(__xludf.DUMMYFUNCTION("GOOGLETRANSLATE(B182, ""en"", ""zh"")"),"炉")</f>
        <v>炉</v>
      </c>
      <c r="K182" s="25" t="str">
        <f>IFERROR(__xludf.DUMMYFUNCTION("GOOGLETRANSLATE(B182, ""en"", ""vi"")"),"Lò lửa")</f>
        <v>Lò lửa</v>
      </c>
      <c r="L182" s="26" t="str">
        <f>IFERROR(__xludf.DUMMYFUNCTION("GOOGLETRANSLATE(B182, ""en"", ""hr"")"),"Peć")</f>
        <v>Peć</v>
      </c>
      <c r="M182" s="28"/>
      <c r="N182" s="28"/>
      <c r="O182" s="28"/>
      <c r="P182" s="28"/>
      <c r="Q182" s="28"/>
      <c r="R182" s="28"/>
      <c r="S182" s="28"/>
      <c r="T182" s="28"/>
      <c r="U182" s="28"/>
      <c r="V182" s="28"/>
      <c r="W182" s="28"/>
      <c r="X182" s="28"/>
      <c r="Y182" s="28"/>
      <c r="Z182" s="28"/>
      <c r="AA182" s="28"/>
      <c r="AB182" s="28"/>
    </row>
    <row r="183">
      <c r="A183" s="21" t="s">
        <v>301</v>
      </c>
      <c r="B183" s="22" t="s">
        <v>301</v>
      </c>
      <c r="C183" s="23" t="str">
        <f>IFERROR(__xludf.DUMMYFUNCTION("GOOGLETRANSLATE(B183, ""en"", ""fr"")"),"Laboratoire")</f>
        <v>Laboratoire</v>
      </c>
      <c r="D183" s="23" t="str">
        <f>IFERROR(__xludf.DUMMYFUNCTION("GOOGLETRANSLATE(B183, ""en"", ""es"")"),"Laboratorio")</f>
        <v>Laboratorio</v>
      </c>
      <c r="E183" s="23" t="str">
        <f>IFERROR(__xludf.DUMMYFUNCTION("GOOGLETRANSLATE(B183, ""en"", ""ru"")"),"лаборатория")</f>
        <v>лаборатория</v>
      </c>
      <c r="F183" s="23" t="str">
        <f>IFERROR(__xludf.DUMMYFUNCTION("GOOGLETRANSLATE(B183, ""en"", ""tr"")"),"laboratuvar")</f>
        <v>laboratuvar</v>
      </c>
      <c r="G183" s="23" t="str">
        <f>IFERROR(__xludf.DUMMYFUNCTION("GOOGLETRANSLATE(B183, ""en"", ""pt"")"),"Laboratório")</f>
        <v>Laboratório</v>
      </c>
      <c r="H183" s="24" t="str">
        <f>IFERROR(__xludf.DUMMYFUNCTION("GOOGLETRANSLATE(B183, ""en"", ""de"")"),"Labor")</f>
        <v>Labor</v>
      </c>
      <c r="I183" s="23" t="str">
        <f>IFERROR(__xludf.DUMMYFUNCTION("GOOGLETRANSLATE(B183, ""en"", ""pl"")"),"Laboratorium")</f>
        <v>Laboratorium</v>
      </c>
      <c r="J183" s="25" t="str">
        <f>IFERROR(__xludf.DUMMYFUNCTION("GOOGLETRANSLATE(B183, ""en"", ""zh"")"),"实验室")</f>
        <v>实验室</v>
      </c>
      <c r="K183" s="25" t="str">
        <f>IFERROR(__xludf.DUMMYFUNCTION("GOOGLETRANSLATE(B183, ""en"", ""vi"")"),"phòng thí nghiệm")</f>
        <v>phòng thí nghiệm</v>
      </c>
      <c r="L183" s="26" t="str">
        <f>IFERROR(__xludf.DUMMYFUNCTION("GOOGLETRANSLATE(B183, ""en"", ""hr"")"),"Laboratorija")</f>
        <v>Laboratorija</v>
      </c>
      <c r="M183" s="28"/>
      <c r="N183" s="28"/>
      <c r="O183" s="28"/>
      <c r="P183" s="28"/>
      <c r="Q183" s="28"/>
      <c r="R183" s="28"/>
      <c r="S183" s="28"/>
      <c r="T183" s="28"/>
      <c r="U183" s="28"/>
      <c r="V183" s="28"/>
      <c r="W183" s="28"/>
      <c r="X183" s="28"/>
      <c r="Y183" s="28"/>
      <c r="Z183" s="28"/>
      <c r="AA183" s="28"/>
      <c r="AB183" s="28"/>
    </row>
    <row r="184">
      <c r="A184" s="21" t="s">
        <v>302</v>
      </c>
      <c r="B184" s="22" t="s">
        <v>302</v>
      </c>
      <c r="C184" s="23" t="str">
        <f>IFERROR(__xludf.DUMMYFUNCTION("GOOGLETRANSLATE(B184, ""en"", ""fr"")"),"Table de travail")</f>
        <v>Table de travail</v>
      </c>
      <c r="D184" s="23" t="str">
        <f>IFERROR(__xludf.DUMMYFUNCTION("GOOGLETRANSLATE(B184, ""en"", ""es"")"),"Workbench")</f>
        <v>Workbench</v>
      </c>
      <c r="E184" s="23" t="str">
        <f>IFERROR(__xludf.DUMMYFUNCTION("GOOGLETRANSLATE(B184, ""en"", ""ru"")"),"верстак")</f>
        <v>верстак</v>
      </c>
      <c r="F184" s="23" t="str">
        <f>IFERROR(__xludf.DUMMYFUNCTION("GOOGLETRANSLATE(B184, ""en"", ""tr"")"),"tezgâh")</f>
        <v>tezgâh</v>
      </c>
      <c r="G184" s="23" t="str">
        <f>IFERROR(__xludf.DUMMYFUNCTION("GOOGLETRANSLATE(B184, ""en"", ""pt"")"),"Workbench")</f>
        <v>Workbench</v>
      </c>
      <c r="H184" s="24" t="str">
        <f>IFERROR(__xludf.DUMMYFUNCTION("GOOGLETRANSLATE(B184, ""en"", ""de"")"),"Werkbank")</f>
        <v>Werkbank</v>
      </c>
      <c r="I184" s="23" t="str">
        <f>IFERROR(__xludf.DUMMYFUNCTION("GOOGLETRANSLATE(B184, ""en"", ""pl"")"),"stoł warsztatowy")</f>
        <v>stoł warsztatowy</v>
      </c>
      <c r="J184" s="25" t="str">
        <f>IFERROR(__xludf.DUMMYFUNCTION("GOOGLETRANSLATE(B184, ""en"", ""zh"")"),"工作台")</f>
        <v>工作台</v>
      </c>
      <c r="K184" s="25" t="str">
        <f>IFERROR(__xludf.DUMMYFUNCTION("GOOGLETRANSLATE(B184, ""en"", ""vi"")"),"Workbench")</f>
        <v>Workbench</v>
      </c>
      <c r="L184" s="26" t="str">
        <f>IFERROR(__xludf.DUMMYFUNCTION("GOOGLETRANSLATE(B184, ""en"", ""hr"")"),"radna tezga")</f>
        <v>radna tezga</v>
      </c>
      <c r="M184" s="28"/>
      <c r="N184" s="28"/>
      <c r="O184" s="28"/>
      <c r="P184" s="28"/>
      <c r="Q184" s="28"/>
      <c r="R184" s="28"/>
      <c r="S184" s="28"/>
      <c r="T184" s="28"/>
      <c r="U184" s="28"/>
      <c r="V184" s="28"/>
      <c r="W184" s="28"/>
      <c r="X184" s="28"/>
      <c r="Y184" s="28"/>
      <c r="Z184" s="28"/>
      <c r="AA184" s="28"/>
      <c r="AB184" s="28"/>
    </row>
    <row r="185">
      <c r="A185" s="21" t="s">
        <v>303</v>
      </c>
      <c r="B185" s="22" t="s">
        <v>304</v>
      </c>
      <c r="C185" s="23" t="str">
        <f>IFERROR(__xludf.DUMMYFUNCTION("GOOGLETRANSLATE(B185, ""en"", ""fr"")"),"Votre inventaire est plein.")</f>
        <v>Votre inventaire est plein.</v>
      </c>
      <c r="D185" s="23" t="str">
        <f>IFERROR(__xludf.DUMMYFUNCTION("GOOGLETRANSLATE(B185, ""en"", ""es"")"),"Tu inventario está lleno.")</f>
        <v>Tu inventario está lleno.</v>
      </c>
      <c r="E185" s="23" t="str">
        <f>IFERROR(__xludf.DUMMYFUNCTION("GOOGLETRANSLATE(B185, ""en"", ""ru"")"),"Ваш инвентарь полон.")</f>
        <v>Ваш инвентарь полон.</v>
      </c>
      <c r="F185" s="23" t="str">
        <f>IFERROR(__xludf.DUMMYFUNCTION("GOOGLETRANSLATE(B185, ""en"", ""tr"")"),"Envanterin dolu.")</f>
        <v>Envanterin dolu.</v>
      </c>
      <c r="G185" s="23" t="str">
        <f>IFERROR(__xludf.DUMMYFUNCTION("GOOGLETRANSLATE(B185, ""en"", ""pt"")"),"Seu inventário está cheio.")</f>
        <v>Seu inventário está cheio.</v>
      </c>
      <c r="H185" s="24" t="str">
        <f>IFERROR(__xludf.DUMMYFUNCTION("GOOGLETRANSLATE(B185, ""en"", ""de"")"),"Dein Inventar ist voll.")</f>
        <v>Dein Inventar ist voll.</v>
      </c>
      <c r="I185" s="23" t="str">
        <f>IFERROR(__xludf.DUMMYFUNCTION("GOOGLETRANSLATE(B185, ""en"", ""pl"")"),"Twój inwentarz jest pełny.")</f>
        <v>Twój inwentarz jest pełny.</v>
      </c>
      <c r="J185" s="25" t="str">
        <f>IFERROR(__xludf.DUMMYFUNCTION("GOOGLETRANSLATE(B185, ""en"", ""zh"")"),"你的库存已满。")</f>
        <v>你的库存已满。</v>
      </c>
      <c r="K185" s="25" t="str">
        <f>IFERROR(__xludf.DUMMYFUNCTION("GOOGLETRANSLATE(B185, ""en"", ""vi"")"),"hàng tồn kho của bạn đã đầy.")</f>
        <v>hàng tồn kho của bạn đã đầy.</v>
      </c>
      <c r="L185" s="26" t="str">
        <f>IFERROR(__xludf.DUMMYFUNCTION("GOOGLETRANSLATE(B185, ""en"", ""hr"")"),"Vaš popis je pun.")</f>
        <v>Vaš popis je pun.</v>
      </c>
      <c r="M185" s="28"/>
      <c r="N185" s="28"/>
      <c r="O185" s="28"/>
      <c r="P185" s="28"/>
      <c r="Q185" s="28"/>
      <c r="R185" s="28"/>
      <c r="S185" s="28"/>
      <c r="T185" s="28"/>
      <c r="U185" s="28"/>
      <c r="V185" s="28"/>
      <c r="W185" s="28"/>
      <c r="X185" s="28"/>
      <c r="Y185" s="28"/>
      <c r="Z185" s="28"/>
      <c r="AA185" s="28"/>
      <c r="AB185" s="28"/>
    </row>
    <row r="186">
      <c r="A186" s="21" t="s">
        <v>305</v>
      </c>
      <c r="B186" s="22" t="s">
        <v>306</v>
      </c>
      <c r="C186" s="23" t="str">
        <f>IFERROR(__xludf.DUMMYFUNCTION("GOOGLETRANSLATE(B186, ""en"", ""fr"")"),"Vous ne pouvez pas laisser tomber cet article ici.
Il y a quelque chose de la manière.")</f>
        <v>Vous ne pouvez pas laisser tomber cet article ici.
Il y a quelque chose de la manière.</v>
      </c>
      <c r="D186" s="23" t="str">
        <f>IFERROR(__xludf.DUMMYFUNCTION("GOOGLETRANSLATE(B186, ""en"", ""es"")"),"No se puede dejar que el tema aquí.
Hay algo en el camino.")</f>
        <v>No se puede dejar que el tema aquí.
Hay algo en el camino.</v>
      </c>
      <c r="E186" s="23" t="str">
        <f>IFERROR(__xludf.DUMMYFUNCTION("GOOGLETRANSLATE(B186, ""en"", ""ru"")"),"Вы не можете оставить этот пункт здесь.
Существует что-то в пути.")</f>
        <v>Вы не можете оставить этот пункт здесь.
Существует что-то в пути.</v>
      </c>
      <c r="F186" s="23" t="str">
        <f>IFERROR(__xludf.DUMMYFUNCTION("GOOGLETRANSLATE(B186, ""en"", ""tr"")"),"Burada o maddenin bırakamazsınız.
şekilde bir şey var.")</f>
        <v>Burada o maddenin bırakamazsınız.
şekilde bir şey var.</v>
      </c>
      <c r="G186" s="23" t="str">
        <f>IFERROR(__xludf.DUMMYFUNCTION("GOOGLETRANSLATE(B186, ""en"", ""pt"")"),"Você não pode soltar esse item aqui.
Há algo no caminho.")</f>
        <v>Você não pode soltar esse item aqui.
Há algo no caminho.</v>
      </c>
      <c r="H186" s="24" t="str">
        <f>IFERROR(__xludf.DUMMYFUNCTION("GOOGLETRANSLATE(B186, ""en"", ""de"")"),"Sie können hier nicht das Element fallen.
Es gibt etwas in der Art und Weise.")</f>
        <v>Sie können hier nicht das Element fallen.
Es gibt etwas in der Art und Weise.</v>
      </c>
      <c r="I186" s="23" t="str">
        <f>IFERROR(__xludf.DUMMYFUNCTION("GOOGLETRANSLATE(B186, ""en"", ""pl"")"),"Nie można upuścić ten element tutaj.
Jest coś na drodze.")</f>
        <v>Nie można upuścić ten element tutaj.
Jest coś na drodze.</v>
      </c>
      <c r="J186" s="25" t="str">
        <f>IFERROR(__xludf.DUMMYFUNCTION("GOOGLETRANSLATE(B186, ""en"", ""zh"")"),"这里你不能丢弃物品。
也有一些是在路上。")</f>
        <v>这里你不能丢弃物品。
也有一些是在路上。</v>
      </c>
      <c r="K186" s="25" t="str">
        <f>IFERROR(__xludf.DUMMYFUNCTION("GOOGLETRANSLATE(B186, ""en"", ""vi"")"),"Bạn không thể thả mục đó ở đây.
Có gì đó trong cách.")</f>
        <v>Bạn không thể thả mục đó ở đây.
Có gì đó trong cách.</v>
      </c>
      <c r="L186" s="26" t="str">
        <f>IFERROR(__xludf.DUMMYFUNCTION("GOOGLETRANSLATE(B186, ""en"", ""hr"")"),"Ne možete ispustiti tu stavku ovdje.
Ima nešto u načinu.")</f>
        <v>Ne možete ispustiti tu stavku ovdje.
Ima nešto u načinu.</v>
      </c>
      <c r="M186" s="28"/>
      <c r="N186" s="28"/>
      <c r="O186" s="28"/>
      <c r="P186" s="28"/>
      <c r="Q186" s="28"/>
      <c r="R186" s="28"/>
      <c r="S186" s="28"/>
      <c r="T186" s="28"/>
      <c r="U186" s="28"/>
      <c r="V186" s="28"/>
      <c r="W186" s="28"/>
      <c r="X186" s="28"/>
      <c r="Y186" s="28"/>
      <c r="Z186" s="28"/>
      <c r="AA186" s="28"/>
      <c r="AB186" s="28"/>
    </row>
    <row r="187">
      <c r="A187" s="21"/>
      <c r="B187" s="22"/>
      <c r="C187" s="23"/>
      <c r="D187" s="23"/>
      <c r="E187" s="30"/>
      <c r="F187" s="23"/>
      <c r="G187" s="30"/>
      <c r="H187" s="31"/>
      <c r="I187" s="30"/>
      <c r="J187" s="32"/>
      <c r="K187" s="32"/>
      <c r="L187" s="33"/>
      <c r="M187" s="28"/>
      <c r="N187" s="28"/>
      <c r="O187" s="28"/>
      <c r="P187" s="28"/>
      <c r="Q187" s="28"/>
      <c r="R187" s="28"/>
      <c r="S187" s="28"/>
      <c r="T187" s="28"/>
      <c r="U187" s="28"/>
      <c r="V187" s="28"/>
      <c r="W187" s="28"/>
      <c r="X187" s="28"/>
      <c r="Y187" s="28"/>
      <c r="Z187" s="28"/>
      <c r="AA187" s="28"/>
      <c r="AB187" s="28"/>
    </row>
    <row r="188">
      <c r="A188" s="34"/>
      <c r="B188" s="35"/>
      <c r="C188" s="30"/>
      <c r="D188" s="30"/>
      <c r="E188" s="30"/>
      <c r="F188" s="30"/>
      <c r="G188" s="30"/>
      <c r="H188" s="31"/>
      <c r="I188" s="30"/>
      <c r="J188" s="32"/>
      <c r="K188" s="32"/>
      <c r="L188" s="33"/>
      <c r="M188" s="28"/>
      <c r="N188" s="28"/>
      <c r="O188" s="28"/>
      <c r="P188" s="28"/>
      <c r="Q188" s="28"/>
      <c r="R188" s="28"/>
      <c r="S188" s="28"/>
      <c r="T188" s="28"/>
      <c r="U188" s="28"/>
      <c r="V188" s="28"/>
      <c r="W188" s="28"/>
      <c r="X188" s="28"/>
      <c r="Y188" s="28"/>
      <c r="Z188" s="28"/>
      <c r="AA188" s="28"/>
      <c r="AB188" s="28"/>
    </row>
    <row r="189">
      <c r="A189" s="34"/>
      <c r="B189" s="35"/>
      <c r="C189" s="30"/>
      <c r="D189" s="30"/>
      <c r="E189" s="30"/>
      <c r="F189" s="30"/>
      <c r="G189" s="30"/>
      <c r="H189" s="31"/>
      <c r="I189" s="30"/>
      <c r="J189" s="32"/>
      <c r="K189" s="32"/>
      <c r="L189" s="33"/>
      <c r="M189" s="28"/>
      <c r="N189" s="28"/>
      <c r="O189" s="28"/>
      <c r="P189" s="28"/>
      <c r="Q189" s="28"/>
      <c r="R189" s="28"/>
      <c r="S189" s="28"/>
      <c r="T189" s="28"/>
      <c r="U189" s="28"/>
      <c r="V189" s="28"/>
      <c r="W189" s="28"/>
      <c r="X189" s="28"/>
      <c r="Y189" s="28"/>
      <c r="Z189" s="28"/>
      <c r="AA189" s="28"/>
      <c r="AB189" s="28"/>
    </row>
    <row r="190">
      <c r="A190" s="34"/>
      <c r="B190" s="35"/>
      <c r="C190" s="30"/>
      <c r="D190" s="30"/>
      <c r="E190" s="30"/>
      <c r="F190" s="30"/>
      <c r="G190" s="30"/>
      <c r="H190" s="31"/>
      <c r="I190" s="30"/>
      <c r="J190" s="32"/>
      <c r="K190" s="32"/>
      <c r="L190" s="33"/>
      <c r="M190" s="28"/>
      <c r="N190" s="28"/>
      <c r="O190" s="28"/>
      <c r="P190" s="28"/>
      <c r="Q190" s="28"/>
      <c r="R190" s="28"/>
      <c r="S190" s="28"/>
      <c r="T190" s="28"/>
      <c r="U190" s="28"/>
      <c r="V190" s="28"/>
      <c r="W190" s="28"/>
      <c r="X190" s="28"/>
      <c r="Y190" s="28"/>
      <c r="Z190" s="28"/>
      <c r="AA190" s="28"/>
      <c r="AB190" s="28"/>
    </row>
    <row r="191">
      <c r="A191" s="34"/>
      <c r="B191" s="35"/>
      <c r="C191" s="30"/>
      <c r="D191" s="30"/>
      <c r="E191" s="30"/>
      <c r="F191" s="30"/>
      <c r="G191" s="30"/>
      <c r="H191" s="31"/>
      <c r="I191" s="30"/>
      <c r="J191" s="32"/>
      <c r="K191" s="32"/>
      <c r="L191" s="33"/>
      <c r="M191" s="28"/>
      <c r="N191" s="28"/>
      <c r="O191" s="28"/>
      <c r="P191" s="28"/>
      <c r="Q191" s="28"/>
      <c r="R191" s="28"/>
      <c r="S191" s="28"/>
      <c r="T191" s="28"/>
      <c r="U191" s="28"/>
      <c r="V191" s="28"/>
      <c r="W191" s="28"/>
      <c r="X191" s="28"/>
      <c r="Y191" s="28"/>
      <c r="Z191" s="28"/>
      <c r="AA191" s="28"/>
      <c r="AB191" s="28"/>
    </row>
    <row r="192">
      <c r="A192" s="34"/>
      <c r="B192" s="35"/>
      <c r="C192" s="30"/>
      <c r="D192" s="30"/>
      <c r="E192" s="30"/>
      <c r="F192" s="30"/>
      <c r="G192" s="30"/>
      <c r="H192" s="31"/>
      <c r="I192" s="30"/>
      <c r="J192" s="32"/>
      <c r="K192" s="32"/>
      <c r="L192" s="33"/>
      <c r="M192" s="28"/>
      <c r="N192" s="28"/>
      <c r="O192" s="28"/>
      <c r="P192" s="28"/>
      <c r="Q192" s="28"/>
      <c r="R192" s="28"/>
      <c r="S192" s="28"/>
      <c r="T192" s="28"/>
      <c r="U192" s="28"/>
      <c r="V192" s="28"/>
      <c r="W192" s="28"/>
      <c r="X192" s="28"/>
      <c r="Y192" s="28"/>
      <c r="Z192" s="28"/>
      <c r="AA192" s="28"/>
      <c r="AB192" s="28"/>
    </row>
    <row r="193">
      <c r="A193" s="34"/>
      <c r="B193" s="35"/>
      <c r="C193" s="30"/>
      <c r="D193" s="30"/>
      <c r="E193" s="30"/>
      <c r="F193" s="30"/>
      <c r="G193" s="30"/>
      <c r="H193" s="31"/>
      <c r="I193" s="30"/>
      <c r="J193" s="32"/>
      <c r="K193" s="32"/>
      <c r="L193" s="33"/>
      <c r="M193" s="28"/>
      <c r="N193" s="28"/>
      <c r="O193" s="28"/>
      <c r="P193" s="28"/>
      <c r="Q193" s="28"/>
      <c r="R193" s="28"/>
      <c r="S193" s="28"/>
      <c r="T193" s="28"/>
      <c r="U193" s="28"/>
      <c r="V193" s="28"/>
      <c r="W193" s="28"/>
      <c r="X193" s="28"/>
      <c r="Y193" s="28"/>
      <c r="Z193" s="28"/>
      <c r="AA193" s="28"/>
      <c r="AB193" s="28"/>
    </row>
    <row r="194">
      <c r="A194" s="34"/>
      <c r="B194" s="35"/>
      <c r="C194" s="30"/>
      <c r="D194" s="30"/>
      <c r="E194" s="30"/>
      <c r="F194" s="30"/>
      <c r="G194" s="30"/>
      <c r="H194" s="31"/>
      <c r="I194" s="30"/>
      <c r="J194" s="32"/>
      <c r="K194" s="32"/>
      <c r="L194" s="33"/>
      <c r="M194" s="28"/>
      <c r="N194" s="28"/>
      <c r="O194" s="28"/>
      <c r="P194" s="28"/>
      <c r="Q194" s="28"/>
      <c r="R194" s="28"/>
      <c r="S194" s="28"/>
      <c r="T194" s="28"/>
      <c r="U194" s="28"/>
      <c r="V194" s="28"/>
      <c r="W194" s="28"/>
      <c r="X194" s="28"/>
      <c r="Y194" s="28"/>
      <c r="Z194" s="28"/>
      <c r="AA194" s="28"/>
      <c r="AB194" s="28"/>
    </row>
    <row r="195">
      <c r="A195" s="34"/>
      <c r="B195" s="35"/>
      <c r="C195" s="30"/>
      <c r="D195" s="30"/>
      <c r="E195" s="30"/>
      <c r="F195" s="30"/>
      <c r="G195" s="30"/>
      <c r="H195" s="31"/>
      <c r="I195" s="30"/>
      <c r="J195" s="32"/>
      <c r="K195" s="32"/>
      <c r="L195" s="33"/>
      <c r="M195" s="28"/>
      <c r="N195" s="28"/>
      <c r="O195" s="28"/>
      <c r="P195" s="28"/>
      <c r="Q195" s="28"/>
      <c r="R195" s="28"/>
      <c r="S195" s="28"/>
      <c r="T195" s="28"/>
      <c r="U195" s="28"/>
      <c r="V195" s="28"/>
      <c r="W195" s="28"/>
      <c r="X195" s="28"/>
      <c r="Y195" s="28"/>
      <c r="Z195" s="28"/>
      <c r="AA195" s="28"/>
      <c r="AB195" s="28"/>
    </row>
    <row r="196">
      <c r="A196" s="34"/>
      <c r="B196" s="35"/>
      <c r="C196" s="30"/>
      <c r="D196" s="30"/>
      <c r="E196" s="30"/>
      <c r="F196" s="30"/>
      <c r="G196" s="30"/>
      <c r="H196" s="31"/>
      <c r="I196" s="30"/>
      <c r="J196" s="32"/>
      <c r="K196" s="32"/>
      <c r="L196" s="33"/>
      <c r="M196" s="28"/>
      <c r="N196" s="28"/>
      <c r="O196" s="28"/>
      <c r="P196" s="28"/>
      <c r="Q196" s="28"/>
      <c r="R196" s="28"/>
      <c r="S196" s="28"/>
      <c r="T196" s="28"/>
      <c r="U196" s="28"/>
      <c r="V196" s="28"/>
      <c r="W196" s="28"/>
      <c r="X196" s="28"/>
      <c r="Y196" s="28"/>
      <c r="Z196" s="28"/>
      <c r="AA196" s="28"/>
      <c r="AB196" s="28"/>
    </row>
    <row r="197">
      <c r="A197" s="34"/>
      <c r="B197" s="35"/>
      <c r="C197" s="30"/>
      <c r="D197" s="30"/>
      <c r="E197" s="30"/>
      <c r="F197" s="30"/>
      <c r="G197" s="30"/>
      <c r="H197" s="31"/>
      <c r="I197" s="30"/>
      <c r="J197" s="32"/>
      <c r="K197" s="32"/>
      <c r="L197" s="33"/>
      <c r="M197" s="28"/>
      <c r="N197" s="28"/>
      <c r="O197" s="28"/>
      <c r="P197" s="28"/>
      <c r="Q197" s="28"/>
      <c r="R197" s="28"/>
      <c r="S197" s="28"/>
      <c r="T197" s="28"/>
      <c r="U197" s="28"/>
      <c r="V197" s="28"/>
      <c r="W197" s="28"/>
      <c r="X197" s="28"/>
      <c r="Y197" s="28"/>
      <c r="Z197" s="28"/>
      <c r="AA197" s="28"/>
      <c r="AB197" s="28"/>
    </row>
    <row r="198">
      <c r="A198" s="34"/>
      <c r="B198" s="35"/>
      <c r="C198" s="30"/>
      <c r="D198" s="30"/>
      <c r="E198" s="30"/>
      <c r="F198" s="30"/>
      <c r="G198" s="30"/>
      <c r="H198" s="31"/>
      <c r="I198" s="30"/>
      <c r="J198" s="32"/>
      <c r="K198" s="32"/>
      <c r="L198" s="33"/>
      <c r="M198" s="28"/>
      <c r="N198" s="28"/>
      <c r="O198" s="28"/>
      <c r="P198" s="28"/>
      <c r="Q198" s="28"/>
      <c r="R198" s="28"/>
      <c r="S198" s="28"/>
      <c r="T198" s="28"/>
      <c r="U198" s="28"/>
      <c r="V198" s="28"/>
      <c r="W198" s="28"/>
      <c r="X198" s="28"/>
      <c r="Y198" s="28"/>
      <c r="Z198" s="28"/>
      <c r="AA198" s="28"/>
      <c r="AB198" s="28"/>
    </row>
    <row r="199">
      <c r="A199" s="34"/>
      <c r="B199" s="35"/>
      <c r="C199" s="30"/>
      <c r="D199" s="30"/>
      <c r="E199" s="30"/>
      <c r="F199" s="30"/>
      <c r="G199" s="30"/>
      <c r="H199" s="31"/>
      <c r="I199" s="30"/>
      <c r="J199" s="32"/>
      <c r="K199" s="32"/>
      <c r="L199" s="33"/>
      <c r="M199" s="28"/>
      <c r="N199" s="28"/>
      <c r="O199" s="28"/>
      <c r="P199" s="28"/>
      <c r="Q199" s="28"/>
      <c r="R199" s="28"/>
      <c r="S199" s="28"/>
      <c r="T199" s="28"/>
      <c r="U199" s="28"/>
      <c r="V199" s="28"/>
      <c r="W199" s="28"/>
      <c r="X199" s="28"/>
      <c r="Y199" s="28"/>
      <c r="Z199" s="28"/>
      <c r="AA199" s="28"/>
      <c r="AB199" s="28"/>
    </row>
    <row r="200">
      <c r="A200" s="34"/>
      <c r="B200" s="35"/>
      <c r="C200" s="30"/>
      <c r="D200" s="30"/>
      <c r="E200" s="30"/>
      <c r="F200" s="30"/>
      <c r="G200" s="30"/>
      <c r="H200" s="31"/>
      <c r="I200" s="30"/>
      <c r="J200" s="32"/>
      <c r="K200" s="32"/>
      <c r="L200" s="33"/>
      <c r="M200" s="28"/>
      <c r="N200" s="28"/>
      <c r="O200" s="28"/>
      <c r="P200" s="28"/>
      <c r="Q200" s="28"/>
      <c r="R200" s="28"/>
      <c r="S200" s="28"/>
      <c r="T200" s="28"/>
      <c r="U200" s="28"/>
      <c r="V200" s="28"/>
      <c r="W200" s="28"/>
      <c r="X200" s="28"/>
      <c r="Y200" s="28"/>
      <c r="Z200" s="28"/>
      <c r="AA200" s="28"/>
      <c r="AB200" s="28"/>
    </row>
    <row r="201">
      <c r="A201" s="34"/>
      <c r="B201" s="35"/>
      <c r="C201" s="30"/>
      <c r="D201" s="30"/>
      <c r="E201" s="30"/>
      <c r="F201" s="30"/>
      <c r="G201" s="30"/>
      <c r="H201" s="31"/>
      <c r="I201" s="30"/>
      <c r="J201" s="32"/>
      <c r="K201" s="32"/>
      <c r="L201" s="33"/>
      <c r="M201" s="28"/>
      <c r="N201" s="28"/>
      <c r="O201" s="28"/>
      <c r="P201" s="28"/>
      <c r="Q201" s="28"/>
      <c r="R201" s="28"/>
      <c r="S201" s="28"/>
      <c r="T201" s="28"/>
      <c r="U201" s="28"/>
      <c r="V201" s="28"/>
      <c r="W201" s="28"/>
      <c r="X201" s="28"/>
      <c r="Y201" s="28"/>
      <c r="Z201" s="28"/>
      <c r="AA201" s="28"/>
      <c r="AB201" s="28"/>
    </row>
    <row r="202">
      <c r="A202" s="34"/>
      <c r="B202" s="35"/>
      <c r="C202" s="30"/>
      <c r="D202" s="30"/>
      <c r="E202" s="30"/>
      <c r="F202" s="30"/>
      <c r="G202" s="30"/>
      <c r="H202" s="31"/>
      <c r="I202" s="30"/>
      <c r="J202" s="32"/>
      <c r="K202" s="32"/>
      <c r="L202" s="33"/>
      <c r="M202" s="28"/>
      <c r="N202" s="28"/>
      <c r="O202" s="28"/>
      <c r="P202" s="28"/>
      <c r="Q202" s="28"/>
      <c r="R202" s="28"/>
      <c r="S202" s="28"/>
      <c r="T202" s="28"/>
      <c r="U202" s="28"/>
      <c r="V202" s="28"/>
      <c r="W202" s="28"/>
      <c r="X202" s="28"/>
      <c r="Y202" s="28"/>
      <c r="Z202" s="28"/>
      <c r="AA202" s="28"/>
      <c r="AB202" s="28"/>
    </row>
    <row r="203">
      <c r="A203" s="34"/>
      <c r="B203" s="35"/>
      <c r="C203" s="30"/>
      <c r="D203" s="30"/>
      <c r="E203" s="30"/>
      <c r="F203" s="30"/>
      <c r="G203" s="30"/>
      <c r="H203" s="31"/>
      <c r="I203" s="30"/>
      <c r="J203" s="32"/>
      <c r="K203" s="32"/>
      <c r="L203" s="33"/>
      <c r="M203" s="28"/>
      <c r="N203" s="28"/>
      <c r="O203" s="28"/>
      <c r="P203" s="28"/>
      <c r="Q203" s="28"/>
      <c r="R203" s="28"/>
      <c r="S203" s="28"/>
      <c r="T203" s="28"/>
      <c r="U203" s="28"/>
      <c r="V203" s="28"/>
      <c r="W203" s="28"/>
      <c r="X203" s="28"/>
      <c r="Y203" s="28"/>
      <c r="Z203" s="28"/>
      <c r="AA203" s="28"/>
      <c r="AB203" s="28"/>
    </row>
    <row r="204">
      <c r="A204" s="34"/>
      <c r="B204" s="35"/>
      <c r="C204" s="30"/>
      <c r="D204" s="30"/>
      <c r="E204" s="30"/>
      <c r="F204" s="30"/>
      <c r="G204" s="30"/>
      <c r="H204" s="31"/>
      <c r="I204" s="30"/>
      <c r="J204" s="32"/>
      <c r="K204" s="32"/>
      <c r="L204" s="33"/>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307</v>
      </c>
      <c r="B9" s="22" t="s">
        <v>308</v>
      </c>
      <c r="C9" s="23" t="str">
        <f>IFERROR(__xludf.DUMMYFUNCTION("GOOGLETRANSLATE(B9, ""en"", ""fr"")"),"Exp orbe: Melee")</f>
        <v>Exp orbe: Melee</v>
      </c>
      <c r="D9" s="23" t="str">
        <f>IFERROR(__xludf.DUMMYFUNCTION("GOOGLETRANSLATE(B9, ""en"", ""es"")"),"Exp orbe: Melee")</f>
        <v>Exp orbe: Melee</v>
      </c>
      <c r="E9" s="23" t="str">
        <f>IFERROR(__xludf.DUMMYFUNCTION("GOOGLETRANSLATE(B9, ""en"", ""ru"")"),"Exp шар: Melee")</f>
        <v>Exp шар: Melee</v>
      </c>
      <c r="F9" s="23" t="str">
        <f>IFERROR(__xludf.DUMMYFUNCTION("GOOGLETRANSLATE(B9, ""en"", ""tr"")"),"küre exp: Melee")</f>
        <v>küre exp: Melee</v>
      </c>
      <c r="G9" s="23" t="str">
        <f>IFERROR(__xludf.DUMMYFUNCTION("GOOGLETRANSLATE(B9, ""en"", ""pt"")"),"Exp esfera: Refrega")</f>
        <v>Exp esfera: Refrega</v>
      </c>
      <c r="H9" s="24" t="str">
        <f>IFERROR(__xludf.DUMMYFUNCTION("GOOGLETRANSLATE(B9, ""en"", ""de"")"),"Exp Kugel: Nahkampf")</f>
        <v>Exp Kugel: Nahkampf</v>
      </c>
      <c r="I9" s="23" t="str">
        <f>IFERROR(__xludf.DUMMYFUNCTION("GOOGLETRANSLATE(B9, ""en"", ""pl"")"),"Exp kula: Melee")</f>
        <v>Exp kula: Melee</v>
      </c>
      <c r="J9" s="25" t="str">
        <f>IFERROR(__xludf.DUMMYFUNCTION("GOOGLETRANSLATE(B9, ""en"", ""zh"")"),"经验宝珠：近战")</f>
        <v>经验宝珠：近战</v>
      </c>
      <c r="K9" s="25" t="str">
        <f>IFERROR(__xludf.DUMMYFUNCTION("GOOGLETRANSLATE(B9, ""en"", ""vi"")"),"Exp quả cầu: Melee")</f>
        <v>Exp quả cầu: Melee</v>
      </c>
      <c r="L9" s="26" t="str">
        <f>IFERROR(__xludf.DUMMYFUNCTION("GOOGLETRANSLATE(B9, ""en"", ""hr"")"),"Exp kugla: gužva")</f>
        <v>Exp kugla: gužva</v>
      </c>
      <c r="M9" s="28"/>
      <c r="N9" s="28"/>
      <c r="O9" s="28"/>
      <c r="P9" s="28"/>
      <c r="Q9" s="28"/>
      <c r="R9" s="28"/>
      <c r="S9" s="28"/>
      <c r="T9" s="28"/>
      <c r="U9" s="28"/>
      <c r="V9" s="28"/>
      <c r="W9" s="28"/>
      <c r="X9" s="28"/>
      <c r="Y9" s="28"/>
      <c r="Z9" s="28"/>
      <c r="AA9" s="28"/>
      <c r="AB9" s="28"/>
    </row>
    <row r="10">
      <c r="A10" s="21" t="s">
        <v>309</v>
      </c>
      <c r="B10" s="22" t="s">
        <v>310</v>
      </c>
      <c r="C10" s="23" t="str">
        <f>IFERROR(__xludf.DUMMYFUNCTION("GOOGLETRANSLATE(B10, ""en"", ""fr"")"),"Donne beaucoup d'exp stat de mêlée quand il est utilisé.")</f>
        <v>Donne beaucoup d'exp stat de mêlée quand il est utilisé.</v>
      </c>
      <c r="D10" s="23" t="str">
        <f>IFERROR(__xludf.DUMMYFUNCTION("GOOGLETRANSLATE(B10, ""en"", ""es"")"),"Da mucho cuerpo a cuerpo exp stat cuando se utiliza.")</f>
        <v>Da mucho cuerpo a cuerpo exp stat cuando se utiliza.</v>
      </c>
      <c r="E10" s="23" t="str">
        <f>IFERROR(__xludf.DUMMYFUNCTION("GOOGLETRANSLATE(B10, ""en"", ""ru"")"),"Дает много рукопашного стат ехра при использовании.")</f>
        <v>Дает много рукопашного стат ехра при использовании.</v>
      </c>
      <c r="F10" s="23" t="str">
        <f>IFERROR(__xludf.DUMMYFUNCTION("GOOGLETRANSLATE(B10, ""en"", ""tr"")"),"kullanıldığında yakın dövüş istatistik exp çok kazandırır.")</f>
        <v>kullanıldığında yakın dövüş istatistik exp çok kazandırır.</v>
      </c>
      <c r="G10" s="23" t="str">
        <f>IFERROR(__xludf.DUMMYFUNCTION("GOOGLETRANSLATE(B10, ""en"", ""pt"")"),"Dá um monte de corpo a corpo status exp quando usado.")</f>
        <v>Dá um monte de corpo a corpo status exp quando usado.</v>
      </c>
      <c r="H10" s="24" t="str">
        <f>IFERROR(__xludf.DUMMYFUNCTION("GOOGLETRANSLATE(B10, ""en"", ""de"")"),"Gibt viel Nahkampf stat exp wenn verwendet.")</f>
        <v>Gibt viel Nahkampf stat exp wenn verwendet.</v>
      </c>
      <c r="I10" s="23" t="str">
        <f>IFERROR(__xludf.DUMMYFUNCTION("GOOGLETRANSLATE(B10, ""en"", ""pl"")"),"Daje dużo wręcz stat exp podczas eksploatacji.")</f>
        <v>Daje dużo wręcz stat exp podczas eksploatacji.</v>
      </c>
      <c r="J10" s="25" t="str">
        <f>IFERROR(__xludf.DUMMYFUNCTION("GOOGLETRANSLATE(B10, ""en"", ""zh"")"),"使用时，给出了很多混战统计EXP的。")</f>
        <v>使用时，给出了很多混战统计EXP的。</v>
      </c>
      <c r="K10" s="25" t="str">
        <f>IFERROR(__xludf.DUMMYFUNCTION("GOOGLETRANSLATE(B10, ""en"", ""vi"")"),"Cung cấp cho rất nhiều melee stat exp khi được sử dụng.")</f>
        <v>Cung cấp cho rất nhiều melee stat exp khi được sử dụng.</v>
      </c>
      <c r="L10" s="26" t="str">
        <f>IFERROR(__xludf.DUMMYFUNCTION("GOOGLETRANSLATE(B10, ""en"", ""hr"")"),"Daje puno gužva stat exp kada se koristi.")</f>
        <v>Daje puno gužva stat exp kada se koristi.</v>
      </c>
      <c r="M10" s="28"/>
      <c r="N10" s="28"/>
      <c r="O10" s="28"/>
      <c r="P10" s="28"/>
      <c r="Q10" s="28"/>
      <c r="R10" s="28"/>
      <c r="S10" s="28"/>
      <c r="T10" s="28"/>
      <c r="U10" s="28"/>
      <c r="V10" s="28"/>
      <c r="W10" s="28"/>
      <c r="X10" s="28"/>
      <c r="Y10" s="28"/>
      <c r="Z10" s="28"/>
      <c r="AA10" s="28"/>
      <c r="AB10" s="28"/>
    </row>
    <row r="11">
      <c r="A11" s="21" t="s">
        <v>311</v>
      </c>
      <c r="B11" s="22" t="s">
        <v>312</v>
      </c>
      <c r="C11" s="23" t="str">
        <f>IFERROR(__xludf.DUMMYFUNCTION("GOOGLETRANSLATE(B11, ""en"", ""fr"")"),"Exp orbe: Ranged")</f>
        <v>Exp orbe: Ranged</v>
      </c>
      <c r="D11" s="23" t="str">
        <f>IFERROR(__xludf.DUMMYFUNCTION("GOOGLETRANSLATE(B11, ""en"", ""es"")"),"Exp orbe: a Distancia")</f>
        <v>Exp orbe: a Distancia</v>
      </c>
      <c r="E11" s="23" t="str">
        <f>IFERROR(__xludf.DUMMYFUNCTION("GOOGLETRANSLATE(B11, ""en"", ""ru"")"),"Exp шар: Дальний бой")</f>
        <v>Exp шар: Дальний бой</v>
      </c>
      <c r="F11" s="23" t="str">
        <f>IFERROR(__xludf.DUMMYFUNCTION("GOOGLETRANSLATE(B11, ""en"", ""tr"")"),"küre exp: Menzilli")</f>
        <v>küre exp: Menzilli</v>
      </c>
      <c r="G11" s="23" t="str">
        <f>IFERROR(__xludf.DUMMYFUNCTION("GOOGLETRANSLATE(B11, ""en"", ""pt"")"),"Exp esfera: Variou")</f>
        <v>Exp esfera: Variou</v>
      </c>
      <c r="H11" s="24" t="str">
        <f>IFERROR(__xludf.DUMMYFUNCTION("GOOGLETRANSLATE(B11, ""en"", ""de"")"),"Exp Kugel: Ranged")</f>
        <v>Exp Kugel: Ranged</v>
      </c>
      <c r="I11" s="23" t="str">
        <f>IFERROR(__xludf.DUMMYFUNCTION("GOOGLETRANSLATE(B11, ""en"", ""pl"")"),"Exp kula: Zakresowe")</f>
        <v>Exp kula: Zakresowe</v>
      </c>
      <c r="J11" s="25" t="str">
        <f>IFERROR(__xludf.DUMMYFUNCTION("GOOGLETRANSLATE(B11, ""en"", ""zh"")"),"经验宝珠：远程")</f>
        <v>经验宝珠：远程</v>
      </c>
      <c r="K11" s="25" t="str">
        <f>IFERROR(__xludf.DUMMYFUNCTION("GOOGLETRANSLATE(B11, ""en"", ""vi"")"),"Exp quả cầu: Ranged")</f>
        <v>Exp quả cầu: Ranged</v>
      </c>
      <c r="L11" s="26" t="str">
        <f>IFERROR(__xludf.DUMMYFUNCTION("GOOGLETRANSLATE(B11, ""en"", ""hr"")"),"Exp kugla: Višednevni")</f>
        <v>Exp kugla: Višednevni</v>
      </c>
      <c r="M11" s="28"/>
      <c r="N11" s="28"/>
      <c r="O11" s="28"/>
      <c r="P11" s="28"/>
      <c r="Q11" s="28"/>
      <c r="R11" s="28"/>
      <c r="S11" s="28"/>
      <c r="T11" s="28"/>
      <c r="U11" s="28"/>
      <c r="V11" s="28"/>
      <c r="W11" s="28"/>
      <c r="X11" s="28"/>
      <c r="Y11" s="28"/>
      <c r="Z11" s="28"/>
      <c r="AA11" s="28"/>
      <c r="AB11" s="28"/>
    </row>
    <row r="12">
      <c r="A12" s="21" t="s">
        <v>313</v>
      </c>
      <c r="B12" s="22" t="s">
        <v>314</v>
      </c>
      <c r="C12" s="23" t="str">
        <f>IFERROR(__xludf.DUMMYFUNCTION("GOOGLETRANSLATE(B12, ""en"", ""fr"")"),"Donne beaucoup d'exp stat à distance quand il est utilisé.")</f>
        <v>Donne beaucoup d'exp stat à distance quand il est utilisé.</v>
      </c>
      <c r="D12" s="23" t="str">
        <f>IFERROR(__xludf.DUMMYFUNCTION("GOOGLETRANSLATE(B12, ""en"", ""es"")"),"Da mucha exp stat a distancia cuando se utiliza.")</f>
        <v>Da mucha exp stat a distancia cuando se utiliza.</v>
      </c>
      <c r="E12" s="23" t="str">
        <f>IFERROR(__xludf.DUMMYFUNCTION("GOOGLETRANSLATE(B12, ""en"", ""ru"")"),"Дает много варьировались стат ехр при использовании.")</f>
        <v>Дает много варьировались стат ехр при использовании.</v>
      </c>
      <c r="F12" s="23" t="str">
        <f>IFERROR(__xludf.DUMMYFUNCTION("GOOGLETRANSLATE(B12, ""en"", ""tr"")"),"kullanıldığında değişmekteydi istatistik exp çok kazandırır.")</f>
        <v>kullanıldığında değişmekteydi istatistik exp çok kazandırır.</v>
      </c>
      <c r="G12" s="23" t="str">
        <f>IFERROR(__xludf.DUMMYFUNCTION("GOOGLETRANSLATE(B12, ""en"", ""pt"")"),"Dá um monte de exp status variou quando usado.")</f>
        <v>Dá um monte de exp status variou quando usado.</v>
      </c>
      <c r="H12" s="24" t="str">
        <f>IFERROR(__xludf.DUMMYFUNCTION("GOOGLETRANSLATE(B12, ""en"", ""de"")"),"Gibt eine Menge reichte stat exp wenn verwendet.")</f>
        <v>Gibt eine Menge reichte stat exp wenn verwendet.</v>
      </c>
      <c r="I12" s="23" t="str">
        <f>IFERROR(__xludf.DUMMYFUNCTION("GOOGLETRANSLATE(B12, ""en"", ""pl"")"),"Daje dużo wahały stat exp podczas eksploatacji.")</f>
        <v>Daje dużo wahały stat exp podczas eksploatacji.</v>
      </c>
      <c r="J12" s="25" t="str">
        <f>IFERROR(__xludf.DUMMYFUNCTION("GOOGLETRANSLATE(B12, ""en"", ""zh"")"),"使用时，给出了很多远程统计EXP的。")</f>
        <v>使用时，给出了很多远程统计EXP的。</v>
      </c>
      <c r="K12" s="25" t="str">
        <f>IFERROR(__xludf.DUMMYFUNCTION("GOOGLETRANSLATE(B12, ""en"", ""vi"")"),"Cung cấp cho rất nhiều dao động exp stat khi được sử dụng.")</f>
        <v>Cung cấp cho rất nhiều dao động exp stat khi được sử dụng.</v>
      </c>
      <c r="L12" s="26" t="str">
        <f>IFERROR(__xludf.DUMMYFUNCTION("GOOGLETRANSLATE(B12, ""en"", ""hr"")"),"Daje puno kretao stat exp kada se koristi.")</f>
        <v>Daje puno kretao stat exp kada se koristi.</v>
      </c>
      <c r="M12" s="28"/>
      <c r="N12" s="28"/>
      <c r="O12" s="28"/>
      <c r="P12" s="28"/>
      <c r="Q12" s="28"/>
      <c r="R12" s="28"/>
      <c r="S12" s="28"/>
      <c r="T12" s="28"/>
      <c r="U12" s="28"/>
      <c r="V12" s="28"/>
      <c r="W12" s="28"/>
      <c r="X12" s="28"/>
      <c r="Y12" s="28"/>
      <c r="Z12" s="28"/>
      <c r="AA12" s="28"/>
      <c r="AB12" s="28"/>
    </row>
    <row r="13">
      <c r="A13" s="21" t="s">
        <v>315</v>
      </c>
      <c r="B13" s="22" t="s">
        <v>316</v>
      </c>
      <c r="C13" s="23" t="str">
        <f>IFERROR(__xludf.DUMMYFUNCTION("GOOGLETRANSLATE(B13, ""en"", ""fr"")"),"Exp orbe: Magic")</f>
        <v>Exp orbe: Magic</v>
      </c>
      <c r="D13" s="23" t="str">
        <f>IFERROR(__xludf.DUMMYFUNCTION("GOOGLETRANSLATE(B13, ""en"", ""es"")"),"Exp orbe: Magia")</f>
        <v>Exp orbe: Magia</v>
      </c>
      <c r="E13" s="23" t="str">
        <f>IFERROR(__xludf.DUMMYFUNCTION("GOOGLETRANSLATE(B13, ""en"", ""ru"")"),"Exp шар: магия")</f>
        <v>Exp шар: магия</v>
      </c>
      <c r="F13" s="23" t="str">
        <f>IFERROR(__xludf.DUMMYFUNCTION("GOOGLETRANSLATE(B13, ""en"", ""tr"")"),"küre exp: Magic")</f>
        <v>küre exp: Magic</v>
      </c>
      <c r="G13" s="23" t="str">
        <f>IFERROR(__xludf.DUMMYFUNCTION("GOOGLETRANSLATE(B13, ""en"", ""pt"")"),"Exp orbe: Magic")</f>
        <v>Exp orbe: Magic</v>
      </c>
      <c r="H13" s="24" t="str">
        <f>IFERROR(__xludf.DUMMYFUNCTION("GOOGLETRANSLATE(B13, ""en"", ""de"")"),"Exp Kugel: Magie")</f>
        <v>Exp Kugel: Magie</v>
      </c>
      <c r="I13" s="23" t="str">
        <f>IFERROR(__xludf.DUMMYFUNCTION("GOOGLETRANSLATE(B13, ""en"", ""pl"")"),"Exp kula: magic")</f>
        <v>Exp kula: magic</v>
      </c>
      <c r="J13" s="25" t="str">
        <f>IFERROR(__xludf.DUMMYFUNCTION("GOOGLETRANSLATE(B13, ""en"", ""zh"")"),"经验宝珠：魔术")</f>
        <v>经验宝珠：魔术</v>
      </c>
      <c r="K13" s="25" t="str">
        <f>IFERROR(__xludf.DUMMYFUNCTION("GOOGLETRANSLATE(B13, ""en"", ""vi"")"),"Exp quả cầu: Magic")</f>
        <v>Exp quả cầu: Magic</v>
      </c>
      <c r="L13" s="26" t="str">
        <f>IFERROR(__xludf.DUMMYFUNCTION("GOOGLETRANSLATE(B13, ""en"", ""hr"")"),"EXP kugla: Magic")</f>
        <v>EXP kugla: Magic</v>
      </c>
      <c r="M13" s="28"/>
      <c r="N13" s="28"/>
      <c r="O13" s="28"/>
      <c r="P13" s="28"/>
      <c r="Q13" s="28"/>
      <c r="R13" s="28"/>
      <c r="S13" s="28"/>
      <c r="T13" s="28"/>
      <c r="U13" s="28"/>
      <c r="V13" s="28"/>
      <c r="W13" s="28"/>
      <c r="X13" s="28"/>
      <c r="Y13" s="28"/>
      <c r="Z13" s="28"/>
      <c r="AA13" s="28"/>
      <c r="AB13" s="28"/>
    </row>
    <row r="14">
      <c r="A14" s="21" t="s">
        <v>317</v>
      </c>
      <c r="B14" s="22" t="s">
        <v>318</v>
      </c>
      <c r="C14" s="23" t="str">
        <f>IFERROR(__xludf.DUMMYFUNCTION("GOOGLETRANSLATE(B14, ""en"", ""fr"")"),"Donne beaucoup de magie stat exp quand il est utilisé.")</f>
        <v>Donne beaucoup de magie stat exp quand il est utilisé.</v>
      </c>
      <c r="D14" s="23" t="str">
        <f>IFERROR(__xludf.DUMMYFUNCTION("GOOGLETRANSLATE(B14, ""en"", ""es"")"),"Da mucha magia stat exp cuando se utiliza.")</f>
        <v>Da mucha magia stat exp cuando se utiliza.</v>
      </c>
      <c r="E14" s="23" t="str">
        <f>IFERROR(__xludf.DUMMYFUNCTION("GOOGLETRANSLATE(B14, ""en"", ""ru"")"),"Дает много магии стат ехр при использовании.")</f>
        <v>Дает много магии стат ехр при использовании.</v>
      </c>
      <c r="F14" s="23" t="str">
        <f>IFERROR(__xludf.DUMMYFUNCTION("GOOGLETRANSLATE(B14, ""en"", ""tr"")"),"kullanıldığında sihirli istatistik exp çok kazandırır.")</f>
        <v>kullanıldığında sihirli istatistik exp çok kazandırır.</v>
      </c>
      <c r="G14" s="23" t="str">
        <f>IFERROR(__xludf.DUMMYFUNCTION("GOOGLETRANSLATE(B14, ""en"", ""pt"")"),"Dá muita magia status exp quando usado.")</f>
        <v>Dá muita magia status exp quando usado.</v>
      </c>
      <c r="H14" s="24" t="str">
        <f>IFERROR(__xludf.DUMMYFUNCTION("GOOGLETRANSLATE(B14, ""en"", ""de"")"),"Gibt eine Menge Magie stat exp wenn verwendet.")</f>
        <v>Gibt eine Menge Magie stat exp wenn verwendet.</v>
      </c>
      <c r="I14" s="23" t="str">
        <f>IFERROR(__xludf.DUMMYFUNCTION("GOOGLETRANSLATE(B14, ""en"", ""pl"")"),"Daje dużo magii stat exp podczas eksploatacji.")</f>
        <v>Daje dużo magii stat exp podczas eksploatacji.</v>
      </c>
      <c r="J14" s="25" t="str">
        <f>IFERROR(__xludf.DUMMYFUNCTION("GOOGLETRANSLATE(B14, ""en"", ""zh"")"),"使用时，给出了很多神奇的统计EXP的。")</f>
        <v>使用时，给出了很多神奇的统计EXP的。</v>
      </c>
      <c r="K14" s="25" t="str">
        <f>IFERROR(__xludf.DUMMYFUNCTION("GOOGLETRANSLATE(B14, ""en"", ""vi"")"),"Cung cấp rất nhiều phép thuật stat exp khi được sử dụng.")</f>
        <v>Cung cấp rất nhiều phép thuật stat exp khi được sử dụng.</v>
      </c>
      <c r="L14" s="26" t="str">
        <f>IFERROR(__xludf.DUMMYFUNCTION("GOOGLETRANSLATE(B14, ""en"", ""hr"")"),"Daje puno magije stat exp kada se koristi.")</f>
        <v>Daje puno magije stat exp kada se koristi.</v>
      </c>
      <c r="M14" s="28"/>
      <c r="N14" s="28"/>
      <c r="O14" s="28"/>
      <c r="P14" s="28"/>
      <c r="Q14" s="28"/>
      <c r="R14" s="28"/>
      <c r="S14" s="28"/>
      <c r="T14" s="28"/>
      <c r="U14" s="28"/>
      <c r="V14" s="28"/>
      <c r="W14" s="28"/>
      <c r="X14" s="28"/>
      <c r="Y14" s="28"/>
      <c r="Z14" s="28"/>
      <c r="AA14" s="28"/>
      <c r="AB14" s="28"/>
    </row>
    <row r="15">
      <c r="A15" s="21" t="s">
        <v>319</v>
      </c>
      <c r="B15" s="22" t="s">
        <v>320</v>
      </c>
      <c r="C15" s="23" t="str">
        <f>IFERROR(__xludf.DUMMYFUNCTION("GOOGLETRANSLATE(B15, ""en"", ""fr"")"),"Exp orbe: Rassemblement")</f>
        <v>Exp orbe: Rassemblement</v>
      </c>
      <c r="D15" s="23" t="str">
        <f>IFERROR(__xludf.DUMMYFUNCTION("GOOGLETRANSLATE(B15, ""en"", ""es"")"),"Exp orbe: Reunión")</f>
        <v>Exp orbe: Reunión</v>
      </c>
      <c r="E15" s="23" t="str">
        <f>IFERROR(__xludf.DUMMYFUNCTION("GOOGLETRANSLATE(B15, ""en"", ""ru"")"),"Exp орб Gathering")</f>
        <v>Exp орб Gathering</v>
      </c>
      <c r="F15" s="23" t="str">
        <f>IFERROR(__xludf.DUMMYFUNCTION("GOOGLETRANSLATE(B15, ""en"", ""tr"")"),"küre exp: Toplama")</f>
        <v>küre exp: Toplama</v>
      </c>
      <c r="G15" s="23" t="str">
        <f>IFERROR(__xludf.DUMMYFUNCTION("GOOGLETRANSLATE(B15, ""en"", ""pt"")"),"Exp esfera: Recolha")</f>
        <v>Exp esfera: Recolha</v>
      </c>
      <c r="H15" s="24" t="str">
        <f>IFERROR(__xludf.DUMMYFUNCTION("GOOGLETRANSLATE(B15, ""en"", ""de"")"),"Exp Kugel: Das Sammeln")</f>
        <v>Exp Kugel: Das Sammeln</v>
      </c>
      <c r="I15" s="23" t="str">
        <f>IFERROR(__xludf.DUMMYFUNCTION("GOOGLETRANSLATE(B15, ""en"", ""pl"")"),"Exp kula: Gathering")</f>
        <v>Exp kula: Gathering</v>
      </c>
      <c r="J15" s="25" t="str">
        <f>IFERROR(__xludf.DUMMYFUNCTION("GOOGLETRANSLATE(B15, ""en"", ""zh"")"),"经验宝珠：收集")</f>
        <v>经验宝珠：收集</v>
      </c>
      <c r="K15" s="25" t="str">
        <f>IFERROR(__xludf.DUMMYFUNCTION("GOOGLETRANSLATE(B15, ""en"", ""vi"")"),"Exp quả cầu: Thu thập")</f>
        <v>Exp quả cầu: Thu thập</v>
      </c>
      <c r="L15" s="26" t="str">
        <f>IFERROR(__xludf.DUMMYFUNCTION("GOOGLETRANSLATE(B15, ""en"", ""hr"")"),"Exp kugla: Skupljanje")</f>
        <v>Exp kugla: Skupljanje</v>
      </c>
      <c r="M15" s="28"/>
      <c r="N15" s="28"/>
      <c r="O15" s="28"/>
      <c r="P15" s="28"/>
      <c r="Q15" s="28"/>
      <c r="R15" s="28"/>
      <c r="S15" s="28"/>
      <c r="T15" s="28"/>
      <c r="U15" s="28"/>
      <c r="V15" s="28"/>
      <c r="W15" s="28"/>
      <c r="X15" s="28"/>
      <c r="Y15" s="28"/>
      <c r="Z15" s="28"/>
      <c r="AA15" s="28"/>
      <c r="AB15" s="28"/>
    </row>
    <row r="16">
      <c r="A16" s="21" t="s">
        <v>321</v>
      </c>
      <c r="B16" s="22" t="s">
        <v>322</v>
      </c>
      <c r="C16" s="23" t="str">
        <f>IFERROR(__xludf.DUMMYFUNCTION("GOOGLETRANSLATE(B16, ""en"", ""fr"")"),"Donne beaucoup de collecte exp stat quand il est utilisé.")</f>
        <v>Donne beaucoup de collecte exp stat quand il est utilisé.</v>
      </c>
      <c r="D16" s="23" t="str">
        <f>IFERROR(__xludf.DUMMYFUNCTION("GOOGLETRANSLATE(B16, ""en"", ""es"")"),"Da una gran cantidad de recopilación de estadísticas cuando se utiliza exp.")</f>
        <v>Da una gran cantidad de recopilación de estadísticas cuando se utiliza exp.</v>
      </c>
      <c r="E16" s="23" t="str">
        <f>IFERROR(__xludf.DUMMYFUNCTION("GOOGLETRANSLATE(B16, ""en"", ""ru"")"),"Дает много сбора стата ехра при использовании.")</f>
        <v>Дает много сбора стата ехра при использовании.</v>
      </c>
      <c r="F16" s="23" t="str">
        <f>IFERROR(__xludf.DUMMYFUNCTION("GOOGLETRANSLATE(B16, ""en"", ""tr"")"),"kullanıldığında istatistik exp toplama bir sürü verir.")</f>
        <v>kullanıldığında istatistik exp toplama bir sürü verir.</v>
      </c>
      <c r="G16" s="23" t="str">
        <f>IFERROR(__xludf.DUMMYFUNCTION("GOOGLETRANSLATE(B16, ""en"", ""pt"")"),"Dá um monte de coleta de estatísticas exp quando usado.")</f>
        <v>Dá um monte de coleta de estatísticas exp quando usado.</v>
      </c>
      <c r="H16" s="24" t="str">
        <f>IFERROR(__xludf.DUMMYFUNCTION("GOOGLETRANSLATE(B16, ""en"", ""de"")"),"Gibt viel stat exp sammeln, wenn verwendet.")</f>
        <v>Gibt viel stat exp sammeln, wenn verwendet.</v>
      </c>
      <c r="I16" s="23" t="str">
        <f>IFERROR(__xludf.DUMMYFUNCTION("GOOGLETRANSLATE(B16, ""en"", ""pl"")"),"Daje dużo zbieranie stat exp podczas eksploatacji.")</f>
        <v>Daje dużo zbieranie stat exp podczas eksploatacji.</v>
      </c>
      <c r="J16" s="25" t="str">
        <f>IFERROR(__xludf.DUMMYFUNCTION("GOOGLETRANSLATE(B16, ""en"", ""zh"")"),"给出了大量使用时收集统计EXP的。")</f>
        <v>给出了大量使用时收集统计EXP的。</v>
      </c>
      <c r="K16" s="25" t="str">
        <f>IFERROR(__xludf.DUMMYFUNCTION("GOOGLETRANSLATE(B16, ""en"", ""vi"")"),"Cung cấp cho rất nhiều thu thập stat exp khi được sử dụng.")</f>
        <v>Cung cấp cho rất nhiều thu thập stat exp khi được sử dụng.</v>
      </c>
      <c r="L16" s="26" t="str">
        <f>IFERROR(__xludf.DUMMYFUNCTION("GOOGLETRANSLATE(B16, ""en"", ""hr"")"),"Daje puno okupljanja stat exp kada se koristi.")</f>
        <v>Daje puno okupljanja stat exp kada se koristi.</v>
      </c>
      <c r="M16" s="28"/>
      <c r="N16" s="28"/>
      <c r="O16" s="28"/>
      <c r="P16" s="28"/>
      <c r="Q16" s="28"/>
      <c r="R16" s="28"/>
      <c r="S16" s="28"/>
      <c r="T16" s="28"/>
      <c r="U16" s="28"/>
      <c r="V16" s="28"/>
      <c r="W16" s="28"/>
      <c r="X16" s="28"/>
      <c r="Y16" s="28"/>
      <c r="Z16" s="28"/>
      <c r="AA16" s="28"/>
      <c r="AB16" s="28"/>
    </row>
    <row r="17">
      <c r="A17" s="21" t="s">
        <v>323</v>
      </c>
      <c r="B17" s="22" t="s">
        <v>324</v>
      </c>
      <c r="C17" s="23" t="str">
        <f>IFERROR(__xludf.DUMMYFUNCTION("GOOGLETRANSLATE(B17, ""en"", ""fr"")"),"Exp orbe: Weaponry")</f>
        <v>Exp orbe: Weaponry</v>
      </c>
      <c r="D17" s="23" t="str">
        <f>IFERROR(__xludf.DUMMYFUNCTION("GOOGLETRANSLATE(B17, ""en"", ""es"")"),"Exp orbe: Armamento")</f>
        <v>Exp orbe: Armamento</v>
      </c>
      <c r="E17" s="23" t="str">
        <f>IFERROR(__xludf.DUMMYFUNCTION("GOOGLETRANSLATE(B17, ""en"", ""ru"")"),"Exp орб ОРУЖИЕ")</f>
        <v>Exp орб ОРУЖИЕ</v>
      </c>
      <c r="F17" s="23" t="str">
        <f>IFERROR(__xludf.DUMMYFUNCTION("GOOGLETRANSLATE(B17, ""en"", ""tr"")"),"küre exp: Silah")</f>
        <v>küre exp: Silah</v>
      </c>
      <c r="G17" s="23" t="str">
        <f>IFERROR(__xludf.DUMMYFUNCTION("GOOGLETRANSLATE(B17, ""en"", ""pt"")"),"Exp esfera: armamento")</f>
        <v>Exp esfera: armamento</v>
      </c>
      <c r="H17" s="24" t="str">
        <f>IFERROR(__xludf.DUMMYFUNCTION("GOOGLETRANSLATE(B17, ""en"", ""de"")"),"Exp Kugel: Weaponry")</f>
        <v>Exp Kugel: Weaponry</v>
      </c>
      <c r="I17" s="23" t="str">
        <f>IFERROR(__xludf.DUMMYFUNCTION("GOOGLETRANSLATE(B17, ""en"", ""pl"")"),"Exp kula: broń")</f>
        <v>Exp kula: broń</v>
      </c>
      <c r="J17" s="25" t="str">
        <f>IFERROR(__xludf.DUMMYFUNCTION("GOOGLETRANSLATE(B17, ""en"", ""zh"")"),"经验宝珠：武器")</f>
        <v>经验宝珠：武器</v>
      </c>
      <c r="K17" s="25" t="str">
        <f>IFERROR(__xludf.DUMMYFUNCTION("GOOGLETRANSLATE(B17, ""en"", ""vi"")"),"Exp quả cầu: Weaponry")</f>
        <v>Exp quả cầu: Weaponry</v>
      </c>
      <c r="L17" s="26" t="str">
        <f>IFERROR(__xludf.DUMMYFUNCTION("GOOGLETRANSLATE(B17, ""en"", ""hr"")"),"Exp kugla: oružje")</f>
        <v>Exp kugla: oružje</v>
      </c>
      <c r="M17" s="28"/>
      <c r="N17" s="28"/>
      <c r="O17" s="28"/>
      <c r="P17" s="28"/>
      <c r="Q17" s="28"/>
      <c r="R17" s="28"/>
      <c r="S17" s="28"/>
      <c r="T17" s="28"/>
      <c r="U17" s="28"/>
      <c r="V17" s="28"/>
      <c r="W17" s="28"/>
      <c r="X17" s="28"/>
      <c r="Y17" s="28"/>
      <c r="Z17" s="28"/>
      <c r="AA17" s="28"/>
      <c r="AB17" s="28"/>
    </row>
    <row r="18">
      <c r="A18" s="21" t="s">
        <v>325</v>
      </c>
      <c r="B18" s="22" t="s">
        <v>326</v>
      </c>
      <c r="C18" s="23" t="str">
        <f>IFERROR(__xludf.DUMMYFUNCTION("GOOGLETRANSLATE(B18, ""en"", ""fr"")"),"Donne beaucoup d'armes exp stat quand il est utilisé.")</f>
        <v>Donne beaucoup d'armes exp stat quand il est utilisé.</v>
      </c>
      <c r="D18" s="23" t="str">
        <f>IFERROR(__xludf.DUMMYFUNCTION("GOOGLETRANSLATE(B18, ""en"", ""es"")"),"Da mucha exp stat armamento cuando se utiliza.")</f>
        <v>Da mucha exp stat armamento cuando se utiliza.</v>
      </c>
      <c r="E18" s="23" t="str">
        <f>IFERROR(__xludf.DUMMYFUNCTION("GOOGLETRANSLATE(B18, ""en"", ""ru"")"),"Дает много оружейного стат ехра при использовании.")</f>
        <v>Дает много оружейного стат ехра при использовании.</v>
      </c>
      <c r="F18" s="23" t="str">
        <f>IFERROR(__xludf.DUMMYFUNCTION("GOOGLETRANSLATE(B18, ""en"", ""tr"")"),"kullanıldığında silahlar istatistik exp çok kazandırır.")</f>
        <v>kullanıldığında silahlar istatistik exp çok kazandırır.</v>
      </c>
      <c r="G18" s="23" t="str">
        <f>IFERROR(__xludf.DUMMYFUNCTION("GOOGLETRANSLATE(B18, ""en"", ""pt"")"),"Dá um monte de exp status armamento quando usado.")</f>
        <v>Dá um monte de exp status armamento quando usado.</v>
      </c>
      <c r="H18" s="24" t="str">
        <f>IFERROR(__xludf.DUMMYFUNCTION("GOOGLETRANSLATE(B18, ""en"", ""de"")"),"Gibt eine Menge von Waffen stat exp wenn verwendet.")</f>
        <v>Gibt eine Menge von Waffen stat exp wenn verwendet.</v>
      </c>
      <c r="I18" s="23" t="str">
        <f>IFERROR(__xludf.DUMMYFUNCTION("GOOGLETRANSLATE(B18, ""en"", ""pl"")"),"Daje dużo uzbrojenia stat exp podczas eksploatacji.")</f>
        <v>Daje dużo uzbrojenia stat exp podczas eksploatacji.</v>
      </c>
      <c r="J18" s="25" t="str">
        <f>IFERROR(__xludf.DUMMYFUNCTION("GOOGLETRANSLATE(B18, ""en"", ""zh"")"),"使用时，给出了很多武器统计EXP的。")</f>
        <v>使用时，给出了很多武器统计EXP的。</v>
      </c>
      <c r="K18" s="25" t="str">
        <f>IFERROR(__xludf.DUMMYFUNCTION("GOOGLETRANSLATE(B18, ""en"", ""vi"")"),"Cung cấp cho rất nhiều exp stat vũ khí khi được sử dụng.")</f>
        <v>Cung cấp cho rất nhiều exp stat vũ khí khi được sử dụng.</v>
      </c>
      <c r="L18" s="26" t="str">
        <f>IFERROR(__xludf.DUMMYFUNCTION("GOOGLETRANSLATE(B18, ""en"", ""hr"")"),"Daje puno naoružanja stat exp kada se koristi.")</f>
        <v>Daje puno naoružanja stat exp kada se koristi.</v>
      </c>
      <c r="M18" s="28"/>
      <c r="N18" s="28"/>
      <c r="O18" s="28"/>
      <c r="P18" s="28"/>
      <c r="Q18" s="28"/>
      <c r="R18" s="28"/>
      <c r="S18" s="28"/>
      <c r="T18" s="28"/>
      <c r="U18" s="28"/>
      <c r="V18" s="28"/>
      <c r="W18" s="28"/>
      <c r="X18" s="28"/>
      <c r="Y18" s="28"/>
      <c r="Z18" s="28"/>
      <c r="AA18" s="28"/>
      <c r="AB18" s="28"/>
    </row>
    <row r="19">
      <c r="A19" s="21" t="s">
        <v>327</v>
      </c>
      <c r="B19" s="22" t="s">
        <v>328</v>
      </c>
      <c r="C19" s="23" t="str">
        <f>IFERROR(__xludf.DUMMYFUNCTION("GOOGLETRANSLATE(B19, ""en"", ""fr"")"),"Exp orbe: Armurerie")</f>
        <v>Exp orbe: Armurerie</v>
      </c>
      <c r="D19" s="23" t="str">
        <f>IFERROR(__xludf.DUMMYFUNCTION("GOOGLETRANSLATE(B19, ""en"", ""es"")"),"Exp orbe: Armería")</f>
        <v>Exp orbe: Armería</v>
      </c>
      <c r="E19" s="23" t="str">
        <f>IFERROR(__xludf.DUMMYFUNCTION("GOOGLETRANSLATE(B19, ""en"", ""ru"")"),"Exp орб Оружейная")</f>
        <v>Exp орб Оружейная</v>
      </c>
      <c r="F19" s="23" t="str">
        <f>IFERROR(__xludf.DUMMYFUNCTION("GOOGLETRANSLATE(B19, ""en"", ""tr"")"),"küre exp: Armory")</f>
        <v>küre exp: Armory</v>
      </c>
      <c r="G19" s="23" t="str">
        <f>IFERROR(__xludf.DUMMYFUNCTION("GOOGLETRANSLATE(B19, ""en"", ""pt"")"),"Exp esfera: ARSENAL")</f>
        <v>Exp esfera: ARSENAL</v>
      </c>
      <c r="H19" s="24" t="str">
        <f>IFERROR(__xludf.DUMMYFUNCTION("GOOGLETRANSLATE(B19, ""en"", ""de"")"),"Exp Kugel: Armory")</f>
        <v>Exp Kugel: Armory</v>
      </c>
      <c r="I19" s="23" t="str">
        <f>IFERROR(__xludf.DUMMYFUNCTION("GOOGLETRANSLATE(B19, ""en"", ""pl"")"),"Exp kula: Zbrojownię")</f>
        <v>Exp kula: Zbrojownię</v>
      </c>
      <c r="J19" s="25" t="str">
        <f>IFERROR(__xludf.DUMMYFUNCTION("GOOGLETRANSLATE(B19, ""en"", ""zh"")"),"经验宝珠：军械库")</f>
        <v>经验宝珠：军械库</v>
      </c>
      <c r="K19" s="25" t="str">
        <f>IFERROR(__xludf.DUMMYFUNCTION("GOOGLETRANSLATE(B19, ""en"", ""vi"")"),"Exp quả cầu: Armory")</f>
        <v>Exp quả cầu: Armory</v>
      </c>
      <c r="L19" s="26" t="str">
        <f>IFERROR(__xludf.DUMMYFUNCTION("GOOGLETRANSLATE(B19, ""en"", ""hr"")"),"Exp kugla: Oružarnici")</f>
        <v>Exp kugla: Oružarnici</v>
      </c>
      <c r="M19" s="28"/>
      <c r="N19" s="28"/>
      <c r="O19" s="28"/>
      <c r="P19" s="28"/>
      <c r="Q19" s="28"/>
      <c r="R19" s="28"/>
      <c r="S19" s="28"/>
      <c r="T19" s="28"/>
      <c r="U19" s="28"/>
      <c r="V19" s="28"/>
      <c r="W19" s="28"/>
      <c r="X19" s="28"/>
      <c r="Y19" s="28"/>
      <c r="Z19" s="28"/>
      <c r="AA19" s="28"/>
      <c r="AB19" s="28"/>
    </row>
    <row r="20">
      <c r="A20" s="21" t="s">
        <v>329</v>
      </c>
      <c r="B20" s="22" t="s">
        <v>330</v>
      </c>
      <c r="C20" s="23" t="str">
        <f>IFERROR(__xludf.DUMMYFUNCTION("GOOGLETRANSLATE(B20, ""en"", ""fr"")"),"Donne beaucoup d'exp armurerie stat quand il est utilisé.")</f>
        <v>Donne beaucoup d'exp armurerie stat quand il est utilisé.</v>
      </c>
      <c r="D20" s="23" t="str">
        <f>IFERROR(__xludf.DUMMYFUNCTION("GOOGLETRANSLATE(B20, ""en"", ""es"")"),"Da mucha exp stat arsenal cuando se utiliza.")</f>
        <v>Da mucha exp stat arsenal cuando se utiliza.</v>
      </c>
      <c r="E20" s="23" t="str">
        <f>IFERROR(__xludf.DUMMYFUNCTION("GOOGLETRANSLATE(B20, ""en"", ""ru"")"),"Дает много оружейного стат ехра при использовании.")</f>
        <v>Дает много оружейного стат ехра при использовании.</v>
      </c>
      <c r="F20" s="23" t="str">
        <f>IFERROR(__xludf.DUMMYFUNCTION("GOOGLETRANSLATE(B20, ""en"", ""tr"")"),"kullanıldığında armory istatistik exp çok kazandırır.")</f>
        <v>kullanıldığında armory istatistik exp çok kazandırır.</v>
      </c>
      <c r="G20" s="23" t="str">
        <f>IFERROR(__xludf.DUMMYFUNCTION("GOOGLETRANSLATE(B20, ""en"", ""pt"")"),"Dá um monte de exp do stat arsenal quando usado.")</f>
        <v>Dá um monte de exp do stat arsenal quando usado.</v>
      </c>
      <c r="H20" s="24" t="str">
        <f>IFERROR(__xludf.DUMMYFUNCTION("GOOGLETRANSLATE(B20, ""en"", ""de"")"),"Gibt viel Rüstkammer stat exp wenn verwendet.")</f>
        <v>Gibt viel Rüstkammer stat exp wenn verwendet.</v>
      </c>
      <c r="I20" s="23" t="str">
        <f>IFERROR(__xludf.DUMMYFUNCTION("GOOGLETRANSLATE(B20, ""en"", ""pl"")"),"Daje dużo zbrojowni stat exp podczas eksploatacji.")</f>
        <v>Daje dużo zbrojowni stat exp podczas eksploatacji.</v>
      </c>
      <c r="J20" s="25" t="str">
        <f>IFERROR(__xludf.DUMMYFUNCTION("GOOGLETRANSLATE(B20, ""en"", ""zh"")"),"使用时，给出了很多军械库统计EXP的。")</f>
        <v>使用时，给出了很多军械库统计EXP的。</v>
      </c>
      <c r="K20" s="25" t="str">
        <f>IFERROR(__xludf.DUMMYFUNCTION("GOOGLETRANSLATE(B20, ""en"", ""vi"")"),"Cung cấp cho rất nhiều exp stat kho vũ khí khi được sử dụng.")</f>
        <v>Cung cấp cho rất nhiều exp stat kho vũ khí khi được sử dụng.</v>
      </c>
      <c r="L20" s="26" t="str">
        <f>IFERROR(__xludf.DUMMYFUNCTION("GOOGLETRANSLATE(B20, ""en"", ""hr"")"),"Daje puno oružanu stat exp kada se koristi.")</f>
        <v>Daje puno oružanu stat exp kada se koristi.</v>
      </c>
      <c r="M20" s="28"/>
      <c r="N20" s="28"/>
      <c r="O20" s="28"/>
      <c r="P20" s="28"/>
      <c r="Q20" s="28"/>
      <c r="R20" s="28"/>
      <c r="S20" s="28"/>
      <c r="T20" s="28"/>
      <c r="U20" s="28"/>
      <c r="V20" s="28"/>
      <c r="W20" s="28"/>
      <c r="X20" s="28"/>
      <c r="Y20" s="28"/>
      <c r="Z20" s="28"/>
      <c r="AA20" s="28"/>
      <c r="AB20" s="28"/>
    </row>
    <row r="21">
      <c r="A21" s="21" t="s">
        <v>331</v>
      </c>
      <c r="B21" s="22" t="s">
        <v>332</v>
      </c>
      <c r="C21" s="23" t="str">
        <f>IFERROR(__xludf.DUMMYFUNCTION("GOOGLETRANSLATE(B21, ""en"", ""fr"")"),"Exp orbe: Toolery")</f>
        <v>Exp orbe: Toolery</v>
      </c>
      <c r="D21" s="23" t="str">
        <f>IFERROR(__xludf.DUMMYFUNCTION("GOOGLETRANSLATE(B21, ""en"", ""es"")"),"Exp orbe: Toolery")</f>
        <v>Exp orbe: Toolery</v>
      </c>
      <c r="E21" s="23" t="str">
        <f>IFERROR(__xludf.DUMMYFUNCTION("GOOGLETRANSLATE(B21, ""en"", ""ru"")"),"Exp орб Toolery")</f>
        <v>Exp орб Toolery</v>
      </c>
      <c r="F21" s="23" t="str">
        <f>IFERROR(__xludf.DUMMYFUNCTION("GOOGLETRANSLATE(B21, ""en"", ""tr"")"),"küre exp: Toolery")</f>
        <v>küre exp: Toolery</v>
      </c>
      <c r="G21" s="23" t="str">
        <f>IFERROR(__xludf.DUMMYFUNCTION("GOOGLETRANSLATE(B21, ""en"", ""pt"")"),"Exp esfera: Toolery")</f>
        <v>Exp esfera: Toolery</v>
      </c>
      <c r="H21" s="24" t="str">
        <f>IFERROR(__xludf.DUMMYFUNCTION("GOOGLETRANSLATE(B21, ""en"", ""de"")"),"Exp Kugel: Toolery")</f>
        <v>Exp Kugel: Toolery</v>
      </c>
      <c r="I21" s="23" t="str">
        <f>IFERROR(__xludf.DUMMYFUNCTION("GOOGLETRANSLATE(B21, ""en"", ""pl"")"),"Exp kula: Toolery")</f>
        <v>Exp kula: Toolery</v>
      </c>
      <c r="J21" s="25" t="str">
        <f>IFERROR(__xludf.DUMMYFUNCTION("GOOGLETRANSLATE(B21, ""en"", ""zh"")"),"经验宝珠：Toolery")</f>
        <v>经验宝珠：Toolery</v>
      </c>
      <c r="K21" s="25" t="str">
        <f>IFERROR(__xludf.DUMMYFUNCTION("GOOGLETRANSLATE(B21, ""en"", ""vi"")"),"Exp quả cầu: Toolery")</f>
        <v>Exp quả cầu: Toolery</v>
      </c>
      <c r="L21" s="26" t="str">
        <f>IFERROR(__xludf.DUMMYFUNCTION("GOOGLETRANSLATE(B21, ""en"", ""hr"")"),"Exp kugla: Toolery")</f>
        <v>Exp kugla: Toolery</v>
      </c>
      <c r="M21" s="28"/>
      <c r="N21" s="28"/>
      <c r="O21" s="28"/>
      <c r="P21" s="28"/>
      <c r="Q21" s="28"/>
      <c r="R21" s="28"/>
      <c r="S21" s="28"/>
      <c r="T21" s="28"/>
      <c r="U21" s="28"/>
      <c r="V21" s="28"/>
      <c r="W21" s="28"/>
      <c r="X21" s="28"/>
      <c r="Y21" s="28"/>
      <c r="Z21" s="28"/>
      <c r="AA21" s="28"/>
      <c r="AB21" s="28"/>
    </row>
    <row r="22">
      <c r="A22" s="21" t="s">
        <v>333</v>
      </c>
      <c r="B22" s="22" t="s">
        <v>334</v>
      </c>
      <c r="C22" s="23" t="str">
        <f>IFERROR(__xludf.DUMMYFUNCTION("GOOGLETRANSLATE(B22, ""en"", ""fr"")"),"Donne beaucoup de toolery stat exp quand il est utilisé.")</f>
        <v>Donne beaucoup de toolery stat exp quand il est utilisé.</v>
      </c>
      <c r="D22" s="23" t="str">
        <f>IFERROR(__xludf.DUMMYFUNCTION("GOOGLETRANSLATE(B22, ""en"", ""es"")"),"Da mucha toolery exp stat cuando se utiliza.")</f>
        <v>Da mucha toolery exp stat cuando se utiliza.</v>
      </c>
      <c r="E22" s="23" t="str">
        <f>IFERROR(__xludf.DUMMYFUNCTION("GOOGLETRANSLATE(B22, ""en"", ""ru"")"),"Дает много toolery стат ехра при использовании.")</f>
        <v>Дает много toolery стат ехра при использовании.</v>
      </c>
      <c r="F22" s="23" t="str">
        <f>IFERROR(__xludf.DUMMYFUNCTION("GOOGLETRANSLATE(B22, ""en"", ""tr"")"),"kullanıldığında toolery istatistik exp çok kazandırır.")</f>
        <v>kullanıldığında toolery istatistik exp çok kazandırır.</v>
      </c>
      <c r="G22" s="23" t="str">
        <f>IFERROR(__xludf.DUMMYFUNCTION("GOOGLETRANSLATE(B22, ""en"", ""pt"")"),"Dá um monte de toolery status exp quando usado.")</f>
        <v>Dá um monte de toolery status exp quando usado.</v>
      </c>
      <c r="H22" s="24" t="str">
        <f>IFERROR(__xludf.DUMMYFUNCTION("GOOGLETRANSLATE(B22, ""en"", ""de"")"),"Gibt eine Menge toolery stat exp wenn verwendet.")</f>
        <v>Gibt eine Menge toolery stat exp wenn verwendet.</v>
      </c>
      <c r="I22" s="23" t="str">
        <f>IFERROR(__xludf.DUMMYFUNCTION("GOOGLETRANSLATE(B22, ""en"", ""pl"")"),"Daje dużo toolery stat exp podczas eksploatacji.")</f>
        <v>Daje dużo toolery stat exp podczas eksploatacji.</v>
      </c>
      <c r="J22" s="25" t="str">
        <f>IFERROR(__xludf.DUMMYFUNCTION("GOOGLETRANSLATE(B22, ""en"", ""zh"")"),"使用时，给出了很多toolery统计EXP的。")</f>
        <v>使用时，给出了很多toolery统计EXP的。</v>
      </c>
      <c r="K22" s="25" t="str">
        <f>IFERROR(__xludf.DUMMYFUNCTION("GOOGLETRANSLATE(B22, ""en"", ""vi"")"),"Cung cấp cho rất nhiều toolery stat exp khi được sử dụng.")</f>
        <v>Cung cấp cho rất nhiều toolery stat exp khi được sử dụng.</v>
      </c>
      <c r="L22" s="26" t="str">
        <f>IFERROR(__xludf.DUMMYFUNCTION("GOOGLETRANSLATE(B22, ""en"", ""hr"")"),"Daje puno toolery stat exp kada se koristi.")</f>
        <v>Daje puno toolery stat exp kada se koristi.</v>
      </c>
      <c r="M22" s="28"/>
      <c r="N22" s="28"/>
      <c r="O22" s="28"/>
      <c r="P22" s="28"/>
      <c r="Q22" s="28"/>
      <c r="R22" s="28"/>
      <c r="S22" s="28"/>
      <c r="T22" s="28"/>
      <c r="U22" s="28"/>
      <c r="V22" s="28"/>
      <c r="W22" s="28"/>
      <c r="X22" s="28"/>
      <c r="Y22" s="28"/>
      <c r="Z22" s="28"/>
      <c r="AA22" s="28"/>
      <c r="AB22" s="28"/>
    </row>
    <row r="23">
      <c r="A23" s="21" t="s">
        <v>335</v>
      </c>
      <c r="B23" s="22" t="s">
        <v>336</v>
      </c>
      <c r="C23" s="23" t="str">
        <f>IFERROR(__xludf.DUMMYFUNCTION("GOOGLETRANSLATE(B23, ""en"", ""fr"")"),"Exp orbe: Potionry")</f>
        <v>Exp orbe: Potionry</v>
      </c>
      <c r="D23" s="23" t="str">
        <f>IFERROR(__xludf.DUMMYFUNCTION("GOOGLETRANSLATE(B23, ""en"", ""es"")"),"Exp orbe: Potionry")</f>
        <v>Exp orbe: Potionry</v>
      </c>
      <c r="E23" s="23" t="str">
        <f>IFERROR(__xludf.DUMMYFUNCTION("GOOGLETRANSLATE(B23, ""en"", ""ru"")"),"Exp орб Potionry")</f>
        <v>Exp орб Potionry</v>
      </c>
      <c r="F23" s="23" t="str">
        <f>IFERROR(__xludf.DUMMYFUNCTION("GOOGLETRANSLATE(B23, ""en"", ""tr"")"),"küre exp: Potionry")</f>
        <v>küre exp: Potionry</v>
      </c>
      <c r="G23" s="23" t="str">
        <f>IFERROR(__xludf.DUMMYFUNCTION("GOOGLETRANSLATE(B23, ""en"", ""pt"")"),"Exp esfera: Potionry")</f>
        <v>Exp esfera: Potionry</v>
      </c>
      <c r="H23" s="24" t="str">
        <f>IFERROR(__xludf.DUMMYFUNCTION("GOOGLETRANSLATE(B23, ""en"", ""de"")"),"Exp Kugel: Potionry")</f>
        <v>Exp Kugel: Potionry</v>
      </c>
      <c r="I23" s="23" t="str">
        <f>IFERROR(__xludf.DUMMYFUNCTION("GOOGLETRANSLATE(B23, ""en"", ""pl"")"),"Exp kula: Potionry")</f>
        <v>Exp kula: Potionry</v>
      </c>
      <c r="J23" s="25" t="str">
        <f>IFERROR(__xludf.DUMMYFUNCTION("GOOGLETRANSLATE(B23, ""en"", ""zh"")"),"经验宝珠：Potionry")</f>
        <v>经验宝珠：Potionry</v>
      </c>
      <c r="K23" s="25" t="str">
        <f>IFERROR(__xludf.DUMMYFUNCTION("GOOGLETRANSLATE(B23, ""en"", ""vi"")"),"Exp quả cầu: Potionry")</f>
        <v>Exp quả cầu: Potionry</v>
      </c>
      <c r="L23" s="26" t="str">
        <f>IFERROR(__xludf.DUMMYFUNCTION("GOOGLETRANSLATE(B23, ""en"", ""hr"")"),"Exp kugla: Potionry")</f>
        <v>Exp kugla: Potionry</v>
      </c>
      <c r="M23" s="28"/>
      <c r="N23" s="28"/>
      <c r="O23" s="28"/>
      <c r="P23" s="28"/>
      <c r="Q23" s="28"/>
      <c r="R23" s="28"/>
      <c r="S23" s="28"/>
      <c r="T23" s="28"/>
      <c r="U23" s="28"/>
      <c r="V23" s="28"/>
      <c r="W23" s="28"/>
      <c r="X23" s="28"/>
      <c r="Y23" s="28"/>
      <c r="Z23" s="28"/>
      <c r="AA23" s="28"/>
      <c r="AB23" s="28"/>
    </row>
    <row r="24">
      <c r="A24" s="21" t="s">
        <v>337</v>
      </c>
      <c r="B24" s="22" t="s">
        <v>338</v>
      </c>
      <c r="C24" s="23" t="str">
        <f>IFERROR(__xludf.DUMMYFUNCTION("GOOGLETRANSLATE(B24, ""en"", ""fr"")"),"Donne beaucoup de potionry stat exp quand il est utilisé.")</f>
        <v>Donne beaucoup de potionry stat exp quand il est utilisé.</v>
      </c>
      <c r="D24" s="23" t="str">
        <f>IFERROR(__xludf.DUMMYFUNCTION("GOOGLETRANSLATE(B24, ""en"", ""es"")"),"Da mucha potionry exp stat cuando se utiliza.")</f>
        <v>Da mucha potionry exp stat cuando se utiliza.</v>
      </c>
      <c r="E24" s="23" t="str">
        <f>IFERROR(__xludf.DUMMYFUNCTION("GOOGLETRANSLATE(B24, ""en"", ""ru"")"),"Дает много potionry стат ехра при использовании.")</f>
        <v>Дает много potionry стат ехра при использовании.</v>
      </c>
      <c r="F24" s="23" t="str">
        <f>IFERROR(__xludf.DUMMYFUNCTION("GOOGLETRANSLATE(B24, ""en"", ""tr"")"),"kullanıldığında potionry istatistik exp çok kazandırır.")</f>
        <v>kullanıldığında potionry istatistik exp çok kazandırır.</v>
      </c>
      <c r="G24" s="23" t="str">
        <f>IFERROR(__xludf.DUMMYFUNCTION("GOOGLETRANSLATE(B24, ""en"", ""pt"")"),"Dá um monte de potionry status exp quando usado.")</f>
        <v>Dá um monte de potionry status exp quando usado.</v>
      </c>
      <c r="H24" s="24" t="str">
        <f>IFERROR(__xludf.DUMMYFUNCTION("GOOGLETRANSLATE(B24, ""en"", ""de"")"),"Gibt eine Menge potionry stat exp wenn verwendet.")</f>
        <v>Gibt eine Menge potionry stat exp wenn verwendet.</v>
      </c>
      <c r="I24" s="23" t="str">
        <f>IFERROR(__xludf.DUMMYFUNCTION("GOOGLETRANSLATE(B24, ""en"", ""pl"")"),"Daje dużo potionry stat exp podczas eksploatacji.")</f>
        <v>Daje dużo potionry stat exp podczas eksploatacji.</v>
      </c>
      <c r="J24" s="25" t="str">
        <f>IFERROR(__xludf.DUMMYFUNCTION("GOOGLETRANSLATE(B24, ""en"", ""zh"")"),"使用时，给出了很多potionry统计EXP的。")</f>
        <v>使用时，给出了很多potionry统计EXP的。</v>
      </c>
      <c r="K24" s="25" t="str">
        <f>IFERROR(__xludf.DUMMYFUNCTION("GOOGLETRANSLATE(B24, ""en"", ""vi"")"),"Cung cấp cho rất nhiều potionry stat exp khi được sử dụng.")</f>
        <v>Cung cấp cho rất nhiều potionry stat exp khi được sử dụng.</v>
      </c>
      <c r="L24" s="26" t="str">
        <f>IFERROR(__xludf.DUMMYFUNCTION("GOOGLETRANSLATE(B24, ""en"", ""hr"")"),"Daje puno potionry stat exp kada se koristi.")</f>
        <v>Daje puno potionry stat exp kada se koristi.</v>
      </c>
      <c r="M24" s="28"/>
      <c r="N24" s="28"/>
      <c r="O24" s="28"/>
      <c r="P24" s="28"/>
      <c r="Q24" s="28"/>
      <c r="R24" s="28"/>
      <c r="S24" s="28"/>
      <c r="T24" s="28"/>
      <c r="U24" s="28"/>
      <c r="V24" s="28"/>
      <c r="W24" s="28"/>
      <c r="X24" s="28"/>
      <c r="Y24" s="28"/>
      <c r="Z24" s="28"/>
      <c r="AA24" s="28"/>
      <c r="AB24" s="28"/>
    </row>
    <row r="25">
      <c r="A25" s="21" t="s">
        <v>339</v>
      </c>
      <c r="B25" s="22" t="s">
        <v>340</v>
      </c>
      <c r="C25" s="23" t="str">
        <f>IFERROR(__xludf.DUMMYFUNCTION("GOOGLETRANSLATE(B25, ""en"", ""fr"")"),"gloire orbe")</f>
        <v>gloire orbe</v>
      </c>
      <c r="D25" s="23" t="str">
        <f>IFERROR(__xludf.DUMMYFUNCTION("GOOGLETRANSLATE(B25, ""en"", ""es"")"),"orbe gloria")</f>
        <v>orbe gloria</v>
      </c>
      <c r="E25" s="23" t="str">
        <f>IFERROR(__xludf.DUMMYFUNCTION("GOOGLETRANSLATE(B25, ""en"", ""ru"")"),"Слава орб")</f>
        <v>Слава орб</v>
      </c>
      <c r="F25" s="23" t="str">
        <f>IFERROR(__xludf.DUMMYFUNCTION("GOOGLETRANSLATE(B25, ""en"", ""tr"")"),"Glory küre")</f>
        <v>Glory küre</v>
      </c>
      <c r="G25" s="23" t="str">
        <f>IFERROR(__xludf.DUMMYFUNCTION("GOOGLETRANSLATE(B25, ""en"", ""pt"")"),"glória orbe")</f>
        <v>glória orbe</v>
      </c>
      <c r="H25" s="24" t="str">
        <f>IFERROR(__xludf.DUMMYFUNCTION("GOOGLETRANSLATE(B25, ""en"", ""de"")"),"Ruhm orb")</f>
        <v>Ruhm orb</v>
      </c>
      <c r="I25" s="23" t="str">
        <f>IFERROR(__xludf.DUMMYFUNCTION("GOOGLETRANSLATE(B25, ""en"", ""pl"")"),"chwała kula")</f>
        <v>chwała kula</v>
      </c>
      <c r="J25" s="25" t="str">
        <f>IFERROR(__xludf.DUMMYFUNCTION("GOOGLETRANSLATE(B25, ""en"", ""zh"")"),"荣耀宝珠")</f>
        <v>荣耀宝珠</v>
      </c>
      <c r="K25" s="25" t="str">
        <f>IFERROR(__xludf.DUMMYFUNCTION("GOOGLETRANSLATE(B25, ""en"", ""vi"")"),"Glory orb")</f>
        <v>Glory orb</v>
      </c>
      <c r="L25" s="26" t="str">
        <f>IFERROR(__xludf.DUMMYFUNCTION("GOOGLETRANSLATE(B25, ""en"", ""hr"")"),"slava kugla")</f>
        <v>slava kugla</v>
      </c>
      <c r="M25" s="28"/>
      <c r="N25" s="28"/>
      <c r="O25" s="28"/>
      <c r="P25" s="28"/>
      <c r="Q25" s="28"/>
      <c r="R25" s="28"/>
      <c r="S25" s="28"/>
      <c r="T25" s="28"/>
      <c r="U25" s="28"/>
      <c r="V25" s="28"/>
      <c r="W25" s="28"/>
      <c r="X25" s="28"/>
      <c r="Y25" s="28"/>
      <c r="Z25" s="28"/>
      <c r="AA25" s="28"/>
      <c r="AB25" s="28"/>
    </row>
    <row r="26">
      <c r="A26" s="21" t="s">
        <v>341</v>
      </c>
      <c r="B26" s="22" t="s">
        <v>342</v>
      </c>
      <c r="C26" s="23" t="str">
        <f>IFERROR(__xludf.DUMMYFUNCTION("GOOGLETRANSLATE(B26, ""en"", ""fr"")"),"Donne beaucoup de gloire quand il est utilisé.")</f>
        <v>Donne beaucoup de gloire quand il est utilisé.</v>
      </c>
      <c r="D26" s="23" t="str">
        <f>IFERROR(__xludf.DUMMYFUNCTION("GOOGLETRANSLATE(B26, ""en"", ""es"")"),"Da mucha gloria cuando se utiliza.")</f>
        <v>Da mucha gloria cuando se utiliza.</v>
      </c>
      <c r="E26" s="23" t="str">
        <f>IFERROR(__xludf.DUMMYFUNCTION("GOOGLETRANSLATE(B26, ""en"", ""ru"")"),"Дает много славы, когда используется.")</f>
        <v>Дает много славы, когда используется.</v>
      </c>
      <c r="F26" s="23" t="str">
        <f>IFERROR(__xludf.DUMMYFUNCTION("GOOGLETRANSLATE(B26, ""en"", ""tr"")"),"kullanıldığında zafer çok kazandırır.")</f>
        <v>kullanıldığında zafer çok kazandırır.</v>
      </c>
      <c r="G26" s="23" t="str">
        <f>IFERROR(__xludf.DUMMYFUNCTION("GOOGLETRANSLATE(B26, ""en"", ""pt"")"),"Dá um monte de glória quando usado.")</f>
        <v>Dá um monte de glória quando usado.</v>
      </c>
      <c r="H26" s="24" t="str">
        <f>IFERROR(__xludf.DUMMYFUNCTION("GOOGLETRANSLATE(B26, ""en"", ""de"")"),"Gibt eine Menge Ruhm, wenn verwendet.")</f>
        <v>Gibt eine Menge Ruhm, wenn verwendet.</v>
      </c>
      <c r="I26" s="23" t="str">
        <f>IFERROR(__xludf.DUMMYFUNCTION("GOOGLETRANSLATE(B26, ""en"", ""pl"")"),"Daje dużo chwały podczas eksploatacji.")</f>
        <v>Daje dużo chwały podczas eksploatacji.</v>
      </c>
      <c r="J26" s="25" t="str">
        <f>IFERROR(__xludf.DUMMYFUNCTION("GOOGLETRANSLATE(B26, ""en"", ""zh"")"),"使用时给出了不少光彩。")</f>
        <v>使用时给出了不少光彩。</v>
      </c>
      <c r="K26" s="25" t="str">
        <f>IFERROR(__xludf.DUMMYFUNCTION("GOOGLETRANSLATE(B26, ""en"", ""vi"")"),"Cung cấp cho rất nhiều vinh quang khi được sử dụng.")</f>
        <v>Cung cấp cho rất nhiều vinh quang khi được sử dụng.</v>
      </c>
      <c r="L26" s="26" t="str">
        <f>IFERROR(__xludf.DUMMYFUNCTION("GOOGLETRANSLATE(B26, ""en"", ""hr"")"),"Daje puno slave, kada se koristi.")</f>
        <v>Daje puno slave, kada se koristi.</v>
      </c>
      <c r="M26" s="28"/>
      <c r="N26" s="28"/>
      <c r="O26" s="28"/>
      <c r="P26" s="28"/>
      <c r="Q26" s="28"/>
      <c r="R26" s="28"/>
      <c r="S26" s="28"/>
      <c r="T26" s="28"/>
      <c r="U26" s="28"/>
      <c r="V26" s="28"/>
      <c r="W26" s="28"/>
      <c r="X26" s="28"/>
      <c r="Y26" s="28"/>
      <c r="Z26" s="28"/>
      <c r="AA26" s="28"/>
      <c r="AB26" s="28"/>
    </row>
    <row r="27">
      <c r="A27" s="21" t="s">
        <v>343</v>
      </c>
      <c r="B27" s="22" t="s">
        <v>344</v>
      </c>
      <c r="C27" s="23" t="str">
        <f>IFERROR(__xludf.DUMMYFUNCTION("GOOGLETRANSLATE(B27, ""en"", ""fr"")"),"boîte de butin minuscule")</f>
        <v>boîte de butin minuscule</v>
      </c>
      <c r="D27" s="23" t="str">
        <f>IFERROR(__xludf.DUMMYFUNCTION("GOOGLETRANSLATE(B27, ""en"", ""es"")"),"Caja botín pequeña")</f>
        <v>Caja botín pequeña</v>
      </c>
      <c r="E27" s="23" t="str">
        <f>IFERROR(__xludf.DUMMYFUNCTION("GOOGLETRANSLATE(B27, ""en"", ""ru"")"),"Крошечные окно лута")</f>
        <v>Крошечные окно лута</v>
      </c>
      <c r="F27" s="23" t="str">
        <f>IFERROR(__xludf.DUMMYFUNCTION("GOOGLETRANSLATE(B27, ""en"", ""tr"")"),"Minik yağma kutusu")</f>
        <v>Minik yağma kutusu</v>
      </c>
      <c r="G27" s="23" t="str">
        <f>IFERROR(__xludf.DUMMYFUNCTION("GOOGLETRANSLATE(B27, ""en"", ""pt"")"),"caixa de saque minúsculo")</f>
        <v>caixa de saque minúsculo</v>
      </c>
      <c r="H27" s="24" t="str">
        <f>IFERROR(__xludf.DUMMYFUNCTION("GOOGLETRANSLATE(B27, ""en"", ""de"")"),"Tiny Beute Box")</f>
        <v>Tiny Beute Box</v>
      </c>
      <c r="I27" s="23" t="str">
        <f>IFERROR(__xludf.DUMMYFUNCTION("GOOGLETRANSLATE(B27, ""en"", ""pl"")"),"Tiny pudełko loot")</f>
        <v>Tiny pudełko loot</v>
      </c>
      <c r="J27" s="25" t="str">
        <f>IFERROR(__xludf.DUMMYFUNCTION("GOOGLETRANSLATE(B27, ""en"", ""zh"")"),"微小的战利品盒")</f>
        <v>微小的战利品盒</v>
      </c>
      <c r="K27" s="25" t="str">
        <f>IFERROR(__xludf.DUMMYFUNCTION("GOOGLETRANSLATE(B27, ""en"", ""vi"")"),"hộp loot Tiny")</f>
        <v>hộp loot Tiny</v>
      </c>
      <c r="L27" s="26" t="str">
        <f>IFERROR(__xludf.DUMMYFUNCTION("GOOGLETRANSLATE(B27, ""en"", ""hr"")"),"Tiny plijen kutija")</f>
        <v>Tiny plijen kutija</v>
      </c>
      <c r="M27" s="28"/>
      <c r="N27" s="28"/>
      <c r="O27" s="28"/>
      <c r="P27" s="28"/>
      <c r="Q27" s="28"/>
      <c r="R27" s="28"/>
      <c r="S27" s="28"/>
      <c r="T27" s="28"/>
      <c r="U27" s="28"/>
      <c r="V27" s="28"/>
      <c r="W27" s="28"/>
      <c r="X27" s="28"/>
      <c r="Y27" s="28"/>
      <c r="Z27" s="28"/>
      <c r="AA27" s="28"/>
      <c r="AB27" s="28"/>
    </row>
    <row r="28">
      <c r="A28" s="21" t="s">
        <v>345</v>
      </c>
      <c r="B28" s="22" t="s">
        <v>346</v>
      </c>
      <c r="C28" s="23" t="str">
        <f>IFERROR(__xludf.DUMMYFUNCTION("GOOGLETRANSLATE(B28, ""en"", ""fr"")"),"Donne 1 objet aléatoire lorsqu'elle est utilisée.")</f>
        <v>Donne 1 objet aléatoire lorsqu'elle est utilisée.</v>
      </c>
      <c r="D28" s="23" t="str">
        <f>IFERROR(__xludf.DUMMYFUNCTION("GOOGLETRANSLATE(B28, ""en"", ""es"")"),"Da 1 artículo al azar cuando se utiliza.")</f>
        <v>Da 1 artículo al azar cuando se utiliza.</v>
      </c>
      <c r="E28" s="23" t="str">
        <f>IFERROR(__xludf.DUMMYFUNCTION("GOOGLETRANSLATE(B28, ""en"", ""ru"")"),"Дает 1 случайный элемент при использовании.")</f>
        <v>Дает 1 случайный элемент при использовании.</v>
      </c>
      <c r="F28" s="23" t="str">
        <f>IFERROR(__xludf.DUMMYFUNCTION("GOOGLETRANSLATE(B28, ""en"", ""tr"")"),"kullanıldıklarında 1 rastgele öğeyi verir.")</f>
        <v>kullanıldıklarında 1 rastgele öğeyi verir.</v>
      </c>
      <c r="G28" s="23" t="str">
        <f>IFERROR(__xludf.DUMMYFUNCTION("GOOGLETRANSLATE(B28, ""en"", ""pt"")"),"Dá um item aleatório quando usado.")</f>
        <v>Dá um item aleatório quando usado.</v>
      </c>
      <c r="H28" s="24" t="str">
        <f>IFERROR(__xludf.DUMMYFUNCTION("GOOGLETRANSLATE(B28, ""en"", ""de"")"),"Gibt 1 Zufallsgenerator, wenn verwendet.")</f>
        <v>Gibt 1 Zufallsgenerator, wenn verwendet.</v>
      </c>
      <c r="I28" s="23" t="str">
        <f>IFERROR(__xludf.DUMMYFUNCTION("GOOGLETRANSLATE(B28, ""en"", ""pl"")"),"Daje 1 losową pozycję podczas eksploatacji.")</f>
        <v>Daje 1 losową pozycję podczas eksploatacji.</v>
      </c>
      <c r="J28" s="25" t="str">
        <f>IFERROR(__xludf.DUMMYFUNCTION("GOOGLETRANSLATE(B28, ""en"", ""zh"")"),"使用时，可以提供1个随机项。")</f>
        <v>使用时，可以提供1个随机项。</v>
      </c>
      <c r="K28" s="25" t="str">
        <f>IFERROR(__xludf.DUMMYFUNCTION("GOOGLETRANSLATE(B28, ""en"", ""vi"")"),"Cung cấp cho 1 item ngẫu nhiên khi sử dụng.")</f>
        <v>Cung cấp cho 1 item ngẫu nhiên khi sử dụng.</v>
      </c>
      <c r="L28" s="26" t="str">
        <f>IFERROR(__xludf.DUMMYFUNCTION("GOOGLETRANSLATE(B28, ""en"", ""hr"")"),"Daje 1 slučajni stavku kada se koristi.")</f>
        <v>Daje 1 slučajni stavku kada se koristi.</v>
      </c>
      <c r="M28" s="28"/>
      <c r="N28" s="28"/>
      <c r="O28" s="28"/>
      <c r="P28" s="28"/>
      <c r="Q28" s="28"/>
      <c r="R28" s="28"/>
      <c r="S28" s="28"/>
      <c r="T28" s="28"/>
      <c r="U28" s="28"/>
      <c r="V28" s="28"/>
      <c r="W28" s="28"/>
      <c r="X28" s="28"/>
      <c r="Y28" s="28"/>
      <c r="Z28" s="28"/>
      <c r="AA28" s="28"/>
      <c r="AB28" s="28"/>
    </row>
    <row r="29">
      <c r="A29" s="21" t="s">
        <v>347</v>
      </c>
      <c r="B29" s="22" t="s">
        <v>348</v>
      </c>
      <c r="C29" s="23" t="str">
        <f>IFERROR(__xludf.DUMMYFUNCTION("GOOGLETRANSLATE(B29, ""en"", ""fr"")"),"Petite boîte de butin")</f>
        <v>Petite boîte de butin</v>
      </c>
      <c r="D29" s="23" t="str">
        <f>IFERROR(__xludf.DUMMYFUNCTION("GOOGLETRANSLATE(B29, ""en"", ""es"")"),"Caja botín pequeña")</f>
        <v>Caja botín pequeña</v>
      </c>
      <c r="E29" s="23" t="str">
        <f>IFERROR(__xludf.DUMMYFUNCTION("GOOGLETRANSLATE(B29, ""en"", ""ru"")"),"Миниатюрный блок бабло")</f>
        <v>Миниатюрный блок бабло</v>
      </c>
      <c r="F29" s="23" t="str">
        <f>IFERROR(__xludf.DUMMYFUNCTION("GOOGLETRANSLATE(B29, ""en"", ""tr"")"),"Küçük yağma kutusu")</f>
        <v>Küçük yağma kutusu</v>
      </c>
      <c r="G29" s="23" t="str">
        <f>IFERROR(__xludf.DUMMYFUNCTION("GOOGLETRANSLATE(B29, ""en"", ""pt"")"),"caixa de saque pequeno")</f>
        <v>caixa de saque pequeno</v>
      </c>
      <c r="H29" s="24" t="str">
        <f>IFERROR(__xludf.DUMMYFUNCTION("GOOGLETRANSLATE(B29, ""en"", ""de"")"),"Kleine Beute Box")</f>
        <v>Kleine Beute Box</v>
      </c>
      <c r="I29" s="23" t="str">
        <f>IFERROR(__xludf.DUMMYFUNCTION("GOOGLETRANSLATE(B29, ""en"", ""pl"")"),"Małe pudełko loot")</f>
        <v>Małe pudełko loot</v>
      </c>
      <c r="J29" s="25" t="str">
        <f>IFERROR(__xludf.DUMMYFUNCTION("GOOGLETRANSLATE(B29, ""en"", ""zh"")"),"小箱战利品")</f>
        <v>小箱战利品</v>
      </c>
      <c r="K29" s="25" t="str">
        <f>IFERROR(__xludf.DUMMYFUNCTION("GOOGLETRANSLATE(B29, ""en"", ""vi"")"),"hộp loot nhỏ")</f>
        <v>hộp loot nhỏ</v>
      </c>
      <c r="L29" s="26" t="str">
        <f>IFERROR(__xludf.DUMMYFUNCTION("GOOGLETRANSLATE(B29, ""en"", ""hr"")"),"Mali plijen kutija")</f>
        <v>Mali plijen kutija</v>
      </c>
      <c r="M29" s="28"/>
      <c r="N29" s="28"/>
      <c r="O29" s="28"/>
      <c r="P29" s="28"/>
      <c r="Q29" s="28"/>
      <c r="R29" s="28"/>
      <c r="S29" s="28"/>
      <c r="T29" s="28"/>
      <c r="U29" s="28"/>
      <c r="V29" s="28"/>
      <c r="W29" s="28"/>
      <c r="X29" s="28"/>
      <c r="Y29" s="28"/>
      <c r="Z29" s="28"/>
      <c r="AA29" s="28"/>
      <c r="AB29" s="28"/>
    </row>
    <row r="30">
      <c r="A30" s="21" t="s">
        <v>349</v>
      </c>
      <c r="B30" s="22" t="s">
        <v>350</v>
      </c>
      <c r="C30" s="23" t="str">
        <f>IFERROR(__xludf.DUMMYFUNCTION("GOOGLETRANSLATE(B30, ""en"", ""fr"")"),"Donne 2 articles au hasard quand il est utilisé.")</f>
        <v>Donne 2 articles au hasard quand il est utilisé.</v>
      </c>
      <c r="D30" s="23" t="str">
        <f>IFERROR(__xludf.DUMMYFUNCTION("GOOGLETRANSLATE(B30, ""en"", ""es"")"),"Da 2 artículos al azar cuando se utiliza.")</f>
        <v>Da 2 artículos al azar cuando se utiliza.</v>
      </c>
      <c r="E30" s="23" t="str">
        <f>IFERROR(__xludf.DUMMYFUNCTION("GOOGLETRANSLATE(B30, ""en"", ""ru"")"),"Дает 2 случайные элементы при использовании.")</f>
        <v>Дает 2 случайные элементы при использовании.</v>
      </c>
      <c r="F30" s="23" t="str">
        <f>IFERROR(__xludf.DUMMYFUNCTION("GOOGLETRANSLATE(B30, ""en"", ""tr"")"),"kullanıldıklarında 2 rastgele öğeleri verir.")</f>
        <v>kullanıldıklarında 2 rastgele öğeleri verir.</v>
      </c>
      <c r="G30" s="23" t="str">
        <f>IFERROR(__xludf.DUMMYFUNCTION("GOOGLETRANSLATE(B30, ""en"", ""pt"")"),"Dá 2 itens aleatórios quando usado.")</f>
        <v>Dá 2 itens aleatórios quando usado.</v>
      </c>
      <c r="H30" s="24" t="str">
        <f>IFERROR(__xludf.DUMMYFUNCTION("GOOGLETRANSLATE(B30, ""en"", ""de"")"),"Gibt 2 zufällige Elemente, wenn verwendet.")</f>
        <v>Gibt 2 zufällige Elemente, wenn verwendet.</v>
      </c>
      <c r="I30" s="23" t="str">
        <f>IFERROR(__xludf.DUMMYFUNCTION("GOOGLETRANSLATE(B30, ""en"", ""pl"")"),"Daje 2 losowych elementów podczas eksploatacji.")</f>
        <v>Daje 2 losowych elementów podczas eksploatacji.</v>
      </c>
      <c r="J30" s="25" t="str">
        <f>IFERROR(__xludf.DUMMYFUNCTION("GOOGLETRANSLATE(B30, ""en"", ""zh"")"),"使用时，给出了2米随机的物品。")</f>
        <v>使用时，给出了2米随机的物品。</v>
      </c>
      <c r="K30" s="25" t="str">
        <f>IFERROR(__xludf.DUMMYFUNCTION("GOOGLETRANSLATE(B30, ""en"", ""vi"")"),"Cung cấp cho 2 mục ngẫu nhiên khi sử dụng.")</f>
        <v>Cung cấp cho 2 mục ngẫu nhiên khi sử dụng.</v>
      </c>
      <c r="L30" s="26" t="str">
        <f>IFERROR(__xludf.DUMMYFUNCTION("GOOGLETRANSLATE(B30, ""en"", ""hr"")"),"Daje 2 slučajne stvari, kada se koristi.")</f>
        <v>Daje 2 slučajne stvari, kada se koristi.</v>
      </c>
      <c r="M30" s="28"/>
      <c r="N30" s="28"/>
      <c r="O30" s="28"/>
      <c r="P30" s="28"/>
      <c r="Q30" s="28"/>
      <c r="R30" s="28"/>
      <c r="S30" s="28"/>
      <c r="T30" s="28"/>
      <c r="U30" s="28"/>
      <c r="V30" s="28"/>
      <c r="W30" s="28"/>
      <c r="X30" s="28"/>
      <c r="Y30" s="28"/>
      <c r="Z30" s="28"/>
      <c r="AA30" s="28"/>
      <c r="AB30" s="28"/>
    </row>
    <row r="31">
      <c r="A31" s="21" t="s">
        <v>351</v>
      </c>
      <c r="B31" s="22" t="s">
        <v>352</v>
      </c>
      <c r="C31" s="23" t="str">
        <f>IFERROR(__xludf.DUMMYFUNCTION("GOOGLETRANSLATE(B31, ""en"", ""fr"")"),"boîte de butin moyen")</f>
        <v>boîte de butin moyen</v>
      </c>
      <c r="D31" s="23" t="str">
        <f>IFERROR(__xludf.DUMMYFUNCTION("GOOGLETRANSLATE(B31, ""en"", ""es"")"),"Caja botín medio")</f>
        <v>Caja botín medio</v>
      </c>
      <c r="E31" s="23" t="str">
        <f>IFERROR(__xludf.DUMMYFUNCTION("GOOGLETRANSLATE(B31, ""en"", ""ru"")"),"Средняя коробка бабло")</f>
        <v>Средняя коробка бабло</v>
      </c>
      <c r="F31" s="23" t="str">
        <f>IFERROR(__xludf.DUMMYFUNCTION("GOOGLETRANSLATE(B31, ""en"", ""tr"")"),"Orta yağma kutusu")</f>
        <v>Orta yağma kutusu</v>
      </c>
      <c r="G31" s="23" t="str">
        <f>IFERROR(__xludf.DUMMYFUNCTION("GOOGLETRANSLATE(B31, ""en"", ""pt"")"),"caixa de saque Médio")</f>
        <v>caixa de saque Médio</v>
      </c>
      <c r="H31" s="24" t="str">
        <f>IFERROR(__xludf.DUMMYFUNCTION("GOOGLETRANSLATE(B31, ""en"", ""de"")"),"Medium Beute Box")</f>
        <v>Medium Beute Box</v>
      </c>
      <c r="I31" s="23" t="str">
        <f>IFERROR(__xludf.DUMMYFUNCTION("GOOGLETRANSLATE(B31, ""en"", ""pl"")"),"Średnie pudełko loot")</f>
        <v>Średnie pudełko loot</v>
      </c>
      <c r="J31" s="25" t="str">
        <f>IFERROR(__xludf.DUMMYFUNCTION("GOOGLETRANSLATE(B31, ""en"", ""zh"")"),"中型箱战利品")</f>
        <v>中型箱战利品</v>
      </c>
      <c r="K31" s="25" t="str">
        <f>IFERROR(__xludf.DUMMYFUNCTION("GOOGLETRANSLATE(B31, ""en"", ""vi"")"),"hộp loot vừa")</f>
        <v>hộp loot vừa</v>
      </c>
      <c r="L31" s="26" t="str">
        <f>IFERROR(__xludf.DUMMYFUNCTION("GOOGLETRANSLATE(B31, ""en"", ""hr"")"),"Srednja plijen kutija")</f>
        <v>Srednja plijen kutija</v>
      </c>
      <c r="M31" s="28"/>
      <c r="N31" s="28"/>
      <c r="O31" s="28"/>
      <c r="P31" s="28"/>
      <c r="Q31" s="28"/>
      <c r="R31" s="28"/>
      <c r="S31" s="28"/>
      <c r="T31" s="28"/>
      <c r="U31" s="28"/>
      <c r="V31" s="28"/>
      <c r="W31" s="28"/>
      <c r="X31" s="28"/>
      <c r="Y31" s="28"/>
      <c r="Z31" s="28"/>
      <c r="AA31" s="28"/>
      <c r="AB31" s="28"/>
    </row>
    <row r="32">
      <c r="A32" s="21" t="s">
        <v>353</v>
      </c>
      <c r="B32" s="22" t="s">
        <v>354</v>
      </c>
      <c r="C32" s="23" t="str">
        <f>IFERROR(__xludf.DUMMYFUNCTION("GOOGLETRANSLATE(B32, ""en"", ""fr"")"),"Donne 3 articles au hasard quand il est utilisé.")</f>
        <v>Donne 3 articles au hasard quand il est utilisé.</v>
      </c>
      <c r="D32" s="23" t="str">
        <f>IFERROR(__xludf.DUMMYFUNCTION("GOOGLETRANSLATE(B32, ""en"", ""es"")"),"Da 3 artículos al azar cuando se utiliza.")</f>
        <v>Da 3 artículos al azar cuando se utiliza.</v>
      </c>
      <c r="E32" s="23" t="str">
        <f>IFERROR(__xludf.DUMMYFUNCTION("GOOGLETRANSLATE(B32, ""en"", ""ru"")"),"Дает 3 случайных элементов при использовании.")</f>
        <v>Дает 3 случайных элементов при использовании.</v>
      </c>
      <c r="F32" s="23" t="str">
        <f>IFERROR(__xludf.DUMMYFUNCTION("GOOGLETRANSLATE(B32, ""en"", ""tr"")"),"kullanıldıklarında 3 rasgele öğeleri verir.")</f>
        <v>kullanıldıklarında 3 rasgele öğeleri verir.</v>
      </c>
      <c r="G32" s="23" t="str">
        <f>IFERROR(__xludf.DUMMYFUNCTION("GOOGLETRANSLATE(B32, ""en"", ""pt"")"),"Dá 3 itens aleatórios quando usado.")</f>
        <v>Dá 3 itens aleatórios quando usado.</v>
      </c>
      <c r="H32" s="24" t="str">
        <f>IFERROR(__xludf.DUMMYFUNCTION("GOOGLETRANSLATE(B32, ""en"", ""de"")"),"Gibt 3 zufällige Elemente, wenn verwendet.")</f>
        <v>Gibt 3 zufällige Elemente, wenn verwendet.</v>
      </c>
      <c r="I32" s="23" t="str">
        <f>IFERROR(__xludf.DUMMYFUNCTION("GOOGLETRANSLATE(B32, ""en"", ""pl"")"),"Daje 3 losowe przedmioty podczas eksploatacji.")</f>
        <v>Daje 3 losowe przedmioty podczas eksploatacji.</v>
      </c>
      <c r="J32" s="25" t="str">
        <f>IFERROR(__xludf.DUMMYFUNCTION("GOOGLETRANSLATE(B32, ""en"", ""zh"")"),"使用时，给出了3米随机的物品。")</f>
        <v>使用时，给出了3米随机的物品。</v>
      </c>
      <c r="K32" s="25" t="str">
        <f>IFERROR(__xludf.DUMMYFUNCTION("GOOGLETRANSLATE(B32, ""en"", ""vi"")"),"Cung cấp cho 3 mục ngẫu nhiên khi sử dụng.")</f>
        <v>Cung cấp cho 3 mục ngẫu nhiên khi sử dụng.</v>
      </c>
      <c r="L32" s="26" t="str">
        <f>IFERROR(__xludf.DUMMYFUNCTION("GOOGLETRANSLATE(B32, ""en"", ""hr"")"),"Daje 3 slučajne stvari, kada se koristi.")</f>
        <v>Daje 3 slučajne stvari, kada se koristi.</v>
      </c>
      <c r="M32" s="28"/>
      <c r="N32" s="28"/>
      <c r="O32" s="28"/>
      <c r="P32" s="28"/>
      <c r="Q32" s="28"/>
      <c r="R32" s="28"/>
      <c r="S32" s="28"/>
      <c r="T32" s="28"/>
      <c r="U32" s="28"/>
      <c r="V32" s="28"/>
      <c r="W32" s="28"/>
      <c r="X32" s="28"/>
      <c r="Y32" s="28"/>
      <c r="Z32" s="28"/>
      <c r="AA32" s="28"/>
      <c r="AB32" s="28"/>
    </row>
    <row r="33">
      <c r="A33" s="21" t="s">
        <v>355</v>
      </c>
      <c r="B33" s="22" t="s">
        <v>356</v>
      </c>
      <c r="C33" s="23" t="str">
        <f>IFERROR(__xludf.DUMMYFUNCTION("GOOGLETRANSLATE(B33, ""en"", ""fr"")"),"Minerai de fer")</f>
        <v>Minerai de fer</v>
      </c>
      <c r="D33" s="23" t="str">
        <f>IFERROR(__xludf.DUMMYFUNCTION("GOOGLETRANSLATE(B33, ""en"", ""es"")"),"Mineral de hierro")</f>
        <v>Mineral de hierro</v>
      </c>
      <c r="E33" s="23" t="str">
        <f>IFERROR(__xludf.DUMMYFUNCTION("GOOGLETRANSLATE(B33, ""en"", ""ru"")"),"Железная руда")</f>
        <v>Железная руда</v>
      </c>
      <c r="F33" s="23" t="str">
        <f>IFERROR(__xludf.DUMMYFUNCTION("GOOGLETRANSLATE(B33, ""en"", ""tr"")"),"Demir cevheri")</f>
        <v>Demir cevheri</v>
      </c>
      <c r="G33" s="23" t="str">
        <f>IFERROR(__xludf.DUMMYFUNCTION("GOOGLETRANSLATE(B33, ""en"", ""pt"")"),"Minério de ferro")</f>
        <v>Minério de ferro</v>
      </c>
      <c r="H33" s="24" t="str">
        <f>IFERROR(__xludf.DUMMYFUNCTION("GOOGLETRANSLATE(B33, ""en"", ""de"")"),"Eisenerz")</f>
        <v>Eisenerz</v>
      </c>
      <c r="I33" s="23" t="str">
        <f>IFERROR(__xludf.DUMMYFUNCTION("GOOGLETRANSLATE(B33, ""en"", ""pl"")"),"Ruda żelaza")</f>
        <v>Ruda żelaza</v>
      </c>
      <c r="J33" s="25" t="str">
        <f>IFERROR(__xludf.DUMMYFUNCTION("GOOGLETRANSLATE(B33, ""en"", ""zh"")"),"铁矿")</f>
        <v>铁矿</v>
      </c>
      <c r="K33" s="25" t="str">
        <f>IFERROR(__xludf.DUMMYFUNCTION("GOOGLETRANSLATE(B33, ""en"", ""vi"")"),"Quặng sắt")</f>
        <v>Quặng sắt</v>
      </c>
      <c r="L33" s="26" t="str">
        <f>IFERROR(__xludf.DUMMYFUNCTION("GOOGLETRANSLATE(B33, ""en"", ""hr"")"),"željezne rude")</f>
        <v>željezne rude</v>
      </c>
      <c r="M33" s="28"/>
      <c r="N33" s="28"/>
      <c r="O33" s="28"/>
      <c r="P33" s="28"/>
      <c r="Q33" s="28"/>
      <c r="R33" s="28"/>
      <c r="S33" s="28"/>
      <c r="T33" s="28"/>
      <c r="U33" s="28"/>
      <c r="V33" s="28"/>
      <c r="W33" s="28"/>
      <c r="X33" s="28"/>
      <c r="Y33" s="28"/>
      <c r="Z33" s="28"/>
      <c r="AA33" s="28"/>
      <c r="AB33" s="28"/>
    </row>
    <row r="34">
      <c r="A34" s="40" t="s">
        <v>357</v>
      </c>
      <c r="B34" s="22" t="s">
        <v>358</v>
      </c>
      <c r="C34" s="23" t="str">
        <f>IFERROR(__xludf.DUMMYFUNCTION("GOOGLETRANSLATE(B34, ""en"", ""fr"")"),"Peut être conçu dans une barre de fer à un four.")</f>
        <v>Peut être conçu dans une barre de fer à un four.</v>
      </c>
      <c r="D34" s="23" t="str">
        <f>IFERROR(__xludf.DUMMYFUNCTION("GOOGLETRANSLATE(B34, ""en"", ""es"")"),"Se pueden fabricar en una barra de hierro en un horno.")</f>
        <v>Se pueden fabricar en una barra de hierro en un horno.</v>
      </c>
      <c r="E34" s="23" t="str">
        <f>IFERROR(__xludf.DUMMYFUNCTION("GOOGLETRANSLATE(B34, ""en"", ""ru"")"),"Может быть сделан в железный прут в печи.")</f>
        <v>Может быть сделан в железный прут в печи.</v>
      </c>
      <c r="F34" s="23" t="str">
        <f>IFERROR(__xludf.DUMMYFUNCTION("GOOGLETRANSLATE(B34, ""en"", ""tr"")"),"Bir fırında bir demir çubuk içine hazırlanmış olabilir.")</f>
        <v>Bir fırında bir demir çubuk içine hazırlanmış olabilir.</v>
      </c>
      <c r="G34" s="23" t="str">
        <f>IFERROR(__xludf.DUMMYFUNCTION("GOOGLETRANSLATE(B34, ""en"", ""pt"")"),"Pode ser trabalhada em uma barra de ferro em um forno.")</f>
        <v>Pode ser trabalhada em uma barra de ferro em um forno.</v>
      </c>
      <c r="H34" s="24" t="str">
        <f>IFERROR(__xludf.DUMMYFUNCTION("GOOGLETRANSLATE(B34, ""en"", ""de"")"),"Kann in einem Ofen in eine Eisenstange gefertigt werden.")</f>
        <v>Kann in einem Ofen in eine Eisenstange gefertigt werden.</v>
      </c>
      <c r="I34" s="23" t="str">
        <f>IFERROR(__xludf.DUMMYFUNCTION("GOOGLETRANSLATE(B34, ""en"", ""pl"")"),"Mogą być wykonane w żelaznym prętem w piecu.")</f>
        <v>Mogą być wykonane w żelaznym prętem w piecu.</v>
      </c>
      <c r="J34" s="25" t="str">
        <f>IFERROR(__xludf.DUMMYFUNCTION("GOOGLETRANSLATE(B34, ""en"", ""zh"")"),"可以制作成一炉铁棍。")</f>
        <v>可以制作成一炉铁棍。</v>
      </c>
      <c r="K34" s="25" t="str">
        <f>IFERROR(__xludf.DUMMYFUNCTION("GOOGLETRANSLATE(B34, ""en"", ""vi"")"),"Có thể được chế tác thành một thanh sắt tại một lò.")</f>
        <v>Có thể được chế tác thành một thanh sắt tại một lò.</v>
      </c>
      <c r="L34" s="26" t="str">
        <f>IFERROR(__xludf.DUMMYFUNCTION("GOOGLETRANSLATE(B34, ""en"", ""hr"")"),"Mogu biti izrađeni u željeznom šipkom na peći.")</f>
        <v>Mogu biti izrađeni u željeznom šipkom na peći.</v>
      </c>
      <c r="M34" s="28"/>
      <c r="N34" s="28"/>
      <c r="O34" s="28"/>
      <c r="P34" s="28"/>
      <c r="Q34" s="28"/>
      <c r="R34" s="28"/>
      <c r="S34" s="28"/>
      <c r="T34" s="28"/>
      <c r="U34" s="28"/>
      <c r="V34" s="28"/>
      <c r="W34" s="28"/>
      <c r="X34" s="28"/>
      <c r="Y34" s="28"/>
      <c r="Z34" s="28"/>
      <c r="AA34" s="28"/>
      <c r="AB34" s="28"/>
    </row>
    <row r="35">
      <c r="A35" s="40" t="s">
        <v>359</v>
      </c>
      <c r="B35" s="22" t="s">
        <v>360</v>
      </c>
      <c r="C35" s="23" t="str">
        <f>IFERROR(__xludf.DUMMYFUNCTION("GOOGLETRANSLATE(B35, ""en"", ""fr"")"),"Barre de fer")</f>
        <v>Barre de fer</v>
      </c>
      <c r="D35" s="23" t="str">
        <f>IFERROR(__xludf.DUMMYFUNCTION("GOOGLETRANSLATE(B35, ""en"", ""es"")"),"Barra de acero")</f>
        <v>Barra de acero</v>
      </c>
      <c r="E35" s="23" t="str">
        <f>IFERROR(__xludf.DUMMYFUNCTION("GOOGLETRANSLATE(B35, ""en"", ""ru"")"),"Железный слиток")</f>
        <v>Железный слиток</v>
      </c>
      <c r="F35" s="23" t="str">
        <f>IFERROR(__xludf.DUMMYFUNCTION("GOOGLETRANSLATE(B35, ""en"", ""tr"")"),"Demir çubuk")</f>
        <v>Demir çubuk</v>
      </c>
      <c r="G35" s="23" t="str">
        <f>IFERROR(__xludf.DUMMYFUNCTION("GOOGLETRANSLATE(B35, ""en"", ""pt"")"),"Barra de ferro")</f>
        <v>Barra de ferro</v>
      </c>
      <c r="H35" s="24" t="str">
        <f>IFERROR(__xludf.DUMMYFUNCTION("GOOGLETRANSLATE(B35, ""en"", ""de"")"),"Eisenstange")</f>
        <v>Eisenstange</v>
      </c>
      <c r="I35" s="23" t="str">
        <f>IFERROR(__xludf.DUMMYFUNCTION("GOOGLETRANSLATE(B35, ""en"", ""pl"")"),"pręt")</f>
        <v>pręt</v>
      </c>
      <c r="J35" s="25" t="str">
        <f>IFERROR(__xludf.DUMMYFUNCTION("GOOGLETRANSLATE(B35, ""en"", ""zh"")"),"铁棒")</f>
        <v>铁棒</v>
      </c>
      <c r="K35" s="25" t="str">
        <f>IFERROR(__xludf.DUMMYFUNCTION("GOOGLETRANSLATE(B35, ""en"", ""vi"")"),"Thanh sắt")</f>
        <v>Thanh sắt</v>
      </c>
      <c r="L35" s="26" t="str">
        <f>IFERROR(__xludf.DUMMYFUNCTION("GOOGLETRANSLATE(B35, ""en"", ""hr"")"),"Željezo se ovdje")</f>
        <v>Željezo se ovdje</v>
      </c>
      <c r="M35" s="28"/>
      <c r="N35" s="28"/>
      <c r="O35" s="28"/>
      <c r="P35" s="28"/>
      <c r="Q35" s="28"/>
      <c r="R35" s="28"/>
      <c r="S35" s="28"/>
      <c r="T35" s="28"/>
      <c r="U35" s="28"/>
      <c r="V35" s="28"/>
      <c r="W35" s="28"/>
      <c r="X35" s="28"/>
      <c r="Y35" s="28"/>
      <c r="Z35" s="28"/>
      <c r="AA35" s="28"/>
      <c r="AB35" s="28"/>
    </row>
    <row r="36">
      <c r="A36" s="40" t="s">
        <v>361</v>
      </c>
      <c r="B36" s="22" t="s">
        <v>362</v>
      </c>
      <c r="C36" s="23" t="str">
        <f>IFERROR(__xludf.DUMMYFUNCTION("GOOGLETRANSLATE(B36, ""en"", ""fr"")"),"Peut être conçu dans l'équipement de fer.")</f>
        <v>Peut être conçu dans l'équipement de fer.</v>
      </c>
      <c r="D36" s="23" t="str">
        <f>IFERROR(__xludf.DUMMYFUNCTION("GOOGLETRANSLATE(B36, ""en"", ""es"")"),"Puede ser elaborado en el equipo de hierro.")</f>
        <v>Puede ser elaborado en el equipo de hierro.</v>
      </c>
      <c r="E36" s="23" t="str">
        <f>IFERROR(__xludf.DUMMYFUNCTION("GOOGLETRANSLATE(B36, ""en"", ""ru"")"),"Может быть сделано в железе оборудования.")</f>
        <v>Может быть сделано в железе оборудования.</v>
      </c>
      <c r="F36" s="23" t="str">
        <f>IFERROR(__xludf.DUMMYFUNCTION("GOOGLETRANSLATE(B36, ""en"", ""tr"")"),"demir ekipman içine hazırlanmış olabilir.")</f>
        <v>demir ekipman içine hazırlanmış olabilir.</v>
      </c>
      <c r="G36" s="23" t="str">
        <f>IFERROR(__xludf.DUMMYFUNCTION("GOOGLETRANSLATE(B36, ""en"", ""pt"")"),"Pode ser trabalhada em equipamentos de ferro.")</f>
        <v>Pode ser trabalhada em equipamentos de ferro.</v>
      </c>
      <c r="H36" s="24" t="str">
        <f>IFERROR(__xludf.DUMMYFUNCTION("GOOGLETRANSLATE(B36, ""en"", ""de"")"),"Kann in Eisen Ausrüstung gefertigt werden.")</f>
        <v>Kann in Eisen Ausrüstung gefertigt werden.</v>
      </c>
      <c r="I36" s="23" t="str">
        <f>IFERROR(__xludf.DUMMYFUNCTION("GOOGLETRANSLATE(B36, ""en"", ""pl"")"),"Może być wykonane do sprzętu żelaza.")</f>
        <v>Może być wykonane do sprzętu żelaza.</v>
      </c>
      <c r="J36" s="25" t="str">
        <f>IFERROR(__xludf.DUMMYFUNCTION("GOOGLETRANSLATE(B36, ""en"", ""zh"")"),"可制作成铁设备。")</f>
        <v>可制作成铁设备。</v>
      </c>
      <c r="K36" s="25" t="str">
        <f>IFERROR(__xludf.DUMMYFUNCTION("GOOGLETRANSLATE(B36, ""en"", ""vi"")"),"Có thể được chế tác vào thiết bị sắt.")</f>
        <v>Có thể được chế tác vào thiết bị sắt.</v>
      </c>
      <c r="L36" s="26" t="str">
        <f>IFERROR(__xludf.DUMMYFUNCTION("GOOGLETRANSLATE(B36, ""en"", ""hr"")"),"Mogu biti izrađeni u željeznom opreme.")</f>
        <v>Mogu biti izrađeni u željeznom opreme.</v>
      </c>
      <c r="M36" s="28"/>
      <c r="N36" s="28"/>
      <c r="O36" s="28"/>
      <c r="P36" s="28"/>
      <c r="Q36" s="28"/>
      <c r="R36" s="28"/>
      <c r="S36" s="28"/>
      <c r="T36" s="28"/>
      <c r="U36" s="28"/>
      <c r="V36" s="28"/>
      <c r="W36" s="28"/>
      <c r="X36" s="28"/>
      <c r="Y36" s="28"/>
      <c r="Z36" s="28"/>
      <c r="AA36" s="28"/>
      <c r="AB36" s="28"/>
    </row>
    <row r="37">
      <c r="A37" s="21" t="s">
        <v>363</v>
      </c>
      <c r="B37" s="22" t="s">
        <v>364</v>
      </c>
      <c r="C37" s="23" t="str">
        <f>IFERROR(__xludf.DUMMYFUNCTION("GOOGLETRANSLATE(B37, ""en"", ""fr"")"),"minerai Dungium")</f>
        <v>minerai Dungium</v>
      </c>
      <c r="D37" s="23" t="str">
        <f>IFERROR(__xludf.DUMMYFUNCTION("GOOGLETRANSLATE(B37, ""en"", ""es"")"),"mineral de Dungium")</f>
        <v>mineral de Dungium</v>
      </c>
      <c r="E37" s="23" t="str">
        <f>IFERROR(__xludf.DUMMYFUNCTION("GOOGLETRANSLATE(B37, ""en"", ""ru"")"),"Dungium руда")</f>
        <v>Dungium руда</v>
      </c>
      <c r="F37" s="23" t="str">
        <f>IFERROR(__xludf.DUMMYFUNCTION("GOOGLETRANSLATE(B37, ""en"", ""tr"")"),"Dungium cevher")</f>
        <v>Dungium cevher</v>
      </c>
      <c r="G37" s="23" t="str">
        <f>IFERROR(__xludf.DUMMYFUNCTION("GOOGLETRANSLATE(B37, ""en"", ""pt"")"),"minério de Dungium")</f>
        <v>minério de Dungium</v>
      </c>
      <c r="H37" s="24" t="str">
        <f>IFERROR(__xludf.DUMMYFUNCTION("GOOGLETRANSLATE(B37, ""en"", ""de"")"),"Dungium Erz")</f>
        <v>Dungium Erz</v>
      </c>
      <c r="I37" s="23" t="str">
        <f>IFERROR(__xludf.DUMMYFUNCTION("GOOGLETRANSLATE(B37, ""en"", ""pl"")"),"ruda Dungium")</f>
        <v>ruda Dungium</v>
      </c>
      <c r="J37" s="25" t="str">
        <f>IFERROR(__xludf.DUMMYFUNCTION("GOOGLETRANSLATE(B37, ""en"", ""zh"")"),"Dungium矿")</f>
        <v>Dungium矿</v>
      </c>
      <c r="K37" s="25" t="str">
        <f>IFERROR(__xludf.DUMMYFUNCTION("GOOGLETRANSLATE(B37, ""en"", ""vi"")"),"quặng Dungium")</f>
        <v>quặng Dungium</v>
      </c>
      <c r="L37" s="26" t="str">
        <f>IFERROR(__xludf.DUMMYFUNCTION("GOOGLETRANSLATE(B37, ""en"", ""hr"")"),"Dungium rude")</f>
        <v>Dungium rude</v>
      </c>
      <c r="M37" s="28"/>
      <c r="N37" s="28"/>
      <c r="O37" s="28"/>
      <c r="P37" s="28"/>
      <c r="Q37" s="28"/>
      <c r="R37" s="28"/>
      <c r="S37" s="28"/>
      <c r="T37" s="28"/>
      <c r="U37" s="28"/>
      <c r="V37" s="28"/>
      <c r="W37" s="28"/>
      <c r="X37" s="28"/>
      <c r="Y37" s="28"/>
      <c r="Z37" s="28"/>
      <c r="AA37" s="28"/>
      <c r="AB37" s="28"/>
    </row>
    <row r="38">
      <c r="A38" s="40" t="s">
        <v>365</v>
      </c>
      <c r="B38" s="22" t="s">
        <v>366</v>
      </c>
      <c r="C38" s="23" t="str">
        <f>IFERROR(__xludf.DUMMYFUNCTION("GOOGLETRANSLATE(B38, ""en"", ""fr"")"),"Peut être conçu dans une barre de dungium à un four.")</f>
        <v>Peut être conçu dans une barre de dungium à un four.</v>
      </c>
      <c r="D38" s="23" t="str">
        <f>IFERROR(__xludf.DUMMYFUNCTION("GOOGLETRANSLATE(B38, ""en"", ""es"")"),"Puede ser elaborado en un bar dungium en un horno.")</f>
        <v>Puede ser elaborado en un bar dungium en un horno.</v>
      </c>
      <c r="E38" s="23" t="str">
        <f>IFERROR(__xludf.DUMMYFUNCTION("GOOGLETRANSLATE(B38, ""en"", ""ru"")"),"Может быть сделан в бар dungium в печи.")</f>
        <v>Может быть сделан в бар dungium в печи.</v>
      </c>
      <c r="F38" s="23" t="str">
        <f>IFERROR(__xludf.DUMMYFUNCTION("GOOGLETRANSLATE(B38, ""en"", ""tr"")"),"Bir fırın bir dungium çubuğuna hazırlanmış olabilir.")</f>
        <v>Bir fırın bir dungium çubuğuna hazırlanmış olabilir.</v>
      </c>
      <c r="G38" s="23" t="str">
        <f>IFERROR(__xludf.DUMMYFUNCTION("GOOGLETRANSLATE(B38, ""en"", ""pt"")"),"Pode ser trabalhada em um bar dungium em um forno.")</f>
        <v>Pode ser trabalhada em um bar dungium em um forno.</v>
      </c>
      <c r="H38" s="24" t="str">
        <f>IFERROR(__xludf.DUMMYFUNCTION("GOOGLETRANSLATE(B38, ""en"", ""de"")"),"Kann in einem Ofen in eine dungium bar gefertigt werden.")</f>
        <v>Kann in einem Ofen in eine dungium bar gefertigt werden.</v>
      </c>
      <c r="I38" s="23" t="str">
        <f>IFERROR(__xludf.DUMMYFUNCTION("GOOGLETRANSLATE(B38, ""en"", ""pl"")"),"Może być wykonane do baru dungium w piecu.")</f>
        <v>Może być wykonane do baru dungium w piecu.</v>
      </c>
      <c r="J38" s="25" t="str">
        <f>IFERROR(__xludf.DUMMYFUNCTION("GOOGLETRANSLATE(B38, ""en"", ""zh"")"),"可以制作成一炉dungium吧。")</f>
        <v>可以制作成一炉dungium吧。</v>
      </c>
      <c r="K38" s="25" t="str">
        <f>IFERROR(__xludf.DUMMYFUNCTION("GOOGLETRANSLATE(B38, ""en"", ""vi"")"),"Có thể được chế tác thành một thanh dungium tại một lò.")</f>
        <v>Có thể được chế tác thành một thanh dungium tại một lò.</v>
      </c>
      <c r="L38" s="26" t="str">
        <f>IFERROR(__xludf.DUMMYFUNCTION("GOOGLETRANSLATE(B38, ""en"", ""hr"")"),"Mogu biti izrađeni u bar dungium na peći.")</f>
        <v>Mogu biti izrađeni u bar dungium na peći.</v>
      </c>
      <c r="M38" s="28"/>
      <c r="N38" s="28"/>
      <c r="O38" s="28"/>
      <c r="P38" s="28"/>
      <c r="Q38" s="28"/>
      <c r="R38" s="28"/>
      <c r="S38" s="28"/>
      <c r="T38" s="28"/>
      <c r="U38" s="28"/>
      <c r="V38" s="28"/>
      <c r="W38" s="28"/>
      <c r="X38" s="28"/>
      <c r="Y38" s="28"/>
      <c r="Z38" s="28"/>
      <c r="AA38" s="28"/>
      <c r="AB38" s="28"/>
    </row>
    <row r="39">
      <c r="A39" s="41" t="s">
        <v>367</v>
      </c>
      <c r="B39" s="22" t="s">
        <v>368</v>
      </c>
      <c r="C39" s="23" t="str">
        <f>IFERROR(__xludf.DUMMYFUNCTION("GOOGLETRANSLATE(B39, ""en"", ""fr"")"),"bar Dungium")</f>
        <v>bar Dungium</v>
      </c>
      <c r="D39" s="23" t="str">
        <f>IFERROR(__xludf.DUMMYFUNCTION("GOOGLETRANSLATE(B39, ""en"", ""es"")"),"barra de Dungium")</f>
        <v>barra de Dungium</v>
      </c>
      <c r="E39" s="23" t="str">
        <f>IFERROR(__xludf.DUMMYFUNCTION("GOOGLETRANSLATE(B39, ""en"", ""ru"")"),"Dungium бар")</f>
        <v>Dungium бар</v>
      </c>
      <c r="F39" s="23" t="str">
        <f>IFERROR(__xludf.DUMMYFUNCTION("GOOGLETRANSLATE(B39, ""en"", ""tr"")"),"Dungium çubuğu")</f>
        <v>Dungium çubuğu</v>
      </c>
      <c r="G39" s="23" t="str">
        <f>IFERROR(__xludf.DUMMYFUNCTION("GOOGLETRANSLATE(B39, ""en"", ""pt"")"),"bar Dungium")</f>
        <v>bar Dungium</v>
      </c>
      <c r="H39" s="24" t="str">
        <f>IFERROR(__xludf.DUMMYFUNCTION("GOOGLETRANSLATE(B39, ""en"", ""de"")"),"Dungium bar")</f>
        <v>Dungium bar</v>
      </c>
      <c r="I39" s="23" t="str">
        <f>IFERROR(__xludf.DUMMYFUNCTION("GOOGLETRANSLATE(B39, ""en"", ""pl"")"),"bar Dungium")</f>
        <v>bar Dungium</v>
      </c>
      <c r="J39" s="25" t="str">
        <f>IFERROR(__xludf.DUMMYFUNCTION("GOOGLETRANSLATE(B39, ""en"", ""zh"")"),"Dungium酒吧")</f>
        <v>Dungium酒吧</v>
      </c>
      <c r="K39" s="25" t="str">
        <f>IFERROR(__xludf.DUMMYFUNCTION("GOOGLETRANSLATE(B39, ""en"", ""vi"")"),"thanh Dungium")</f>
        <v>thanh Dungium</v>
      </c>
      <c r="L39" s="26" t="str">
        <f>IFERROR(__xludf.DUMMYFUNCTION("GOOGLETRANSLATE(B39, ""en"", ""hr"")"),"Dungium bar")</f>
        <v>Dungium bar</v>
      </c>
      <c r="M39" s="28"/>
      <c r="N39" s="28"/>
      <c r="O39" s="28"/>
      <c r="P39" s="28"/>
      <c r="Q39" s="28"/>
      <c r="R39" s="28"/>
      <c r="S39" s="28"/>
      <c r="T39" s="28"/>
      <c r="U39" s="28"/>
      <c r="V39" s="28"/>
      <c r="W39" s="28"/>
      <c r="X39" s="28"/>
      <c r="Y39" s="28"/>
      <c r="Z39" s="28"/>
      <c r="AA39" s="28"/>
      <c r="AB39" s="28"/>
    </row>
    <row r="40">
      <c r="A40" s="40" t="s">
        <v>369</v>
      </c>
      <c r="B40" s="22" t="s">
        <v>370</v>
      </c>
      <c r="C40" s="23" t="str">
        <f>IFERROR(__xludf.DUMMYFUNCTION("GOOGLETRANSLATE(B40, ""en"", ""fr"")"),"Peut être conçu dans l'équipement dungium.")</f>
        <v>Peut être conçu dans l'équipement dungium.</v>
      </c>
      <c r="D40" s="23" t="str">
        <f>IFERROR(__xludf.DUMMYFUNCTION("GOOGLETRANSLATE(B40, ""en"", ""es"")"),"Puede ser elaborado en el equipo dungium.")</f>
        <v>Puede ser elaborado en el equipo dungium.</v>
      </c>
      <c r="E40" s="23" t="str">
        <f>IFERROR(__xludf.DUMMYFUNCTION("GOOGLETRANSLATE(B40, ""en"", ""ru"")"),"Может быть изготовлен в dungium оборудования.")</f>
        <v>Может быть изготовлен в dungium оборудования.</v>
      </c>
      <c r="F40" s="23" t="str">
        <f>IFERROR(__xludf.DUMMYFUNCTION("GOOGLETRANSLATE(B40, ""en"", ""tr"")"),"dungium ekipman içine hazırlanmış olabilir.")</f>
        <v>dungium ekipman içine hazırlanmış olabilir.</v>
      </c>
      <c r="G40" s="23" t="str">
        <f>IFERROR(__xludf.DUMMYFUNCTION("GOOGLETRANSLATE(B40, ""en"", ""pt"")"),"Pode ser trabalhada em equipamentos dungium.")</f>
        <v>Pode ser trabalhada em equipamentos dungium.</v>
      </c>
      <c r="H40" s="24" t="str">
        <f>IFERROR(__xludf.DUMMYFUNCTION("GOOGLETRANSLATE(B40, ""en"", ""de"")"),"Kann in dungium Geräte gefertigt werden.")</f>
        <v>Kann in dungium Geräte gefertigt werden.</v>
      </c>
      <c r="I40" s="23" t="str">
        <f>IFERROR(__xludf.DUMMYFUNCTION("GOOGLETRANSLATE(B40, ""en"", ""pl"")"),"Może być wykonane do sprzętu dungium.")</f>
        <v>Może być wykonane do sprzętu dungium.</v>
      </c>
      <c r="J40" s="25" t="str">
        <f>IFERROR(__xludf.DUMMYFUNCTION("GOOGLETRANSLATE(B40, ""en"", ""zh"")"),"可制作成dungium设备。")</f>
        <v>可制作成dungium设备。</v>
      </c>
      <c r="K40" s="25" t="str">
        <f>IFERROR(__xludf.DUMMYFUNCTION("GOOGLETRANSLATE(B40, ""en"", ""vi"")"),"Có thể được chế tác vào thiết bị dungium.")</f>
        <v>Có thể được chế tác vào thiết bị dungium.</v>
      </c>
      <c r="L40" s="26" t="str">
        <f>IFERROR(__xludf.DUMMYFUNCTION("GOOGLETRANSLATE(B40, ""en"", ""hr"")"),"Mogu biti izrađeni u dungium opreme.")</f>
        <v>Mogu biti izrađeni u dungium opreme.</v>
      </c>
      <c r="M40" s="28"/>
      <c r="N40" s="28"/>
      <c r="O40" s="28"/>
      <c r="P40" s="28"/>
      <c r="Q40" s="28"/>
      <c r="R40" s="28"/>
      <c r="S40" s="28"/>
      <c r="T40" s="28"/>
      <c r="U40" s="28"/>
      <c r="V40" s="28"/>
      <c r="W40" s="28"/>
      <c r="X40" s="28"/>
      <c r="Y40" s="28"/>
      <c r="Z40" s="28"/>
      <c r="AA40" s="28"/>
      <c r="AB40" s="28"/>
    </row>
    <row r="41">
      <c r="A41" s="40" t="s">
        <v>371</v>
      </c>
      <c r="B41" s="22" t="s">
        <v>372</v>
      </c>
      <c r="C41" s="23" t="str">
        <f>IFERROR(__xludf.DUMMYFUNCTION("GOOGLETRANSLATE(B41, ""en"", ""fr"")"),"minerai Noctis")</f>
        <v>minerai Noctis</v>
      </c>
      <c r="D41" s="23" t="str">
        <f>IFERROR(__xludf.DUMMYFUNCTION("GOOGLETRANSLATE(B41, ""en"", ""es"")"),"mineral de noctis")</f>
        <v>mineral de noctis</v>
      </c>
      <c r="E41" s="23" t="str">
        <f>IFERROR(__xludf.DUMMYFUNCTION("GOOGLETRANSLATE(B41, ""en"", ""ru"")"),"Ноктис руда")</f>
        <v>Ноктис руда</v>
      </c>
      <c r="F41" s="23" t="str">
        <f>IFERROR(__xludf.DUMMYFUNCTION("GOOGLETRANSLATE(B41, ""en"", ""tr"")"),"Noctis cevher")</f>
        <v>Noctis cevher</v>
      </c>
      <c r="G41" s="23" t="str">
        <f>IFERROR(__xludf.DUMMYFUNCTION("GOOGLETRANSLATE(B41, ""en"", ""pt"")"),"minério de Noctis")</f>
        <v>minério de Noctis</v>
      </c>
      <c r="H41" s="24" t="str">
        <f>IFERROR(__xludf.DUMMYFUNCTION("GOOGLETRANSLATE(B41, ""en"", ""de"")"),"Noctis Erz")</f>
        <v>Noctis Erz</v>
      </c>
      <c r="I41" s="23" t="str">
        <f>IFERROR(__xludf.DUMMYFUNCTION("GOOGLETRANSLATE(B41, ""en"", ""pl"")"),"ruda Noctis")</f>
        <v>ruda Noctis</v>
      </c>
      <c r="J41" s="25" t="str">
        <f>IFERROR(__xludf.DUMMYFUNCTION("GOOGLETRANSLATE(B41, ""en"", ""zh"")"),"Noctis矿")</f>
        <v>Noctis矿</v>
      </c>
      <c r="K41" s="25" t="str">
        <f>IFERROR(__xludf.DUMMYFUNCTION("GOOGLETRANSLATE(B41, ""en"", ""vi"")"),"quặng Noctis")</f>
        <v>quặng Noctis</v>
      </c>
      <c r="L41" s="26" t="str">
        <f>IFERROR(__xludf.DUMMYFUNCTION("GOOGLETRANSLATE(B41, ""en"", ""hr"")"),"Noctis rude")</f>
        <v>Noctis rude</v>
      </c>
      <c r="M41" s="28"/>
      <c r="N41" s="28"/>
      <c r="O41" s="28"/>
      <c r="P41" s="28"/>
      <c r="Q41" s="28"/>
      <c r="R41" s="28"/>
      <c r="S41" s="28"/>
      <c r="T41" s="28"/>
      <c r="U41" s="28"/>
      <c r="V41" s="28"/>
      <c r="W41" s="28"/>
      <c r="X41" s="28"/>
      <c r="Y41" s="28"/>
      <c r="Z41" s="28"/>
      <c r="AA41" s="28"/>
      <c r="AB41" s="28"/>
    </row>
    <row r="42">
      <c r="A42" s="40" t="s">
        <v>373</v>
      </c>
      <c r="B42" s="22" t="s">
        <v>374</v>
      </c>
      <c r="C42" s="23" t="str">
        <f>IFERROR(__xludf.DUMMYFUNCTION("GOOGLETRANSLATE(B42, ""en"", ""fr"")"),"Peut être conçu dans une barre de noctis à un four.")</f>
        <v>Peut être conçu dans une barre de noctis à un four.</v>
      </c>
      <c r="D42" s="23" t="str">
        <f>IFERROR(__xludf.DUMMYFUNCTION("GOOGLETRANSLATE(B42, ""en"", ""es"")"),"Puede ser elaborado en un bar noctis en un horno.")</f>
        <v>Puede ser elaborado en un bar noctis en un horno.</v>
      </c>
      <c r="E42" s="23" t="str">
        <f>IFERROR(__xludf.DUMMYFUNCTION("GOOGLETRANSLATE(B42, ""en"", ""ru"")"),"Может быть сделан в бар NOCTIS в печи.")</f>
        <v>Может быть сделан в бар NOCTIS в печи.</v>
      </c>
      <c r="F42" s="23" t="str">
        <f>IFERROR(__xludf.DUMMYFUNCTION("GOOGLETRANSLATE(B42, ""en"", ""tr"")"),"Bir fırın bir noctis çubuğuna hazırlanmış olabilir.")</f>
        <v>Bir fırın bir noctis çubuğuna hazırlanmış olabilir.</v>
      </c>
      <c r="G42" s="23" t="str">
        <f>IFERROR(__xludf.DUMMYFUNCTION("GOOGLETRANSLATE(B42, ""en"", ""pt"")"),"Pode ser trabalhada em um bar noctis em um forno.")</f>
        <v>Pode ser trabalhada em um bar noctis em um forno.</v>
      </c>
      <c r="H42" s="24" t="str">
        <f>IFERROR(__xludf.DUMMYFUNCTION("GOOGLETRANSLATE(B42, ""en"", ""de"")"),"Kann in einem Ofen in eine noctis bar gefertigt werden.")</f>
        <v>Kann in einem Ofen in eine noctis bar gefertigt werden.</v>
      </c>
      <c r="I42" s="23" t="str">
        <f>IFERROR(__xludf.DUMMYFUNCTION("GOOGLETRANSLATE(B42, ""en"", ""pl"")"),"Może być wykonane do baru Noctis w piecu.")</f>
        <v>Może być wykonane do baru Noctis w piecu.</v>
      </c>
      <c r="J42" s="25" t="str">
        <f>IFERROR(__xludf.DUMMYFUNCTION("GOOGLETRANSLATE(B42, ""en"", ""zh"")"),"可以制作成一炉noctis吧。")</f>
        <v>可以制作成一炉noctis吧。</v>
      </c>
      <c r="K42" s="25" t="str">
        <f>IFERROR(__xludf.DUMMYFUNCTION("GOOGLETRANSLATE(B42, ""en"", ""vi"")"),"Có thể được chế tác thành một thanh Noctis tại một lò.")</f>
        <v>Có thể được chế tác thành một thanh Noctis tại một lò.</v>
      </c>
      <c r="L42" s="26" t="str">
        <f>IFERROR(__xludf.DUMMYFUNCTION("GOOGLETRANSLATE(B42, ""en"", ""hr"")"),"Mogu biti izrađeni u bar noctis na peći.")</f>
        <v>Mogu biti izrađeni u bar noctis na peći.</v>
      </c>
      <c r="M42" s="28"/>
      <c r="N42" s="28"/>
      <c r="O42" s="28"/>
      <c r="P42" s="28"/>
      <c r="Q42" s="28"/>
      <c r="R42" s="28"/>
      <c r="S42" s="28"/>
      <c r="T42" s="28"/>
      <c r="U42" s="28"/>
      <c r="V42" s="28"/>
      <c r="W42" s="28"/>
      <c r="X42" s="28"/>
      <c r="Y42" s="28"/>
      <c r="Z42" s="28"/>
      <c r="AA42" s="28"/>
      <c r="AB42" s="28"/>
    </row>
    <row r="43">
      <c r="A43" s="40" t="s">
        <v>375</v>
      </c>
      <c r="B43" s="22" t="s">
        <v>376</v>
      </c>
      <c r="C43" s="23" t="str">
        <f>IFERROR(__xludf.DUMMYFUNCTION("GOOGLETRANSLATE(B43, ""en"", ""fr"")"),"bar Noctis")</f>
        <v>bar Noctis</v>
      </c>
      <c r="D43" s="23" t="str">
        <f>IFERROR(__xludf.DUMMYFUNCTION("GOOGLETRANSLATE(B43, ""en"", ""es"")"),"barra de noctis")</f>
        <v>barra de noctis</v>
      </c>
      <c r="E43" s="23" t="str">
        <f>IFERROR(__xludf.DUMMYFUNCTION("GOOGLETRANSLATE(B43, ""en"", ""ru"")"),"Ноктис бар")</f>
        <v>Ноктис бар</v>
      </c>
      <c r="F43" s="23" t="str">
        <f>IFERROR(__xludf.DUMMYFUNCTION("GOOGLETRANSLATE(B43, ""en"", ""tr"")"),"Noctis çubuğu")</f>
        <v>Noctis çubuğu</v>
      </c>
      <c r="G43" s="23" t="str">
        <f>IFERROR(__xludf.DUMMYFUNCTION("GOOGLETRANSLATE(B43, ""en"", ""pt"")"),"bar Noctis")</f>
        <v>bar Noctis</v>
      </c>
      <c r="H43" s="24" t="str">
        <f>IFERROR(__xludf.DUMMYFUNCTION("GOOGLETRANSLATE(B43, ""en"", ""de"")"),"Noctis bar")</f>
        <v>Noctis bar</v>
      </c>
      <c r="I43" s="23" t="str">
        <f>IFERROR(__xludf.DUMMYFUNCTION("GOOGLETRANSLATE(B43, ""en"", ""pl"")"),"bar Noctis")</f>
        <v>bar Noctis</v>
      </c>
      <c r="J43" s="25" t="str">
        <f>IFERROR(__xludf.DUMMYFUNCTION("GOOGLETRANSLATE(B43, ""en"", ""zh"")"),"Noctis吧")</f>
        <v>Noctis吧</v>
      </c>
      <c r="K43" s="25" t="str">
        <f>IFERROR(__xludf.DUMMYFUNCTION("GOOGLETRANSLATE(B43, ""en"", ""vi"")"),"thanh Noctis")</f>
        <v>thanh Noctis</v>
      </c>
      <c r="L43" s="26" t="str">
        <f>IFERROR(__xludf.DUMMYFUNCTION("GOOGLETRANSLATE(B43, ""en"", ""hr"")"),"Noctis bar")</f>
        <v>Noctis bar</v>
      </c>
      <c r="M43" s="28"/>
      <c r="N43" s="28"/>
      <c r="O43" s="28"/>
      <c r="P43" s="28"/>
      <c r="Q43" s="28"/>
      <c r="R43" s="28"/>
      <c r="S43" s="28"/>
      <c r="T43" s="28"/>
      <c r="U43" s="28"/>
      <c r="V43" s="28"/>
      <c r="W43" s="28"/>
      <c r="X43" s="28"/>
      <c r="Y43" s="28"/>
      <c r="Z43" s="28"/>
      <c r="AA43" s="28"/>
      <c r="AB43" s="28"/>
    </row>
    <row r="44">
      <c r="A44" s="40" t="s">
        <v>377</v>
      </c>
      <c r="B44" s="22" t="s">
        <v>378</v>
      </c>
      <c r="C44" s="23" t="str">
        <f>IFERROR(__xludf.DUMMYFUNCTION("GOOGLETRANSLATE(B44, ""en"", ""fr"")"),"Peut être conçu dans l'équipement noctis.")</f>
        <v>Peut être conçu dans l'équipement noctis.</v>
      </c>
      <c r="D44" s="23" t="str">
        <f>IFERROR(__xludf.DUMMYFUNCTION("GOOGLETRANSLATE(B44, ""en"", ""es"")"),"Puede ser elaborado en el equipo noctis.")</f>
        <v>Puede ser elaborado en el equipo noctis.</v>
      </c>
      <c r="E44" s="23" t="str">
        <f>IFERROR(__xludf.DUMMYFUNCTION("GOOGLETRANSLATE(B44, ""en"", ""ru"")"),"Может быть изготовлен в NOCTIS оборудования.")</f>
        <v>Может быть изготовлен в NOCTIS оборудования.</v>
      </c>
      <c r="F44" s="23" t="str">
        <f>IFERROR(__xludf.DUMMYFUNCTION("GOOGLETRANSLATE(B44, ""en"", ""tr"")"),"noctis ekipmanı içine hazırlanmış olabilir.")</f>
        <v>noctis ekipmanı içine hazırlanmış olabilir.</v>
      </c>
      <c r="G44" s="23" t="str">
        <f>IFERROR(__xludf.DUMMYFUNCTION("GOOGLETRANSLATE(B44, ""en"", ""pt"")"),"Pode ser trabalhada em equipamentos noctis.")</f>
        <v>Pode ser trabalhada em equipamentos noctis.</v>
      </c>
      <c r="H44" s="24" t="str">
        <f>IFERROR(__xludf.DUMMYFUNCTION("GOOGLETRANSLATE(B44, ""en"", ""de"")"),"Kann in noctis Geräte gefertigt werden.")</f>
        <v>Kann in noctis Geräte gefertigt werden.</v>
      </c>
      <c r="I44" s="23" t="str">
        <f>IFERROR(__xludf.DUMMYFUNCTION("GOOGLETRANSLATE(B44, ""en"", ""pl"")"),"Może być wykonane do sprzętu Noctis.")</f>
        <v>Może być wykonane do sprzętu Noctis.</v>
      </c>
      <c r="J44" s="25" t="str">
        <f>IFERROR(__xludf.DUMMYFUNCTION("GOOGLETRANSLATE(B44, ""en"", ""zh"")"),"可制作成noctis设备。")</f>
        <v>可制作成noctis设备。</v>
      </c>
      <c r="K44" s="25" t="str">
        <f>IFERROR(__xludf.DUMMYFUNCTION("GOOGLETRANSLATE(B44, ""en"", ""vi"")"),"Có thể được chế tác vào thiết bị Noctis.")</f>
        <v>Có thể được chế tác vào thiết bị Noctis.</v>
      </c>
      <c r="L44" s="26" t="str">
        <f>IFERROR(__xludf.DUMMYFUNCTION("GOOGLETRANSLATE(B44, ""en"", ""hr"")"),"Mogu biti izrađeni u noctis opreme.")</f>
        <v>Mogu biti izrađeni u noctis opreme.</v>
      </c>
      <c r="M44" s="28"/>
      <c r="N44" s="28"/>
      <c r="O44" s="28"/>
      <c r="P44" s="28"/>
      <c r="Q44" s="28"/>
      <c r="R44" s="28"/>
      <c r="S44" s="28"/>
      <c r="T44" s="28"/>
      <c r="U44" s="28"/>
      <c r="V44" s="28"/>
      <c r="W44" s="28"/>
      <c r="X44" s="28"/>
      <c r="Y44" s="28"/>
      <c r="Z44" s="28"/>
      <c r="AA44" s="28"/>
      <c r="AB44" s="28"/>
    </row>
    <row r="45">
      <c r="A45" s="40" t="s">
        <v>379</v>
      </c>
      <c r="B45" s="22" t="s">
        <v>380</v>
      </c>
      <c r="C45" s="23" t="str">
        <f>IFERROR(__xludf.DUMMYFUNCTION("GOOGLETRANSLATE(B45, ""en"", ""fr"")"),"grumes de pin")</f>
        <v>grumes de pin</v>
      </c>
      <c r="D45" s="23" t="str">
        <f>IFERROR(__xludf.DUMMYFUNCTION("GOOGLETRANSLATE(B45, ""en"", ""es"")"),"troncos de pino")</f>
        <v>troncos de pino</v>
      </c>
      <c r="E45" s="23" t="str">
        <f>IFERROR(__xludf.DUMMYFUNCTION("GOOGLETRANSLATE(B45, ""en"", ""ru"")"),"Сосновые бревна")</f>
        <v>Сосновые бревна</v>
      </c>
      <c r="F45" s="23" t="str">
        <f>IFERROR(__xludf.DUMMYFUNCTION("GOOGLETRANSLATE(B45, ""en"", ""tr"")"),"Çam tomrukları")</f>
        <v>Çam tomrukları</v>
      </c>
      <c r="G45" s="23" t="str">
        <f>IFERROR(__xludf.DUMMYFUNCTION("GOOGLETRANSLATE(B45, ""en"", ""pt"")"),"troncos de pinheiro")</f>
        <v>troncos de pinheiro</v>
      </c>
      <c r="H45" s="24" t="str">
        <f>IFERROR(__xludf.DUMMYFUNCTION("GOOGLETRANSLATE(B45, ""en"", ""de"")"),"Kiefer-Protokolle")</f>
        <v>Kiefer-Protokolle</v>
      </c>
      <c r="I45" s="23" t="str">
        <f>IFERROR(__xludf.DUMMYFUNCTION("GOOGLETRANSLATE(B45, ""en"", ""pl"")"),"sosnowe kłody")</f>
        <v>sosnowe kłody</v>
      </c>
      <c r="J45" s="25" t="str">
        <f>IFERROR(__xludf.DUMMYFUNCTION("GOOGLETRANSLATE(B45, ""en"", ""zh"")"),"松原木")</f>
        <v>松原木</v>
      </c>
      <c r="K45" s="25" t="str">
        <f>IFERROR(__xludf.DUMMYFUNCTION("GOOGLETRANSLATE(B45, ""en"", ""vi"")"),"bản ghi Pine")</f>
        <v>bản ghi Pine</v>
      </c>
      <c r="L45" s="26" t="str">
        <f>IFERROR(__xludf.DUMMYFUNCTION("GOOGLETRANSLATE(B45, ""en"", ""hr"")"),"Pine dnevnici")</f>
        <v>Pine dnevnici</v>
      </c>
      <c r="M45" s="28"/>
      <c r="N45" s="28"/>
      <c r="O45" s="28"/>
      <c r="P45" s="28"/>
      <c r="Q45" s="28"/>
      <c r="R45" s="28"/>
      <c r="S45" s="28"/>
      <c r="T45" s="28"/>
      <c r="U45" s="28"/>
      <c r="V45" s="28"/>
      <c r="W45" s="28"/>
      <c r="X45" s="28"/>
      <c r="Y45" s="28"/>
      <c r="Z45" s="28"/>
      <c r="AA45" s="28"/>
      <c r="AB45" s="28"/>
    </row>
    <row r="46">
      <c r="A46" s="40" t="s">
        <v>381</v>
      </c>
      <c r="B46" s="22" t="s">
        <v>382</v>
      </c>
      <c r="C46" s="23" t="str">
        <f>IFERROR(__xludf.DUMMYFUNCTION("GOOGLETRANSLATE(B46, ""en"", ""fr"")"),"Un matériau d'artisanat de base.")</f>
        <v>Un matériau d'artisanat de base.</v>
      </c>
      <c r="D46" s="23" t="str">
        <f>IFERROR(__xludf.DUMMYFUNCTION("GOOGLETRANSLATE(B46, ""en"", ""es"")"),"Un material de elaboración básica.")</f>
        <v>Un material de elaboración básica.</v>
      </c>
      <c r="E46" s="23" t="str">
        <f>IFERROR(__xludf.DUMMYFUNCTION("GOOGLETRANSLATE(B46, ""en"", ""ru"")"),"Основной материал, крафт.")</f>
        <v>Основной материал, крафт.</v>
      </c>
      <c r="F46" s="23" t="str">
        <f>IFERROR(__xludf.DUMMYFUNCTION("GOOGLETRANSLATE(B46, ""en"", ""tr"")"),"Temel bir işçiliği materyal.")</f>
        <v>Temel bir işçiliği materyal.</v>
      </c>
      <c r="G46" s="23" t="str">
        <f>IFERROR(__xludf.DUMMYFUNCTION("GOOGLETRANSLATE(B46, ""en"", ""pt"")"),"Um material de base de elaboração.")</f>
        <v>Um material de base de elaboração.</v>
      </c>
      <c r="H46" s="24" t="str">
        <f>IFERROR(__xludf.DUMMYFUNCTION("GOOGLETRANSLATE(B46, ""en"", ""de"")"),"Ein grundlegendes Handwerksmaterial.")</f>
        <v>Ein grundlegendes Handwerksmaterial.</v>
      </c>
      <c r="I46" s="23" t="str">
        <f>IFERROR(__xludf.DUMMYFUNCTION("GOOGLETRANSLATE(B46, ""en"", ""pl"")"),"Podstawowym materiałem rzemiosła.")</f>
        <v>Podstawowym materiałem rzemiosła.</v>
      </c>
      <c r="J46" s="25" t="str">
        <f>IFERROR(__xludf.DUMMYFUNCTION("GOOGLETRANSLATE(B46, ""en"", ""zh"")"),"一个基本的手工艺材料。")</f>
        <v>一个基本的手工艺材料。</v>
      </c>
      <c r="K46" s="25" t="str">
        <f>IFERROR(__xludf.DUMMYFUNCTION("GOOGLETRANSLATE(B46, ""en"", ""vi"")"),"Một loại vật liệu crafting cơ bản.")</f>
        <v>Một loại vật liệu crafting cơ bản.</v>
      </c>
      <c r="L46" s="26" t="str">
        <f>IFERROR(__xludf.DUMMYFUNCTION("GOOGLETRANSLATE(B46, ""en"", ""hr"")"),"Osnovni materijal izradba.")</f>
        <v>Osnovni materijal izradba.</v>
      </c>
      <c r="M46" s="28"/>
      <c r="N46" s="28"/>
      <c r="O46" s="28"/>
      <c r="P46" s="28"/>
      <c r="Q46" s="28"/>
      <c r="R46" s="28"/>
      <c r="S46" s="28"/>
      <c r="T46" s="28"/>
      <c r="U46" s="28"/>
      <c r="V46" s="28"/>
      <c r="W46" s="28"/>
      <c r="X46" s="28"/>
      <c r="Y46" s="28"/>
      <c r="Z46" s="28"/>
      <c r="AA46" s="28"/>
      <c r="AB46" s="28"/>
    </row>
    <row r="47">
      <c r="A47" s="40" t="s">
        <v>383</v>
      </c>
      <c r="B47" s="22" t="s">
        <v>384</v>
      </c>
      <c r="C47" s="23" t="str">
        <f>IFERROR(__xludf.DUMMYFUNCTION("GOOGLETRANSLATE(B47, ""en"", ""fr"")"),"journaux de Willow")</f>
        <v>journaux de Willow</v>
      </c>
      <c r="D47" s="23" t="str">
        <f>IFERROR(__xludf.DUMMYFUNCTION("GOOGLETRANSLATE(B47, ""en"", ""es"")"),"troncos de sauce")</f>
        <v>troncos de sauce</v>
      </c>
      <c r="E47" s="23" t="str">
        <f>IFERROR(__xludf.DUMMYFUNCTION("GOOGLETRANSLATE(B47, ""en"", ""ru"")"),"журналы Willow")</f>
        <v>журналы Willow</v>
      </c>
      <c r="F47" s="23" t="str">
        <f>IFERROR(__xludf.DUMMYFUNCTION("GOOGLETRANSLATE(B47, ""en"", ""tr"")"),"söğüt günlükleri")</f>
        <v>söğüt günlükleri</v>
      </c>
      <c r="G47" s="23" t="str">
        <f>IFERROR(__xludf.DUMMYFUNCTION("GOOGLETRANSLATE(B47, ""en"", ""pt"")"),"toras de salgueiro")</f>
        <v>toras de salgueiro</v>
      </c>
      <c r="H47" s="24" t="str">
        <f>IFERROR(__xludf.DUMMYFUNCTION("GOOGLETRANSLATE(B47, ""en"", ""de"")"),"Willow logs")</f>
        <v>Willow logs</v>
      </c>
      <c r="I47" s="23" t="str">
        <f>IFERROR(__xludf.DUMMYFUNCTION("GOOGLETRANSLATE(B47, ""en"", ""pl"")"),"dzienniki wierzby")</f>
        <v>dzienniki wierzby</v>
      </c>
      <c r="J47" s="25" t="str">
        <f>IFERROR(__xludf.DUMMYFUNCTION("GOOGLETRANSLATE(B47, ""en"", ""zh"")"),"杨柳日志")</f>
        <v>杨柳日志</v>
      </c>
      <c r="K47" s="25" t="str">
        <f>IFERROR(__xludf.DUMMYFUNCTION("GOOGLETRANSLATE(B47, ""en"", ""vi"")"),"bản ghi Willow")</f>
        <v>bản ghi Willow</v>
      </c>
      <c r="L47" s="26" t="str">
        <f>IFERROR(__xludf.DUMMYFUNCTION("GOOGLETRANSLATE(B47, ""en"", ""hr"")"),"Willow dnevnici")</f>
        <v>Willow dnevnici</v>
      </c>
      <c r="M47" s="28"/>
      <c r="N47" s="28"/>
      <c r="O47" s="28"/>
      <c r="P47" s="28"/>
      <c r="Q47" s="28"/>
      <c r="R47" s="28"/>
      <c r="S47" s="28"/>
      <c r="T47" s="28"/>
      <c r="U47" s="28"/>
      <c r="V47" s="28"/>
      <c r="W47" s="28"/>
      <c r="X47" s="28"/>
      <c r="Y47" s="28"/>
      <c r="Z47" s="28"/>
      <c r="AA47" s="28"/>
      <c r="AB47" s="28"/>
    </row>
    <row r="48">
      <c r="A48" s="40" t="s">
        <v>385</v>
      </c>
      <c r="B48" s="22" t="s">
        <v>382</v>
      </c>
      <c r="C48" s="23" t="str">
        <f>IFERROR(__xludf.DUMMYFUNCTION("GOOGLETRANSLATE(B48, ""en"", ""fr"")"),"Un matériau d'artisanat de base.")</f>
        <v>Un matériau d'artisanat de base.</v>
      </c>
      <c r="D48" s="23" t="str">
        <f>IFERROR(__xludf.DUMMYFUNCTION("GOOGLETRANSLATE(B48, ""en"", ""es"")"),"Un material de elaboración básica.")</f>
        <v>Un material de elaboración básica.</v>
      </c>
      <c r="E48" s="23" t="str">
        <f>IFERROR(__xludf.DUMMYFUNCTION("GOOGLETRANSLATE(B48, ""en"", ""ru"")"),"Основной материал, крафт.")</f>
        <v>Основной материал, крафт.</v>
      </c>
      <c r="F48" s="23" t="str">
        <f>IFERROR(__xludf.DUMMYFUNCTION("GOOGLETRANSLATE(B48, ""en"", ""tr"")"),"Temel bir işçiliği materyal.")</f>
        <v>Temel bir işçiliği materyal.</v>
      </c>
      <c r="G48" s="23" t="str">
        <f>IFERROR(__xludf.DUMMYFUNCTION("GOOGLETRANSLATE(B48, ""en"", ""pt"")"),"Um material de base de elaboração.")</f>
        <v>Um material de base de elaboração.</v>
      </c>
      <c r="H48" s="24" t="str">
        <f>IFERROR(__xludf.DUMMYFUNCTION("GOOGLETRANSLATE(B48, ""en"", ""de"")"),"Ein grundlegendes Handwerksmaterial.")</f>
        <v>Ein grundlegendes Handwerksmaterial.</v>
      </c>
      <c r="I48" s="23" t="str">
        <f>IFERROR(__xludf.DUMMYFUNCTION("GOOGLETRANSLATE(B48, ""en"", ""pl"")"),"Podstawowym materiałem rzemiosła.")</f>
        <v>Podstawowym materiałem rzemiosła.</v>
      </c>
      <c r="J48" s="25" t="str">
        <f>IFERROR(__xludf.DUMMYFUNCTION("GOOGLETRANSLATE(B48, ""en"", ""zh"")"),"一个基本的手工艺材料。")</f>
        <v>一个基本的手工艺材料。</v>
      </c>
      <c r="K48" s="25" t="str">
        <f>IFERROR(__xludf.DUMMYFUNCTION("GOOGLETRANSLATE(B48, ""en"", ""vi"")"),"Một loại vật liệu crafting cơ bản.")</f>
        <v>Một loại vật liệu crafting cơ bản.</v>
      </c>
      <c r="L48" s="26" t="str">
        <f>IFERROR(__xludf.DUMMYFUNCTION("GOOGLETRANSLATE(B48, ""en"", ""hr"")"),"Osnovni materijal izradba.")</f>
        <v>Osnovni materijal izradba.</v>
      </c>
      <c r="M48" s="28"/>
      <c r="N48" s="28"/>
      <c r="O48" s="28"/>
      <c r="P48" s="28"/>
      <c r="Q48" s="28"/>
      <c r="R48" s="28"/>
      <c r="S48" s="28"/>
      <c r="T48" s="28"/>
      <c r="U48" s="28"/>
      <c r="V48" s="28"/>
      <c r="W48" s="28"/>
      <c r="X48" s="28"/>
      <c r="Y48" s="28"/>
      <c r="Z48" s="28"/>
      <c r="AA48" s="28"/>
      <c r="AB48" s="28"/>
    </row>
    <row r="49">
      <c r="A49" s="40" t="s">
        <v>386</v>
      </c>
      <c r="B49" s="22" t="s">
        <v>387</v>
      </c>
      <c r="C49" s="23" t="str">
        <f>IFERROR(__xludf.DUMMYFUNCTION("GOOGLETRANSLATE(B49, ""en"", ""fr"")"),"grumes de chêne")</f>
        <v>grumes de chêne</v>
      </c>
      <c r="D49" s="23" t="str">
        <f>IFERROR(__xludf.DUMMYFUNCTION("GOOGLETRANSLATE(B49, ""en"", ""es"")"),"troncos de roble")</f>
        <v>troncos de roble</v>
      </c>
      <c r="E49" s="23" t="str">
        <f>IFERROR(__xludf.DUMMYFUNCTION("GOOGLETRANSLATE(B49, ""en"", ""ru"")"),"журналы Дуб")</f>
        <v>журналы Дуб</v>
      </c>
      <c r="F49" s="23" t="str">
        <f>IFERROR(__xludf.DUMMYFUNCTION("GOOGLETRANSLATE(B49, ""en"", ""tr"")"),"Meşe günlükleri")</f>
        <v>Meşe günlükleri</v>
      </c>
      <c r="G49" s="23" t="str">
        <f>IFERROR(__xludf.DUMMYFUNCTION("GOOGLETRANSLATE(B49, ""en"", ""pt"")"),"toros de carvalho")</f>
        <v>toros de carvalho</v>
      </c>
      <c r="H49" s="24" t="str">
        <f>IFERROR(__xludf.DUMMYFUNCTION("GOOGLETRANSLATE(B49, ""en"", ""de"")"),"Eichenstämme")</f>
        <v>Eichenstämme</v>
      </c>
      <c r="I49" s="23" t="str">
        <f>IFERROR(__xludf.DUMMYFUNCTION("GOOGLETRANSLATE(B49, ""en"", ""pl"")"),"kłody dębowe")</f>
        <v>kłody dębowe</v>
      </c>
      <c r="J49" s="25" t="str">
        <f>IFERROR(__xludf.DUMMYFUNCTION("GOOGLETRANSLATE(B49, ""en"", ""zh"")"),"橡木原木")</f>
        <v>橡木原木</v>
      </c>
      <c r="K49" s="25" t="str">
        <f>IFERROR(__xludf.DUMMYFUNCTION("GOOGLETRANSLATE(B49, ""en"", ""vi"")"),"bản ghi Oak")</f>
        <v>bản ghi Oak</v>
      </c>
      <c r="L49" s="26" t="str">
        <f>IFERROR(__xludf.DUMMYFUNCTION("GOOGLETRANSLATE(B49, ""en"", ""hr"")"),"hrast dnevnici")</f>
        <v>hrast dnevnici</v>
      </c>
      <c r="M49" s="28"/>
      <c r="N49" s="28"/>
      <c r="O49" s="28"/>
      <c r="P49" s="28"/>
      <c r="Q49" s="28"/>
      <c r="R49" s="28"/>
      <c r="S49" s="28"/>
      <c r="T49" s="28"/>
      <c r="U49" s="28"/>
      <c r="V49" s="28"/>
      <c r="W49" s="28"/>
      <c r="X49" s="28"/>
      <c r="Y49" s="28"/>
      <c r="Z49" s="28"/>
      <c r="AA49" s="28"/>
      <c r="AB49" s="28"/>
    </row>
    <row r="50">
      <c r="A50" s="40" t="s">
        <v>388</v>
      </c>
      <c r="B50" s="22" t="s">
        <v>382</v>
      </c>
      <c r="C50" s="23" t="str">
        <f>IFERROR(__xludf.DUMMYFUNCTION("GOOGLETRANSLATE(B50, ""en"", ""fr"")"),"Un matériau d'artisanat de base.")</f>
        <v>Un matériau d'artisanat de base.</v>
      </c>
      <c r="D50" s="23" t="str">
        <f>IFERROR(__xludf.DUMMYFUNCTION("GOOGLETRANSLATE(B50, ""en"", ""es"")"),"Un material de elaboración básica.")</f>
        <v>Un material de elaboración básica.</v>
      </c>
      <c r="E50" s="23" t="str">
        <f>IFERROR(__xludf.DUMMYFUNCTION("GOOGLETRANSLATE(B50, ""en"", ""ru"")"),"Основной материал, крафт.")</f>
        <v>Основной материал, крафт.</v>
      </c>
      <c r="F50" s="23" t="str">
        <f>IFERROR(__xludf.DUMMYFUNCTION("GOOGLETRANSLATE(B50, ""en"", ""tr"")"),"Temel bir işçiliği materyal.")</f>
        <v>Temel bir işçiliği materyal.</v>
      </c>
      <c r="G50" s="23" t="str">
        <f>IFERROR(__xludf.DUMMYFUNCTION("GOOGLETRANSLATE(B50, ""en"", ""pt"")"),"Um material de base de elaboração.")</f>
        <v>Um material de base de elaboração.</v>
      </c>
      <c r="H50" s="24" t="str">
        <f>IFERROR(__xludf.DUMMYFUNCTION("GOOGLETRANSLATE(B50, ""en"", ""de"")"),"Ein grundlegendes Handwerksmaterial.")</f>
        <v>Ein grundlegendes Handwerksmaterial.</v>
      </c>
      <c r="I50" s="23" t="str">
        <f>IFERROR(__xludf.DUMMYFUNCTION("GOOGLETRANSLATE(B50, ""en"", ""pl"")"),"Podstawowym materiałem rzemiosła.")</f>
        <v>Podstawowym materiałem rzemiosła.</v>
      </c>
      <c r="J50" s="25" t="str">
        <f>IFERROR(__xludf.DUMMYFUNCTION("GOOGLETRANSLATE(B50, ""en"", ""zh"")"),"一个基本的手工艺材料。")</f>
        <v>一个基本的手工艺材料。</v>
      </c>
      <c r="K50" s="25" t="str">
        <f>IFERROR(__xludf.DUMMYFUNCTION("GOOGLETRANSLATE(B50, ""en"", ""vi"")"),"Một loại vật liệu crafting cơ bản.")</f>
        <v>Một loại vật liệu crafting cơ bản.</v>
      </c>
      <c r="L50" s="26" t="str">
        <f>IFERROR(__xludf.DUMMYFUNCTION("GOOGLETRANSLATE(B50, ""en"", ""hr"")"),"Osnovni materijal izradba.")</f>
        <v>Osnovni materijal izradba.</v>
      </c>
      <c r="M50" s="28"/>
      <c r="N50" s="28"/>
      <c r="O50" s="28"/>
      <c r="P50" s="28"/>
      <c r="Q50" s="28"/>
      <c r="R50" s="28"/>
      <c r="S50" s="28"/>
      <c r="T50" s="28"/>
      <c r="U50" s="28"/>
      <c r="V50" s="28"/>
      <c r="W50" s="28"/>
      <c r="X50" s="28"/>
      <c r="Y50" s="28"/>
      <c r="Z50" s="28"/>
      <c r="AA50" s="28"/>
      <c r="AB50" s="28"/>
    </row>
    <row r="51">
      <c r="A51" s="40" t="s">
        <v>389</v>
      </c>
      <c r="B51" s="22" t="s">
        <v>390</v>
      </c>
      <c r="C51" s="23" t="str">
        <f>IFERROR(__xludf.DUMMYFUNCTION("GOOGLETRANSLATE(B51, ""en"", ""fr"")"),"Coton")</f>
        <v>Coton</v>
      </c>
      <c r="D51" s="23" t="str">
        <f>IFERROR(__xludf.DUMMYFUNCTION("GOOGLETRANSLATE(B51, ""en"", ""es"")"),"Algodón")</f>
        <v>Algodón</v>
      </c>
      <c r="E51" s="23" t="str">
        <f>IFERROR(__xludf.DUMMYFUNCTION("GOOGLETRANSLATE(B51, ""en"", ""ru"")"),"Хлопок")</f>
        <v>Хлопок</v>
      </c>
      <c r="F51" s="23" t="str">
        <f>IFERROR(__xludf.DUMMYFUNCTION("GOOGLETRANSLATE(B51, ""en"", ""tr"")"),"Pamuk")</f>
        <v>Pamuk</v>
      </c>
      <c r="G51" s="23" t="str">
        <f>IFERROR(__xludf.DUMMYFUNCTION("GOOGLETRANSLATE(B51, ""en"", ""pt"")"),"Algodão")</f>
        <v>Algodão</v>
      </c>
      <c r="H51" s="24" t="str">
        <f>IFERROR(__xludf.DUMMYFUNCTION("GOOGLETRANSLATE(B51, ""en"", ""de"")"),"Baumwolle")</f>
        <v>Baumwolle</v>
      </c>
      <c r="I51" s="23" t="str">
        <f>IFERROR(__xludf.DUMMYFUNCTION("GOOGLETRANSLATE(B51, ""en"", ""pl"")"),"Bawełna")</f>
        <v>Bawełna</v>
      </c>
      <c r="J51" s="25" t="str">
        <f>IFERROR(__xludf.DUMMYFUNCTION("GOOGLETRANSLATE(B51, ""en"", ""zh"")"),"棉布")</f>
        <v>棉布</v>
      </c>
      <c r="K51" s="25" t="str">
        <f>IFERROR(__xludf.DUMMYFUNCTION("GOOGLETRANSLATE(B51, ""en"", ""vi"")"),"Bông")</f>
        <v>Bông</v>
      </c>
      <c r="L51" s="26" t="str">
        <f>IFERROR(__xludf.DUMMYFUNCTION("GOOGLETRANSLATE(B51, ""en"", ""hr"")"),"Pamuk")</f>
        <v>Pamuk</v>
      </c>
      <c r="M51" s="28"/>
      <c r="N51" s="28"/>
      <c r="O51" s="28"/>
      <c r="P51" s="28"/>
      <c r="Q51" s="28"/>
      <c r="R51" s="28"/>
      <c r="S51" s="28"/>
      <c r="T51" s="28"/>
      <c r="U51" s="28"/>
      <c r="V51" s="28"/>
      <c r="W51" s="28"/>
      <c r="X51" s="28"/>
      <c r="Y51" s="28"/>
      <c r="Z51" s="28"/>
      <c r="AA51" s="28"/>
      <c r="AB51" s="28"/>
    </row>
    <row r="52">
      <c r="A52" s="40" t="s">
        <v>391</v>
      </c>
      <c r="B52" s="22" t="s">
        <v>392</v>
      </c>
      <c r="C52" s="23" t="str">
        <f>IFERROR(__xludf.DUMMYFUNCTION("GOOGLETRANSLATE(B52, ""en"", ""fr"")"),"Peut être conçu en différents tissus.")</f>
        <v>Peut être conçu en différents tissus.</v>
      </c>
      <c r="D52" s="23" t="str">
        <f>IFERROR(__xludf.DUMMYFUNCTION("GOOGLETRANSLATE(B52, ""en"", ""es"")"),"Se pueden fabricar en diferentes tejidos.")</f>
        <v>Se pueden fabricar en diferentes tejidos.</v>
      </c>
      <c r="E52" s="23" t="str">
        <f>IFERROR(__xludf.DUMMYFUNCTION("GOOGLETRANSLATE(B52, ""en"", ""ru"")"),"Может быть изготовлены в различные текстильные изделия.")</f>
        <v>Может быть изготовлены в различные текстильные изделия.</v>
      </c>
      <c r="F52" s="23" t="str">
        <f>IFERROR(__xludf.DUMMYFUNCTION("GOOGLETRANSLATE(B52, ""en"", ""tr"")"),"Çeşitli tekstil içine hazırlanmış olabilir.")</f>
        <v>Çeşitli tekstil içine hazırlanmış olabilir.</v>
      </c>
      <c r="G52" s="23" t="str">
        <f>IFERROR(__xludf.DUMMYFUNCTION("GOOGLETRANSLATE(B52, ""en"", ""pt"")"),"Pode ser trabalhada em vários tecidos.")</f>
        <v>Pode ser trabalhada em vários tecidos.</v>
      </c>
      <c r="H52" s="24" t="str">
        <f>IFERROR(__xludf.DUMMYFUNCTION("GOOGLETRANSLATE(B52, ""en"", ""de"")"),"Kann in verschiedenen Textilien gefertigt werden.")</f>
        <v>Kann in verschiedenen Textilien gefertigt werden.</v>
      </c>
      <c r="I52" s="23" t="str">
        <f>IFERROR(__xludf.DUMMYFUNCTION("GOOGLETRANSLATE(B52, ""en"", ""pl"")"),"Mogą być wykonane w różnych tkanin.")</f>
        <v>Mogą być wykonane w różnych tkanin.</v>
      </c>
      <c r="J52" s="25" t="str">
        <f>IFERROR(__xludf.DUMMYFUNCTION("GOOGLETRANSLATE(B52, ""en"", ""zh"")"),"可制作成各种纺织品。")</f>
        <v>可制作成各种纺织品。</v>
      </c>
      <c r="K52" s="25" t="str">
        <f>IFERROR(__xludf.DUMMYFUNCTION("GOOGLETRANSLATE(B52, ""en"", ""vi"")"),"Có thể được chế tác thành hàng dệt khác nhau.")</f>
        <v>Có thể được chế tác thành hàng dệt khác nhau.</v>
      </c>
      <c r="L52" s="26" t="str">
        <f>IFERROR(__xludf.DUMMYFUNCTION("GOOGLETRANSLATE(B52, ""en"", ""hr"")"),"Mogu biti izrađeni u raznim tekstila.")</f>
        <v>Mogu biti izrađeni u raznim tekstila.</v>
      </c>
      <c r="M52" s="28"/>
      <c r="N52" s="28"/>
      <c r="O52" s="28"/>
      <c r="P52" s="28"/>
      <c r="Q52" s="28"/>
      <c r="R52" s="28"/>
      <c r="S52" s="28"/>
      <c r="T52" s="28"/>
      <c r="U52" s="28"/>
      <c r="V52" s="28"/>
      <c r="W52" s="28"/>
      <c r="X52" s="28"/>
      <c r="Y52" s="28"/>
      <c r="Z52" s="28"/>
      <c r="AA52" s="28"/>
      <c r="AB52" s="28"/>
    </row>
    <row r="53">
      <c r="A53" s="40" t="s">
        <v>393</v>
      </c>
      <c r="B53" s="22" t="s">
        <v>394</v>
      </c>
      <c r="C53" s="23" t="str">
        <f>IFERROR(__xludf.DUMMYFUNCTION("GOOGLETRANSLATE(B53, ""en"", ""fr"")"),"Chaîne")</f>
        <v>Chaîne</v>
      </c>
      <c r="D53" s="23" t="str">
        <f>IFERROR(__xludf.DUMMYFUNCTION("GOOGLETRANSLATE(B53, ""en"", ""es"")"),"Cuerda")</f>
        <v>Cuerda</v>
      </c>
      <c r="E53" s="23" t="str">
        <f>IFERROR(__xludf.DUMMYFUNCTION("GOOGLETRANSLATE(B53, ""en"", ""ru"")"),"Нить")</f>
        <v>Нить</v>
      </c>
      <c r="F53" s="23" t="str">
        <f>IFERROR(__xludf.DUMMYFUNCTION("GOOGLETRANSLATE(B53, ""en"", ""tr"")"),"sicim")</f>
        <v>sicim</v>
      </c>
      <c r="G53" s="23" t="str">
        <f>IFERROR(__xludf.DUMMYFUNCTION("GOOGLETRANSLATE(B53, ""en"", ""pt"")"),"Fragmento")</f>
        <v>Fragmento</v>
      </c>
      <c r="H53" s="24" t="str">
        <f>IFERROR(__xludf.DUMMYFUNCTION("GOOGLETRANSLATE(B53, ""en"", ""de"")"),"Schnur")</f>
        <v>Schnur</v>
      </c>
      <c r="I53" s="23" t="str">
        <f>IFERROR(__xludf.DUMMYFUNCTION("GOOGLETRANSLATE(B53, ""en"", ""pl"")"),"Strunowy")</f>
        <v>Strunowy</v>
      </c>
      <c r="J53" s="25" t="str">
        <f>IFERROR(__xludf.DUMMYFUNCTION("GOOGLETRANSLATE(B53, ""en"", ""zh"")"),"细绳")</f>
        <v>细绳</v>
      </c>
      <c r="K53" s="25" t="str">
        <f>IFERROR(__xludf.DUMMYFUNCTION("GOOGLETRANSLATE(B53, ""en"", ""vi"")"),"Chuỗi")</f>
        <v>Chuỗi</v>
      </c>
      <c r="L53" s="26" t="str">
        <f>IFERROR(__xludf.DUMMYFUNCTION("GOOGLETRANSLATE(B53, ""en"", ""hr"")"),"Niz")</f>
        <v>Niz</v>
      </c>
      <c r="M53" s="28"/>
      <c r="N53" s="28"/>
      <c r="O53" s="28"/>
      <c r="P53" s="28"/>
      <c r="Q53" s="28"/>
      <c r="R53" s="28"/>
      <c r="S53" s="28"/>
      <c r="T53" s="28"/>
      <c r="U53" s="28"/>
      <c r="V53" s="28"/>
      <c r="W53" s="28"/>
      <c r="X53" s="28"/>
      <c r="Y53" s="28"/>
      <c r="Z53" s="28"/>
      <c r="AA53" s="28"/>
      <c r="AB53" s="28"/>
    </row>
    <row r="54">
      <c r="A54" s="40" t="s">
        <v>395</v>
      </c>
      <c r="B54" s="22" t="s">
        <v>396</v>
      </c>
      <c r="C54" s="23" t="str">
        <f>IFERROR(__xludf.DUMMYFUNCTION("GOOGLETRANSLATE(B54, ""en"", ""fr"")"),"Utilisé pour les arcs d'artisanat et des pièges.")</f>
        <v>Utilisé pour les arcs d'artisanat et des pièges.</v>
      </c>
      <c r="D54" s="23" t="str">
        <f>IFERROR(__xludf.DUMMYFUNCTION("GOOGLETRANSLATE(B54, ""en"", ""es"")"),"Se utiliza para arcos de artesanía y trampas.")</f>
        <v>Se utiliza para arcos de artesanía y trampas.</v>
      </c>
      <c r="E54" s="23" t="str">
        <f>IFERROR(__xludf.DUMMYFUNCTION("GOOGLETRANSLATE(B54, ""en"", ""ru"")"),"Используется для ремесленных луки и ловушки.")</f>
        <v>Используется для ремесленных луки и ловушки.</v>
      </c>
      <c r="F54" s="23" t="str">
        <f>IFERROR(__xludf.DUMMYFUNCTION("GOOGLETRANSLATE(B54, ""en"", ""tr"")"),"zanaat yay ve tuzaklar için kullanılır.")</f>
        <v>zanaat yay ve tuzaklar için kullanılır.</v>
      </c>
      <c r="G54" s="23" t="str">
        <f>IFERROR(__xludf.DUMMYFUNCTION("GOOGLETRANSLATE(B54, ""en"", ""pt"")"),"Usado para arcos artesanais e armadilhas.")</f>
        <v>Usado para arcos artesanais e armadilhas.</v>
      </c>
      <c r="H54" s="24" t="str">
        <f>IFERROR(__xludf.DUMMYFUNCTION("GOOGLETRANSLATE(B54, ""en"", ""de"")"),"Wird verwendet, um Handwerk Bögen und Fallen.")</f>
        <v>Wird verwendet, um Handwerk Bögen und Fallen.</v>
      </c>
      <c r="I54" s="23" t="str">
        <f>IFERROR(__xludf.DUMMYFUNCTION("GOOGLETRANSLATE(B54, ""en"", ""pl"")"),"Służy do łuków rzemieślniczych i pułapek.")</f>
        <v>Służy do łuków rzemieślniczych i pułapek.</v>
      </c>
      <c r="J54" s="25" t="str">
        <f>IFERROR(__xludf.DUMMYFUNCTION("GOOGLETRANSLATE(B54, ""en"", ""zh"")"),"用于工艺弓和陷阱。")</f>
        <v>用于工艺弓和陷阱。</v>
      </c>
      <c r="K54" s="25" t="str">
        <f>IFERROR(__xludf.DUMMYFUNCTION("GOOGLETRANSLATE(B54, ""en"", ""vi"")"),"Được sử dụng để cung thủ và bẫy.")</f>
        <v>Được sử dụng để cung thủ và bẫy.</v>
      </c>
      <c r="L54" s="26" t="str">
        <f>IFERROR(__xludf.DUMMYFUNCTION("GOOGLETRANSLATE(B54, ""en"", ""hr"")"),"Koristi se za obrtničke lukom i zamke.")</f>
        <v>Koristi se za obrtničke lukom i zamke.</v>
      </c>
      <c r="M54" s="28"/>
      <c r="N54" s="28"/>
      <c r="O54" s="28"/>
      <c r="P54" s="28"/>
      <c r="Q54" s="28"/>
      <c r="R54" s="28"/>
      <c r="S54" s="28"/>
      <c r="T54" s="28"/>
      <c r="U54" s="28"/>
      <c r="V54" s="28"/>
      <c r="W54" s="28"/>
      <c r="X54" s="28"/>
      <c r="Y54" s="28"/>
      <c r="Z54" s="28"/>
      <c r="AA54" s="28"/>
      <c r="AB54" s="28"/>
    </row>
    <row r="55">
      <c r="A55" s="40" t="s">
        <v>397</v>
      </c>
      <c r="B55" s="22" t="s">
        <v>398</v>
      </c>
      <c r="C55" s="23" t="str">
        <f>IFERROR(__xludf.DUMMYFUNCTION("GOOGLETRANSLATE(B55, ""en"", ""fr"")"),"en tissu")</f>
        <v>en tissu</v>
      </c>
      <c r="D55" s="23" t="str">
        <f>IFERROR(__xludf.DUMMYFUNCTION("GOOGLETRANSLATE(B55, ""en"", ""es"")"),"Tela")</f>
        <v>Tela</v>
      </c>
      <c r="E55" s="23" t="str">
        <f>IFERROR(__xludf.DUMMYFUNCTION("GOOGLETRANSLATE(B55, ""en"", ""ru"")"),"ткань")</f>
        <v>ткань</v>
      </c>
      <c r="F55" s="23" t="str">
        <f>IFERROR(__xludf.DUMMYFUNCTION("GOOGLETRANSLATE(B55, ""en"", ""tr"")"),"Kumaş")</f>
        <v>Kumaş</v>
      </c>
      <c r="G55" s="23" t="str">
        <f>IFERROR(__xludf.DUMMYFUNCTION("GOOGLETRANSLATE(B55, ""en"", ""pt"")"),"Tecido")</f>
        <v>Tecido</v>
      </c>
      <c r="H55" s="24" t="str">
        <f>IFERROR(__xludf.DUMMYFUNCTION("GOOGLETRANSLATE(B55, ""en"", ""de"")"),"Stoff")</f>
        <v>Stoff</v>
      </c>
      <c r="I55" s="23" t="str">
        <f>IFERROR(__xludf.DUMMYFUNCTION("GOOGLETRANSLATE(B55, ""en"", ""pl"")"),"Tkanina")</f>
        <v>Tkanina</v>
      </c>
      <c r="J55" s="25" t="str">
        <f>IFERROR(__xludf.DUMMYFUNCTION("GOOGLETRANSLATE(B55, ""en"", ""zh"")"),"织物")</f>
        <v>织物</v>
      </c>
      <c r="K55" s="25" t="str">
        <f>IFERROR(__xludf.DUMMYFUNCTION("GOOGLETRANSLATE(B55, ""en"", ""vi"")"),"Sợi vải")</f>
        <v>Sợi vải</v>
      </c>
      <c r="L55" s="26" t="str">
        <f>IFERROR(__xludf.DUMMYFUNCTION("GOOGLETRANSLATE(B55, ""en"", ""hr"")"),"Tkanina")</f>
        <v>Tkanina</v>
      </c>
      <c r="M55" s="28"/>
      <c r="N55" s="28"/>
      <c r="O55" s="28"/>
      <c r="P55" s="28"/>
      <c r="Q55" s="28"/>
      <c r="R55" s="28"/>
      <c r="S55" s="28"/>
      <c r="T55" s="28"/>
      <c r="U55" s="28"/>
      <c r="V55" s="28"/>
      <c r="W55" s="28"/>
      <c r="X55" s="28"/>
      <c r="Y55" s="28"/>
      <c r="Z55" s="28"/>
      <c r="AA55" s="28"/>
      <c r="AB55" s="28"/>
    </row>
    <row r="56">
      <c r="A56" s="40" t="s">
        <v>399</v>
      </c>
      <c r="B56" s="22" t="s">
        <v>400</v>
      </c>
      <c r="C56" s="23" t="str">
        <f>IFERROR(__xludf.DUMMYFUNCTION("GOOGLETRANSLATE(B56, ""en"", ""fr"")"),"Peut être conçu dans les vêtements.")</f>
        <v>Peut être conçu dans les vêtements.</v>
      </c>
      <c r="D56" s="23" t="str">
        <f>IFERROR(__xludf.DUMMYFUNCTION("GOOGLETRANSLATE(B56, ""en"", ""es"")"),"Pueden hacer a mano en la ropa.")</f>
        <v>Pueden hacer a mano en la ropa.</v>
      </c>
      <c r="E56" s="23" t="str">
        <f>IFERROR(__xludf.DUMMYFUNCTION("GOOGLETRANSLATE(B56, ""en"", ""ru"")"),"Может быть сделано в одежду.")</f>
        <v>Может быть сделано в одежду.</v>
      </c>
      <c r="F56" s="23" t="str">
        <f>IFERROR(__xludf.DUMMYFUNCTION("GOOGLETRANSLATE(B56, ""en"", ""tr"")"),"Tişörtün içine hazırlanmış olabilir.")</f>
        <v>Tişörtün içine hazırlanmış olabilir.</v>
      </c>
      <c r="G56" s="23" t="str">
        <f>IFERROR(__xludf.DUMMYFUNCTION("GOOGLETRANSLATE(B56, ""en"", ""pt"")"),"Pode ser trabalhada em roupas.")</f>
        <v>Pode ser trabalhada em roupas.</v>
      </c>
      <c r="H56" s="24" t="str">
        <f>IFERROR(__xludf.DUMMYFUNCTION("GOOGLETRANSLATE(B56, ""en"", ""de"")"),"Kann in der Kleidung gefertigt werden.")</f>
        <v>Kann in der Kleidung gefertigt werden.</v>
      </c>
      <c r="I56" s="23" t="str">
        <f>IFERROR(__xludf.DUMMYFUNCTION("GOOGLETRANSLATE(B56, ""en"", ""pl"")"),"Może być wykonane do odzieży.")</f>
        <v>Może być wykonane do odzieży.</v>
      </c>
      <c r="J56" s="25" t="str">
        <f>IFERROR(__xludf.DUMMYFUNCTION("GOOGLETRANSLATE(B56, ""en"", ""zh"")"),"可制作成服装。")</f>
        <v>可制作成服装。</v>
      </c>
      <c r="K56" s="25" t="str">
        <f>IFERROR(__xludf.DUMMYFUNCTION("GOOGLETRANSLATE(B56, ""en"", ""vi"")"),"Có thể được chế tác vào quần áo.")</f>
        <v>Có thể được chế tác vào quần áo.</v>
      </c>
      <c r="L56" s="26" t="str">
        <f>IFERROR(__xludf.DUMMYFUNCTION("GOOGLETRANSLATE(B56, ""en"", ""hr"")"),"Mogu biti izrađeni u odjeću.")</f>
        <v>Mogu biti izrađeni u odjeću.</v>
      </c>
      <c r="M56" s="28"/>
      <c r="N56" s="28"/>
      <c r="O56" s="28"/>
      <c r="P56" s="28"/>
      <c r="Q56" s="28"/>
      <c r="R56" s="28"/>
      <c r="S56" s="28"/>
      <c r="T56" s="28"/>
      <c r="U56" s="28"/>
      <c r="V56" s="28"/>
      <c r="W56" s="28"/>
      <c r="X56" s="28"/>
      <c r="Y56" s="28"/>
      <c r="Z56" s="28"/>
      <c r="AA56" s="28"/>
      <c r="AB56" s="28"/>
    </row>
    <row r="57">
      <c r="A57" s="40" t="s">
        <v>401</v>
      </c>
      <c r="B57" s="22" t="s">
        <v>402</v>
      </c>
      <c r="C57" s="23" t="str">
        <f>IFERROR(__xludf.DUMMYFUNCTION("GOOGLETRANSLATE(B57, ""en"", ""fr"")"),"Plumes")</f>
        <v>Plumes</v>
      </c>
      <c r="D57" s="23" t="str">
        <f>IFERROR(__xludf.DUMMYFUNCTION("GOOGLETRANSLATE(B57, ""en"", ""es"")"),"Plumas")</f>
        <v>Plumas</v>
      </c>
      <c r="E57" s="23" t="str">
        <f>IFERROR(__xludf.DUMMYFUNCTION("GOOGLETRANSLATE(B57, ""en"", ""ru"")"),"Перья")</f>
        <v>Перья</v>
      </c>
      <c r="F57" s="23" t="str">
        <f>IFERROR(__xludf.DUMMYFUNCTION("GOOGLETRANSLATE(B57, ""en"", ""tr"")"),"Tüyler")</f>
        <v>Tüyler</v>
      </c>
      <c r="G57" s="23" t="str">
        <f>IFERROR(__xludf.DUMMYFUNCTION("GOOGLETRANSLATE(B57, ""en"", ""pt"")"),"Penas")</f>
        <v>Penas</v>
      </c>
      <c r="H57" s="24" t="str">
        <f>IFERROR(__xludf.DUMMYFUNCTION("GOOGLETRANSLATE(B57, ""en"", ""de"")"),"Gefieder")</f>
        <v>Gefieder</v>
      </c>
      <c r="I57" s="23" t="str">
        <f>IFERROR(__xludf.DUMMYFUNCTION("GOOGLETRANSLATE(B57, ""en"", ""pl"")"),"Pióra")</f>
        <v>Pióra</v>
      </c>
      <c r="J57" s="25" t="str">
        <f>IFERROR(__xludf.DUMMYFUNCTION("GOOGLETRANSLATE(B57, ""en"", ""zh"")"),"羽毛")</f>
        <v>羽毛</v>
      </c>
      <c r="K57" s="25" t="str">
        <f>IFERROR(__xludf.DUMMYFUNCTION("GOOGLETRANSLATE(B57, ""en"", ""vi"")"),"lông")</f>
        <v>lông</v>
      </c>
      <c r="L57" s="26" t="str">
        <f>IFERROR(__xludf.DUMMYFUNCTION("GOOGLETRANSLATE(B57, ""en"", ""hr"")"),"perje")</f>
        <v>perje</v>
      </c>
      <c r="M57" s="28"/>
      <c r="N57" s="28"/>
      <c r="O57" s="28"/>
      <c r="P57" s="28"/>
      <c r="Q57" s="28"/>
      <c r="R57" s="28"/>
      <c r="S57" s="28"/>
      <c r="T57" s="28"/>
      <c r="U57" s="28"/>
      <c r="V57" s="28"/>
      <c r="W57" s="28"/>
      <c r="X57" s="28"/>
      <c r="Y57" s="28"/>
      <c r="Z57" s="28"/>
      <c r="AA57" s="28"/>
      <c r="AB57" s="28"/>
    </row>
    <row r="58">
      <c r="A58" s="40" t="s">
        <v>403</v>
      </c>
      <c r="B58" s="22" t="s">
        <v>404</v>
      </c>
      <c r="C58" s="23" t="str">
        <f>IFERROR(__xludf.DUMMYFUNCTION("GOOGLETRANSLATE(B58, ""en"", ""fr"")"),"Peut être conçu en flèches.")</f>
        <v>Peut être conçu en flèches.</v>
      </c>
      <c r="D58" s="23" t="str">
        <f>IFERROR(__xludf.DUMMYFUNCTION("GOOGLETRANSLATE(B58, ""en"", ""es"")"),"Se pueden fabricar en flechas.")</f>
        <v>Se pueden fabricar en flechas.</v>
      </c>
      <c r="E58" s="23" t="str">
        <f>IFERROR(__xludf.DUMMYFUNCTION("GOOGLETRANSLATE(B58, ""en"", ""ru"")"),"Может быть сделан в стрелки.")</f>
        <v>Может быть сделан в стрелки.</v>
      </c>
      <c r="F58" s="23" t="str">
        <f>IFERROR(__xludf.DUMMYFUNCTION("GOOGLETRANSLATE(B58, ""en"", ""tr"")"),"oklar içine hazırlanmış olabilir.")</f>
        <v>oklar içine hazırlanmış olabilir.</v>
      </c>
      <c r="G58" s="23" t="str">
        <f>IFERROR(__xludf.DUMMYFUNCTION("GOOGLETRANSLATE(B58, ""en"", ""pt"")"),"Pode ser trabalhada em setas.")</f>
        <v>Pode ser trabalhada em setas.</v>
      </c>
      <c r="H58" s="24" t="str">
        <f>IFERROR(__xludf.DUMMYFUNCTION("GOOGLETRANSLATE(B58, ""en"", ""de"")"),"Kann in Pfeile gefertigt werden.")</f>
        <v>Kann in Pfeile gefertigt werden.</v>
      </c>
      <c r="I58" s="23" t="str">
        <f>IFERROR(__xludf.DUMMYFUNCTION("GOOGLETRANSLATE(B58, ""en"", ""pl"")"),"Może być wykonane do strzałki.")</f>
        <v>Może być wykonane do strzałki.</v>
      </c>
      <c r="J58" s="25" t="str">
        <f>IFERROR(__xludf.DUMMYFUNCTION("GOOGLETRANSLATE(B58, ""en"", ""zh"")"),"可制作成箭头。")</f>
        <v>可制作成箭头。</v>
      </c>
      <c r="K58" s="25" t="str">
        <f>IFERROR(__xludf.DUMMYFUNCTION("GOOGLETRANSLATE(B58, ""en"", ""vi"")"),"Có thể được chế tác vào mũi tên.")</f>
        <v>Có thể được chế tác vào mũi tên.</v>
      </c>
      <c r="L58" s="26" t="str">
        <f>IFERROR(__xludf.DUMMYFUNCTION("GOOGLETRANSLATE(B58, ""en"", ""hr"")"),"Mogu biti izrađeni u strijele.")</f>
        <v>Mogu biti izrađeni u strijele.</v>
      </c>
      <c r="M58" s="28"/>
      <c r="N58" s="28"/>
      <c r="O58" s="28"/>
      <c r="P58" s="28"/>
      <c r="Q58" s="28"/>
      <c r="R58" s="28"/>
      <c r="S58" s="28"/>
      <c r="T58" s="28"/>
      <c r="U58" s="28"/>
      <c r="V58" s="28"/>
      <c r="W58" s="28"/>
      <c r="X58" s="28"/>
      <c r="Y58" s="28"/>
      <c r="Z58" s="28"/>
      <c r="AA58" s="28"/>
      <c r="AB58" s="28"/>
    </row>
    <row r="59">
      <c r="A59" s="41" t="s">
        <v>405</v>
      </c>
      <c r="B59" s="22" t="s">
        <v>406</v>
      </c>
      <c r="C59" s="23" t="str">
        <f>IFERROR(__xludf.DUMMYFUNCTION("GOOGLETRANSLATE(B59, ""en"", ""fr"")"),"Une casquette rouge")</f>
        <v>Une casquette rouge</v>
      </c>
      <c r="D59" s="23" t="str">
        <f>IFERROR(__xludf.DUMMYFUNCTION("GOOGLETRANSLATE(B59, ""en"", ""es"")"),"Gorra roja")</f>
        <v>Gorra roja</v>
      </c>
      <c r="E59" s="23" t="str">
        <f>IFERROR(__xludf.DUMMYFUNCTION("GOOGLETRANSLATE(B59, ""en"", ""ru"")"),"Красная Шапка")</f>
        <v>Красная Шапка</v>
      </c>
      <c r="F59" s="23" t="str">
        <f>IFERROR(__xludf.DUMMYFUNCTION("GOOGLETRANSLATE(B59, ""en"", ""tr"")"),"Kırmızı şapka")</f>
        <v>Kırmızı şapka</v>
      </c>
      <c r="G59" s="23" t="str">
        <f>IFERROR(__xludf.DUMMYFUNCTION("GOOGLETRANSLATE(B59, ""en"", ""pt"")"),"Boné vermelho")</f>
        <v>Boné vermelho</v>
      </c>
      <c r="H59" s="24" t="str">
        <f>IFERROR(__xludf.DUMMYFUNCTION("GOOGLETRANSLATE(B59, ""en"", ""de"")"),"Rote Mütze")</f>
        <v>Rote Mütze</v>
      </c>
      <c r="I59" s="23" t="str">
        <f>IFERROR(__xludf.DUMMYFUNCTION("GOOGLETRANSLATE(B59, ""en"", ""pl"")"),"Czerwona czapka")</f>
        <v>Czerwona czapka</v>
      </c>
      <c r="J59" s="25" t="str">
        <f>IFERROR(__xludf.DUMMYFUNCTION("GOOGLETRANSLATE(B59, ""en"", ""zh"")"),"红帽")</f>
        <v>红帽</v>
      </c>
      <c r="K59" s="25" t="str">
        <f>IFERROR(__xludf.DUMMYFUNCTION("GOOGLETRANSLATE(B59, ""en"", ""vi"")"),"Nắp màu đỏ")</f>
        <v>Nắp màu đỏ</v>
      </c>
      <c r="L59" s="26" t="str">
        <f>IFERROR(__xludf.DUMMYFUNCTION("GOOGLETRANSLATE(B59, ""en"", ""hr"")"),"Crvena kapa")</f>
        <v>Crvena kapa</v>
      </c>
      <c r="M59" s="28"/>
      <c r="N59" s="28"/>
      <c r="O59" s="28"/>
      <c r="P59" s="28"/>
      <c r="Q59" s="28"/>
      <c r="R59" s="28"/>
      <c r="S59" s="28"/>
      <c r="T59" s="28"/>
      <c r="U59" s="28"/>
      <c r="V59" s="28"/>
      <c r="W59" s="28"/>
      <c r="X59" s="28"/>
      <c r="Y59" s="28"/>
      <c r="Z59" s="28"/>
      <c r="AA59" s="28"/>
      <c r="AB59" s="28"/>
    </row>
    <row r="60">
      <c r="A60" s="41" t="s">
        <v>407</v>
      </c>
      <c r="B60" s="22" t="s">
        <v>408</v>
      </c>
      <c r="C60" s="23" t="str">
        <f>IFERROR(__xludf.DUMMYFUNCTION("GOOGLETRANSLATE(B60, ""en"", ""fr"")"),"Peut être mangé ou fabriqué dans une potion pour un effet plus fort.")</f>
        <v>Peut être mangé ou fabriqué dans une potion pour un effet plus fort.</v>
      </c>
      <c r="D60" s="23" t="str">
        <f>IFERROR(__xludf.DUMMYFUNCTION("GOOGLETRANSLATE(B60, ""en"", ""es"")"),"Se puede comer, o hecho a mano en una poción para un efecto más fuerte.")</f>
        <v>Se puede comer, o hecho a mano en una poción para un efecto más fuerte.</v>
      </c>
      <c r="E60" s="23" t="str">
        <f>IFERROR(__xludf.DUMMYFUNCTION("GOOGLETRANSLATE(B60, ""en"", ""ru"")"),"Может быть съедено, или созданной в зелье для усиления эффекта.")</f>
        <v>Может быть съедено, или созданной в зелье для усиления эффекта.</v>
      </c>
      <c r="F60" s="23" t="str">
        <f>IFERROR(__xludf.DUMMYFUNCTION("GOOGLETRANSLATE(B60, ""en"", ""tr"")"),"yemiş, veya daha güçlü bir etki için bir iksir içine hazırlanmış olabilir.")</f>
        <v>yemiş, veya daha güçlü bir etki için bir iksir içine hazırlanmış olabilir.</v>
      </c>
      <c r="G60" s="23" t="str">
        <f>IFERROR(__xludf.DUMMYFUNCTION("GOOGLETRANSLATE(B60, ""en"", ""pt"")"),"Pode ser comido, ou trabalhada em uma poção para um efeito mais forte.")</f>
        <v>Pode ser comido, ou trabalhada em uma poção para um efeito mais forte.</v>
      </c>
      <c r="H60" s="24" t="str">
        <f>IFERROR(__xludf.DUMMYFUNCTION("GOOGLETRANSLATE(B60, ""en"", ""de"")"),"Kann gegessen werden, oder für einen stärkeren Effekt in einen Trank gefertigt.")</f>
        <v>Kann gegessen werden, oder für einen stärkeren Effekt in einen Trank gefertigt.</v>
      </c>
      <c r="I60" s="23" t="str">
        <f>IFERROR(__xludf.DUMMYFUNCTION("GOOGLETRANSLATE(B60, ""en"", ""pl"")"),"Mogą być spożywane lub spreparowane w eliksir dla silniejszego efektu.")</f>
        <v>Mogą być spożywane lub spreparowane w eliksir dla silniejszego efektu.</v>
      </c>
      <c r="J60" s="25" t="str">
        <f>IFERROR(__xludf.DUMMYFUNCTION("GOOGLETRANSLATE(B60, ""en"", ""zh"")"),"可以吃，或制作成更强的效果药水。")</f>
        <v>可以吃，或制作成更强的效果药水。</v>
      </c>
      <c r="K60" s="25" t="str">
        <f>IFERROR(__xludf.DUMMYFUNCTION("GOOGLETRANSLATE(B60, ""en"", ""vi"")"),"Có thể ăn, hoặc chế tác thành một potion cho một hiệu ứng mạnh mẽ.")</f>
        <v>Có thể ăn, hoặc chế tác thành một potion cho một hiệu ứng mạnh mẽ.</v>
      </c>
      <c r="L60" s="26" t="str">
        <f>IFERROR(__xludf.DUMMYFUNCTION("GOOGLETRANSLATE(B60, ""en"", ""hr"")"),"Može se jesti, ili izrađen u napitak za jači učinak.")</f>
        <v>Može se jesti, ili izrađen u napitak za jači učinak.</v>
      </c>
      <c r="M60" s="28"/>
      <c r="N60" s="28"/>
      <c r="O60" s="28"/>
      <c r="P60" s="28"/>
      <c r="Q60" s="28"/>
      <c r="R60" s="28"/>
      <c r="S60" s="28"/>
      <c r="T60" s="28"/>
      <c r="U60" s="28"/>
      <c r="V60" s="28"/>
      <c r="W60" s="28"/>
      <c r="X60" s="28"/>
      <c r="Y60" s="28"/>
      <c r="Z60" s="28"/>
      <c r="AA60" s="28"/>
      <c r="AB60" s="28"/>
    </row>
    <row r="61">
      <c r="A61" s="41" t="s">
        <v>409</v>
      </c>
      <c r="B61" s="22" t="s">
        <v>410</v>
      </c>
      <c r="C61" s="23" t="str">
        <f>IFERROR(__xludf.DUMMYFUNCTION("GOOGLETRANSLATE(B61, ""en"", ""fr"")"),"Greencap")</f>
        <v>Greencap</v>
      </c>
      <c r="D61" s="23" t="str">
        <f>IFERROR(__xludf.DUMMYFUNCTION("GOOGLETRANSLATE(B61, ""en"", ""es"")"),"Gorra verde")</f>
        <v>Gorra verde</v>
      </c>
      <c r="E61" s="23" t="str">
        <f>IFERROR(__xludf.DUMMYFUNCTION("GOOGLETRANSLATE(B61, ""en"", ""ru"")"),"Greencap")</f>
        <v>Greencap</v>
      </c>
      <c r="F61" s="23" t="str">
        <f>IFERROR(__xludf.DUMMYFUNCTION("GOOGLETRANSLATE(B61, ""en"", ""tr"")"),"Greencap")</f>
        <v>Greencap</v>
      </c>
      <c r="G61" s="23" t="str">
        <f>IFERROR(__xludf.DUMMYFUNCTION("GOOGLETRANSLATE(B61, ""en"", ""pt"")"),"greencap")</f>
        <v>greencap</v>
      </c>
      <c r="H61" s="24" t="str">
        <f>IFERROR(__xludf.DUMMYFUNCTION("GOOGLETRANSLATE(B61, ""en"", ""de"")"),"Greencap")</f>
        <v>Greencap</v>
      </c>
      <c r="I61" s="23" t="str">
        <f>IFERROR(__xludf.DUMMYFUNCTION("GOOGLETRANSLATE(B61, ""en"", ""pl"")"),"Greencap")</f>
        <v>Greencap</v>
      </c>
      <c r="J61" s="25" t="str">
        <f>IFERROR(__xludf.DUMMYFUNCTION("GOOGLETRANSLATE(B61, ""en"", ""zh"")"),"Greencap")</f>
        <v>Greencap</v>
      </c>
      <c r="K61" s="25" t="str">
        <f>IFERROR(__xludf.DUMMYFUNCTION("GOOGLETRANSLATE(B61, ""en"", ""vi"")"),"Chiếc mũ xanh")</f>
        <v>Chiếc mũ xanh</v>
      </c>
      <c r="L61" s="26" t="str">
        <f>IFERROR(__xludf.DUMMYFUNCTION("GOOGLETRANSLATE(B61, ""en"", ""hr"")"),"Greencap")</f>
        <v>Greencap</v>
      </c>
      <c r="M61" s="28"/>
      <c r="N61" s="28"/>
      <c r="O61" s="28"/>
      <c r="P61" s="28"/>
      <c r="Q61" s="28"/>
      <c r="R61" s="28"/>
      <c r="S61" s="28"/>
      <c r="T61" s="28"/>
      <c r="U61" s="28"/>
      <c r="V61" s="28"/>
      <c r="W61" s="28"/>
      <c r="X61" s="28"/>
      <c r="Y61" s="28"/>
      <c r="Z61" s="28"/>
      <c r="AA61" s="28"/>
      <c r="AB61" s="28"/>
    </row>
    <row r="62">
      <c r="A62" s="41" t="s">
        <v>411</v>
      </c>
      <c r="B62" s="22" t="s">
        <v>408</v>
      </c>
      <c r="C62" s="23" t="str">
        <f>IFERROR(__xludf.DUMMYFUNCTION("GOOGLETRANSLATE(B62, ""en"", ""fr"")"),"Peut être mangé ou fabriqué dans une potion pour un effet plus fort.")</f>
        <v>Peut être mangé ou fabriqué dans une potion pour un effet plus fort.</v>
      </c>
      <c r="D62" s="23" t="str">
        <f>IFERROR(__xludf.DUMMYFUNCTION("GOOGLETRANSLATE(B62, ""en"", ""es"")"),"Se puede comer, o hecho a mano en una poción para un efecto más fuerte.")</f>
        <v>Se puede comer, o hecho a mano en una poción para un efecto más fuerte.</v>
      </c>
      <c r="E62" s="23" t="str">
        <f>IFERROR(__xludf.DUMMYFUNCTION("GOOGLETRANSLATE(B62, ""en"", ""ru"")"),"Может быть съедено, или созданной в зелье для усиления эффекта.")</f>
        <v>Может быть съедено, или созданной в зелье для усиления эффекта.</v>
      </c>
      <c r="F62" s="23" t="str">
        <f>IFERROR(__xludf.DUMMYFUNCTION("GOOGLETRANSLATE(B62, ""en"", ""tr"")"),"yemiş, veya daha güçlü bir etki için bir iksir içine hazırlanmış olabilir.")</f>
        <v>yemiş, veya daha güçlü bir etki için bir iksir içine hazırlanmış olabilir.</v>
      </c>
      <c r="G62" s="23" t="str">
        <f>IFERROR(__xludf.DUMMYFUNCTION("GOOGLETRANSLATE(B62, ""en"", ""pt"")"),"Pode ser comido, ou trabalhada em uma poção para um efeito mais forte.")</f>
        <v>Pode ser comido, ou trabalhada em uma poção para um efeito mais forte.</v>
      </c>
      <c r="H62" s="24" t="str">
        <f>IFERROR(__xludf.DUMMYFUNCTION("GOOGLETRANSLATE(B62, ""en"", ""de"")"),"Kann gegessen werden, oder für einen stärkeren Effekt in einen Trank gefertigt.")</f>
        <v>Kann gegessen werden, oder für einen stärkeren Effekt in einen Trank gefertigt.</v>
      </c>
      <c r="I62" s="23" t="str">
        <f>IFERROR(__xludf.DUMMYFUNCTION("GOOGLETRANSLATE(B62, ""en"", ""pl"")"),"Mogą być spożywane lub spreparowane w eliksir dla silniejszego efektu.")</f>
        <v>Mogą być spożywane lub spreparowane w eliksir dla silniejszego efektu.</v>
      </c>
      <c r="J62" s="25" t="str">
        <f>IFERROR(__xludf.DUMMYFUNCTION("GOOGLETRANSLATE(B62, ""en"", ""zh"")"),"可以吃，或制作成更强的效果药水。")</f>
        <v>可以吃，或制作成更强的效果药水。</v>
      </c>
      <c r="K62" s="25" t="str">
        <f>IFERROR(__xludf.DUMMYFUNCTION("GOOGLETRANSLATE(B62, ""en"", ""vi"")"),"Có thể ăn, hoặc chế tác thành một potion cho một hiệu ứng mạnh mẽ.")</f>
        <v>Có thể ăn, hoặc chế tác thành một potion cho một hiệu ứng mạnh mẽ.</v>
      </c>
      <c r="L62" s="26" t="str">
        <f>IFERROR(__xludf.DUMMYFUNCTION("GOOGLETRANSLATE(B62, ""en"", ""hr"")"),"Može se jesti, ili izrađen u napitak za jači učinak.")</f>
        <v>Može se jesti, ili izrađen u napitak za jači učinak.</v>
      </c>
      <c r="M62" s="28"/>
      <c r="N62" s="28"/>
      <c r="O62" s="28"/>
      <c r="P62" s="28"/>
      <c r="Q62" s="28"/>
      <c r="R62" s="28"/>
      <c r="S62" s="28"/>
      <c r="T62" s="28"/>
      <c r="U62" s="28"/>
      <c r="V62" s="28"/>
      <c r="W62" s="28"/>
      <c r="X62" s="28"/>
      <c r="Y62" s="28"/>
      <c r="Z62" s="28"/>
      <c r="AA62" s="28"/>
      <c r="AB62" s="28"/>
    </row>
    <row r="63">
      <c r="A63" s="41" t="s">
        <v>412</v>
      </c>
      <c r="B63" s="22" t="s">
        <v>413</v>
      </c>
      <c r="C63" s="23" t="str">
        <f>IFERROR(__xludf.DUMMYFUNCTION("GOOGLETRANSLATE(B63, ""en"", ""fr"")"),"Casquette bleue")</f>
        <v>Casquette bleue</v>
      </c>
      <c r="D63" s="23" t="str">
        <f>IFERROR(__xludf.DUMMYFUNCTION("GOOGLETRANSLATE(B63, ""en"", ""es"")"),"Gorra azul")</f>
        <v>Gorra azul</v>
      </c>
      <c r="E63" s="23" t="str">
        <f>IFERROR(__xludf.DUMMYFUNCTION("GOOGLETRANSLATE(B63, ""en"", ""ru"")"),"Bluecap")</f>
        <v>Bluecap</v>
      </c>
      <c r="F63" s="23" t="str">
        <f>IFERROR(__xludf.DUMMYFUNCTION("GOOGLETRANSLATE(B63, ""en"", ""tr"")"),"Mavi şapka")</f>
        <v>Mavi şapka</v>
      </c>
      <c r="G63" s="23" t="str">
        <f>IFERROR(__xludf.DUMMYFUNCTION("GOOGLETRANSLATE(B63, ""en"", ""pt"")"),"Boné azul")</f>
        <v>Boné azul</v>
      </c>
      <c r="H63" s="24" t="str">
        <f>IFERROR(__xludf.DUMMYFUNCTION("GOOGLETRANSLATE(B63, ""en"", ""de"")"),"Blaue Kappe")</f>
        <v>Blaue Kappe</v>
      </c>
      <c r="I63" s="23" t="str">
        <f>IFERROR(__xludf.DUMMYFUNCTION("GOOGLETRANSLATE(B63, ""en"", ""pl"")"),"Niebieska czapka")</f>
        <v>Niebieska czapka</v>
      </c>
      <c r="J63" s="25" t="str">
        <f>IFERROR(__xludf.DUMMYFUNCTION("GOOGLETRANSLATE(B63, ""en"", ""zh"")"),"BlueCap的")</f>
        <v>BlueCap的</v>
      </c>
      <c r="K63" s="25" t="str">
        <f>IFERROR(__xludf.DUMMYFUNCTION("GOOGLETRANSLATE(B63, ""en"", ""vi"")"),"Mũ lưỡi trai màu xanh")</f>
        <v>Mũ lưỡi trai màu xanh</v>
      </c>
      <c r="L63" s="26" t="str">
        <f>IFERROR(__xludf.DUMMYFUNCTION("GOOGLETRANSLATE(B63, ""en"", ""hr"")"),"Bluecap")</f>
        <v>Bluecap</v>
      </c>
      <c r="M63" s="28"/>
      <c r="N63" s="28"/>
      <c r="O63" s="28"/>
      <c r="P63" s="28"/>
      <c r="Q63" s="28"/>
      <c r="R63" s="28"/>
      <c r="S63" s="28"/>
      <c r="T63" s="28"/>
      <c r="U63" s="28"/>
      <c r="V63" s="28"/>
      <c r="W63" s="28"/>
      <c r="X63" s="28"/>
      <c r="Y63" s="28"/>
      <c r="Z63" s="28"/>
      <c r="AA63" s="28"/>
      <c r="AB63" s="28"/>
    </row>
    <row r="64">
      <c r="A64" s="41" t="s">
        <v>414</v>
      </c>
      <c r="B64" s="22" t="s">
        <v>408</v>
      </c>
      <c r="C64" s="23" t="str">
        <f>IFERROR(__xludf.DUMMYFUNCTION("GOOGLETRANSLATE(B64, ""en"", ""fr"")"),"Peut être mangé ou fabriqué dans une potion pour un effet plus fort.")</f>
        <v>Peut être mangé ou fabriqué dans une potion pour un effet plus fort.</v>
      </c>
      <c r="D64" s="23" t="str">
        <f>IFERROR(__xludf.DUMMYFUNCTION("GOOGLETRANSLATE(B64, ""en"", ""es"")"),"Se puede comer, o hecho a mano en una poción para un efecto más fuerte.")</f>
        <v>Se puede comer, o hecho a mano en una poción para un efecto más fuerte.</v>
      </c>
      <c r="E64" s="23" t="str">
        <f>IFERROR(__xludf.DUMMYFUNCTION("GOOGLETRANSLATE(B64, ""en"", ""ru"")"),"Может быть съедено, или созданной в зелье для усиления эффекта.")</f>
        <v>Может быть съедено, или созданной в зелье для усиления эффекта.</v>
      </c>
      <c r="F64" s="23" t="str">
        <f>IFERROR(__xludf.DUMMYFUNCTION("GOOGLETRANSLATE(B64, ""en"", ""tr"")"),"yemiş, veya daha güçlü bir etki için bir iksir içine hazırlanmış olabilir.")</f>
        <v>yemiş, veya daha güçlü bir etki için bir iksir içine hazırlanmış olabilir.</v>
      </c>
      <c r="G64" s="23" t="str">
        <f>IFERROR(__xludf.DUMMYFUNCTION("GOOGLETRANSLATE(B64, ""en"", ""pt"")"),"Pode ser comido, ou trabalhada em uma poção para um efeito mais forte.")</f>
        <v>Pode ser comido, ou trabalhada em uma poção para um efeito mais forte.</v>
      </c>
      <c r="H64" s="24" t="str">
        <f>IFERROR(__xludf.DUMMYFUNCTION("GOOGLETRANSLATE(B64, ""en"", ""de"")"),"Kann gegessen werden, oder für einen stärkeren Effekt in einen Trank gefertigt.")</f>
        <v>Kann gegessen werden, oder für einen stärkeren Effekt in einen Trank gefertigt.</v>
      </c>
      <c r="I64" s="23" t="str">
        <f>IFERROR(__xludf.DUMMYFUNCTION("GOOGLETRANSLATE(B64, ""en"", ""pl"")"),"Mogą być spożywane lub spreparowane w eliksir dla silniejszego efektu.")</f>
        <v>Mogą być spożywane lub spreparowane w eliksir dla silniejszego efektu.</v>
      </c>
      <c r="J64" s="25" t="str">
        <f>IFERROR(__xludf.DUMMYFUNCTION("GOOGLETRANSLATE(B64, ""en"", ""zh"")"),"可以吃，或制作成更强的效果药水。")</f>
        <v>可以吃，或制作成更强的效果药水。</v>
      </c>
      <c r="K64" s="25" t="str">
        <f>IFERROR(__xludf.DUMMYFUNCTION("GOOGLETRANSLATE(B64, ""en"", ""vi"")"),"Có thể ăn, hoặc chế tác thành một potion cho một hiệu ứng mạnh mẽ.")</f>
        <v>Có thể ăn, hoặc chế tác thành một potion cho một hiệu ứng mạnh mẽ.</v>
      </c>
      <c r="L64" s="26" t="str">
        <f>IFERROR(__xludf.DUMMYFUNCTION("GOOGLETRANSLATE(B64, ""en"", ""hr"")"),"Može se jesti, ili izrađen u napitak za jači učinak.")</f>
        <v>Može se jesti, ili izrađen u napitak za jači učinak.</v>
      </c>
      <c r="M64" s="28"/>
      <c r="N64" s="28"/>
      <c r="O64" s="28"/>
      <c r="P64" s="28"/>
      <c r="Q64" s="28"/>
      <c r="R64" s="28"/>
      <c r="S64" s="28"/>
      <c r="T64" s="28"/>
      <c r="U64" s="28"/>
      <c r="V64" s="28"/>
      <c r="W64" s="28"/>
      <c r="X64" s="28"/>
      <c r="Y64" s="28"/>
      <c r="Z64" s="28"/>
      <c r="AA64" s="28"/>
      <c r="AB64" s="28"/>
    </row>
    <row r="65">
      <c r="A65" s="40" t="s">
        <v>415</v>
      </c>
      <c r="B65" s="22" t="s">
        <v>416</v>
      </c>
      <c r="C65" s="23" t="str">
        <f>IFERROR(__xludf.DUMMYFUNCTION("GOOGLETRANSLATE(B65, ""en"", ""fr"")"),"Potion de vie")</f>
        <v>Potion de vie</v>
      </c>
      <c r="D65" s="23" t="str">
        <f>IFERROR(__xludf.DUMMYFUNCTION("GOOGLETRANSLATE(B65, ""en"", ""es"")"),"Poción de salud")</f>
        <v>Poción de salud</v>
      </c>
      <c r="E65" s="23" t="str">
        <f>IFERROR(__xludf.DUMMYFUNCTION("GOOGLETRANSLATE(B65, ""en"", ""ru"")"),"зелье здоровья")</f>
        <v>зелье здоровья</v>
      </c>
      <c r="F65" s="23" t="str">
        <f>IFERROR(__xludf.DUMMYFUNCTION("GOOGLETRANSLATE(B65, ""en"", ""tr"")"),"Can iksiri")</f>
        <v>Can iksiri</v>
      </c>
      <c r="G65" s="23" t="str">
        <f>IFERROR(__xludf.DUMMYFUNCTION("GOOGLETRANSLATE(B65, ""en"", ""pt"")"),"Poção de saúde")</f>
        <v>Poção de saúde</v>
      </c>
      <c r="H65" s="24" t="str">
        <f>IFERROR(__xludf.DUMMYFUNCTION("GOOGLETRANSLATE(B65, ""en"", ""de"")"),"Gesundheitstrank")</f>
        <v>Gesundheitstrank</v>
      </c>
      <c r="I65" s="23" t="str">
        <f>IFERROR(__xludf.DUMMYFUNCTION("GOOGLETRANSLATE(B65, ""en"", ""pl"")"),"Mikstura zdrowia")</f>
        <v>Mikstura zdrowia</v>
      </c>
      <c r="J65" s="25" t="str">
        <f>IFERROR(__xludf.DUMMYFUNCTION("GOOGLETRANSLATE(B65, ""en"", ""zh"")"),"健康药水")</f>
        <v>健康药水</v>
      </c>
      <c r="K65" s="25" t="str">
        <f>IFERROR(__xludf.DUMMYFUNCTION("GOOGLETRANSLATE(B65, ""en"", ""vi"")"),"Bình máu")</f>
        <v>Bình máu</v>
      </c>
      <c r="L65" s="26" t="str">
        <f>IFERROR(__xludf.DUMMYFUNCTION("GOOGLETRANSLATE(B65, ""en"", ""hr"")"),"Napitak za zdravlje")</f>
        <v>Napitak za zdravlje</v>
      </c>
      <c r="M65" s="28"/>
      <c r="N65" s="28"/>
      <c r="O65" s="28"/>
      <c r="P65" s="28"/>
      <c r="Q65" s="28"/>
      <c r="R65" s="28"/>
      <c r="S65" s="28"/>
      <c r="T65" s="28"/>
      <c r="U65" s="28"/>
      <c r="V65" s="28"/>
      <c r="W65" s="28"/>
      <c r="X65" s="28"/>
      <c r="Y65" s="28"/>
      <c r="Z65" s="28"/>
      <c r="AA65" s="28"/>
      <c r="AB65" s="28"/>
    </row>
    <row r="66">
      <c r="A66" s="40" t="s">
        <v>417</v>
      </c>
      <c r="B66" s="22" t="s">
        <v>418</v>
      </c>
      <c r="C66" s="23" t="str">
        <f>IFERROR(__xludf.DUMMYFUNCTION("GOOGLETRANSLATE(B66, ""en"", ""fr"")"),"Restaure quelques points de vie au fil du temps quand il est utilisé.")</f>
        <v>Restaure quelques points de vie au fil du temps quand il est utilisé.</v>
      </c>
      <c r="D66" s="23" t="str">
        <f>IFERROR(__xludf.DUMMYFUNCTION("GOOGLETRANSLATE(B66, ""en"", ""es"")"),"Restaura algunos puntos de resistencia con el tiempo cuando se utiliza.")</f>
        <v>Restaura algunos puntos de resistencia con el tiempo cuando se utiliza.</v>
      </c>
      <c r="E66" s="23" t="str">
        <f>IFERROR(__xludf.DUMMYFUNCTION("GOOGLETRANSLATE(B66, ""en"", ""ru"")"),"Восполнение несколько хитпоинтов с течением времени при использовании.")</f>
        <v>Восполнение несколько хитпоинтов с течением времени при использовании.</v>
      </c>
      <c r="F66" s="23" t="str">
        <f>IFERROR(__xludf.DUMMYFUNCTION("GOOGLETRANSLATE(B66, ""en"", ""tr"")"),"kullanıldığında zamanla bazı hitpoints geri yükler.")</f>
        <v>kullanıldığında zamanla bazı hitpoints geri yükler.</v>
      </c>
      <c r="G66" s="23" t="str">
        <f>IFERROR(__xludf.DUMMYFUNCTION("GOOGLETRANSLATE(B66, ""en"", ""pt"")"),"Restaura alguns pontos de vida ao longo do tempo, quando utilizado.")</f>
        <v>Restaura alguns pontos de vida ao longo do tempo, quando utilizado.</v>
      </c>
      <c r="H66" s="24" t="str">
        <f>IFERROR(__xludf.DUMMYFUNCTION("GOOGLETRANSLATE(B66, ""en"", ""de"")"),"Stellt einige Hitpoints im Laufe der Zeit, wenn verwendet.")</f>
        <v>Stellt einige Hitpoints im Laufe der Zeit, wenn verwendet.</v>
      </c>
      <c r="I66" s="23" t="str">
        <f>IFERROR(__xludf.DUMMYFUNCTION("GOOGLETRANSLATE(B66, ""en"", ""pl"")"),"Przywraca niektóre punkty życia w miarę upływu czasu, gdy stosowane.")</f>
        <v>Przywraca niektóre punkty życia w miarę upływu czasu, gdy stosowane.</v>
      </c>
      <c r="J66" s="25" t="str">
        <f>IFERROR(__xludf.DUMMYFUNCTION("GOOGLETRANSLATE(B66, ""en"", ""zh"")"),"使用时，随着时间的推移恢复生命值一些。")</f>
        <v>使用时，随着时间的推移恢复生命值一些。</v>
      </c>
      <c r="K66" s="25" t="str">
        <f>IFERROR(__xludf.DUMMYFUNCTION("GOOGLETRANSLATE(B66, ""en"", ""vi"")"),"Phục hồi một số hp theo thời gian khi sử dụng.")</f>
        <v>Phục hồi một số hp theo thời gian khi sử dụng.</v>
      </c>
      <c r="L66" s="26" t="str">
        <f>IFERROR(__xludf.DUMMYFUNCTION("GOOGLETRANSLATE(B66, ""en"", ""hr"")"),"Vraća neke udarpoena s vremenom kada se koristi.")</f>
        <v>Vraća neke udarpoena s vremenom kada se koristi.</v>
      </c>
      <c r="M66" s="28"/>
      <c r="N66" s="28"/>
      <c r="O66" s="28"/>
      <c r="P66" s="28"/>
      <c r="Q66" s="28"/>
      <c r="R66" s="28"/>
      <c r="S66" s="28"/>
      <c r="T66" s="28"/>
      <c r="U66" s="28"/>
      <c r="V66" s="28"/>
      <c r="W66" s="28"/>
      <c r="X66" s="28"/>
      <c r="Y66" s="28"/>
      <c r="Z66" s="28"/>
      <c r="AA66" s="28"/>
      <c r="AB66" s="28"/>
    </row>
    <row r="67">
      <c r="A67" s="40" t="s">
        <v>419</v>
      </c>
      <c r="B67" s="22" t="s">
        <v>420</v>
      </c>
      <c r="C67" s="23" t="str">
        <f>IFERROR(__xludf.DUMMYFUNCTION("GOOGLETRANSLATE(B67, ""en"", ""fr"")"),"potion d'énergie")</f>
        <v>potion d'énergie</v>
      </c>
      <c r="D67" s="23" t="str">
        <f>IFERROR(__xludf.DUMMYFUNCTION("GOOGLETRANSLATE(B67, ""en"", ""es"")"),"poción de energía")</f>
        <v>poción de energía</v>
      </c>
      <c r="E67" s="23" t="str">
        <f>IFERROR(__xludf.DUMMYFUNCTION("GOOGLETRANSLATE(B67, ""en"", ""ru"")"),"микстура Energy")</f>
        <v>микстура Energy</v>
      </c>
      <c r="F67" s="23" t="str">
        <f>IFERROR(__xludf.DUMMYFUNCTION("GOOGLETRANSLATE(B67, ""en"", ""tr"")"),"Enerji iksir")</f>
        <v>Enerji iksir</v>
      </c>
      <c r="G67" s="23" t="str">
        <f>IFERROR(__xludf.DUMMYFUNCTION("GOOGLETRANSLATE(B67, ""en"", ""pt"")"),"poção da energia")</f>
        <v>poção da energia</v>
      </c>
      <c r="H67" s="24" t="str">
        <f>IFERROR(__xludf.DUMMYFUNCTION("GOOGLETRANSLATE(B67, ""en"", ""de"")"),"Energietrank")</f>
        <v>Energietrank</v>
      </c>
      <c r="I67" s="23" t="str">
        <f>IFERROR(__xludf.DUMMYFUNCTION("GOOGLETRANSLATE(B67, ""en"", ""pl"")"),"eliksir energii")</f>
        <v>eliksir energii</v>
      </c>
      <c r="J67" s="25" t="str">
        <f>IFERROR(__xludf.DUMMYFUNCTION("GOOGLETRANSLATE(B67, ""en"", ""zh"")"),"能量药水")</f>
        <v>能量药水</v>
      </c>
      <c r="K67" s="25" t="str">
        <f>IFERROR(__xludf.DUMMYFUNCTION("GOOGLETRANSLATE(B67, ""en"", ""vi"")"),"potion năng lượng")</f>
        <v>potion năng lượng</v>
      </c>
      <c r="L67" s="26" t="str">
        <f>IFERROR(__xludf.DUMMYFUNCTION("GOOGLETRANSLATE(B67, ""en"", ""hr"")"),"Energetski napitak")</f>
        <v>Energetski napitak</v>
      </c>
      <c r="M67" s="28"/>
      <c r="N67" s="28"/>
      <c r="O67" s="28"/>
      <c r="P67" s="28"/>
      <c r="Q67" s="28"/>
      <c r="R67" s="28"/>
      <c r="S67" s="28"/>
      <c r="T67" s="28"/>
      <c r="U67" s="28"/>
      <c r="V67" s="28"/>
      <c r="W67" s="28"/>
      <c r="X67" s="28"/>
      <c r="Y67" s="28"/>
      <c r="Z67" s="28"/>
      <c r="AA67" s="28"/>
      <c r="AB67" s="28"/>
    </row>
    <row r="68">
      <c r="A68" s="40" t="s">
        <v>421</v>
      </c>
      <c r="B68" s="22" t="s">
        <v>422</v>
      </c>
      <c r="C68" s="23" t="str">
        <f>IFERROR(__xludf.DUMMYFUNCTION("GOOGLETRANSLATE(B68, ""en"", ""fr"")"),"Restaure un peu d'énergie au fil du temps en cas d'utilisation.")</f>
        <v>Restaure un peu d'énergie au fil du temps en cas d'utilisation.</v>
      </c>
      <c r="D68" s="23" t="str">
        <f>IFERROR(__xludf.DUMMYFUNCTION("GOOGLETRANSLATE(B68, ""en"", ""es"")"),"Restaura un poco de energía a través del tiempo cuando se usa.")</f>
        <v>Restaura un poco de energía a través del tiempo cuando se usa.</v>
      </c>
      <c r="E68" s="23" t="str">
        <f>IFERROR(__xludf.DUMMYFUNCTION("GOOGLETRANSLATE(B68, ""en"", ""ru"")"),"Восстанавливает немного энергии с течением времени при использовании.")</f>
        <v>Восстанавливает немного энергии с течением времени при использовании.</v>
      </c>
      <c r="F68" s="23" t="str">
        <f>IFERROR(__xludf.DUMMYFUNCTION("GOOGLETRANSLATE(B68, ""en"", ""tr"")"),"kullanıldığında zamanla bazı enerji geri yükler.")</f>
        <v>kullanıldığında zamanla bazı enerji geri yükler.</v>
      </c>
      <c r="G68" s="23" t="str">
        <f>IFERROR(__xludf.DUMMYFUNCTION("GOOGLETRANSLATE(B68, ""en"", ""pt"")"),"Restaura um pouco de energia ao longo do tempo, quando utilizado.")</f>
        <v>Restaura um pouco de energia ao longo do tempo, quando utilizado.</v>
      </c>
      <c r="H68" s="24" t="str">
        <f>IFERROR(__xludf.DUMMYFUNCTION("GOOGLETRANSLATE(B68, ""en"", ""de"")"),"Stellt einige Energie im Laufe der Zeit, wenn verwendet.")</f>
        <v>Stellt einige Energie im Laufe der Zeit, wenn verwendet.</v>
      </c>
      <c r="I68" s="23" t="str">
        <f>IFERROR(__xludf.DUMMYFUNCTION("GOOGLETRANSLATE(B68, ""en"", ""pl"")"),"Przywraca trochę energii w miarę upływu czasu, gdy stosowane.")</f>
        <v>Przywraca trochę energii w miarę upływu czasu, gdy stosowane.</v>
      </c>
      <c r="J68" s="25" t="str">
        <f>IFERROR(__xludf.DUMMYFUNCTION("GOOGLETRANSLATE(B68, ""en"", ""zh"")"),"使用时，随着时间的推移恢复一定的能量。")</f>
        <v>使用时，随着时间的推移恢复一定的能量。</v>
      </c>
      <c r="K68" s="25" t="str">
        <f>IFERROR(__xludf.DUMMYFUNCTION("GOOGLETRANSLATE(B68, ""en"", ""vi"")"),"Phục hồi một số năng lượng theo thời gian khi sử dụng.")</f>
        <v>Phục hồi một số năng lượng theo thời gian khi sử dụng.</v>
      </c>
      <c r="L68" s="26" t="str">
        <f>IFERROR(__xludf.DUMMYFUNCTION("GOOGLETRANSLATE(B68, ""en"", ""hr"")"),"Vraća neke energije tijekom vremena kada se koristi.")</f>
        <v>Vraća neke energije tijekom vremena kada se koristi.</v>
      </c>
      <c r="M68" s="28"/>
      <c r="N68" s="28"/>
      <c r="O68" s="28"/>
      <c r="P68" s="28"/>
      <c r="Q68" s="28"/>
      <c r="R68" s="28"/>
      <c r="S68" s="28"/>
      <c r="T68" s="28"/>
      <c r="U68" s="28"/>
      <c r="V68" s="28"/>
      <c r="W68" s="28"/>
      <c r="X68" s="28"/>
      <c r="Y68" s="28"/>
      <c r="Z68" s="28"/>
      <c r="AA68" s="28"/>
      <c r="AB68" s="28"/>
    </row>
    <row r="69">
      <c r="A69" s="40" t="s">
        <v>423</v>
      </c>
      <c r="B69" s="22" t="s">
        <v>424</v>
      </c>
      <c r="C69" s="23" t="str">
        <f>IFERROR(__xludf.DUMMYFUNCTION("GOOGLETRANSLATE(B69, ""en"", ""fr"")"),"potion Cure")</f>
        <v>potion Cure</v>
      </c>
      <c r="D69" s="23" t="str">
        <f>IFERROR(__xludf.DUMMYFUNCTION("GOOGLETRANSLATE(B69, ""en"", ""es"")"),"poción de curación")</f>
        <v>poción de curación</v>
      </c>
      <c r="E69" s="23" t="str">
        <f>IFERROR(__xludf.DUMMYFUNCTION("GOOGLETRANSLATE(B69, ""en"", ""ru"")"),"Лечение микстура")</f>
        <v>Лечение микстура</v>
      </c>
      <c r="F69" s="23" t="str">
        <f>IFERROR(__xludf.DUMMYFUNCTION("GOOGLETRANSLATE(B69, ""en"", ""tr"")"),"kür iksir")</f>
        <v>kür iksir</v>
      </c>
      <c r="G69" s="23" t="str">
        <f>IFERROR(__xludf.DUMMYFUNCTION("GOOGLETRANSLATE(B69, ""en"", ""pt"")"),"poção cura")</f>
        <v>poção cura</v>
      </c>
      <c r="H69" s="24" t="str">
        <f>IFERROR(__xludf.DUMMYFUNCTION("GOOGLETRANSLATE(B69, ""en"", ""de"")"),"Cure Trank")</f>
        <v>Cure Trank</v>
      </c>
      <c r="I69" s="23" t="str">
        <f>IFERROR(__xludf.DUMMYFUNCTION("GOOGLETRANSLATE(B69, ""en"", ""pl"")"),"Cure eliksir")</f>
        <v>Cure eliksir</v>
      </c>
      <c r="J69" s="25" t="str">
        <f>IFERROR(__xludf.DUMMYFUNCTION("GOOGLETRANSLATE(B69, ""en"", ""zh"")"),"治愈药水")</f>
        <v>治愈药水</v>
      </c>
      <c r="K69" s="25" t="str">
        <f>IFERROR(__xludf.DUMMYFUNCTION("GOOGLETRANSLATE(B69, ""en"", ""vi"")"),"chữa potion")</f>
        <v>chữa potion</v>
      </c>
      <c r="L69" s="26" t="str">
        <f>IFERROR(__xludf.DUMMYFUNCTION("GOOGLETRANSLATE(B69, ""en"", ""hr"")"),"Lijek napitak")</f>
        <v>Lijek napitak</v>
      </c>
      <c r="M69" s="28"/>
      <c r="N69" s="28"/>
      <c r="O69" s="28"/>
      <c r="P69" s="28"/>
      <c r="Q69" s="28"/>
      <c r="R69" s="28"/>
      <c r="S69" s="28"/>
      <c r="T69" s="28"/>
      <c r="U69" s="28"/>
      <c r="V69" s="28"/>
      <c r="W69" s="28"/>
      <c r="X69" s="28"/>
      <c r="Y69" s="28"/>
      <c r="Z69" s="28"/>
      <c r="AA69" s="28"/>
      <c r="AB69" s="28"/>
    </row>
    <row r="70">
      <c r="A70" s="40" t="s">
        <v>425</v>
      </c>
      <c r="B70" s="22" t="s">
        <v>426</v>
      </c>
      <c r="C70" s="23" t="str">
        <f>IFERROR(__xludf.DUMMYFUNCTION("GOOGLETRANSLATE(B70, ""en"", ""fr"")"),"Enlève le poison et la maladie et les vous immunise pendant un moment.")</f>
        <v>Enlève le poison et la maladie et les vous immunise pendant un moment.</v>
      </c>
      <c r="D70" s="23" t="str">
        <f>IFERROR(__xludf.DUMMYFUNCTION("GOOGLETRANSLATE(B70, ""en"", ""es"")"),"Elimina el veneno y la enfermedad y te hace inmune a ellos por un tiempo.")</f>
        <v>Elimina el veneno y la enfermedad y te hace inmune a ellos por un tiempo.</v>
      </c>
      <c r="E70" s="23" t="str">
        <f>IFERROR(__xludf.DUMMYFUNCTION("GOOGLETRANSLATE(B70, ""en"", ""ru"")"),"Снимает яд и болезнь, и делает вас невосприимчивым к ним на некоторое время.")</f>
        <v>Снимает яд и болезнь, и делает вас невосприимчивым к ним на некоторое время.</v>
      </c>
      <c r="F70" s="23" t="str">
        <f>IFERROR(__xludf.DUMMYFUNCTION("GOOGLETRANSLATE(B70, ""en"", ""tr"")"),"Kaldırır zehir ve hastalık ve bir süre onlara bağışıklık yapar.")</f>
        <v>Kaldırır zehir ve hastalık ve bir süre onlara bağışıklık yapar.</v>
      </c>
      <c r="G70" s="23" t="str">
        <f>IFERROR(__xludf.DUMMYFUNCTION("GOOGLETRANSLATE(B70, ""en"", ""pt"")"),"Remove veneno e doenças e faz você imune a eles por um tempo.")</f>
        <v>Remove veneno e doenças e faz você imune a eles por um tempo.</v>
      </c>
      <c r="H70" s="24" t="str">
        <f>IFERROR(__xludf.DUMMYFUNCTION("GOOGLETRANSLATE(B70, ""en"", ""de"")"),"Beseitigt Gift und Krankheit und macht Sie für eine Weile, um sie immun.")</f>
        <v>Beseitigt Gift und Krankheit und macht Sie für eine Weile, um sie immun.</v>
      </c>
      <c r="I70" s="23" t="str">
        <f>IFERROR(__xludf.DUMMYFUNCTION("GOOGLETRANSLATE(B70, ""en"", ""pl"")"),"Usuwa trucizny i choroby i sprawia, że ​​jesteś odporny na nich przez chwilę.")</f>
        <v>Usuwa trucizny i choroby i sprawia, że ​​jesteś odporny na nich przez chwilę.</v>
      </c>
      <c r="J70" s="25" t="str">
        <f>IFERROR(__xludf.DUMMYFUNCTION("GOOGLETRANSLATE(B70, ""en"", ""zh"")"),"移除了毒物和疾病，让你不受他们一会儿。")</f>
        <v>移除了毒物和疾病，让你不受他们一会儿。</v>
      </c>
      <c r="K70" s="25" t="str">
        <f>IFERROR(__xludf.DUMMYFUNCTION("GOOGLETRANSLATE(B70, ""en"", ""vi"")"),"Loại bỏ chất độc và bệnh tật và làm cho bạn miễn dịch với họ một thời gian.")</f>
        <v>Loại bỏ chất độc và bệnh tật và làm cho bạn miễn dịch với họ một thời gian.</v>
      </c>
      <c r="L70" s="26" t="str">
        <f>IFERROR(__xludf.DUMMYFUNCTION("GOOGLETRANSLATE(B70, ""en"", ""hr"")"),"Uklanja otrov i bolesti i čini se imuni na njih za neko vrijeme.")</f>
        <v>Uklanja otrov i bolesti i čini se imuni na njih za neko vrijeme.</v>
      </c>
      <c r="M70" s="28"/>
      <c r="N70" s="28"/>
      <c r="O70" s="28"/>
      <c r="P70" s="28"/>
      <c r="Q70" s="28"/>
      <c r="R70" s="28"/>
      <c r="S70" s="28"/>
      <c r="T70" s="28"/>
      <c r="U70" s="28"/>
      <c r="V70" s="28"/>
      <c r="W70" s="28"/>
      <c r="X70" s="28"/>
      <c r="Y70" s="28"/>
      <c r="Z70" s="28"/>
      <c r="AA70" s="28"/>
      <c r="AB70" s="28"/>
    </row>
    <row r="71">
      <c r="A71" s="21" t="s">
        <v>427</v>
      </c>
      <c r="B71" s="22" t="s">
        <v>428</v>
      </c>
      <c r="C71" s="23" t="str">
        <f>IFERROR(__xludf.DUMMYFUNCTION("GOOGLETRANSLATE(B71, ""en"", ""fr"")"),"fer hache de guerre")</f>
        <v>fer hache de guerre</v>
      </c>
      <c r="D71" s="23" t="str">
        <f>IFERROR(__xludf.DUMMYFUNCTION("GOOGLETRANSLATE(B71, ""en"", ""es"")"),"hacha de hierro")</f>
        <v>hacha de hierro</v>
      </c>
      <c r="E71" s="23" t="str">
        <f>IFERROR(__xludf.DUMMYFUNCTION("GOOGLETRANSLATE(B71, ""en"", ""ru"")"),"Железный топор войны")</f>
        <v>Железный топор войны</v>
      </c>
      <c r="F71" s="23" t="str">
        <f>IFERROR(__xludf.DUMMYFUNCTION("GOOGLETRANSLATE(B71, ""en"", ""tr"")"),"Demir balta")</f>
        <v>Demir balta</v>
      </c>
      <c r="G71" s="23" t="str">
        <f>IFERROR(__xludf.DUMMYFUNCTION("GOOGLETRANSLATE(B71, ""en"", ""pt"")"),"machado de ferro")</f>
        <v>machado de ferro</v>
      </c>
      <c r="H71" s="24" t="str">
        <f>IFERROR(__xludf.DUMMYFUNCTION("GOOGLETRANSLATE(B71, ""en"", ""de"")"),"Eisen Beil")</f>
        <v>Eisen Beil</v>
      </c>
      <c r="I71" s="23" t="str">
        <f>IFERROR(__xludf.DUMMYFUNCTION("GOOGLETRANSLATE(B71, ""en"", ""pl"")"),"Żelazna siekierka")</f>
        <v>Żelazna siekierka</v>
      </c>
      <c r="J71" s="25" t="str">
        <f>IFERROR(__xludf.DUMMYFUNCTION("GOOGLETRANSLATE(B71, ""en"", ""zh"")"),"铁前嫌")</f>
        <v>铁前嫌</v>
      </c>
      <c r="K71" s="25" t="str">
        <f>IFERROR(__xludf.DUMMYFUNCTION("GOOGLETRANSLATE(B71, ""en"", ""vi"")"),"sắt rìu")</f>
        <v>sắt rìu</v>
      </c>
      <c r="L71" s="26" t="str">
        <f>IFERROR(__xludf.DUMMYFUNCTION("GOOGLETRANSLATE(B71, ""en"", ""hr"")"),"Željezo sjekirica")</f>
        <v>Željezo sjekirica</v>
      </c>
      <c r="M71" s="28"/>
      <c r="N71" s="28"/>
      <c r="O71" s="28"/>
      <c r="P71" s="28"/>
      <c r="Q71" s="28"/>
      <c r="R71" s="28"/>
      <c r="S71" s="28"/>
      <c r="T71" s="28"/>
      <c r="U71" s="28"/>
      <c r="V71" s="28"/>
      <c r="W71" s="28"/>
      <c r="X71" s="28"/>
      <c r="Y71" s="28"/>
      <c r="Z71" s="28"/>
      <c r="AA71" s="28"/>
      <c r="AB71" s="28"/>
    </row>
    <row r="72">
      <c r="A72" s="21" t="s">
        <v>429</v>
      </c>
      <c r="B72" s="22" t="s">
        <v>430</v>
      </c>
      <c r="C72" s="23" t="str">
        <f>IFERROR(__xludf.DUMMYFUNCTION("GOOGLETRANSLATE(B72, ""en"", ""fr"")"),"Utilisé pour abattre des arbres pour le bois.")</f>
        <v>Utilisé pour abattre des arbres pour le bois.</v>
      </c>
      <c r="D72" s="23" t="str">
        <f>IFERROR(__xludf.DUMMYFUNCTION("GOOGLETRANSLATE(B72, ""en"", ""es"")"),"Se utiliza para cortar árboles para madera.")</f>
        <v>Se utiliza para cortar árboles para madera.</v>
      </c>
      <c r="E72" s="23" t="str">
        <f>IFERROR(__xludf.DUMMYFUNCTION("GOOGLETRANSLATE(B72, ""en"", ""ru"")"),"Используется рубить деревья для дерева.")</f>
        <v>Используется рубить деревья для дерева.</v>
      </c>
      <c r="F72" s="23" t="str">
        <f>IFERROR(__xludf.DUMMYFUNCTION("GOOGLETRANSLATE(B72, ""en"", ""tr"")"),"buradaki ağaçları devirmek için kullanılır.")</f>
        <v>buradaki ağaçları devirmek için kullanılır.</v>
      </c>
      <c r="G72" s="23" t="str">
        <f>IFERROR(__xludf.DUMMYFUNCTION("GOOGLETRANSLATE(B72, ""en"", ""pt"")"),"Usado para derrubar árvores para madeira.")</f>
        <v>Usado para derrubar árvores para madeira.</v>
      </c>
      <c r="H72" s="24" t="str">
        <f>IFERROR(__xludf.DUMMYFUNCTION("GOOGLETRANSLATE(B72, ""en"", ""de"")"),"Gebrauchte Bäume zu fällen für Holz.")</f>
        <v>Gebrauchte Bäume zu fällen für Holz.</v>
      </c>
      <c r="I72" s="23" t="str">
        <f>IFERROR(__xludf.DUMMYFUNCTION("GOOGLETRANSLATE(B72, ""en"", ""pl"")"),"Służy do ścinać drzewa w lesie.")</f>
        <v>Służy do ścinać drzewa w lesie.</v>
      </c>
      <c r="J72" s="25" t="str">
        <f>IFERROR(__xludf.DUMMYFUNCTION("GOOGLETRANSLATE(B72, ""en"", ""zh"")"),"用来砍木材的树木。")</f>
        <v>用来砍木材的树木。</v>
      </c>
      <c r="K72" s="25" t="str">
        <f>IFERROR(__xludf.DUMMYFUNCTION("GOOGLETRANSLATE(B72, ""en"", ""vi"")"),"Dùng để đốn cây lấy gỗ.")</f>
        <v>Dùng để đốn cây lấy gỗ.</v>
      </c>
      <c r="L72" s="26" t="str">
        <f>IFERROR(__xludf.DUMMYFUNCTION("GOOGLETRANSLATE(B72, ""en"", ""hr"")"),"Koristi se za kotlet dolje stabala za drvo.")</f>
        <v>Koristi se za kotlet dolje stabala za drvo.</v>
      </c>
      <c r="M72" s="28"/>
      <c r="N72" s="28"/>
      <c r="O72" s="28"/>
      <c r="P72" s="28"/>
      <c r="Q72" s="28"/>
      <c r="R72" s="28"/>
      <c r="S72" s="28"/>
      <c r="T72" s="28"/>
      <c r="U72" s="28"/>
      <c r="V72" s="28"/>
      <c r="W72" s="28"/>
      <c r="X72" s="28"/>
      <c r="Y72" s="28"/>
      <c r="Z72" s="28"/>
      <c r="AA72" s="28"/>
      <c r="AB72" s="28"/>
    </row>
    <row r="73">
      <c r="A73" s="21" t="s">
        <v>431</v>
      </c>
      <c r="B73" s="22" t="s">
        <v>432</v>
      </c>
      <c r="C73" s="23" t="str">
        <f>IFERROR(__xludf.DUMMYFUNCTION("GOOGLETRANSLATE(B73, ""en"", ""fr"")"),"fer pickaxe")</f>
        <v>fer pickaxe</v>
      </c>
      <c r="D73" s="23" t="str">
        <f>IFERROR(__xludf.DUMMYFUNCTION("GOOGLETRANSLATE(B73, ""en"", ""es"")"),"piqueta de hierro")</f>
        <v>piqueta de hierro</v>
      </c>
      <c r="E73" s="23" t="str">
        <f>IFERROR(__xludf.DUMMYFUNCTION("GOOGLETRANSLATE(B73, ""en"", ""ru"")"),"Железо кирка")</f>
        <v>Железо кирка</v>
      </c>
      <c r="F73" s="23" t="str">
        <f>IFERROR(__xludf.DUMMYFUNCTION("GOOGLETRANSLATE(B73, ""en"", ""tr"")"),"Demir kazma")</f>
        <v>Demir kazma</v>
      </c>
      <c r="G73" s="23" t="str">
        <f>IFERROR(__xludf.DUMMYFUNCTION("GOOGLETRANSLATE(B73, ""en"", ""pt"")"),"picareta de ferro")</f>
        <v>picareta de ferro</v>
      </c>
      <c r="H73" s="24" t="str">
        <f>IFERROR(__xludf.DUMMYFUNCTION("GOOGLETRANSLATE(B73, ""en"", ""de"")"),"Eisen pickaxe")</f>
        <v>Eisen pickaxe</v>
      </c>
      <c r="I73" s="23" t="str">
        <f>IFERROR(__xludf.DUMMYFUNCTION("GOOGLETRANSLATE(B73, ""en"", ""pl"")"),"żelazo kilof")</f>
        <v>żelazo kilof</v>
      </c>
      <c r="J73" s="25" t="str">
        <f>IFERROR(__xludf.DUMMYFUNCTION("GOOGLETRANSLATE(B73, ""en"", ""zh"")"),"铁镐头")</f>
        <v>铁镐头</v>
      </c>
      <c r="K73" s="25" t="str">
        <f>IFERROR(__xludf.DUMMYFUNCTION("GOOGLETRANSLATE(B73, ""en"", ""vi"")"),"sắt cuốc")</f>
        <v>sắt cuốc</v>
      </c>
      <c r="L73" s="26" t="str">
        <f>IFERROR(__xludf.DUMMYFUNCTION("GOOGLETRANSLATE(B73, ""en"", ""hr"")"),"Željezo pijuk")</f>
        <v>Željezo pijuk</v>
      </c>
      <c r="M73" s="28"/>
      <c r="N73" s="28"/>
      <c r="O73" s="28"/>
      <c r="P73" s="28"/>
      <c r="Q73" s="28"/>
      <c r="R73" s="28"/>
      <c r="S73" s="28"/>
      <c r="T73" s="28"/>
      <c r="U73" s="28"/>
      <c r="V73" s="28"/>
      <c r="W73" s="28"/>
      <c r="X73" s="28"/>
      <c r="Y73" s="28"/>
      <c r="Z73" s="28"/>
      <c r="AA73" s="28"/>
      <c r="AB73" s="28"/>
    </row>
    <row r="74">
      <c r="A74" s="21" t="s">
        <v>433</v>
      </c>
      <c r="B74" s="22" t="s">
        <v>434</v>
      </c>
      <c r="C74" s="23" t="str">
        <f>IFERROR(__xludf.DUMMYFUNCTION("GOOGLETRANSLATE(B74, ""en"", ""fr"")"),"Utilisé pour les roches de la mine pour le minerai.")</f>
        <v>Utilisé pour les roches de la mine pour le minerai.</v>
      </c>
      <c r="D74" s="23" t="str">
        <f>IFERROR(__xludf.DUMMYFUNCTION("GOOGLETRANSLATE(B74, ""en"", ""es"")"),"Se utiliza para rocas de las minas de mineral.")</f>
        <v>Se utiliza para rocas de las minas de mineral.</v>
      </c>
      <c r="E74" s="23" t="str">
        <f>IFERROR(__xludf.DUMMYFUNCTION("GOOGLETRANSLATE(B74, ""en"", ""ru"")"),"Используется для горных пород для руды.")</f>
        <v>Используется для горных пород для руды.</v>
      </c>
      <c r="F74" s="23" t="str">
        <f>IFERROR(__xludf.DUMMYFUNCTION("GOOGLETRANSLATE(B74, ""en"", ""tr"")"),"cevher için maden kayalar için kullanılır.")</f>
        <v>cevher için maden kayalar için kullanılır.</v>
      </c>
      <c r="G74" s="23" t="str">
        <f>IFERROR(__xludf.DUMMYFUNCTION("GOOGLETRANSLATE(B74, ""en"", ""pt"")"),"Usado para meus rochas de minério.")</f>
        <v>Usado para meus rochas de minério.</v>
      </c>
      <c r="H74" s="24" t="str">
        <f>IFERROR(__xludf.DUMMYFUNCTION("GOOGLETRANSLATE(B74, ""en"", ""de"")"),"Wird verwendet, um mein Felsen für Erz.")</f>
        <v>Wird verwendet, um mein Felsen für Erz.</v>
      </c>
      <c r="I74" s="23" t="str">
        <f>IFERROR(__xludf.DUMMYFUNCTION("GOOGLETRANSLATE(B74, ""en"", ""pl"")"),"Służy do kopalń rudy.")</f>
        <v>Służy do kopalń rudy.</v>
      </c>
      <c r="J74" s="25" t="str">
        <f>IFERROR(__xludf.DUMMYFUNCTION("GOOGLETRANSLATE(B74, ""en"", ""zh"")"),"用于矿山岩石矿石。")</f>
        <v>用于矿山岩石矿石。</v>
      </c>
      <c r="K74" s="25" t="str">
        <f>IFERROR(__xludf.DUMMYFUNCTION("GOOGLETRANSLATE(B74, ""en"", ""vi"")"),"Được sử dụng để đá mỏ quặng.")</f>
        <v>Được sử dụng để đá mỏ quặng.</v>
      </c>
      <c r="L74" s="26" t="str">
        <f>IFERROR(__xludf.DUMMYFUNCTION("GOOGLETRANSLATE(B74, ""en"", ""hr"")"),"Koristi se mina stijena za rude.")</f>
        <v>Koristi se mina stijena za rude.</v>
      </c>
      <c r="M74" s="28"/>
      <c r="N74" s="28"/>
      <c r="O74" s="28"/>
      <c r="P74" s="28"/>
      <c r="Q74" s="28"/>
      <c r="R74" s="28"/>
      <c r="S74" s="28"/>
      <c r="T74" s="28"/>
      <c r="U74" s="28"/>
      <c r="V74" s="28"/>
      <c r="W74" s="28"/>
      <c r="X74" s="28"/>
      <c r="Y74" s="28"/>
      <c r="Z74" s="28"/>
      <c r="AA74" s="28"/>
      <c r="AB74" s="28"/>
    </row>
    <row r="75">
      <c r="A75" s="21" t="s">
        <v>435</v>
      </c>
      <c r="B75" s="22" t="s">
        <v>436</v>
      </c>
      <c r="C75" s="23" t="str">
        <f>IFERROR(__xludf.DUMMYFUNCTION("GOOGLETRANSLATE(B75, ""en"", ""fr"")"),"flèches fer")</f>
        <v>flèches fer</v>
      </c>
      <c r="D75" s="23" t="str">
        <f>IFERROR(__xludf.DUMMYFUNCTION("GOOGLETRANSLATE(B75, ""en"", ""es"")"),"flechas de hierro")</f>
        <v>flechas de hierro</v>
      </c>
      <c r="E75" s="23" t="str">
        <f>IFERROR(__xludf.DUMMYFUNCTION("GOOGLETRANSLATE(B75, ""en"", ""ru"")"),"Железные стрелки")</f>
        <v>Железные стрелки</v>
      </c>
      <c r="F75" s="23" t="str">
        <f>IFERROR(__xludf.DUMMYFUNCTION("GOOGLETRANSLATE(B75, ""en"", ""tr"")"),"Demir oklar")</f>
        <v>Demir oklar</v>
      </c>
      <c r="G75" s="23" t="str">
        <f>IFERROR(__xludf.DUMMYFUNCTION("GOOGLETRANSLATE(B75, ""en"", ""pt"")"),"flechas de ferro")</f>
        <v>flechas de ferro</v>
      </c>
      <c r="H75" s="24" t="str">
        <f>IFERROR(__xludf.DUMMYFUNCTION("GOOGLETRANSLATE(B75, ""en"", ""de"")"),"Eisenpfeile")</f>
        <v>Eisenpfeile</v>
      </c>
      <c r="I75" s="23" t="str">
        <f>IFERROR(__xludf.DUMMYFUNCTION("GOOGLETRANSLATE(B75, ""en"", ""pl"")"),"strzałki żelaza")</f>
        <v>strzałki żelaza</v>
      </c>
      <c r="J75" s="25" t="str">
        <f>IFERROR(__xludf.DUMMYFUNCTION("GOOGLETRANSLATE(B75, ""en"", ""zh"")"),"铁箭头")</f>
        <v>铁箭头</v>
      </c>
      <c r="K75" s="25" t="str">
        <f>IFERROR(__xludf.DUMMYFUNCTION("GOOGLETRANSLATE(B75, ""en"", ""vi"")"),"mũi tên sắt")</f>
        <v>mũi tên sắt</v>
      </c>
      <c r="L75" s="26" t="str">
        <f>IFERROR(__xludf.DUMMYFUNCTION("GOOGLETRANSLATE(B75, ""en"", ""hr"")"),"Iron strelice")</f>
        <v>Iron strelice</v>
      </c>
      <c r="M75" s="28"/>
      <c r="N75" s="28"/>
      <c r="O75" s="28"/>
      <c r="P75" s="28"/>
      <c r="Q75" s="28"/>
      <c r="R75" s="28"/>
      <c r="S75" s="28"/>
      <c r="T75" s="28"/>
      <c r="U75" s="28"/>
      <c r="V75" s="28"/>
      <c r="W75" s="28"/>
      <c r="X75" s="28"/>
      <c r="Y75" s="28"/>
      <c r="Z75" s="28"/>
      <c r="AA75" s="28"/>
      <c r="AB75" s="28"/>
    </row>
    <row r="76">
      <c r="A76" s="21" t="s">
        <v>437</v>
      </c>
      <c r="B76" s="22" t="s">
        <v>438</v>
      </c>
      <c r="C76" s="23" t="str">
        <f>IFERROR(__xludf.DUMMYFUNCTION("GOOGLETRANSLATE(B76, ""en"", ""fr"")"),"Utilisé comme munitions pour un arc.")</f>
        <v>Utilisé comme munitions pour un arc.</v>
      </c>
      <c r="D76" s="23" t="str">
        <f>IFERROR(__xludf.DUMMYFUNCTION("GOOGLETRANSLATE(B76, ""en"", ""es"")"),"Se utiliza como munición para un arco.")</f>
        <v>Se utiliza como munición para un arco.</v>
      </c>
      <c r="E76" s="23" t="str">
        <f>IFERROR(__xludf.DUMMYFUNCTION("GOOGLETRANSLATE(B76, ""en"", ""ru"")"),"Используется в качестве боеприпасов для лука.")</f>
        <v>Используется в качестве боеприпасов для лука.</v>
      </c>
      <c r="F76" s="23" t="str">
        <f>IFERROR(__xludf.DUMMYFUNCTION("GOOGLETRANSLATE(B76, ""en"", ""tr"")"),"Bir yay için mühimmat olarak kullanılır.")</f>
        <v>Bir yay için mühimmat olarak kullanılır.</v>
      </c>
      <c r="G76" s="23" t="str">
        <f>IFERROR(__xludf.DUMMYFUNCTION("GOOGLETRANSLATE(B76, ""en"", ""pt"")"),"Usado como munição para um arco.")</f>
        <v>Usado como munição para um arco.</v>
      </c>
      <c r="H76" s="24" t="str">
        <f>IFERROR(__xludf.DUMMYFUNCTION("GOOGLETRANSLATE(B76, ""en"", ""de"")"),"Wird als Munition für einen Bogen.")</f>
        <v>Wird als Munition für einen Bogen.</v>
      </c>
      <c r="I76" s="23" t="str">
        <f>IFERROR(__xludf.DUMMYFUNCTION("GOOGLETRANSLATE(B76, ""en"", ""pl"")"),"Używany jako amunicji do łuku.")</f>
        <v>Używany jako amunicji do łuku.</v>
      </c>
      <c r="J76" s="25" t="str">
        <f>IFERROR(__xludf.DUMMYFUNCTION("GOOGLETRANSLATE(B76, ""en"", ""zh"")"),"作为弹药弓。")</f>
        <v>作为弹药弓。</v>
      </c>
      <c r="K76" s="25" t="str">
        <f>IFERROR(__xludf.DUMMYFUNCTION("GOOGLETRANSLATE(B76, ""en"", ""vi"")"),"Sử dụng như đạn dược cho một cây cung.")</f>
        <v>Sử dụng như đạn dược cho một cây cung.</v>
      </c>
      <c r="L76" s="26" t="str">
        <f>IFERROR(__xludf.DUMMYFUNCTION("GOOGLETRANSLATE(B76, ""en"", ""hr"")"),"Koristi se kao streljivo za luk.")</f>
        <v>Koristi se kao streljivo za luk.</v>
      </c>
      <c r="M76" s="28"/>
      <c r="N76" s="28"/>
      <c r="O76" s="28"/>
      <c r="P76" s="28"/>
      <c r="Q76" s="28"/>
      <c r="R76" s="28"/>
      <c r="S76" s="28"/>
      <c r="T76" s="28"/>
      <c r="U76" s="28"/>
      <c r="V76" s="28"/>
      <c r="W76" s="28"/>
      <c r="X76" s="28"/>
      <c r="Y76" s="28"/>
      <c r="Z76" s="28"/>
      <c r="AA76" s="28"/>
      <c r="AB76" s="28"/>
    </row>
    <row r="77">
      <c r="A77" s="21" t="s">
        <v>439</v>
      </c>
      <c r="B77" s="22" t="s">
        <v>440</v>
      </c>
      <c r="C77" s="23" t="str">
        <f>IFERROR(__xludf.DUMMYFUNCTION("GOOGLETRANSLATE(B77, ""en"", ""fr"")"),"poignard de fer")</f>
        <v>poignard de fer</v>
      </c>
      <c r="D77" s="23" t="str">
        <f>IFERROR(__xludf.DUMMYFUNCTION("GOOGLETRANSLATE(B77, ""en"", ""es"")"),"daga de hierro")</f>
        <v>daga de hierro</v>
      </c>
      <c r="E77" s="23" t="str">
        <f>IFERROR(__xludf.DUMMYFUNCTION("GOOGLETRANSLATE(B77, ""en"", ""ru"")"),"Железный крестик")</f>
        <v>Железный крестик</v>
      </c>
      <c r="F77" s="23" t="str">
        <f>IFERROR(__xludf.DUMMYFUNCTION("GOOGLETRANSLATE(B77, ""en"", ""tr"")"),"Demir hançer")</f>
        <v>Demir hançer</v>
      </c>
      <c r="G77" s="23" t="str">
        <f>IFERROR(__xludf.DUMMYFUNCTION("GOOGLETRANSLATE(B77, ""en"", ""pt"")"),"punhal de ferro")</f>
        <v>punhal de ferro</v>
      </c>
      <c r="H77" s="24" t="str">
        <f>IFERROR(__xludf.DUMMYFUNCTION("GOOGLETRANSLATE(B77, ""en"", ""de"")"),"Eisendolch")</f>
        <v>Eisendolch</v>
      </c>
      <c r="I77" s="23" t="str">
        <f>IFERROR(__xludf.DUMMYFUNCTION("GOOGLETRANSLATE(B77, ""en"", ""pl"")"),"żelazo sztylet")</f>
        <v>żelazo sztylet</v>
      </c>
      <c r="J77" s="25" t="str">
        <f>IFERROR(__xludf.DUMMYFUNCTION("GOOGLETRANSLATE(B77, ""en"", ""zh"")"),"铁匕首")</f>
        <v>铁匕首</v>
      </c>
      <c r="K77" s="25" t="str">
        <f>IFERROR(__xludf.DUMMYFUNCTION("GOOGLETRANSLATE(B77, ""en"", ""vi"")"),"sắt dao găm")</f>
        <v>sắt dao găm</v>
      </c>
      <c r="L77" s="26" t="str">
        <f>IFERROR(__xludf.DUMMYFUNCTION("GOOGLETRANSLATE(B77, ""en"", ""hr"")"),"Željezo bodež")</f>
        <v>Željezo bodež</v>
      </c>
      <c r="M77" s="28"/>
      <c r="N77" s="28"/>
      <c r="O77" s="28"/>
      <c r="P77" s="28"/>
      <c r="Q77" s="28"/>
      <c r="R77" s="28"/>
      <c r="S77" s="28"/>
      <c r="T77" s="28"/>
      <c r="U77" s="28"/>
      <c r="V77" s="28"/>
      <c r="W77" s="28"/>
      <c r="X77" s="28"/>
      <c r="Y77" s="28"/>
      <c r="Z77" s="28"/>
      <c r="AA77" s="28"/>
      <c r="AB77" s="28"/>
    </row>
    <row r="78">
      <c r="A78" s="21" t="s">
        <v>441</v>
      </c>
      <c r="B78" s="22" t="s">
        <v>442</v>
      </c>
      <c r="C78" s="23" t="str">
        <f>IFERROR(__xludf.DUMMYFUNCTION("GOOGLETRANSLATE(B78,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78" s="23" t="str">
        <f>IFERROR(__xludf.DUMMYFUNCTION("GOOGLETRANSLATE(B78, ""en"", ""es"")"),"arma cuerpo a cuerpo. Se utiliza para atacar a un espacio de distancia en la dirección que está enfrentando. Inflige daño adicional cuando se golpea por detrás.")</f>
        <v>arma cuerpo a cuerpo. Se utiliza para atacar a un espacio de distancia en la dirección que está enfrentando. Inflige daño adicional cuando se golpea por detrás.</v>
      </c>
      <c r="E78" s="23" t="str">
        <f>IFERROR(__xludf.DUMMYFUNCTION("GOOGLETRANSLATE(B78, ""en"", ""ru"")"),"Оружие ближнего боя. Используется для атаки на одно место далеко в направлении вы столкнулись. Наносит дополнительный урон при попадании сзади.")</f>
        <v>Оружие ближнего боя. Используется для атаки на одно место далеко в направлении вы столкнулись. Наносит дополнительный урон при попадании сзади.</v>
      </c>
      <c r="F78" s="23" t="str">
        <f>IFERROR(__xludf.DUMMYFUNCTION("GOOGLETRANSLATE(B78, ""en"", ""tr"")"),"Yakın dövüş silahı. uzakta karşı karşıya yönde bir kare saldırı için kullanılır. o şekilde arkadan çarptığında Bonus hasar verir.")</f>
        <v>Yakın dövüş silahı. uzakta karşı karşıya yönde bir kare saldırı için kullanılır. o şekilde arkadan çarptığında Bonus hasar verir.</v>
      </c>
      <c r="G78" s="23" t="str">
        <f>IFERROR(__xludf.DUMMYFUNCTION("GOOGLETRANSLATE(B78, ""en"", ""pt"")"),"Arma branca. Usado para atacar um espaço longe na direção que você está enfrentando. Causa dano bônus quando se atinge por trás.")</f>
        <v>Arma branca. Usado para atacar um espaço longe na direção que você está enfrentando. Causa dano bônus quando se atinge por trás.</v>
      </c>
      <c r="H78" s="24" t="str">
        <f>IFERROR(__xludf.DUMMYFUNCTION("GOOGLETRANSLATE(B78, ""en"", ""de"")"),"Nahkampfwaffe. Wurde in die Richtung einen Raum weg angreifen Sie konfrontiert sind. Verursacht zusätzlichen Schaden, wenn es von hinten trifft.")</f>
        <v>Nahkampfwaffe. Wurde in die Richtung einen Raum weg angreifen Sie konfrontiert sind. Verursacht zusätzlichen Schaden, wenn es von hinten trifft.</v>
      </c>
      <c r="I78" s="23" t="str">
        <f>IFERROR(__xludf.DUMMYFUNCTION("GOOGLETRANSLATE(B78, ""en"", ""pl"")"),"Broń biała. Wykorzystana do ataku na jedno miejsce daleko w kierunku, w którym stoją. Zadaje obrażenia bonusowy kiedy uderza od tyłu.")</f>
        <v>Broń biała. Wykorzystana do ataku na jedno miejsce daleko w kierunku, w którym stoją. Zadaje obrażenia bonusowy kiedy uderza od tyłu.</v>
      </c>
      <c r="J78" s="25" t="str">
        <f>IFERROR(__xludf.DUMMYFUNCTION("GOOGLETRANSLATE(B78, ""en"", ""zh"")"),"近战武器。用于攻击一个空间远在你面对的方向。造成额外的伤害，当它从背后击中。")</f>
        <v>近战武器。用于攻击一个空间远在你面对的方向。造成额外的伤害，当它从背后击中。</v>
      </c>
      <c r="K78" s="25" t="str">
        <f>IFERROR(__xludf.DUMMYFUNCTION("GOOGLETRANSLATE(B78, ""en"", ""vi"")"),"vũ khí cận chiến. Được sử dụng để tấn công một không gian đi theo hướng bạn đang phải đối mặt. Damage bonus khi nó chạm từ phía sau.")</f>
        <v>vũ khí cận chiến. Được sử dụng để tấn công một không gian đi theo hướng bạn đang phải đối mặt. Damage bonus khi nó chạm từ phía sau.</v>
      </c>
      <c r="L78" s="26" t="str">
        <f>IFERROR(__xludf.DUMMYFUNCTION("GOOGLETRANSLATE(B78, ""en"", ""hr"")"),"Gužva oružje. Koristi se za napad na jedno mjesto dalje u smjeru u kojem se suočavaju. Ponude bonus štetu kada ga pogodi odostraga.")</f>
        <v>Gužva oružje. Koristi se za napad na jedno mjesto dalje u smjeru u kojem se suočavaju. Ponude bonus štetu kada ga pogodi odostraga.</v>
      </c>
      <c r="M78" s="28"/>
      <c r="N78" s="28"/>
      <c r="O78" s="28"/>
      <c r="P78" s="28"/>
      <c r="Q78" s="28"/>
      <c r="R78" s="28"/>
      <c r="S78" s="28"/>
      <c r="T78" s="28"/>
      <c r="U78" s="28"/>
      <c r="V78" s="28"/>
      <c r="W78" s="28"/>
      <c r="X78" s="28"/>
      <c r="Y78" s="28"/>
      <c r="Z78" s="28"/>
      <c r="AA78" s="28"/>
      <c r="AB78" s="28"/>
    </row>
    <row r="79">
      <c r="A79" s="21" t="s">
        <v>443</v>
      </c>
      <c r="B79" s="22" t="s">
        <v>444</v>
      </c>
      <c r="C79" s="23" t="str">
        <f>IFERROR(__xludf.DUMMYFUNCTION("GOOGLETRANSLATE(B79, ""en"", ""fr"")"),"Épée de fer")</f>
        <v>Épée de fer</v>
      </c>
      <c r="D79" s="23" t="str">
        <f>IFERROR(__xludf.DUMMYFUNCTION("GOOGLETRANSLATE(B79, ""en"", ""es"")"),"Espada de hierro")</f>
        <v>Espada de hierro</v>
      </c>
      <c r="E79" s="23" t="str">
        <f>IFERROR(__xludf.DUMMYFUNCTION("GOOGLETRANSLATE(B79, ""en"", ""ru"")"),"Железный меч")</f>
        <v>Железный меч</v>
      </c>
      <c r="F79" s="23" t="str">
        <f>IFERROR(__xludf.DUMMYFUNCTION("GOOGLETRANSLATE(B79, ""en"", ""tr"")"),"Demir kılıç")</f>
        <v>Demir kılıç</v>
      </c>
      <c r="G79" s="23" t="str">
        <f>IFERROR(__xludf.DUMMYFUNCTION("GOOGLETRANSLATE(B79, ""en"", ""pt"")"),"Espada de ferro")</f>
        <v>Espada de ferro</v>
      </c>
      <c r="H79" s="24" t="str">
        <f>IFERROR(__xludf.DUMMYFUNCTION("GOOGLETRANSLATE(B79, ""en"", ""de"")"),"Eisenschwert")</f>
        <v>Eisenschwert</v>
      </c>
      <c r="I79" s="23" t="str">
        <f>IFERROR(__xludf.DUMMYFUNCTION("GOOGLETRANSLATE(B79, ""en"", ""pl"")"),"Żelazny miecz")</f>
        <v>Żelazny miecz</v>
      </c>
      <c r="J79" s="25" t="str">
        <f>IFERROR(__xludf.DUMMYFUNCTION("GOOGLETRANSLATE(B79, ""en"", ""zh"")"),"铁剑")</f>
        <v>铁剑</v>
      </c>
      <c r="K79" s="25" t="str">
        <f>IFERROR(__xludf.DUMMYFUNCTION("GOOGLETRANSLATE(B79, ""en"", ""vi"")"),"Thanh kiếm sắt")</f>
        <v>Thanh kiếm sắt</v>
      </c>
      <c r="L79" s="26" t="str">
        <f>IFERROR(__xludf.DUMMYFUNCTION("GOOGLETRANSLATE(B79, ""en"", ""hr"")"),"Željezo mač")</f>
        <v>Željezo mač</v>
      </c>
      <c r="M79" s="28"/>
      <c r="N79" s="28"/>
      <c r="O79" s="28"/>
      <c r="P79" s="28"/>
      <c r="Q79" s="28"/>
      <c r="R79" s="28"/>
      <c r="S79" s="28"/>
      <c r="T79" s="28"/>
      <c r="U79" s="28"/>
      <c r="V79" s="28"/>
      <c r="W79" s="28"/>
      <c r="X79" s="28"/>
      <c r="Y79" s="28"/>
      <c r="Z79" s="28"/>
      <c r="AA79" s="28"/>
      <c r="AB79" s="28"/>
    </row>
    <row r="80">
      <c r="A80" s="21" t="s">
        <v>445</v>
      </c>
      <c r="B80" s="22" t="s">
        <v>446</v>
      </c>
      <c r="C80" s="23" t="str">
        <f>IFERROR(__xludf.DUMMYFUNCTION("GOOGLETRANSLATE(B80, ""en"", ""fr"")"),"Arme de mêlée. Utilisé pour attaquer une courte distance dans la direction que vous faites face.")</f>
        <v>Arme de mêlée. Utilisé pour attaquer une courte distance dans la direction que vous faites face.</v>
      </c>
      <c r="D80" s="23" t="str">
        <f>IFERROR(__xludf.DUMMYFUNCTION("GOOGLETRANSLATE(B80, ""en"", ""es"")"),"arma cuerpo a cuerpo. Se utiliza para atacar a corta distancia en la dirección que está enfrentando.")</f>
        <v>arma cuerpo a cuerpo. Se utiliza para atacar a corta distancia en la dirección que está enfrentando.</v>
      </c>
      <c r="E80" s="23" t="str">
        <f>IFERROR(__xludf.DUMMYFUNCTION("GOOGLETRANSLATE(B80, ""en"", ""ru"")"),"Оружие ближнего боя. Используется для атаки на небольшое расстояние в направлении вы столкнулись.")</f>
        <v>Оружие ближнего боя. Используется для атаки на небольшое расстояние в направлении вы столкнулись.</v>
      </c>
      <c r="F80" s="23" t="str">
        <f>IFERROR(__xludf.DUMMYFUNCTION("GOOGLETRANSLATE(B80, ""en"", ""tr"")"),"Yakın dövüş silahı. Eğer karşı karşıya yönde kısa bir mesafe uzakta saldırmak için kullanılır.")</f>
        <v>Yakın dövüş silahı. Eğer karşı karşıya yönde kısa bir mesafe uzakta saldırmak için kullanılır.</v>
      </c>
      <c r="G80" s="23" t="str">
        <f>IFERROR(__xludf.DUMMYFUNCTION("GOOGLETRANSLATE(B80, ""en"", ""pt"")"),"Arma branca. Usado para atacar a uma curta distância na direção que você está enfrentando.")</f>
        <v>Arma branca. Usado para atacar a uma curta distância na direção que você está enfrentando.</v>
      </c>
      <c r="H80" s="24" t="str">
        <f>IFERROR(__xludf.DUMMYFUNCTION("GOOGLETRANSLATE(B80, ""en"", ""de"")"),"Nahkampfwaffe. Verwendet, um eine kurze Strecke zum Angriff in Richtung weg Sie konfrontiert sind.")</f>
        <v>Nahkampfwaffe. Verwendet, um eine kurze Strecke zum Angriff in Richtung weg Sie konfrontiert sind.</v>
      </c>
      <c r="I80" s="23" t="str">
        <f>IFERROR(__xludf.DUMMYFUNCTION("GOOGLETRANSLATE(B80, ""en"", ""pl"")"),"Broń biała. Wykorzystana do ataku na krótkie odległości w kierunku, w którym stoją.")</f>
        <v>Broń biała. Wykorzystana do ataku na krótkie odległości w kierunku, w którym stoją.</v>
      </c>
      <c r="J80" s="25" t="str">
        <f>IFERROR(__xludf.DUMMYFUNCTION("GOOGLETRANSLATE(B80, ""en"", ""zh"")"),"近战武器。适用于您所面对的方向攻击很短的距离。")</f>
        <v>近战武器。适用于您所面对的方向攻击很短的距离。</v>
      </c>
      <c r="K80" s="25" t="str">
        <f>IFERROR(__xludf.DUMMYFUNCTION("GOOGLETRANSLATE(B80, ""en"", ""vi"")"),"vũ khí cận chiến. Được sử dụng để tấn công một khoảng cách ngắn đi theo hướng bạn đang phải đối mặt.")</f>
        <v>vũ khí cận chiến. Được sử dụng để tấn công một khoảng cách ngắn đi theo hướng bạn đang phải đối mặt.</v>
      </c>
      <c r="L80" s="26" t="str">
        <f>IFERROR(__xludf.DUMMYFUNCTION("GOOGLETRANSLATE(B80, ""en"", ""hr"")"),"Gužva oružje. Koristi se za napad nedaleko u smjeru u kojem se suočavaju.")</f>
        <v>Gužva oružje. Koristi se za napad nedaleko u smjeru u kojem se suočavaju.</v>
      </c>
      <c r="M80" s="28"/>
      <c r="N80" s="28"/>
      <c r="O80" s="28"/>
      <c r="P80" s="28"/>
      <c r="Q80" s="28"/>
      <c r="R80" s="28"/>
      <c r="S80" s="28"/>
      <c r="T80" s="28"/>
      <c r="U80" s="28"/>
      <c r="V80" s="28"/>
      <c r="W80" s="28"/>
      <c r="X80" s="28"/>
      <c r="Y80" s="28"/>
      <c r="Z80" s="28"/>
      <c r="AA80" s="28"/>
      <c r="AB80" s="28"/>
    </row>
    <row r="81">
      <c r="A81" s="21" t="s">
        <v>447</v>
      </c>
      <c r="B81" s="22" t="s">
        <v>448</v>
      </c>
      <c r="C81" s="23" t="str">
        <f>IFERROR(__xludf.DUMMYFUNCTION("GOOGLETRANSLATE(B81, ""en"", ""fr"")"),"marteau de fer")</f>
        <v>marteau de fer</v>
      </c>
      <c r="D81" s="23" t="str">
        <f>IFERROR(__xludf.DUMMYFUNCTION("GOOGLETRANSLATE(B81, ""en"", ""es"")"),"martillo de hierro")</f>
        <v>martillo de hierro</v>
      </c>
      <c r="E81" s="23" t="str">
        <f>IFERROR(__xludf.DUMMYFUNCTION("GOOGLETRANSLATE(B81, ""en"", ""ru"")"),"Железный молоток")</f>
        <v>Железный молоток</v>
      </c>
      <c r="F81" s="23" t="str">
        <f>IFERROR(__xludf.DUMMYFUNCTION("GOOGLETRANSLATE(B81, ""en"", ""tr"")"),"Demir çekiç")</f>
        <v>Demir çekiç</v>
      </c>
      <c r="G81" s="23" t="str">
        <f>IFERROR(__xludf.DUMMYFUNCTION("GOOGLETRANSLATE(B81, ""en"", ""pt"")"),"martelo de ferro")</f>
        <v>martelo de ferro</v>
      </c>
      <c r="H81" s="24" t="str">
        <f>IFERROR(__xludf.DUMMYFUNCTION("GOOGLETRANSLATE(B81, ""en"", ""de"")"),"Eisenhammer")</f>
        <v>Eisenhammer</v>
      </c>
      <c r="I81" s="23" t="str">
        <f>IFERROR(__xludf.DUMMYFUNCTION("GOOGLETRANSLATE(B81, ""en"", ""pl"")"),"żelazo młot")</f>
        <v>żelazo młot</v>
      </c>
      <c r="J81" s="25" t="str">
        <f>IFERROR(__xludf.DUMMYFUNCTION("GOOGLETRANSLATE(B81, ""en"", ""zh"")"),"铁榔头")</f>
        <v>铁榔头</v>
      </c>
      <c r="K81" s="25" t="str">
        <f>IFERROR(__xludf.DUMMYFUNCTION("GOOGLETRANSLATE(B81, ""en"", ""vi"")"),"sắt búa")</f>
        <v>sắt búa</v>
      </c>
      <c r="L81" s="26" t="str">
        <f>IFERROR(__xludf.DUMMYFUNCTION("GOOGLETRANSLATE(B81, ""en"", ""hr"")"),"Željezo čekić")</f>
        <v>Željezo čekić</v>
      </c>
      <c r="M81" s="28"/>
      <c r="N81" s="28"/>
      <c r="O81" s="28"/>
      <c r="P81" s="28"/>
      <c r="Q81" s="28"/>
      <c r="R81" s="28"/>
      <c r="S81" s="28"/>
      <c r="T81" s="28"/>
      <c r="U81" s="28"/>
      <c r="V81" s="28"/>
      <c r="W81" s="28"/>
      <c r="X81" s="28"/>
      <c r="Y81" s="28"/>
      <c r="Z81" s="28"/>
      <c r="AA81" s="28"/>
      <c r="AB81" s="28"/>
    </row>
    <row r="82">
      <c r="A82" s="21" t="s">
        <v>449</v>
      </c>
      <c r="B82" s="22" t="s">
        <v>450</v>
      </c>
      <c r="C82" s="23" t="str">
        <f>IFERROR(__xludf.DUMMYFUNCTION("GOOGLETRANSLATE(B82, ""en"", ""fr"")"),"Arme de mêlée. Pousse les choses un espace quand il frappe.")</f>
        <v>Arme de mêlée. Pousse les choses un espace quand il frappe.</v>
      </c>
      <c r="D82" s="23" t="str">
        <f>IFERROR(__xludf.DUMMYFUNCTION("GOOGLETRANSLATE(B82, ""en"", ""es"")"),"arma cuerpo a cuerpo. Lleva las cosas un espacio hacia atrás cuando se golpea.")</f>
        <v>arma cuerpo a cuerpo. Lleva las cosas un espacio hacia atrás cuando se golpea.</v>
      </c>
      <c r="E82" s="23" t="str">
        <f>IFERROR(__xludf.DUMMYFUNCTION("GOOGLETRANSLATE(B82,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82" s="23" t="str">
        <f>IFERROR(__xludf.DUMMYFUNCTION("GOOGLETRANSLATE(B82, ""en"", ""tr"")"),"Yakın dövüş silahı. çarptığında iter şeyler bir boşluk geri.")</f>
        <v>Yakın dövüş silahı. çarptığında iter şeyler bir boşluk geri.</v>
      </c>
      <c r="G82" s="23" t="str">
        <f>IFERROR(__xludf.DUMMYFUNCTION("GOOGLETRANSLATE(B82, ""en"", ""pt"")"),"Arma branca. Empurra as coisas de volta um espaço quando bate.")</f>
        <v>Arma branca. Empurra as coisas de volta um espaço quando bate.</v>
      </c>
      <c r="H82" s="24" t="str">
        <f>IFERROR(__xludf.DUMMYFUNCTION("GOOGLETRANSLATE(B82, ""en"", ""de"")"),"Nahkampfwaffe. Schiebt die Dinge wieder einen Raum, wenn er trifft.")</f>
        <v>Nahkampfwaffe. Schiebt die Dinge wieder einen Raum, wenn er trifft.</v>
      </c>
      <c r="I82" s="23" t="str">
        <f>IFERROR(__xludf.DUMMYFUNCTION("GOOGLETRANSLATE(B82, ""en"", ""pl"")"),"Broń biała. Popycha rzeczy z powrotem jedno miejsce, gdy natrafi.")</f>
        <v>Broń biała. Popycha rzeczy z powrotem jedno miejsce, gdy natrafi.</v>
      </c>
      <c r="J82" s="25" t="str">
        <f>IFERROR(__xludf.DUMMYFUNCTION("GOOGLETRANSLATE(B82, ""en"", ""zh"")"),"近战武器。推动东西回来一个空当它击中。")</f>
        <v>近战武器。推动东西回来一个空当它击中。</v>
      </c>
      <c r="K82" s="25" t="str">
        <f>IFERROR(__xludf.DUMMYFUNCTION("GOOGLETRANSLATE(B82, ""en"", ""vi"")"),"vũ khí cận chiến. Push thứ trở lại một không gian khi nó chạm.")</f>
        <v>vũ khí cận chiến. Push thứ trở lại một không gian khi nó chạm.</v>
      </c>
      <c r="L82" s="26" t="str">
        <f>IFERROR(__xludf.DUMMYFUNCTION("GOOGLETRANSLATE(B82, ""en"", ""hr"")"),"Gužva oružje. Gura stvari vratiti za jedno mjesto kad ga pogodi.")</f>
        <v>Gužva oružje. Gura stvari vratiti za jedno mjesto kad ga pogodi.</v>
      </c>
      <c r="M82" s="28"/>
      <c r="N82" s="28"/>
      <c r="O82" s="28"/>
      <c r="P82" s="28"/>
      <c r="Q82" s="28"/>
      <c r="R82" s="28"/>
      <c r="S82" s="28"/>
      <c r="T82" s="28"/>
      <c r="U82" s="28"/>
      <c r="V82" s="28"/>
      <c r="W82" s="28"/>
      <c r="X82" s="28"/>
      <c r="Y82" s="28"/>
      <c r="Z82" s="28"/>
      <c r="AA82" s="28"/>
      <c r="AB82" s="28"/>
    </row>
    <row r="83">
      <c r="A83" s="21" t="s">
        <v>451</v>
      </c>
      <c r="B83" s="22" t="s">
        <v>452</v>
      </c>
      <c r="C83" s="23" t="str">
        <f>IFERROR(__xludf.DUMMYFUNCTION("GOOGLETRANSLATE(B83, ""en"", ""fr"")"),"armure d'Iron")</f>
        <v>armure d'Iron</v>
      </c>
      <c r="D83" s="23" t="str">
        <f>IFERROR(__xludf.DUMMYFUNCTION("GOOGLETRANSLATE(B83, ""en"", ""es"")"),"armadura de hierro")</f>
        <v>armadura de hierro</v>
      </c>
      <c r="E83" s="23" t="str">
        <f>IFERROR(__xludf.DUMMYFUNCTION("GOOGLETRANSLATE(B83, ""en"", ""ru"")"),"Железный доспех")</f>
        <v>Железный доспех</v>
      </c>
      <c r="F83" s="23" t="str">
        <f>IFERROR(__xludf.DUMMYFUNCTION("GOOGLETRANSLATE(B83, ""en"", ""tr"")"),"Demir zırh")</f>
        <v>Demir zırh</v>
      </c>
      <c r="G83" s="23" t="str">
        <f>IFERROR(__xludf.DUMMYFUNCTION("GOOGLETRANSLATE(B83, ""en"", ""pt"")"),"armaduras de ferro")</f>
        <v>armaduras de ferro</v>
      </c>
      <c r="H83" s="24" t="str">
        <f>IFERROR(__xludf.DUMMYFUNCTION("GOOGLETRANSLATE(B83, ""en"", ""de"")"),"Eisenpanzer")</f>
        <v>Eisenpanzer</v>
      </c>
      <c r="I83" s="23" t="str">
        <f>IFERROR(__xludf.DUMMYFUNCTION("GOOGLETRANSLATE(B83, ""en"", ""pl"")"),"Żelazna zbroja")</f>
        <v>Żelazna zbroja</v>
      </c>
      <c r="J83" s="25" t="str">
        <f>IFERROR(__xludf.DUMMYFUNCTION("GOOGLETRANSLATE(B83, ""en"", ""zh"")"),"铁质铠甲")</f>
        <v>铁质铠甲</v>
      </c>
      <c r="K83" s="25" t="str">
        <f>IFERROR(__xludf.DUMMYFUNCTION("GOOGLETRANSLATE(B83, ""en"", ""vi"")"),"sắt giáp")</f>
        <v>sắt giáp</v>
      </c>
      <c r="L83" s="26" t="str">
        <f>IFERROR(__xludf.DUMMYFUNCTION("GOOGLETRANSLATE(B83, ""en"", ""hr"")"),"Željezo oklop")</f>
        <v>Željezo oklop</v>
      </c>
      <c r="M83" s="28"/>
      <c r="N83" s="28"/>
      <c r="O83" s="28"/>
      <c r="P83" s="28"/>
      <c r="Q83" s="28"/>
      <c r="R83" s="28"/>
      <c r="S83" s="28"/>
      <c r="T83" s="28"/>
      <c r="U83" s="28"/>
      <c r="V83" s="28"/>
      <c r="W83" s="28"/>
      <c r="X83" s="28"/>
      <c r="Y83" s="28"/>
      <c r="Z83" s="28"/>
      <c r="AA83" s="28"/>
      <c r="AB83" s="28"/>
    </row>
    <row r="84">
      <c r="A84" s="21" t="s">
        <v>453</v>
      </c>
      <c r="B84" s="22" t="s">
        <v>454</v>
      </c>
      <c r="C84" s="23" t="str">
        <f>IFERROR(__xludf.DUMMYFUNCTION("GOOGLETRANSLATE(B84, ""en"", ""fr"")"),"armure de base pour réduire les dégâts subis. Augmente votre stat Melee tout porté.")</f>
        <v>armure de base pour réduire les dégâts subis. Augmente votre stat Melee tout porté.</v>
      </c>
      <c r="D84" s="23" t="str">
        <f>IFERROR(__xludf.DUMMYFUNCTION("GOOGLETRANSLATE(B84, ""en"", ""es"")"),"armadura básica para reducir el daño recibido. Aumenta la estadística cuerpo a cuerpo mientras se usa.")</f>
        <v>armadura básica para reducir el daño recibido. Aumenta la estadística cuerpo a cuerpo mientras se usa.</v>
      </c>
      <c r="E84" s="23" t="str">
        <f>IFERROR(__xludf.DUMMYFUNCTION("GOOGLETRANSLATE(B84, ""en"", ""ru"")"),"Базовая броня, чтобы уменьшить урон. Повышает рукопашной стат во время ношения.")</f>
        <v>Базовая броня, чтобы уменьшить урон. Повышает рукопашной стат во время ношения.</v>
      </c>
      <c r="F84" s="23" t="str">
        <f>IFERROR(__xludf.DUMMYFUNCTION("GOOGLETRANSLATE(B84, ""en"", ""tr"")"),"Temel zırh alınan zararı azaltmak için. yıpranmış ederken Melee, stat artırır.")</f>
        <v>Temel zırh alınan zararı azaltmak için. yıpranmış ederken Melee, stat artırır.</v>
      </c>
      <c r="G84" s="23" t="str">
        <f>IFERROR(__xludf.DUMMYFUNCTION("GOOGLETRANSLATE(B84, ""en"", ""pt"")"),"armadura básica para reduzir o dano tomado. Aumenta seu status de corpo a corpo, enquanto desgastado.")</f>
        <v>armadura básica para reduzir o dano tomado. Aumenta seu status de corpo a corpo, enquanto desgastado.</v>
      </c>
      <c r="H84" s="24" t="str">
        <f>IFERROR(__xludf.DUMMYFUNCTION("GOOGLETRANSLATE(B84, ""en"", ""de"")"),"Grund Rüstung Schaden genommen zu reduzieren. Erhöht den Nahkampf stat während des Tragens.")</f>
        <v>Grund Rüstung Schaden genommen zu reduzieren. Erhöht den Nahkampf stat während des Tragens.</v>
      </c>
      <c r="I84" s="23" t="str">
        <f>IFERROR(__xludf.DUMMYFUNCTION("GOOGLETRANSLATE(B84, ""en"", ""pl"")"),"Podstawowe pancerz zmniejszyć obrażenia. Zwiększa stat wręcz podczas noszenia.")</f>
        <v>Podstawowe pancerz zmniejszyć obrażenia. Zwiększa stat wręcz podczas noszenia.</v>
      </c>
      <c r="J84" s="25" t="str">
        <f>IFERROR(__xludf.DUMMYFUNCTION("GOOGLETRANSLATE(B84, ""en"", ""zh"")"),"基本装甲，以减少受到的伤害。使你的近战的统计，而磨损。")</f>
        <v>基本装甲，以减少受到的伤害。使你的近战的统计，而磨损。</v>
      </c>
      <c r="K84" s="25" t="str">
        <f>IFERROR(__xludf.DUMMYFUNCTION("GOOGLETRANSLATE(B84, ""en"", ""vi"")"),"áo giáp cơ bản để giảm thiệt hại thực hiện. Tăng Melee stat của bạn trong khi mặc.")</f>
        <v>áo giáp cơ bản để giảm thiệt hại thực hiện. Tăng Melee stat của bạn trong khi mặc.</v>
      </c>
      <c r="L84" s="26" t="str">
        <f>IFERROR(__xludf.DUMMYFUNCTION("GOOGLETRANSLATE(B84, ""en"", ""hr"")"),"Osnovni oklop kako bi se smanjila šteta poduzeti. Povećava gužva stat dok istrošena.")</f>
        <v>Osnovni oklop kako bi se smanjila šteta poduzeti. Povećava gužva stat dok istrošena.</v>
      </c>
      <c r="M84" s="28"/>
      <c r="N84" s="28"/>
      <c r="O84" s="28"/>
      <c r="P84" s="28"/>
      <c r="Q84" s="28"/>
      <c r="R84" s="28"/>
      <c r="S84" s="28"/>
      <c r="T84" s="28"/>
      <c r="U84" s="28"/>
      <c r="V84" s="28"/>
      <c r="W84" s="28"/>
      <c r="X84" s="28"/>
      <c r="Y84" s="28"/>
      <c r="Z84" s="28"/>
      <c r="AA84" s="28"/>
      <c r="AB84" s="28"/>
    </row>
    <row r="85">
      <c r="A85" s="21" t="s">
        <v>455</v>
      </c>
      <c r="B85" s="22" t="s">
        <v>456</v>
      </c>
      <c r="C85" s="23" t="str">
        <f>IFERROR(__xludf.DUMMYFUNCTION("GOOGLETRANSLATE(B85, ""en"", ""fr"")"),"Dungium hache de guerre")</f>
        <v>Dungium hache de guerre</v>
      </c>
      <c r="D85" s="23" t="str">
        <f>IFERROR(__xludf.DUMMYFUNCTION("GOOGLETRANSLATE(B85, ""en"", ""es"")"),"Dungium hacha")</f>
        <v>Dungium hacha</v>
      </c>
      <c r="E85" s="23" t="str">
        <f>IFERROR(__xludf.DUMMYFUNCTION("GOOGLETRANSLATE(B85, ""en"", ""ru"")"),"Dungium топорик")</f>
        <v>Dungium топорик</v>
      </c>
      <c r="F85" s="23" t="str">
        <f>IFERROR(__xludf.DUMMYFUNCTION("GOOGLETRANSLATE(B85, ""en"", ""tr"")"),"Dungium balta")</f>
        <v>Dungium balta</v>
      </c>
      <c r="G85" s="23" t="str">
        <f>IFERROR(__xludf.DUMMYFUNCTION("GOOGLETRANSLATE(B85, ""en"", ""pt"")"),"Dungium machado")</f>
        <v>Dungium machado</v>
      </c>
      <c r="H85" s="24" t="str">
        <f>IFERROR(__xludf.DUMMYFUNCTION("GOOGLETRANSLATE(B85, ""en"", ""de"")"),"Dungium Beil")</f>
        <v>Dungium Beil</v>
      </c>
      <c r="I85" s="23" t="str">
        <f>IFERROR(__xludf.DUMMYFUNCTION("GOOGLETRANSLATE(B85, ""en"", ""pl"")"),"Dungium siekierka")</f>
        <v>Dungium siekierka</v>
      </c>
      <c r="J85" s="25" t="str">
        <f>IFERROR(__xludf.DUMMYFUNCTION("GOOGLETRANSLATE(B85, ""en"", ""zh"")"),"Dungium前嫌")</f>
        <v>Dungium前嫌</v>
      </c>
      <c r="K85" s="25" t="str">
        <f>IFERROR(__xludf.DUMMYFUNCTION("GOOGLETRANSLATE(B85, ""en"", ""vi"")"),"Dungium rìu")</f>
        <v>Dungium rìu</v>
      </c>
      <c r="L85" s="26" t="str">
        <f>IFERROR(__xludf.DUMMYFUNCTION("GOOGLETRANSLATE(B85, ""en"", ""hr"")"),"Dungium sjekirica")</f>
        <v>Dungium sjekirica</v>
      </c>
      <c r="M85" s="28"/>
      <c r="N85" s="28"/>
      <c r="O85" s="28"/>
      <c r="P85" s="28"/>
      <c r="Q85" s="28"/>
      <c r="R85" s="28"/>
      <c r="S85" s="28"/>
      <c r="T85" s="28"/>
      <c r="U85" s="28"/>
      <c r="V85" s="28"/>
      <c r="W85" s="28"/>
      <c r="X85" s="28"/>
      <c r="Y85" s="28"/>
      <c r="Z85" s="28"/>
      <c r="AA85" s="28"/>
      <c r="AB85" s="28"/>
    </row>
    <row r="86">
      <c r="A86" s="21" t="s">
        <v>457</v>
      </c>
      <c r="B86" s="22" t="s">
        <v>430</v>
      </c>
      <c r="C86" s="23" t="str">
        <f>IFERROR(__xludf.DUMMYFUNCTION("GOOGLETRANSLATE(B86, ""en"", ""fr"")"),"Utilisé pour abattre des arbres pour le bois.")</f>
        <v>Utilisé pour abattre des arbres pour le bois.</v>
      </c>
      <c r="D86" s="23" t="str">
        <f>IFERROR(__xludf.DUMMYFUNCTION("GOOGLETRANSLATE(B86, ""en"", ""es"")"),"Se utiliza para cortar árboles para madera.")</f>
        <v>Se utiliza para cortar árboles para madera.</v>
      </c>
      <c r="E86" s="23" t="str">
        <f>IFERROR(__xludf.DUMMYFUNCTION("GOOGLETRANSLATE(B86, ""en"", ""ru"")"),"Используется рубить деревья для дерева.")</f>
        <v>Используется рубить деревья для дерева.</v>
      </c>
      <c r="F86" s="23" t="str">
        <f>IFERROR(__xludf.DUMMYFUNCTION("GOOGLETRANSLATE(B86, ""en"", ""tr"")"),"buradaki ağaçları devirmek için kullanılır.")</f>
        <v>buradaki ağaçları devirmek için kullanılır.</v>
      </c>
      <c r="G86" s="23" t="str">
        <f>IFERROR(__xludf.DUMMYFUNCTION("GOOGLETRANSLATE(B86, ""en"", ""pt"")"),"Usado para derrubar árvores para madeira.")</f>
        <v>Usado para derrubar árvores para madeira.</v>
      </c>
      <c r="H86" s="24" t="str">
        <f>IFERROR(__xludf.DUMMYFUNCTION("GOOGLETRANSLATE(B86, ""en"", ""de"")"),"Gebrauchte Bäume zu fällen für Holz.")</f>
        <v>Gebrauchte Bäume zu fällen für Holz.</v>
      </c>
      <c r="I86" s="23" t="str">
        <f>IFERROR(__xludf.DUMMYFUNCTION("GOOGLETRANSLATE(B86, ""en"", ""pl"")"),"Służy do ścinać drzewa w lesie.")</f>
        <v>Służy do ścinać drzewa w lesie.</v>
      </c>
      <c r="J86" s="25" t="str">
        <f>IFERROR(__xludf.DUMMYFUNCTION("GOOGLETRANSLATE(B86, ""en"", ""zh"")"),"用来砍木材的树木。")</f>
        <v>用来砍木材的树木。</v>
      </c>
      <c r="K86" s="25" t="str">
        <f>IFERROR(__xludf.DUMMYFUNCTION("GOOGLETRANSLATE(B86, ""en"", ""vi"")"),"Dùng để đốn cây lấy gỗ.")</f>
        <v>Dùng để đốn cây lấy gỗ.</v>
      </c>
      <c r="L86" s="26" t="str">
        <f>IFERROR(__xludf.DUMMYFUNCTION("GOOGLETRANSLATE(B86, ""en"", ""hr"")"),"Koristi se za kotlet dolje stabala za drvo.")</f>
        <v>Koristi se za kotlet dolje stabala za drvo.</v>
      </c>
      <c r="M86" s="28"/>
      <c r="N86" s="28"/>
      <c r="O86" s="28"/>
      <c r="P86" s="28"/>
      <c r="Q86" s="28"/>
      <c r="R86" s="28"/>
      <c r="S86" s="28"/>
      <c r="T86" s="28"/>
      <c r="U86" s="28"/>
      <c r="V86" s="28"/>
      <c r="W86" s="28"/>
      <c r="X86" s="28"/>
      <c r="Y86" s="28"/>
      <c r="Z86" s="28"/>
      <c r="AA86" s="28"/>
      <c r="AB86" s="28"/>
    </row>
    <row r="87">
      <c r="A87" s="21" t="s">
        <v>458</v>
      </c>
      <c r="B87" s="22" t="s">
        <v>459</v>
      </c>
      <c r="C87" s="23" t="str">
        <f>IFERROR(__xludf.DUMMYFUNCTION("GOOGLETRANSLATE(B87, ""en"", ""fr"")"),"Dungium pickaxe")</f>
        <v>Dungium pickaxe</v>
      </c>
      <c r="D87" s="23" t="str">
        <f>IFERROR(__xludf.DUMMYFUNCTION("GOOGLETRANSLATE(B87, ""en"", ""es"")"),"piqueta Dungium")</f>
        <v>piqueta Dungium</v>
      </c>
      <c r="E87" s="23" t="str">
        <f>IFERROR(__xludf.DUMMYFUNCTION("GOOGLETRANSLATE(B87, ""en"", ""ru"")"),"Dungium кирка")</f>
        <v>Dungium кирка</v>
      </c>
      <c r="F87" s="23" t="str">
        <f>IFERROR(__xludf.DUMMYFUNCTION("GOOGLETRANSLATE(B87, ""en"", ""tr"")"),"Dungium kazma")</f>
        <v>Dungium kazma</v>
      </c>
      <c r="G87" s="23" t="str">
        <f>IFERROR(__xludf.DUMMYFUNCTION("GOOGLETRANSLATE(B87, ""en"", ""pt"")"),"Dungium picareta")</f>
        <v>Dungium picareta</v>
      </c>
      <c r="H87" s="24" t="str">
        <f>IFERROR(__xludf.DUMMYFUNCTION("GOOGLETRANSLATE(B87, ""en"", ""de"")"),"Dungium pickaxe")</f>
        <v>Dungium pickaxe</v>
      </c>
      <c r="I87" s="23" t="str">
        <f>IFERROR(__xludf.DUMMYFUNCTION("GOOGLETRANSLATE(B87, ""en"", ""pl"")"),"Dungium kilof")</f>
        <v>Dungium kilof</v>
      </c>
      <c r="J87" s="25" t="str">
        <f>IFERROR(__xludf.DUMMYFUNCTION("GOOGLETRANSLATE(B87, ""en"", ""zh"")"),"Dungium镐头")</f>
        <v>Dungium镐头</v>
      </c>
      <c r="K87" s="25" t="str">
        <f>IFERROR(__xludf.DUMMYFUNCTION("GOOGLETRANSLATE(B87, ""en"", ""vi"")"),"Dungium cuốc")</f>
        <v>Dungium cuốc</v>
      </c>
      <c r="L87" s="26" t="str">
        <f>IFERROR(__xludf.DUMMYFUNCTION("GOOGLETRANSLATE(B87, ""en"", ""hr"")"),"Dungium pijuk")</f>
        <v>Dungium pijuk</v>
      </c>
      <c r="M87" s="28"/>
      <c r="N87" s="28"/>
      <c r="O87" s="28"/>
      <c r="P87" s="28"/>
      <c r="Q87" s="28"/>
      <c r="R87" s="28"/>
      <c r="S87" s="28"/>
      <c r="T87" s="28"/>
      <c r="U87" s="28"/>
      <c r="V87" s="28"/>
      <c r="W87" s="28"/>
      <c r="X87" s="28"/>
      <c r="Y87" s="28"/>
      <c r="Z87" s="28"/>
      <c r="AA87" s="28"/>
      <c r="AB87" s="28"/>
    </row>
    <row r="88">
      <c r="A88" s="21" t="s">
        <v>460</v>
      </c>
      <c r="B88" s="22" t="s">
        <v>434</v>
      </c>
      <c r="C88" s="23" t="str">
        <f>IFERROR(__xludf.DUMMYFUNCTION("GOOGLETRANSLATE(B88, ""en"", ""fr"")"),"Utilisé pour les roches de la mine pour le minerai.")</f>
        <v>Utilisé pour les roches de la mine pour le minerai.</v>
      </c>
      <c r="D88" s="23" t="str">
        <f>IFERROR(__xludf.DUMMYFUNCTION("GOOGLETRANSLATE(B88, ""en"", ""es"")"),"Se utiliza para rocas de las minas de mineral.")</f>
        <v>Se utiliza para rocas de las minas de mineral.</v>
      </c>
      <c r="E88" s="23" t="str">
        <f>IFERROR(__xludf.DUMMYFUNCTION("GOOGLETRANSLATE(B88, ""en"", ""ru"")"),"Используется для горных пород для руды.")</f>
        <v>Используется для горных пород для руды.</v>
      </c>
      <c r="F88" s="23" t="str">
        <f>IFERROR(__xludf.DUMMYFUNCTION("GOOGLETRANSLATE(B88, ""en"", ""tr"")"),"cevher için maden kayalar için kullanılır.")</f>
        <v>cevher için maden kayalar için kullanılır.</v>
      </c>
      <c r="G88" s="23" t="str">
        <f>IFERROR(__xludf.DUMMYFUNCTION("GOOGLETRANSLATE(B88, ""en"", ""pt"")"),"Usado para meus rochas de minério.")</f>
        <v>Usado para meus rochas de minério.</v>
      </c>
      <c r="H88" s="24" t="str">
        <f>IFERROR(__xludf.DUMMYFUNCTION("GOOGLETRANSLATE(B88, ""en"", ""de"")"),"Wird verwendet, um mein Felsen für Erz.")</f>
        <v>Wird verwendet, um mein Felsen für Erz.</v>
      </c>
      <c r="I88" s="23" t="str">
        <f>IFERROR(__xludf.DUMMYFUNCTION("GOOGLETRANSLATE(B88, ""en"", ""pl"")"),"Służy do kopalń rudy.")</f>
        <v>Służy do kopalń rudy.</v>
      </c>
      <c r="J88" s="25" t="str">
        <f>IFERROR(__xludf.DUMMYFUNCTION("GOOGLETRANSLATE(B88, ""en"", ""zh"")"),"用于矿山岩石矿石。")</f>
        <v>用于矿山岩石矿石。</v>
      </c>
      <c r="K88" s="25" t="str">
        <f>IFERROR(__xludf.DUMMYFUNCTION("GOOGLETRANSLATE(B88, ""en"", ""vi"")"),"Được sử dụng để đá mỏ quặng.")</f>
        <v>Được sử dụng để đá mỏ quặng.</v>
      </c>
      <c r="L88" s="26" t="str">
        <f>IFERROR(__xludf.DUMMYFUNCTION("GOOGLETRANSLATE(B88, ""en"", ""hr"")"),"Koristi se mina stijena za rude.")</f>
        <v>Koristi se mina stijena za rude.</v>
      </c>
      <c r="M88" s="28"/>
      <c r="N88" s="28"/>
      <c r="O88" s="28"/>
      <c r="P88" s="28"/>
      <c r="Q88" s="28"/>
      <c r="R88" s="28"/>
      <c r="S88" s="28"/>
      <c r="T88" s="28"/>
      <c r="U88" s="28"/>
      <c r="V88" s="28"/>
      <c r="W88" s="28"/>
      <c r="X88" s="28"/>
      <c r="Y88" s="28"/>
      <c r="Z88" s="28"/>
      <c r="AA88" s="28"/>
      <c r="AB88" s="28"/>
    </row>
    <row r="89">
      <c r="A89" s="21" t="s">
        <v>461</v>
      </c>
      <c r="B89" s="22" t="s">
        <v>462</v>
      </c>
      <c r="C89" s="23" t="str">
        <f>IFERROR(__xludf.DUMMYFUNCTION("GOOGLETRANSLATE(B89, ""en"", ""fr"")"),"flèches Dungium")</f>
        <v>flèches Dungium</v>
      </c>
      <c r="D89" s="23" t="str">
        <f>IFERROR(__xludf.DUMMYFUNCTION("GOOGLETRANSLATE(B89, ""en"", ""es"")"),"flechas Dungium")</f>
        <v>flechas Dungium</v>
      </c>
      <c r="E89" s="23" t="str">
        <f>IFERROR(__xludf.DUMMYFUNCTION("GOOGLETRANSLATE(B89, ""en"", ""ru"")"),"стрелки Dungium")</f>
        <v>стрелки Dungium</v>
      </c>
      <c r="F89" s="23" t="str">
        <f>IFERROR(__xludf.DUMMYFUNCTION("GOOGLETRANSLATE(B89, ""en"", ""tr"")"),"Dungium oklar")</f>
        <v>Dungium oklar</v>
      </c>
      <c r="G89" s="23" t="str">
        <f>IFERROR(__xludf.DUMMYFUNCTION("GOOGLETRANSLATE(B89, ""en"", ""pt"")"),"setas Dungium")</f>
        <v>setas Dungium</v>
      </c>
      <c r="H89" s="24" t="str">
        <f>IFERROR(__xludf.DUMMYFUNCTION("GOOGLETRANSLATE(B89, ""en"", ""de"")"),"Dungium Pfeile")</f>
        <v>Dungium Pfeile</v>
      </c>
      <c r="I89" s="23" t="str">
        <f>IFERROR(__xludf.DUMMYFUNCTION("GOOGLETRANSLATE(B89, ""en"", ""pl"")"),"strzałki Dungium")</f>
        <v>strzałki Dungium</v>
      </c>
      <c r="J89" s="25" t="str">
        <f>IFERROR(__xludf.DUMMYFUNCTION("GOOGLETRANSLATE(B89, ""en"", ""zh"")"),"Dungium箭头")</f>
        <v>Dungium箭头</v>
      </c>
      <c r="K89" s="25" t="str">
        <f>IFERROR(__xludf.DUMMYFUNCTION("GOOGLETRANSLATE(B89, ""en"", ""vi"")"),"mũi tên Dungium")</f>
        <v>mũi tên Dungium</v>
      </c>
      <c r="L89" s="26" t="str">
        <f>IFERROR(__xludf.DUMMYFUNCTION("GOOGLETRANSLATE(B89, ""en"", ""hr"")"),"Dungium strelice")</f>
        <v>Dungium strelice</v>
      </c>
      <c r="M89" s="28"/>
      <c r="N89" s="28"/>
      <c r="O89" s="28"/>
      <c r="P89" s="28"/>
      <c r="Q89" s="28"/>
      <c r="R89" s="28"/>
      <c r="S89" s="28"/>
      <c r="T89" s="28"/>
      <c r="U89" s="28"/>
      <c r="V89" s="28"/>
      <c r="W89" s="28"/>
      <c r="X89" s="28"/>
      <c r="Y89" s="28"/>
      <c r="Z89" s="28"/>
      <c r="AA89" s="28"/>
      <c r="AB89" s="28"/>
    </row>
    <row r="90">
      <c r="A90" s="21" t="s">
        <v>463</v>
      </c>
      <c r="B90" s="22" t="s">
        <v>438</v>
      </c>
      <c r="C90" s="23" t="str">
        <f>IFERROR(__xludf.DUMMYFUNCTION("GOOGLETRANSLATE(B90, ""en"", ""fr"")"),"Utilisé comme munitions pour un arc.")</f>
        <v>Utilisé comme munitions pour un arc.</v>
      </c>
      <c r="D90" s="23" t="str">
        <f>IFERROR(__xludf.DUMMYFUNCTION("GOOGLETRANSLATE(B90, ""en"", ""es"")"),"Se utiliza como munición para un arco.")</f>
        <v>Se utiliza como munición para un arco.</v>
      </c>
      <c r="E90" s="23" t="str">
        <f>IFERROR(__xludf.DUMMYFUNCTION("GOOGLETRANSLATE(B90, ""en"", ""ru"")"),"Используется в качестве боеприпасов для лука.")</f>
        <v>Используется в качестве боеприпасов для лука.</v>
      </c>
      <c r="F90" s="23" t="str">
        <f>IFERROR(__xludf.DUMMYFUNCTION("GOOGLETRANSLATE(B90, ""en"", ""tr"")"),"Bir yay için mühimmat olarak kullanılır.")</f>
        <v>Bir yay için mühimmat olarak kullanılır.</v>
      </c>
      <c r="G90" s="23" t="str">
        <f>IFERROR(__xludf.DUMMYFUNCTION("GOOGLETRANSLATE(B90, ""en"", ""pt"")"),"Usado como munição para um arco.")</f>
        <v>Usado como munição para um arco.</v>
      </c>
      <c r="H90" s="24" t="str">
        <f>IFERROR(__xludf.DUMMYFUNCTION("GOOGLETRANSLATE(B90, ""en"", ""de"")"),"Wird als Munition für einen Bogen.")</f>
        <v>Wird als Munition für einen Bogen.</v>
      </c>
      <c r="I90" s="23" t="str">
        <f>IFERROR(__xludf.DUMMYFUNCTION("GOOGLETRANSLATE(B90, ""en"", ""pl"")"),"Używany jako amunicji do łuku.")</f>
        <v>Używany jako amunicji do łuku.</v>
      </c>
      <c r="J90" s="25" t="str">
        <f>IFERROR(__xludf.DUMMYFUNCTION("GOOGLETRANSLATE(B90, ""en"", ""zh"")"),"作为弹药弓。")</f>
        <v>作为弹药弓。</v>
      </c>
      <c r="K90" s="25" t="str">
        <f>IFERROR(__xludf.DUMMYFUNCTION("GOOGLETRANSLATE(B90, ""en"", ""vi"")"),"Sử dụng như đạn dược cho một cây cung.")</f>
        <v>Sử dụng như đạn dược cho một cây cung.</v>
      </c>
      <c r="L90" s="26" t="str">
        <f>IFERROR(__xludf.DUMMYFUNCTION("GOOGLETRANSLATE(B90, ""en"", ""hr"")"),"Koristi se kao streljivo za luk.")</f>
        <v>Koristi se kao streljivo za luk.</v>
      </c>
      <c r="M90" s="28"/>
      <c r="N90" s="28"/>
      <c r="O90" s="28"/>
      <c r="P90" s="28"/>
      <c r="Q90" s="28"/>
      <c r="R90" s="28"/>
      <c r="S90" s="28"/>
      <c r="T90" s="28"/>
      <c r="U90" s="28"/>
      <c r="V90" s="28"/>
      <c r="W90" s="28"/>
      <c r="X90" s="28"/>
      <c r="Y90" s="28"/>
      <c r="Z90" s="28"/>
      <c r="AA90" s="28"/>
      <c r="AB90" s="28"/>
    </row>
    <row r="91">
      <c r="A91" s="21" t="s">
        <v>464</v>
      </c>
      <c r="B91" s="22" t="s">
        <v>465</v>
      </c>
      <c r="C91" s="23" t="str">
        <f>IFERROR(__xludf.DUMMYFUNCTION("GOOGLETRANSLATE(B91, ""en"", ""fr"")"),"poignard Dungium")</f>
        <v>poignard Dungium</v>
      </c>
      <c r="D91" s="23" t="str">
        <f>IFERROR(__xludf.DUMMYFUNCTION("GOOGLETRANSLATE(B91, ""en"", ""es"")"),"daga Dungium")</f>
        <v>daga Dungium</v>
      </c>
      <c r="E91" s="23" t="str">
        <f>IFERROR(__xludf.DUMMYFUNCTION("GOOGLETRANSLATE(B91, ""en"", ""ru"")"),"Dungium крестик")</f>
        <v>Dungium крестик</v>
      </c>
      <c r="F91" s="23" t="str">
        <f>IFERROR(__xludf.DUMMYFUNCTION("GOOGLETRANSLATE(B91, ""en"", ""tr"")"),"Dungium hançer")</f>
        <v>Dungium hançer</v>
      </c>
      <c r="G91" s="23" t="str">
        <f>IFERROR(__xludf.DUMMYFUNCTION("GOOGLETRANSLATE(B91, ""en"", ""pt"")"),"Dungium punhal")</f>
        <v>Dungium punhal</v>
      </c>
      <c r="H91" s="24" t="str">
        <f>IFERROR(__xludf.DUMMYFUNCTION("GOOGLETRANSLATE(B91, ""en"", ""de"")"),"Dungium Dolch")</f>
        <v>Dungium Dolch</v>
      </c>
      <c r="I91" s="23" t="str">
        <f>IFERROR(__xludf.DUMMYFUNCTION("GOOGLETRANSLATE(B91, ""en"", ""pl"")"),"Dungium sztylet")</f>
        <v>Dungium sztylet</v>
      </c>
      <c r="J91" s="25" t="str">
        <f>IFERROR(__xludf.DUMMYFUNCTION("GOOGLETRANSLATE(B91, ""en"", ""zh"")"),"Dungium匕首")</f>
        <v>Dungium匕首</v>
      </c>
      <c r="K91" s="25" t="str">
        <f>IFERROR(__xludf.DUMMYFUNCTION("GOOGLETRANSLATE(B91, ""en"", ""vi"")"),"Dungium dao găm")</f>
        <v>Dungium dao găm</v>
      </c>
      <c r="L91" s="26" t="str">
        <f>IFERROR(__xludf.DUMMYFUNCTION("GOOGLETRANSLATE(B91, ""en"", ""hr"")"),"Dungium bodež")</f>
        <v>Dungium bodež</v>
      </c>
      <c r="M91" s="28"/>
      <c r="N91" s="28"/>
      <c r="O91" s="28"/>
      <c r="P91" s="28"/>
      <c r="Q91" s="28"/>
      <c r="R91" s="28"/>
      <c r="S91" s="28"/>
      <c r="T91" s="28"/>
      <c r="U91" s="28"/>
      <c r="V91" s="28"/>
      <c r="W91" s="28"/>
      <c r="X91" s="28"/>
      <c r="Y91" s="28"/>
      <c r="Z91" s="28"/>
      <c r="AA91" s="28"/>
      <c r="AB91" s="28"/>
    </row>
    <row r="92">
      <c r="A92" s="21" t="s">
        <v>466</v>
      </c>
      <c r="B92" s="22" t="s">
        <v>442</v>
      </c>
      <c r="C92" s="23" t="str">
        <f>IFERROR(__xludf.DUMMYFUNCTION("GOOGLETRANSLATE(B92,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92" s="23" t="str">
        <f>IFERROR(__xludf.DUMMYFUNCTION("GOOGLETRANSLATE(B92, ""en"", ""es"")"),"arma cuerpo a cuerpo. Se utiliza para atacar a un espacio de distancia en la dirección que está enfrentando. Inflige daño adicional cuando se golpea por detrás.")</f>
        <v>arma cuerpo a cuerpo. Se utiliza para atacar a un espacio de distancia en la dirección que está enfrentando. Inflige daño adicional cuando se golpea por detrás.</v>
      </c>
      <c r="E92" s="23" t="str">
        <f>IFERROR(__xludf.DUMMYFUNCTION("GOOGLETRANSLATE(B92, ""en"", ""ru"")"),"Оружие ближнего боя. Используется для атаки на одно место далеко в направлении вы столкнулись. Наносит дополнительный урон при попадании сзади.")</f>
        <v>Оружие ближнего боя. Используется для атаки на одно место далеко в направлении вы столкнулись. Наносит дополнительный урон при попадании сзади.</v>
      </c>
      <c r="F92" s="23" t="str">
        <f>IFERROR(__xludf.DUMMYFUNCTION("GOOGLETRANSLATE(B92, ""en"", ""tr"")"),"Yakın dövüş silahı. uzakta karşı karşıya yönde bir kare saldırı için kullanılır. o şekilde arkadan çarptığında Bonus hasar verir.")</f>
        <v>Yakın dövüş silahı. uzakta karşı karşıya yönde bir kare saldırı için kullanılır. o şekilde arkadan çarptığında Bonus hasar verir.</v>
      </c>
      <c r="G92" s="23" t="str">
        <f>IFERROR(__xludf.DUMMYFUNCTION("GOOGLETRANSLATE(B92, ""en"", ""pt"")"),"Arma branca. Usado para atacar um espaço longe na direção que você está enfrentando. Causa dano bônus quando se atinge por trás.")</f>
        <v>Arma branca. Usado para atacar um espaço longe na direção que você está enfrentando. Causa dano bônus quando se atinge por trás.</v>
      </c>
      <c r="H92" s="24" t="str">
        <f>IFERROR(__xludf.DUMMYFUNCTION("GOOGLETRANSLATE(B92, ""en"", ""de"")"),"Nahkampfwaffe. Wurde in die Richtung einen Raum weg angreifen Sie konfrontiert sind. Verursacht zusätzlichen Schaden, wenn es von hinten trifft.")</f>
        <v>Nahkampfwaffe. Wurde in die Richtung einen Raum weg angreifen Sie konfrontiert sind. Verursacht zusätzlichen Schaden, wenn es von hinten trifft.</v>
      </c>
      <c r="I92" s="23" t="str">
        <f>IFERROR(__xludf.DUMMYFUNCTION("GOOGLETRANSLATE(B92, ""en"", ""pl"")"),"Broń biała. Wykorzystana do ataku na jedno miejsce daleko w kierunku, w którym stoją. Zadaje obrażenia bonusowy kiedy uderza od tyłu.")</f>
        <v>Broń biała. Wykorzystana do ataku na jedno miejsce daleko w kierunku, w którym stoją. Zadaje obrażenia bonusowy kiedy uderza od tyłu.</v>
      </c>
      <c r="J92" s="25" t="str">
        <f>IFERROR(__xludf.DUMMYFUNCTION("GOOGLETRANSLATE(B92, ""en"", ""zh"")"),"近战武器。用于攻击一个空间远在你面对的方向。造成额外的伤害，当它从背后击中。")</f>
        <v>近战武器。用于攻击一个空间远在你面对的方向。造成额外的伤害，当它从背后击中。</v>
      </c>
      <c r="K92" s="25" t="str">
        <f>IFERROR(__xludf.DUMMYFUNCTION("GOOGLETRANSLATE(B92, ""en"", ""vi"")"),"vũ khí cận chiến. Được sử dụng để tấn công một không gian đi theo hướng bạn đang phải đối mặt. Damage bonus khi nó chạm từ phía sau.")</f>
        <v>vũ khí cận chiến. Được sử dụng để tấn công một không gian đi theo hướng bạn đang phải đối mặt. Damage bonus khi nó chạm từ phía sau.</v>
      </c>
      <c r="L92" s="26" t="str">
        <f>IFERROR(__xludf.DUMMYFUNCTION("GOOGLETRANSLATE(B92, ""en"", ""hr"")"),"Gužva oružje. Koristi se za napad na jedno mjesto dalje u smjeru u kojem se suočavaju. Ponude bonus štetu kada ga pogodi odostraga.")</f>
        <v>Gužva oružje. Koristi se za napad na jedno mjesto dalje u smjeru u kojem se suočavaju. Ponude bonus štetu kada ga pogodi odostraga.</v>
      </c>
      <c r="M92" s="28"/>
      <c r="N92" s="28"/>
      <c r="O92" s="28"/>
      <c r="P92" s="28"/>
      <c r="Q92" s="28"/>
      <c r="R92" s="28"/>
      <c r="S92" s="28"/>
      <c r="T92" s="28"/>
      <c r="U92" s="28"/>
      <c r="V92" s="28"/>
      <c r="W92" s="28"/>
      <c r="X92" s="28"/>
      <c r="Y92" s="28"/>
      <c r="Z92" s="28"/>
      <c r="AA92" s="28"/>
      <c r="AB92" s="28"/>
    </row>
    <row r="93">
      <c r="A93" s="21" t="s">
        <v>467</v>
      </c>
      <c r="B93" s="22" t="s">
        <v>468</v>
      </c>
      <c r="C93" s="23" t="str">
        <f>IFERROR(__xludf.DUMMYFUNCTION("GOOGLETRANSLATE(B93, ""en"", ""fr"")"),"épée Dungium")</f>
        <v>épée Dungium</v>
      </c>
      <c r="D93" s="23" t="str">
        <f>IFERROR(__xludf.DUMMYFUNCTION("GOOGLETRANSLATE(B93, ""en"", ""es"")"),"espada Dungium")</f>
        <v>espada Dungium</v>
      </c>
      <c r="E93" s="23" t="str">
        <f>IFERROR(__xludf.DUMMYFUNCTION("GOOGLETRANSLATE(B93, ""en"", ""ru"")"),"Dungium меч")</f>
        <v>Dungium меч</v>
      </c>
      <c r="F93" s="23" t="str">
        <f>IFERROR(__xludf.DUMMYFUNCTION("GOOGLETRANSLATE(B93, ""en"", ""tr"")"),"Dungium kılıç")</f>
        <v>Dungium kılıç</v>
      </c>
      <c r="G93" s="23" t="str">
        <f>IFERROR(__xludf.DUMMYFUNCTION("GOOGLETRANSLATE(B93, ""en"", ""pt"")"),"espada Dungium")</f>
        <v>espada Dungium</v>
      </c>
      <c r="H93" s="24" t="str">
        <f>IFERROR(__xludf.DUMMYFUNCTION("GOOGLETRANSLATE(B93, ""en"", ""de"")"),"Dungium Schwert")</f>
        <v>Dungium Schwert</v>
      </c>
      <c r="I93" s="23" t="str">
        <f>IFERROR(__xludf.DUMMYFUNCTION("GOOGLETRANSLATE(B93, ""en"", ""pl"")"),"Dungium miecz")</f>
        <v>Dungium miecz</v>
      </c>
      <c r="J93" s="25" t="str">
        <f>IFERROR(__xludf.DUMMYFUNCTION("GOOGLETRANSLATE(B93, ""en"", ""zh"")"),"Dungium剑")</f>
        <v>Dungium剑</v>
      </c>
      <c r="K93" s="25" t="str">
        <f>IFERROR(__xludf.DUMMYFUNCTION("GOOGLETRANSLATE(B93, ""en"", ""vi"")"),"Dungium gươm")</f>
        <v>Dungium gươm</v>
      </c>
      <c r="L93" s="26" t="str">
        <f>IFERROR(__xludf.DUMMYFUNCTION("GOOGLETRANSLATE(B93, ""en"", ""hr"")"),"Dungium mač")</f>
        <v>Dungium mač</v>
      </c>
      <c r="M93" s="28"/>
      <c r="N93" s="28"/>
      <c r="O93" s="28"/>
      <c r="P93" s="28"/>
      <c r="Q93" s="28"/>
      <c r="R93" s="28"/>
      <c r="S93" s="28"/>
      <c r="T93" s="28"/>
      <c r="U93" s="28"/>
      <c r="V93" s="28"/>
      <c r="W93" s="28"/>
      <c r="X93" s="28"/>
      <c r="Y93" s="28"/>
      <c r="Z93" s="28"/>
      <c r="AA93" s="28"/>
      <c r="AB93" s="28"/>
    </row>
    <row r="94">
      <c r="A94" s="21" t="s">
        <v>469</v>
      </c>
      <c r="B94" s="22" t="s">
        <v>446</v>
      </c>
      <c r="C94" s="23" t="str">
        <f>IFERROR(__xludf.DUMMYFUNCTION("GOOGLETRANSLATE(B94, ""en"", ""fr"")"),"Arme de mêlée. Utilisé pour attaquer une courte distance dans la direction que vous faites face.")</f>
        <v>Arme de mêlée. Utilisé pour attaquer une courte distance dans la direction que vous faites face.</v>
      </c>
      <c r="D94" s="23" t="str">
        <f>IFERROR(__xludf.DUMMYFUNCTION("GOOGLETRANSLATE(B94, ""en"", ""es"")"),"arma cuerpo a cuerpo. Se utiliza para atacar a corta distancia en la dirección que está enfrentando.")</f>
        <v>arma cuerpo a cuerpo. Se utiliza para atacar a corta distancia en la dirección que está enfrentando.</v>
      </c>
      <c r="E94" s="23" t="str">
        <f>IFERROR(__xludf.DUMMYFUNCTION("GOOGLETRANSLATE(B94, ""en"", ""ru"")"),"Оружие ближнего боя. Используется для атаки на небольшое расстояние в направлении вы столкнулись.")</f>
        <v>Оружие ближнего боя. Используется для атаки на небольшое расстояние в направлении вы столкнулись.</v>
      </c>
      <c r="F94" s="23" t="str">
        <f>IFERROR(__xludf.DUMMYFUNCTION("GOOGLETRANSLATE(B94, ""en"", ""tr"")"),"Yakın dövüş silahı. Eğer karşı karşıya yönde kısa bir mesafe uzakta saldırmak için kullanılır.")</f>
        <v>Yakın dövüş silahı. Eğer karşı karşıya yönde kısa bir mesafe uzakta saldırmak için kullanılır.</v>
      </c>
      <c r="G94" s="23" t="str">
        <f>IFERROR(__xludf.DUMMYFUNCTION("GOOGLETRANSLATE(B94, ""en"", ""pt"")"),"Arma branca. Usado para atacar a uma curta distância na direção que você está enfrentando.")</f>
        <v>Arma branca. Usado para atacar a uma curta distância na direção que você está enfrentando.</v>
      </c>
      <c r="H94" s="24" t="str">
        <f>IFERROR(__xludf.DUMMYFUNCTION("GOOGLETRANSLATE(B94, ""en"", ""de"")"),"Nahkampfwaffe. Verwendet, um eine kurze Strecke zum Angriff in Richtung weg Sie konfrontiert sind.")</f>
        <v>Nahkampfwaffe. Verwendet, um eine kurze Strecke zum Angriff in Richtung weg Sie konfrontiert sind.</v>
      </c>
      <c r="I94" s="23" t="str">
        <f>IFERROR(__xludf.DUMMYFUNCTION("GOOGLETRANSLATE(B94, ""en"", ""pl"")"),"Broń biała. Wykorzystana do ataku na krótkie odległości w kierunku, w którym stoją.")</f>
        <v>Broń biała. Wykorzystana do ataku na krótkie odległości w kierunku, w którym stoją.</v>
      </c>
      <c r="J94" s="25" t="str">
        <f>IFERROR(__xludf.DUMMYFUNCTION("GOOGLETRANSLATE(B94, ""en"", ""zh"")"),"近战武器。适用于您所面对的方向攻击很短的距离。")</f>
        <v>近战武器。适用于您所面对的方向攻击很短的距离。</v>
      </c>
      <c r="K94" s="25" t="str">
        <f>IFERROR(__xludf.DUMMYFUNCTION("GOOGLETRANSLATE(B94, ""en"", ""vi"")"),"vũ khí cận chiến. Được sử dụng để tấn công một khoảng cách ngắn đi theo hướng bạn đang phải đối mặt.")</f>
        <v>vũ khí cận chiến. Được sử dụng để tấn công một khoảng cách ngắn đi theo hướng bạn đang phải đối mặt.</v>
      </c>
      <c r="L94" s="26" t="str">
        <f>IFERROR(__xludf.DUMMYFUNCTION("GOOGLETRANSLATE(B94, ""en"", ""hr"")"),"Gužva oružje. Koristi se za napad nedaleko u smjeru u kojem se suočavaju.")</f>
        <v>Gužva oružje. Koristi se za napad nedaleko u smjeru u kojem se suočavaju.</v>
      </c>
      <c r="M94" s="28"/>
      <c r="N94" s="28"/>
      <c r="O94" s="28"/>
      <c r="P94" s="28"/>
      <c r="Q94" s="28"/>
      <c r="R94" s="28"/>
      <c r="S94" s="28"/>
      <c r="T94" s="28"/>
      <c r="U94" s="28"/>
      <c r="V94" s="28"/>
      <c r="W94" s="28"/>
      <c r="X94" s="28"/>
      <c r="Y94" s="28"/>
      <c r="Z94" s="28"/>
      <c r="AA94" s="28"/>
      <c r="AB94" s="28"/>
    </row>
    <row r="95">
      <c r="A95" s="21" t="s">
        <v>470</v>
      </c>
      <c r="B95" s="22" t="s">
        <v>471</v>
      </c>
      <c r="C95" s="23" t="str">
        <f>IFERROR(__xludf.DUMMYFUNCTION("GOOGLETRANSLATE(B95, ""en"", ""fr"")"),"marteau Dungium")</f>
        <v>marteau Dungium</v>
      </c>
      <c r="D95" s="23" t="str">
        <f>IFERROR(__xludf.DUMMYFUNCTION("GOOGLETRANSLATE(B95, ""en"", ""es"")"),"martillo Dungium")</f>
        <v>martillo Dungium</v>
      </c>
      <c r="E95" s="23" t="str">
        <f>IFERROR(__xludf.DUMMYFUNCTION("GOOGLETRANSLATE(B95, ""en"", ""ru"")"),"Dungium молоток")</f>
        <v>Dungium молоток</v>
      </c>
      <c r="F95" s="23" t="str">
        <f>IFERROR(__xludf.DUMMYFUNCTION("GOOGLETRANSLATE(B95, ""en"", ""tr"")"),"Dungium çekiç")</f>
        <v>Dungium çekiç</v>
      </c>
      <c r="G95" s="23" t="str">
        <f>IFERROR(__xludf.DUMMYFUNCTION("GOOGLETRANSLATE(B95, ""en"", ""pt"")"),"Dungium martelo")</f>
        <v>Dungium martelo</v>
      </c>
      <c r="H95" s="24" t="str">
        <f>IFERROR(__xludf.DUMMYFUNCTION("GOOGLETRANSLATE(B95, ""en"", ""de"")"),"Dungium Hammer")</f>
        <v>Dungium Hammer</v>
      </c>
      <c r="I95" s="23" t="str">
        <f>IFERROR(__xludf.DUMMYFUNCTION("GOOGLETRANSLATE(B95, ""en"", ""pl"")"),"Dungium młotek")</f>
        <v>Dungium młotek</v>
      </c>
      <c r="J95" s="25" t="str">
        <f>IFERROR(__xludf.DUMMYFUNCTION("GOOGLETRANSLATE(B95, ""en"", ""zh"")"),"Dungium锤")</f>
        <v>Dungium锤</v>
      </c>
      <c r="K95" s="25" t="str">
        <f>IFERROR(__xludf.DUMMYFUNCTION("GOOGLETRANSLATE(B95, ""en"", ""vi"")"),"Dungium búa")</f>
        <v>Dungium búa</v>
      </c>
      <c r="L95" s="26" t="str">
        <f>IFERROR(__xludf.DUMMYFUNCTION("GOOGLETRANSLATE(B95, ""en"", ""hr"")"),"Dungium čekić")</f>
        <v>Dungium čekić</v>
      </c>
      <c r="M95" s="28"/>
      <c r="N95" s="28"/>
      <c r="O95" s="28"/>
      <c r="P95" s="28"/>
      <c r="Q95" s="28"/>
      <c r="R95" s="28"/>
      <c r="S95" s="28"/>
      <c r="T95" s="28"/>
      <c r="U95" s="28"/>
      <c r="V95" s="28"/>
      <c r="W95" s="28"/>
      <c r="X95" s="28"/>
      <c r="Y95" s="28"/>
      <c r="Z95" s="28"/>
      <c r="AA95" s="28"/>
      <c r="AB95" s="28"/>
    </row>
    <row r="96">
      <c r="A96" s="21" t="s">
        <v>472</v>
      </c>
      <c r="B96" s="22" t="s">
        <v>450</v>
      </c>
      <c r="C96" s="23" t="str">
        <f>IFERROR(__xludf.DUMMYFUNCTION("GOOGLETRANSLATE(B96, ""en"", ""fr"")"),"Arme de mêlée. Pousse les choses un espace quand il frappe.")</f>
        <v>Arme de mêlée. Pousse les choses un espace quand il frappe.</v>
      </c>
      <c r="D96" s="23" t="str">
        <f>IFERROR(__xludf.DUMMYFUNCTION("GOOGLETRANSLATE(B96, ""en"", ""es"")"),"arma cuerpo a cuerpo. Lleva las cosas un espacio hacia atrás cuando se golpea.")</f>
        <v>arma cuerpo a cuerpo. Lleva las cosas un espacio hacia atrás cuando se golpea.</v>
      </c>
      <c r="E96" s="23" t="str">
        <f>IFERROR(__xludf.DUMMYFUNCTION("GOOGLETRANSLATE(B96,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96" s="23" t="str">
        <f>IFERROR(__xludf.DUMMYFUNCTION("GOOGLETRANSLATE(B96, ""en"", ""tr"")"),"Yakın dövüş silahı. çarptığında iter şeyler bir boşluk geri.")</f>
        <v>Yakın dövüş silahı. çarptığında iter şeyler bir boşluk geri.</v>
      </c>
      <c r="G96" s="23" t="str">
        <f>IFERROR(__xludf.DUMMYFUNCTION("GOOGLETRANSLATE(B96, ""en"", ""pt"")"),"Arma branca. Empurra as coisas de volta um espaço quando bate.")</f>
        <v>Arma branca. Empurra as coisas de volta um espaço quando bate.</v>
      </c>
      <c r="H96" s="24" t="str">
        <f>IFERROR(__xludf.DUMMYFUNCTION("GOOGLETRANSLATE(B96, ""en"", ""de"")"),"Nahkampfwaffe. Schiebt die Dinge wieder einen Raum, wenn er trifft.")</f>
        <v>Nahkampfwaffe. Schiebt die Dinge wieder einen Raum, wenn er trifft.</v>
      </c>
      <c r="I96" s="23" t="str">
        <f>IFERROR(__xludf.DUMMYFUNCTION("GOOGLETRANSLATE(B96, ""en"", ""pl"")"),"Broń biała. Popycha rzeczy z powrotem jedno miejsce, gdy natrafi.")</f>
        <v>Broń biała. Popycha rzeczy z powrotem jedno miejsce, gdy natrafi.</v>
      </c>
      <c r="J96" s="25" t="str">
        <f>IFERROR(__xludf.DUMMYFUNCTION("GOOGLETRANSLATE(B96, ""en"", ""zh"")"),"近战武器。推动东西回来一个空当它击中。")</f>
        <v>近战武器。推动东西回来一个空当它击中。</v>
      </c>
      <c r="K96" s="25" t="str">
        <f>IFERROR(__xludf.DUMMYFUNCTION("GOOGLETRANSLATE(B96, ""en"", ""vi"")"),"vũ khí cận chiến. Push thứ trở lại một không gian khi nó chạm.")</f>
        <v>vũ khí cận chiến. Push thứ trở lại một không gian khi nó chạm.</v>
      </c>
      <c r="L96" s="26" t="str">
        <f>IFERROR(__xludf.DUMMYFUNCTION("GOOGLETRANSLATE(B96, ""en"", ""hr"")"),"Gužva oružje. Gura stvari vratiti za jedno mjesto kad ga pogodi.")</f>
        <v>Gužva oružje. Gura stvari vratiti za jedno mjesto kad ga pogodi.</v>
      </c>
      <c r="M96" s="28"/>
      <c r="N96" s="28"/>
      <c r="O96" s="28"/>
      <c r="P96" s="28"/>
      <c r="Q96" s="28"/>
      <c r="R96" s="28"/>
      <c r="S96" s="28"/>
      <c r="T96" s="28"/>
      <c r="U96" s="28"/>
      <c r="V96" s="28"/>
      <c r="W96" s="28"/>
      <c r="X96" s="28"/>
      <c r="Y96" s="28"/>
      <c r="Z96" s="28"/>
      <c r="AA96" s="28"/>
      <c r="AB96" s="28"/>
    </row>
    <row r="97">
      <c r="A97" s="21" t="s">
        <v>473</v>
      </c>
      <c r="B97" s="22" t="s">
        <v>474</v>
      </c>
      <c r="C97" s="23" t="str">
        <f>IFERROR(__xludf.DUMMYFUNCTION("GOOGLETRANSLATE(B97, ""en"", ""fr"")"),"armure Dungium")</f>
        <v>armure Dungium</v>
      </c>
      <c r="D97" s="23" t="str">
        <f>IFERROR(__xludf.DUMMYFUNCTION("GOOGLETRANSLATE(B97, ""en"", ""es"")"),"armadura Dungium")</f>
        <v>armadura Dungium</v>
      </c>
      <c r="E97" s="23" t="str">
        <f>IFERROR(__xludf.DUMMYFUNCTION("GOOGLETRANSLATE(B97, ""en"", ""ru"")"),"Dungium броня")</f>
        <v>Dungium броня</v>
      </c>
      <c r="F97" s="23" t="str">
        <f>IFERROR(__xludf.DUMMYFUNCTION("GOOGLETRANSLATE(B97, ""en"", ""tr"")"),"Dungium zırh")</f>
        <v>Dungium zırh</v>
      </c>
      <c r="G97" s="23" t="str">
        <f>IFERROR(__xludf.DUMMYFUNCTION("GOOGLETRANSLATE(B97, ""en"", ""pt"")"),"armadura Dungium")</f>
        <v>armadura Dungium</v>
      </c>
      <c r="H97" s="24" t="str">
        <f>IFERROR(__xludf.DUMMYFUNCTION("GOOGLETRANSLATE(B97, ""en"", ""de"")"),"Dungium Rüstung")</f>
        <v>Dungium Rüstung</v>
      </c>
      <c r="I97" s="23" t="str">
        <f>IFERROR(__xludf.DUMMYFUNCTION("GOOGLETRANSLATE(B97, ""en"", ""pl"")"),"Dungium pancerz")</f>
        <v>Dungium pancerz</v>
      </c>
      <c r="J97" s="25" t="str">
        <f>IFERROR(__xludf.DUMMYFUNCTION("GOOGLETRANSLATE(B97, ""en"", ""zh"")"),"Dungium装甲")</f>
        <v>Dungium装甲</v>
      </c>
      <c r="K97" s="25" t="str">
        <f>IFERROR(__xludf.DUMMYFUNCTION("GOOGLETRANSLATE(B97, ""en"", ""vi"")"),"Dungium giáp")</f>
        <v>Dungium giáp</v>
      </c>
      <c r="L97" s="26" t="str">
        <f>IFERROR(__xludf.DUMMYFUNCTION("GOOGLETRANSLATE(B97, ""en"", ""hr"")"),"Dungium oklop")</f>
        <v>Dungium oklop</v>
      </c>
      <c r="M97" s="28"/>
      <c r="N97" s="28"/>
      <c r="O97" s="28"/>
      <c r="P97" s="28"/>
      <c r="Q97" s="28"/>
      <c r="R97" s="28"/>
      <c r="S97" s="28"/>
      <c r="T97" s="28"/>
      <c r="U97" s="28"/>
      <c r="V97" s="28"/>
      <c r="W97" s="28"/>
      <c r="X97" s="28"/>
      <c r="Y97" s="28"/>
      <c r="Z97" s="28"/>
      <c r="AA97" s="28"/>
      <c r="AB97" s="28"/>
    </row>
    <row r="98">
      <c r="A98" s="21" t="s">
        <v>475</v>
      </c>
      <c r="B98" s="22" t="s">
        <v>476</v>
      </c>
      <c r="C98" s="23" t="str">
        <f>IFERROR(__xludf.DUMMYFUNCTION("GOOGLETRANSLATE(B98, ""en"", ""fr"")"),"blindage haute durabilité avec un bon bonus de défense. Augmente légèrement votre stat Melee tout porté.")</f>
        <v>blindage haute durabilité avec un bon bonus de défense. Augmente légèrement votre stat Melee tout porté.</v>
      </c>
      <c r="D98" s="23" t="str">
        <f>IFERROR(__xludf.DUMMYFUNCTION("GOOGLETRANSLATE(B98, ""en"", ""es"")"),"armadura de alta durabilidad con un buen bono de defensa. Aumenta ligeramente su stat cuerpo a cuerpo mientras se usa.")</f>
        <v>armadura de alta durabilidad con un buen bono de defensa. Aumenta ligeramente su stat cuerpo a cuerpo mientras se usa.</v>
      </c>
      <c r="E98" s="23" t="str">
        <f>IFERROR(__xludf.DUMMYFUNCTION("GOOGLETRANSLATE(B98, ""en"", ""ru"")"),"Высокая прочность брони с хорошим бонусом защиты. Слегка увеличивает рукопашной стат во время ношения.")</f>
        <v>Высокая прочность брони с хорошим бонусом защиты. Слегка увеличивает рукопашной стат во время ношения.</v>
      </c>
      <c r="F98" s="23" t="str">
        <f>IFERROR(__xludf.DUMMYFUNCTION("GOOGLETRANSLATE(B98, ""en"", ""tr"")"),"Bir iyi bir savunma bonusu ile yüksek dayanıklılık zırh. aşınmış ise hafifçe Melee Statini arttırır.")</f>
        <v>Bir iyi bir savunma bonusu ile yüksek dayanıklılık zırh. aşınmış ise hafifçe Melee Statini arttırır.</v>
      </c>
      <c r="G98" s="23" t="str">
        <f>IFERROR(__xludf.DUMMYFUNCTION("GOOGLETRANSLATE(B98, ""en"", ""pt"")"),"armadura de alta durabilidade com um bom bônus de defesa. Ligeiramente aumenta seu status de corpo a corpo, enquanto desgastado.")</f>
        <v>armadura de alta durabilidade com um bom bônus de defesa. Ligeiramente aumenta seu status de corpo a corpo, enquanto desgastado.</v>
      </c>
      <c r="H98" s="24" t="str">
        <f>IFERROR(__xludf.DUMMYFUNCTION("GOOGLETRANSLATE(B98, ""en"", ""de"")"),"Hohe Haltbarkeit Rüstung mit einem guten Verteidigungsbonus. Erhöht leicht Melee stat während des Tragens.")</f>
        <v>Hohe Haltbarkeit Rüstung mit einem guten Verteidigungsbonus. Erhöht leicht Melee stat während des Tragens.</v>
      </c>
      <c r="I98" s="23" t="str">
        <f>IFERROR(__xludf.DUMMYFUNCTION("GOOGLETRANSLATE(B98, ""en"", ""pl"")"),"Wysoka wytrzymałość pancerza o dobrej premii obronnej. Nieznacznie zwiększa stat wręcz podczas noszenia.")</f>
        <v>Wysoka wytrzymałość pancerza o dobrej premii obronnej. Nieznacznie zwiększa stat wręcz podczas noszenia.</v>
      </c>
      <c r="J98" s="25" t="str">
        <f>IFERROR(__xludf.DUMMYFUNCTION("GOOGLETRANSLATE(B98, ""en"", ""zh"")"),"高耐用性的盔甲与出色的防守奖金。而戴略微提高你的近战统计。")</f>
        <v>高耐用性的盔甲与出色的防守奖金。而戴略微提高你的近战统计。</v>
      </c>
      <c r="K98" s="25" t="str">
        <f>IFERROR(__xludf.DUMMYFUNCTION("GOOGLETRANSLATE(B98, ""en"", ""vi"")"),"giáp Độ bền cao với nhiều lợi ích bảo vệ tốt. Hơi tăng Melee stat của bạn trong khi mặc.")</f>
        <v>giáp Độ bền cao với nhiều lợi ích bảo vệ tốt. Hơi tăng Melee stat của bạn trong khi mặc.</v>
      </c>
      <c r="L98" s="26" t="str">
        <f>IFERROR(__xludf.DUMMYFUNCTION("GOOGLETRANSLATE(B98, ""en"", ""hr"")"),"Visoka trajnost oklop s dobrom obrambenom bonus. Nešto povećava gužva stat dok istrošena.")</f>
        <v>Visoka trajnost oklop s dobrom obrambenom bonus. Nešto povećava gužva stat dok istrošena.</v>
      </c>
      <c r="M98" s="28"/>
      <c r="N98" s="28"/>
      <c r="O98" s="28"/>
      <c r="P98" s="28"/>
      <c r="Q98" s="28"/>
      <c r="R98" s="28"/>
      <c r="S98" s="28"/>
      <c r="T98" s="28"/>
      <c r="U98" s="28"/>
      <c r="V98" s="28"/>
      <c r="W98" s="28"/>
      <c r="X98" s="28"/>
      <c r="Y98" s="28"/>
      <c r="Z98" s="28"/>
      <c r="AA98" s="28"/>
      <c r="AB98" s="28"/>
    </row>
    <row r="99">
      <c r="A99" s="21" t="s">
        <v>477</v>
      </c>
      <c r="B99" s="22" t="s">
        <v>478</v>
      </c>
      <c r="C99" s="23" t="str">
        <f>IFERROR(__xludf.DUMMYFUNCTION("GOOGLETRANSLATE(B99, ""en"", ""fr"")"),"Noctis hache de guerre")</f>
        <v>Noctis hache de guerre</v>
      </c>
      <c r="D99" s="23" t="str">
        <f>IFERROR(__xludf.DUMMYFUNCTION("GOOGLETRANSLATE(B99, ""en"", ""es"")"),"Noctis hacha")</f>
        <v>Noctis hacha</v>
      </c>
      <c r="E99" s="23" t="str">
        <f>IFERROR(__xludf.DUMMYFUNCTION("GOOGLETRANSLATE(B99, ""en"", ""ru"")"),"Ноктис топорик")</f>
        <v>Ноктис топорик</v>
      </c>
      <c r="F99" s="23" t="str">
        <f>IFERROR(__xludf.DUMMYFUNCTION("GOOGLETRANSLATE(B99, ""en"", ""tr"")"),"Noctis balta")</f>
        <v>Noctis balta</v>
      </c>
      <c r="G99" s="23" t="str">
        <f>IFERROR(__xludf.DUMMYFUNCTION("GOOGLETRANSLATE(B99, ""en"", ""pt"")"),"Noctis machado")</f>
        <v>Noctis machado</v>
      </c>
      <c r="H99" s="24" t="str">
        <f>IFERROR(__xludf.DUMMYFUNCTION("GOOGLETRANSLATE(B99, ""en"", ""de"")"),"Noctis Beil")</f>
        <v>Noctis Beil</v>
      </c>
      <c r="I99" s="23" t="str">
        <f>IFERROR(__xludf.DUMMYFUNCTION("GOOGLETRANSLATE(B99, ""en"", ""pl"")"),"Noctis siekierka")</f>
        <v>Noctis siekierka</v>
      </c>
      <c r="J99" s="25" t="str">
        <f>IFERROR(__xludf.DUMMYFUNCTION("GOOGLETRANSLATE(B99, ""en"", ""zh"")"),"Noctis前嫌")</f>
        <v>Noctis前嫌</v>
      </c>
      <c r="K99" s="25" t="str">
        <f>IFERROR(__xludf.DUMMYFUNCTION("GOOGLETRANSLATE(B99, ""en"", ""vi"")"),"Noctis rìu")</f>
        <v>Noctis rìu</v>
      </c>
      <c r="L99" s="26" t="str">
        <f>IFERROR(__xludf.DUMMYFUNCTION("GOOGLETRANSLATE(B99, ""en"", ""hr"")"),"Noctis sjekirica")</f>
        <v>Noctis sjekirica</v>
      </c>
      <c r="M99" s="28"/>
      <c r="N99" s="28"/>
      <c r="O99" s="28"/>
      <c r="P99" s="28"/>
      <c r="Q99" s="28"/>
      <c r="R99" s="28"/>
      <c r="S99" s="28"/>
      <c r="T99" s="28"/>
      <c r="U99" s="28"/>
      <c r="V99" s="28"/>
      <c r="W99" s="28"/>
      <c r="X99" s="28"/>
      <c r="Y99" s="28"/>
      <c r="Z99" s="28"/>
      <c r="AA99" s="28"/>
      <c r="AB99" s="28"/>
    </row>
    <row r="100">
      <c r="A100" s="21" t="s">
        <v>479</v>
      </c>
      <c r="B100" s="22" t="s">
        <v>430</v>
      </c>
      <c r="C100" s="23" t="str">
        <f>IFERROR(__xludf.DUMMYFUNCTION("GOOGLETRANSLATE(B100, ""en"", ""fr"")"),"Utilisé pour abattre des arbres pour le bois.")</f>
        <v>Utilisé pour abattre des arbres pour le bois.</v>
      </c>
      <c r="D100" s="23" t="str">
        <f>IFERROR(__xludf.DUMMYFUNCTION("GOOGLETRANSLATE(B100, ""en"", ""es"")"),"Se utiliza para cortar árboles para madera.")</f>
        <v>Se utiliza para cortar árboles para madera.</v>
      </c>
      <c r="E100" s="23" t="str">
        <f>IFERROR(__xludf.DUMMYFUNCTION("GOOGLETRANSLATE(B100, ""en"", ""ru"")"),"Используется рубить деревья для дерева.")</f>
        <v>Используется рубить деревья для дерева.</v>
      </c>
      <c r="F100" s="23" t="str">
        <f>IFERROR(__xludf.DUMMYFUNCTION("GOOGLETRANSLATE(B100, ""en"", ""tr"")"),"buradaki ağaçları devirmek için kullanılır.")</f>
        <v>buradaki ağaçları devirmek için kullanılır.</v>
      </c>
      <c r="G100" s="23" t="str">
        <f>IFERROR(__xludf.DUMMYFUNCTION("GOOGLETRANSLATE(B100, ""en"", ""pt"")"),"Usado para derrubar árvores para madeira.")</f>
        <v>Usado para derrubar árvores para madeira.</v>
      </c>
      <c r="H100" s="24" t="str">
        <f>IFERROR(__xludf.DUMMYFUNCTION("GOOGLETRANSLATE(B100, ""en"", ""de"")"),"Gebrauchte Bäume zu fällen für Holz.")</f>
        <v>Gebrauchte Bäume zu fällen für Holz.</v>
      </c>
      <c r="I100" s="23" t="str">
        <f>IFERROR(__xludf.DUMMYFUNCTION("GOOGLETRANSLATE(B100, ""en"", ""pl"")"),"Służy do ścinać drzewa w lesie.")</f>
        <v>Służy do ścinać drzewa w lesie.</v>
      </c>
      <c r="J100" s="25" t="str">
        <f>IFERROR(__xludf.DUMMYFUNCTION("GOOGLETRANSLATE(B100, ""en"", ""zh"")"),"用来砍木材的树木。")</f>
        <v>用来砍木材的树木。</v>
      </c>
      <c r="K100" s="25" t="str">
        <f>IFERROR(__xludf.DUMMYFUNCTION("GOOGLETRANSLATE(B100, ""en"", ""vi"")"),"Dùng để đốn cây lấy gỗ.")</f>
        <v>Dùng để đốn cây lấy gỗ.</v>
      </c>
      <c r="L100" s="26" t="str">
        <f>IFERROR(__xludf.DUMMYFUNCTION("GOOGLETRANSLATE(B100, ""en"", ""hr"")"),"Koristi se za kotlet dolje stabala za drvo.")</f>
        <v>Koristi se za kotlet dolje stabala za drvo.</v>
      </c>
      <c r="M100" s="28"/>
      <c r="N100" s="28"/>
      <c r="O100" s="28"/>
      <c r="P100" s="28"/>
      <c r="Q100" s="28"/>
      <c r="R100" s="28"/>
      <c r="S100" s="28"/>
      <c r="T100" s="28"/>
      <c r="U100" s="28"/>
      <c r="V100" s="28"/>
      <c r="W100" s="28"/>
      <c r="X100" s="28"/>
      <c r="Y100" s="28"/>
      <c r="Z100" s="28"/>
      <c r="AA100" s="28"/>
      <c r="AB100" s="28"/>
    </row>
    <row r="101">
      <c r="A101" s="21" t="s">
        <v>480</v>
      </c>
      <c r="B101" s="22" t="s">
        <v>481</v>
      </c>
      <c r="C101" s="23" t="str">
        <f>IFERROR(__xludf.DUMMYFUNCTION("GOOGLETRANSLATE(B101, ""en"", ""fr"")"),"Noctis pickaxe")</f>
        <v>Noctis pickaxe</v>
      </c>
      <c r="D101" s="23" t="str">
        <f>IFERROR(__xludf.DUMMYFUNCTION("GOOGLETRANSLATE(B101, ""en"", ""es"")"),"piqueta noctis")</f>
        <v>piqueta noctis</v>
      </c>
      <c r="E101" s="23" t="str">
        <f>IFERROR(__xludf.DUMMYFUNCTION("GOOGLETRANSLATE(B101, ""en"", ""ru"")"),"Ноктис кирка")</f>
        <v>Ноктис кирка</v>
      </c>
      <c r="F101" s="23" t="str">
        <f>IFERROR(__xludf.DUMMYFUNCTION("GOOGLETRANSLATE(B101, ""en"", ""tr"")"),"Noctis kazma")</f>
        <v>Noctis kazma</v>
      </c>
      <c r="G101" s="23" t="str">
        <f>IFERROR(__xludf.DUMMYFUNCTION("GOOGLETRANSLATE(B101, ""en"", ""pt"")"),"Noctis picareta")</f>
        <v>Noctis picareta</v>
      </c>
      <c r="H101" s="24" t="str">
        <f>IFERROR(__xludf.DUMMYFUNCTION("GOOGLETRANSLATE(B101, ""en"", ""de"")"),"Noctis pickaxe")</f>
        <v>Noctis pickaxe</v>
      </c>
      <c r="I101" s="23" t="str">
        <f>IFERROR(__xludf.DUMMYFUNCTION("GOOGLETRANSLATE(B101, ""en"", ""pl"")"),"Noctis kilof")</f>
        <v>Noctis kilof</v>
      </c>
      <c r="J101" s="25" t="str">
        <f>IFERROR(__xludf.DUMMYFUNCTION("GOOGLETRANSLATE(B101, ""en"", ""zh"")"),"Noctis镐头")</f>
        <v>Noctis镐头</v>
      </c>
      <c r="K101" s="25" t="str">
        <f>IFERROR(__xludf.DUMMYFUNCTION("GOOGLETRANSLATE(B101, ""en"", ""vi"")"),"Noctis cuốc")</f>
        <v>Noctis cuốc</v>
      </c>
      <c r="L101" s="26" t="str">
        <f>IFERROR(__xludf.DUMMYFUNCTION("GOOGLETRANSLATE(B101, ""en"", ""hr"")"),"Noctis pijuk")</f>
        <v>Noctis pijuk</v>
      </c>
      <c r="M101" s="28"/>
      <c r="N101" s="28"/>
      <c r="O101" s="28"/>
      <c r="P101" s="28"/>
      <c r="Q101" s="28"/>
      <c r="R101" s="28"/>
      <c r="S101" s="28"/>
      <c r="T101" s="28"/>
      <c r="U101" s="28"/>
      <c r="V101" s="28"/>
      <c r="W101" s="28"/>
      <c r="X101" s="28"/>
      <c r="Y101" s="28"/>
      <c r="Z101" s="28"/>
      <c r="AA101" s="28"/>
      <c r="AB101" s="28"/>
    </row>
    <row r="102">
      <c r="A102" s="21" t="s">
        <v>482</v>
      </c>
      <c r="B102" s="22" t="s">
        <v>434</v>
      </c>
      <c r="C102" s="23" t="str">
        <f>IFERROR(__xludf.DUMMYFUNCTION("GOOGLETRANSLATE(B102, ""en"", ""fr"")"),"Utilisé pour les roches de la mine pour le minerai.")</f>
        <v>Utilisé pour les roches de la mine pour le minerai.</v>
      </c>
      <c r="D102" s="23" t="str">
        <f>IFERROR(__xludf.DUMMYFUNCTION("GOOGLETRANSLATE(B102, ""en"", ""es"")"),"Se utiliza para rocas de las minas de mineral.")</f>
        <v>Se utiliza para rocas de las minas de mineral.</v>
      </c>
      <c r="E102" s="23" t="str">
        <f>IFERROR(__xludf.DUMMYFUNCTION("GOOGLETRANSLATE(B102, ""en"", ""ru"")"),"Используется для горных пород для руды.")</f>
        <v>Используется для горных пород для руды.</v>
      </c>
      <c r="F102" s="23" t="str">
        <f>IFERROR(__xludf.DUMMYFUNCTION("GOOGLETRANSLATE(B102, ""en"", ""tr"")"),"cevher için maden kayalar için kullanılır.")</f>
        <v>cevher için maden kayalar için kullanılır.</v>
      </c>
      <c r="G102" s="23" t="str">
        <f>IFERROR(__xludf.DUMMYFUNCTION("GOOGLETRANSLATE(B102, ""en"", ""pt"")"),"Usado para meus rochas de minério.")</f>
        <v>Usado para meus rochas de minério.</v>
      </c>
      <c r="H102" s="24" t="str">
        <f>IFERROR(__xludf.DUMMYFUNCTION("GOOGLETRANSLATE(B102, ""en"", ""de"")"),"Wird verwendet, um mein Felsen für Erz.")</f>
        <v>Wird verwendet, um mein Felsen für Erz.</v>
      </c>
      <c r="I102" s="23" t="str">
        <f>IFERROR(__xludf.DUMMYFUNCTION("GOOGLETRANSLATE(B102, ""en"", ""pl"")"),"Służy do kopalń rudy.")</f>
        <v>Służy do kopalń rudy.</v>
      </c>
      <c r="J102" s="25" t="str">
        <f>IFERROR(__xludf.DUMMYFUNCTION("GOOGLETRANSLATE(B102, ""en"", ""zh"")"),"用于矿山岩石矿石。")</f>
        <v>用于矿山岩石矿石。</v>
      </c>
      <c r="K102" s="25" t="str">
        <f>IFERROR(__xludf.DUMMYFUNCTION("GOOGLETRANSLATE(B102, ""en"", ""vi"")"),"Được sử dụng để đá mỏ quặng.")</f>
        <v>Được sử dụng để đá mỏ quặng.</v>
      </c>
      <c r="L102" s="26" t="str">
        <f>IFERROR(__xludf.DUMMYFUNCTION("GOOGLETRANSLATE(B102, ""en"", ""hr"")"),"Koristi se mina stijena za rude.")</f>
        <v>Koristi se mina stijena za rude.</v>
      </c>
      <c r="M102" s="28"/>
      <c r="N102" s="28"/>
      <c r="O102" s="28"/>
      <c r="P102" s="28"/>
      <c r="Q102" s="28"/>
      <c r="R102" s="28"/>
      <c r="S102" s="28"/>
      <c r="T102" s="28"/>
      <c r="U102" s="28"/>
      <c r="V102" s="28"/>
      <c r="W102" s="28"/>
      <c r="X102" s="28"/>
      <c r="Y102" s="28"/>
      <c r="Z102" s="28"/>
      <c r="AA102" s="28"/>
      <c r="AB102" s="28"/>
    </row>
    <row r="103">
      <c r="A103" s="21" t="s">
        <v>483</v>
      </c>
      <c r="B103" s="22" t="s">
        <v>484</v>
      </c>
      <c r="C103" s="23" t="str">
        <f>IFERROR(__xludf.DUMMYFUNCTION("GOOGLETRANSLATE(B103, ""en"", ""fr"")"),"flèches noctis")</f>
        <v>flèches noctis</v>
      </c>
      <c r="D103" s="23" t="str">
        <f>IFERROR(__xludf.DUMMYFUNCTION("GOOGLETRANSLATE(B103, ""en"", ""es"")"),"Noctis flechas")</f>
        <v>Noctis flechas</v>
      </c>
      <c r="E103" s="23" t="str">
        <f>IFERROR(__xludf.DUMMYFUNCTION("GOOGLETRANSLATE(B103, ""en"", ""ru"")"),"стрелки NOCTIS")</f>
        <v>стрелки NOCTIS</v>
      </c>
      <c r="F103" s="23" t="str">
        <f>IFERROR(__xludf.DUMMYFUNCTION("GOOGLETRANSLATE(B103, ""en"", ""tr"")"),"Noctis oklar")</f>
        <v>Noctis oklar</v>
      </c>
      <c r="G103" s="23" t="str">
        <f>IFERROR(__xludf.DUMMYFUNCTION("GOOGLETRANSLATE(B103, ""en"", ""pt"")"),"setas Noctis")</f>
        <v>setas Noctis</v>
      </c>
      <c r="H103" s="24" t="str">
        <f>IFERROR(__xludf.DUMMYFUNCTION("GOOGLETRANSLATE(B103, ""en"", ""de"")"),"Noctis Pfeile")</f>
        <v>Noctis Pfeile</v>
      </c>
      <c r="I103" s="23" t="str">
        <f>IFERROR(__xludf.DUMMYFUNCTION("GOOGLETRANSLATE(B103, ""en"", ""pl"")"),"strzałki Noctis")</f>
        <v>strzałki Noctis</v>
      </c>
      <c r="J103" s="25" t="str">
        <f>IFERROR(__xludf.DUMMYFUNCTION("GOOGLETRANSLATE(B103, ""en"", ""zh"")"),"Noctis箭头")</f>
        <v>Noctis箭头</v>
      </c>
      <c r="K103" s="25" t="str">
        <f>IFERROR(__xludf.DUMMYFUNCTION("GOOGLETRANSLATE(B103, ""en"", ""vi"")"),"mũi tên Noctis")</f>
        <v>mũi tên Noctis</v>
      </c>
      <c r="L103" s="26" t="str">
        <f>IFERROR(__xludf.DUMMYFUNCTION("GOOGLETRANSLATE(B103, ""en"", ""hr"")"),"Noctis strelice")</f>
        <v>Noctis strelice</v>
      </c>
      <c r="M103" s="28"/>
      <c r="N103" s="28"/>
      <c r="O103" s="28"/>
      <c r="P103" s="28"/>
      <c r="Q103" s="28"/>
      <c r="R103" s="28"/>
      <c r="S103" s="28"/>
      <c r="T103" s="28"/>
      <c r="U103" s="28"/>
      <c r="V103" s="28"/>
      <c r="W103" s="28"/>
      <c r="X103" s="28"/>
      <c r="Y103" s="28"/>
      <c r="Z103" s="28"/>
      <c r="AA103" s="28"/>
      <c r="AB103" s="28"/>
    </row>
    <row r="104">
      <c r="A104" s="21" t="s">
        <v>485</v>
      </c>
      <c r="B104" s="22" t="s">
        <v>438</v>
      </c>
      <c r="C104" s="23" t="str">
        <f>IFERROR(__xludf.DUMMYFUNCTION("GOOGLETRANSLATE(B104, ""en"", ""fr"")"),"Utilisé comme munitions pour un arc.")</f>
        <v>Utilisé comme munitions pour un arc.</v>
      </c>
      <c r="D104" s="23" t="str">
        <f>IFERROR(__xludf.DUMMYFUNCTION("GOOGLETRANSLATE(B104, ""en"", ""es"")"),"Se utiliza como munición para un arco.")</f>
        <v>Se utiliza como munición para un arco.</v>
      </c>
      <c r="E104" s="23" t="str">
        <f>IFERROR(__xludf.DUMMYFUNCTION("GOOGLETRANSLATE(B104, ""en"", ""ru"")"),"Используется в качестве боеприпасов для лука.")</f>
        <v>Используется в качестве боеприпасов для лука.</v>
      </c>
      <c r="F104" s="23" t="str">
        <f>IFERROR(__xludf.DUMMYFUNCTION("GOOGLETRANSLATE(B104, ""en"", ""tr"")"),"Bir yay için mühimmat olarak kullanılır.")</f>
        <v>Bir yay için mühimmat olarak kullanılır.</v>
      </c>
      <c r="G104" s="23" t="str">
        <f>IFERROR(__xludf.DUMMYFUNCTION("GOOGLETRANSLATE(B104, ""en"", ""pt"")"),"Usado como munição para um arco.")</f>
        <v>Usado como munição para um arco.</v>
      </c>
      <c r="H104" s="24" t="str">
        <f>IFERROR(__xludf.DUMMYFUNCTION("GOOGLETRANSLATE(B104, ""en"", ""de"")"),"Wird als Munition für einen Bogen.")</f>
        <v>Wird als Munition für einen Bogen.</v>
      </c>
      <c r="I104" s="23" t="str">
        <f>IFERROR(__xludf.DUMMYFUNCTION("GOOGLETRANSLATE(B104, ""en"", ""pl"")"),"Używany jako amunicji do łuku.")</f>
        <v>Używany jako amunicji do łuku.</v>
      </c>
      <c r="J104" s="25" t="str">
        <f>IFERROR(__xludf.DUMMYFUNCTION("GOOGLETRANSLATE(B104, ""en"", ""zh"")"),"作为弹药弓。")</f>
        <v>作为弹药弓。</v>
      </c>
      <c r="K104" s="25" t="str">
        <f>IFERROR(__xludf.DUMMYFUNCTION("GOOGLETRANSLATE(B104, ""en"", ""vi"")"),"Sử dụng như đạn dược cho một cây cung.")</f>
        <v>Sử dụng như đạn dược cho một cây cung.</v>
      </c>
      <c r="L104" s="26" t="str">
        <f>IFERROR(__xludf.DUMMYFUNCTION("GOOGLETRANSLATE(B104, ""en"", ""hr"")"),"Koristi se kao streljivo za luk.")</f>
        <v>Koristi se kao streljivo za luk.</v>
      </c>
      <c r="M104" s="28"/>
      <c r="N104" s="28"/>
      <c r="O104" s="28"/>
      <c r="P104" s="28"/>
      <c r="Q104" s="28"/>
      <c r="R104" s="28"/>
      <c r="S104" s="28"/>
      <c r="T104" s="28"/>
      <c r="U104" s="28"/>
      <c r="V104" s="28"/>
      <c r="W104" s="28"/>
      <c r="X104" s="28"/>
      <c r="Y104" s="28"/>
      <c r="Z104" s="28"/>
      <c r="AA104" s="28"/>
      <c r="AB104" s="28"/>
    </row>
    <row r="105">
      <c r="A105" s="21" t="s">
        <v>486</v>
      </c>
      <c r="B105" s="22" t="s">
        <v>487</v>
      </c>
      <c r="C105" s="23" t="str">
        <f>IFERROR(__xludf.DUMMYFUNCTION("GOOGLETRANSLATE(B105, ""en"", ""fr"")"),"poignard Noctis")</f>
        <v>poignard Noctis</v>
      </c>
      <c r="D105" s="23" t="str">
        <f>IFERROR(__xludf.DUMMYFUNCTION("GOOGLETRANSLATE(B105, ""en"", ""es"")"),"daga noctis")</f>
        <v>daga noctis</v>
      </c>
      <c r="E105" s="23" t="str">
        <f>IFERROR(__xludf.DUMMYFUNCTION("GOOGLETRANSLATE(B105, ""en"", ""ru"")"),"Ноктис крестик")</f>
        <v>Ноктис крестик</v>
      </c>
      <c r="F105" s="23" t="str">
        <f>IFERROR(__xludf.DUMMYFUNCTION("GOOGLETRANSLATE(B105, ""en"", ""tr"")"),"Noctis hançer")</f>
        <v>Noctis hançer</v>
      </c>
      <c r="G105" s="23" t="str">
        <f>IFERROR(__xludf.DUMMYFUNCTION("GOOGLETRANSLATE(B105, ""en"", ""pt"")"),"Noctis punhal")</f>
        <v>Noctis punhal</v>
      </c>
      <c r="H105" s="24" t="str">
        <f>IFERROR(__xludf.DUMMYFUNCTION("GOOGLETRANSLATE(B105, ""en"", ""de"")"),"Noctis Dolch")</f>
        <v>Noctis Dolch</v>
      </c>
      <c r="I105" s="23" t="str">
        <f>IFERROR(__xludf.DUMMYFUNCTION("GOOGLETRANSLATE(B105, ""en"", ""pl"")"),"Noctis sztylet")</f>
        <v>Noctis sztylet</v>
      </c>
      <c r="J105" s="25" t="str">
        <f>IFERROR(__xludf.DUMMYFUNCTION("GOOGLETRANSLATE(B105, ""en"", ""zh"")"),"Noctis匕首")</f>
        <v>Noctis匕首</v>
      </c>
      <c r="K105" s="25" t="str">
        <f>IFERROR(__xludf.DUMMYFUNCTION("GOOGLETRANSLATE(B105, ""en"", ""vi"")"),"Noctis dao găm")</f>
        <v>Noctis dao găm</v>
      </c>
      <c r="L105" s="26" t="str">
        <f>IFERROR(__xludf.DUMMYFUNCTION("GOOGLETRANSLATE(B105, ""en"", ""hr"")"),"Noctis bodež")</f>
        <v>Noctis bodež</v>
      </c>
      <c r="M105" s="28"/>
      <c r="N105" s="28"/>
      <c r="O105" s="28"/>
      <c r="P105" s="28"/>
      <c r="Q105" s="28"/>
      <c r="R105" s="28"/>
      <c r="S105" s="28"/>
      <c r="T105" s="28"/>
      <c r="U105" s="28"/>
      <c r="V105" s="28"/>
      <c r="W105" s="28"/>
      <c r="X105" s="28"/>
      <c r="Y105" s="28"/>
      <c r="Z105" s="28"/>
      <c r="AA105" s="28"/>
      <c r="AB105" s="28"/>
    </row>
    <row r="106">
      <c r="A106" s="21" t="s">
        <v>488</v>
      </c>
      <c r="B106" s="22" t="s">
        <v>442</v>
      </c>
      <c r="C106" s="23" t="str">
        <f>IFERROR(__xludf.DUMMYFUNCTION("GOOGLETRANSLATE(B106,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106" s="23" t="str">
        <f>IFERROR(__xludf.DUMMYFUNCTION("GOOGLETRANSLATE(B106, ""en"", ""es"")"),"arma cuerpo a cuerpo. Se utiliza para atacar a un espacio de distancia en la dirección que está enfrentando. Inflige daño adicional cuando se golpea por detrás.")</f>
        <v>arma cuerpo a cuerpo. Se utiliza para atacar a un espacio de distancia en la dirección que está enfrentando. Inflige daño adicional cuando se golpea por detrás.</v>
      </c>
      <c r="E106" s="23" t="str">
        <f>IFERROR(__xludf.DUMMYFUNCTION("GOOGLETRANSLATE(B106, ""en"", ""ru"")"),"Оружие ближнего боя. Используется для атаки на одно место далеко в направлении вы столкнулись. Наносит дополнительный урон при попадании сзади.")</f>
        <v>Оружие ближнего боя. Используется для атаки на одно место далеко в направлении вы столкнулись. Наносит дополнительный урон при попадании сзади.</v>
      </c>
      <c r="F106" s="23" t="str">
        <f>IFERROR(__xludf.DUMMYFUNCTION("GOOGLETRANSLATE(B106, ""en"", ""tr"")"),"Yakın dövüş silahı. uzakta karşı karşıya yönde bir kare saldırı için kullanılır. o şekilde arkadan çarptığında Bonus hasar verir.")</f>
        <v>Yakın dövüş silahı. uzakta karşı karşıya yönde bir kare saldırı için kullanılır. o şekilde arkadan çarptığında Bonus hasar verir.</v>
      </c>
      <c r="G106" s="23" t="str">
        <f>IFERROR(__xludf.DUMMYFUNCTION("GOOGLETRANSLATE(B106, ""en"", ""pt"")"),"Arma branca. Usado para atacar um espaço longe na direção que você está enfrentando. Causa dano bônus quando se atinge por trás.")</f>
        <v>Arma branca. Usado para atacar um espaço longe na direção que você está enfrentando. Causa dano bônus quando se atinge por trás.</v>
      </c>
      <c r="H106" s="24" t="str">
        <f>IFERROR(__xludf.DUMMYFUNCTION("GOOGLETRANSLATE(B106, ""en"", ""de"")"),"Nahkampfwaffe. Wurde in die Richtung einen Raum weg angreifen Sie konfrontiert sind. Verursacht zusätzlichen Schaden, wenn es von hinten trifft.")</f>
        <v>Nahkampfwaffe. Wurde in die Richtung einen Raum weg angreifen Sie konfrontiert sind. Verursacht zusätzlichen Schaden, wenn es von hinten trifft.</v>
      </c>
      <c r="I106" s="23" t="str">
        <f>IFERROR(__xludf.DUMMYFUNCTION("GOOGLETRANSLATE(B106, ""en"", ""pl"")"),"Broń biała. Wykorzystana do ataku na jedno miejsce daleko w kierunku, w którym stoją. Zadaje obrażenia bonusowy kiedy uderza od tyłu.")</f>
        <v>Broń biała. Wykorzystana do ataku na jedno miejsce daleko w kierunku, w którym stoją. Zadaje obrażenia bonusowy kiedy uderza od tyłu.</v>
      </c>
      <c r="J106" s="25" t="str">
        <f>IFERROR(__xludf.DUMMYFUNCTION("GOOGLETRANSLATE(B106, ""en"", ""zh"")"),"近战武器。用于攻击一个空间远在你面对的方向。造成额外的伤害，当它从背后击中。")</f>
        <v>近战武器。用于攻击一个空间远在你面对的方向。造成额外的伤害，当它从背后击中。</v>
      </c>
      <c r="K106" s="25" t="str">
        <f>IFERROR(__xludf.DUMMYFUNCTION("GOOGLETRANSLATE(B106, ""en"", ""vi"")"),"vũ khí cận chiến. Được sử dụng để tấn công một không gian đi theo hướng bạn đang phải đối mặt. Damage bonus khi nó chạm từ phía sau.")</f>
        <v>vũ khí cận chiến. Được sử dụng để tấn công một không gian đi theo hướng bạn đang phải đối mặt. Damage bonus khi nó chạm từ phía sau.</v>
      </c>
      <c r="L106" s="26" t="str">
        <f>IFERROR(__xludf.DUMMYFUNCTION("GOOGLETRANSLATE(B106, ""en"", ""hr"")"),"Gužva oružje. Koristi se za napad na jedno mjesto dalje u smjeru u kojem se suočavaju. Ponude bonus štetu kada ga pogodi odostraga.")</f>
        <v>Gužva oružje. Koristi se za napad na jedno mjesto dalje u smjeru u kojem se suočavaju. Ponude bonus štetu kada ga pogodi odostraga.</v>
      </c>
      <c r="M106" s="28"/>
      <c r="N106" s="28"/>
      <c r="O106" s="28"/>
      <c r="P106" s="28"/>
      <c r="Q106" s="28"/>
      <c r="R106" s="28"/>
      <c r="S106" s="28"/>
      <c r="T106" s="28"/>
      <c r="U106" s="28"/>
      <c r="V106" s="28"/>
      <c r="W106" s="28"/>
      <c r="X106" s="28"/>
      <c r="Y106" s="28"/>
      <c r="Z106" s="28"/>
      <c r="AA106" s="28"/>
      <c r="AB106" s="28"/>
    </row>
    <row r="107">
      <c r="A107" s="21" t="s">
        <v>489</v>
      </c>
      <c r="B107" s="22" t="s">
        <v>490</v>
      </c>
      <c r="C107" s="23" t="str">
        <f>IFERROR(__xludf.DUMMYFUNCTION("GOOGLETRANSLATE(B107, ""en"", ""fr"")"),"épée Noctis")</f>
        <v>épée Noctis</v>
      </c>
      <c r="D107" s="23" t="str">
        <f>IFERROR(__xludf.DUMMYFUNCTION("GOOGLETRANSLATE(B107, ""en"", ""es"")"),"espada noctis")</f>
        <v>espada noctis</v>
      </c>
      <c r="E107" s="23" t="str">
        <f>IFERROR(__xludf.DUMMYFUNCTION("GOOGLETRANSLATE(B107, ""en"", ""ru"")"),"Ноктис меч")</f>
        <v>Ноктис меч</v>
      </c>
      <c r="F107" s="23" t="str">
        <f>IFERROR(__xludf.DUMMYFUNCTION("GOOGLETRANSLATE(B107, ""en"", ""tr"")"),"Noctis kılıç")</f>
        <v>Noctis kılıç</v>
      </c>
      <c r="G107" s="23" t="str">
        <f>IFERROR(__xludf.DUMMYFUNCTION("GOOGLETRANSLATE(B107, ""en"", ""pt"")"),"espada Noctis")</f>
        <v>espada Noctis</v>
      </c>
      <c r="H107" s="24" t="str">
        <f>IFERROR(__xludf.DUMMYFUNCTION("GOOGLETRANSLATE(B107, ""en"", ""de"")"),"Noctis Schwert")</f>
        <v>Noctis Schwert</v>
      </c>
      <c r="I107" s="23" t="str">
        <f>IFERROR(__xludf.DUMMYFUNCTION("GOOGLETRANSLATE(B107, ""en"", ""pl"")"),"Noctis miecz")</f>
        <v>Noctis miecz</v>
      </c>
      <c r="J107" s="25" t="str">
        <f>IFERROR(__xludf.DUMMYFUNCTION("GOOGLETRANSLATE(B107, ""en"", ""zh"")"),"Noctis剑")</f>
        <v>Noctis剑</v>
      </c>
      <c r="K107" s="25" t="str">
        <f>IFERROR(__xludf.DUMMYFUNCTION("GOOGLETRANSLATE(B107, ""en"", ""vi"")"),"Noctis gươm")</f>
        <v>Noctis gươm</v>
      </c>
      <c r="L107" s="26" t="str">
        <f>IFERROR(__xludf.DUMMYFUNCTION("GOOGLETRANSLATE(B107, ""en"", ""hr"")"),"Noctis mač")</f>
        <v>Noctis mač</v>
      </c>
      <c r="M107" s="28"/>
      <c r="N107" s="28"/>
      <c r="O107" s="28"/>
      <c r="P107" s="28"/>
      <c r="Q107" s="28"/>
      <c r="R107" s="28"/>
      <c r="S107" s="28"/>
      <c r="T107" s="28"/>
      <c r="U107" s="28"/>
      <c r="V107" s="28"/>
      <c r="W107" s="28"/>
      <c r="X107" s="28"/>
      <c r="Y107" s="28"/>
      <c r="Z107" s="28"/>
      <c r="AA107" s="28"/>
      <c r="AB107" s="28"/>
    </row>
    <row r="108">
      <c r="A108" s="21" t="s">
        <v>491</v>
      </c>
      <c r="B108" s="22" t="s">
        <v>446</v>
      </c>
      <c r="C108" s="23" t="str">
        <f>IFERROR(__xludf.DUMMYFUNCTION("GOOGLETRANSLATE(B108, ""en"", ""fr"")"),"Arme de mêlée. Utilisé pour attaquer une courte distance dans la direction que vous faites face.")</f>
        <v>Arme de mêlée. Utilisé pour attaquer une courte distance dans la direction que vous faites face.</v>
      </c>
      <c r="D108" s="23" t="str">
        <f>IFERROR(__xludf.DUMMYFUNCTION("GOOGLETRANSLATE(B108, ""en"", ""es"")"),"arma cuerpo a cuerpo. Se utiliza para atacar a corta distancia en la dirección que está enfrentando.")</f>
        <v>arma cuerpo a cuerpo. Se utiliza para atacar a corta distancia en la dirección que está enfrentando.</v>
      </c>
      <c r="E108" s="23" t="str">
        <f>IFERROR(__xludf.DUMMYFUNCTION("GOOGLETRANSLATE(B108, ""en"", ""ru"")"),"Оружие ближнего боя. Используется для атаки на небольшое расстояние в направлении вы столкнулись.")</f>
        <v>Оружие ближнего боя. Используется для атаки на небольшое расстояние в направлении вы столкнулись.</v>
      </c>
      <c r="F108" s="23" t="str">
        <f>IFERROR(__xludf.DUMMYFUNCTION("GOOGLETRANSLATE(B108, ""en"", ""tr"")"),"Yakın dövüş silahı. Eğer karşı karşıya yönde kısa bir mesafe uzakta saldırmak için kullanılır.")</f>
        <v>Yakın dövüş silahı. Eğer karşı karşıya yönde kısa bir mesafe uzakta saldırmak için kullanılır.</v>
      </c>
      <c r="G108" s="23" t="str">
        <f>IFERROR(__xludf.DUMMYFUNCTION("GOOGLETRANSLATE(B108, ""en"", ""pt"")"),"Arma branca. Usado para atacar a uma curta distância na direção que você está enfrentando.")</f>
        <v>Arma branca. Usado para atacar a uma curta distância na direção que você está enfrentando.</v>
      </c>
      <c r="H108" s="24" t="str">
        <f>IFERROR(__xludf.DUMMYFUNCTION("GOOGLETRANSLATE(B108, ""en"", ""de"")"),"Nahkampfwaffe. Verwendet, um eine kurze Strecke zum Angriff in Richtung weg Sie konfrontiert sind.")</f>
        <v>Nahkampfwaffe. Verwendet, um eine kurze Strecke zum Angriff in Richtung weg Sie konfrontiert sind.</v>
      </c>
      <c r="I108" s="23" t="str">
        <f>IFERROR(__xludf.DUMMYFUNCTION("GOOGLETRANSLATE(B108, ""en"", ""pl"")"),"Broń biała. Wykorzystana do ataku na krótkie odległości w kierunku, w którym stoją.")</f>
        <v>Broń biała. Wykorzystana do ataku na krótkie odległości w kierunku, w którym stoją.</v>
      </c>
      <c r="J108" s="25" t="str">
        <f>IFERROR(__xludf.DUMMYFUNCTION("GOOGLETRANSLATE(B108, ""en"", ""zh"")"),"近战武器。适用于您所面对的方向攻击很短的距离。")</f>
        <v>近战武器。适用于您所面对的方向攻击很短的距离。</v>
      </c>
      <c r="K108" s="25" t="str">
        <f>IFERROR(__xludf.DUMMYFUNCTION("GOOGLETRANSLATE(B108, ""en"", ""vi"")"),"vũ khí cận chiến. Được sử dụng để tấn công một khoảng cách ngắn đi theo hướng bạn đang phải đối mặt.")</f>
        <v>vũ khí cận chiến. Được sử dụng để tấn công một khoảng cách ngắn đi theo hướng bạn đang phải đối mặt.</v>
      </c>
      <c r="L108" s="26" t="str">
        <f>IFERROR(__xludf.DUMMYFUNCTION("GOOGLETRANSLATE(B108, ""en"", ""hr"")"),"Gužva oružje. Koristi se za napad nedaleko u smjeru u kojem se suočavaju.")</f>
        <v>Gužva oružje. Koristi se za napad nedaleko u smjeru u kojem se suočavaju.</v>
      </c>
      <c r="M108" s="28"/>
      <c r="N108" s="28"/>
      <c r="O108" s="28"/>
      <c r="P108" s="28"/>
      <c r="Q108" s="28"/>
      <c r="R108" s="28"/>
      <c r="S108" s="28"/>
      <c r="T108" s="28"/>
      <c r="U108" s="28"/>
      <c r="V108" s="28"/>
      <c r="W108" s="28"/>
      <c r="X108" s="28"/>
      <c r="Y108" s="28"/>
      <c r="Z108" s="28"/>
      <c r="AA108" s="28"/>
      <c r="AB108" s="28"/>
    </row>
    <row r="109">
      <c r="A109" s="21" t="s">
        <v>492</v>
      </c>
      <c r="B109" s="22" t="s">
        <v>493</v>
      </c>
      <c r="C109" s="23" t="str">
        <f>IFERROR(__xludf.DUMMYFUNCTION("GOOGLETRANSLATE(B109, ""en"", ""fr"")"),"marteau Noctis")</f>
        <v>marteau Noctis</v>
      </c>
      <c r="D109" s="23" t="str">
        <f>IFERROR(__xludf.DUMMYFUNCTION("GOOGLETRANSLATE(B109, ""en"", ""es"")"),"martillo noctis")</f>
        <v>martillo noctis</v>
      </c>
      <c r="E109" s="23" t="str">
        <f>IFERROR(__xludf.DUMMYFUNCTION("GOOGLETRANSLATE(B109, ""en"", ""ru"")"),"Ноктис молоток")</f>
        <v>Ноктис молоток</v>
      </c>
      <c r="F109" s="23" t="str">
        <f>IFERROR(__xludf.DUMMYFUNCTION("GOOGLETRANSLATE(B109, ""en"", ""tr"")"),"Noctis çekiç")</f>
        <v>Noctis çekiç</v>
      </c>
      <c r="G109" s="23" t="str">
        <f>IFERROR(__xludf.DUMMYFUNCTION("GOOGLETRANSLATE(B109, ""en"", ""pt"")"),"Noctis martelo")</f>
        <v>Noctis martelo</v>
      </c>
      <c r="H109" s="24" t="str">
        <f>IFERROR(__xludf.DUMMYFUNCTION("GOOGLETRANSLATE(B109, ""en"", ""de"")"),"Noctis Hammer")</f>
        <v>Noctis Hammer</v>
      </c>
      <c r="I109" s="23" t="str">
        <f>IFERROR(__xludf.DUMMYFUNCTION("GOOGLETRANSLATE(B109, ""en"", ""pl"")"),"Noctis młotek")</f>
        <v>Noctis młotek</v>
      </c>
      <c r="J109" s="25" t="str">
        <f>IFERROR(__xludf.DUMMYFUNCTION("GOOGLETRANSLATE(B109, ""en"", ""zh"")"),"Noctis锤")</f>
        <v>Noctis锤</v>
      </c>
      <c r="K109" s="25" t="str">
        <f>IFERROR(__xludf.DUMMYFUNCTION("GOOGLETRANSLATE(B109, ""en"", ""vi"")"),"Noctis búa")</f>
        <v>Noctis búa</v>
      </c>
      <c r="L109" s="26" t="str">
        <f>IFERROR(__xludf.DUMMYFUNCTION("GOOGLETRANSLATE(B109, ""en"", ""hr"")"),"Noctis čekić")</f>
        <v>Noctis čekić</v>
      </c>
      <c r="M109" s="28"/>
      <c r="N109" s="28"/>
      <c r="O109" s="28"/>
      <c r="P109" s="28"/>
      <c r="Q109" s="28"/>
      <c r="R109" s="28"/>
      <c r="S109" s="28"/>
      <c r="T109" s="28"/>
      <c r="U109" s="28"/>
      <c r="V109" s="28"/>
      <c r="W109" s="28"/>
      <c r="X109" s="28"/>
      <c r="Y109" s="28"/>
      <c r="Z109" s="28"/>
      <c r="AA109" s="28"/>
      <c r="AB109" s="28"/>
    </row>
    <row r="110">
      <c r="A110" s="21" t="s">
        <v>494</v>
      </c>
      <c r="B110" s="22" t="s">
        <v>450</v>
      </c>
      <c r="C110" s="23" t="str">
        <f>IFERROR(__xludf.DUMMYFUNCTION("GOOGLETRANSLATE(B110, ""en"", ""fr"")"),"Arme de mêlée. Pousse les choses un espace quand il frappe.")</f>
        <v>Arme de mêlée. Pousse les choses un espace quand il frappe.</v>
      </c>
      <c r="D110" s="23" t="str">
        <f>IFERROR(__xludf.DUMMYFUNCTION("GOOGLETRANSLATE(B110, ""en"", ""es"")"),"arma cuerpo a cuerpo. Lleva las cosas un espacio hacia atrás cuando se golpea.")</f>
        <v>arma cuerpo a cuerpo. Lleva las cosas un espacio hacia atrás cuando se golpea.</v>
      </c>
      <c r="E110" s="23" t="str">
        <f>IFERROR(__xludf.DUMMYFUNCTION("GOOGLETRANSLATE(B110,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10" s="23" t="str">
        <f>IFERROR(__xludf.DUMMYFUNCTION("GOOGLETRANSLATE(B110, ""en"", ""tr"")"),"Yakın dövüş silahı. çarptığında iter şeyler bir boşluk geri.")</f>
        <v>Yakın dövüş silahı. çarptığında iter şeyler bir boşluk geri.</v>
      </c>
      <c r="G110" s="23" t="str">
        <f>IFERROR(__xludf.DUMMYFUNCTION("GOOGLETRANSLATE(B110, ""en"", ""pt"")"),"Arma branca. Empurra as coisas de volta um espaço quando bate.")</f>
        <v>Arma branca. Empurra as coisas de volta um espaço quando bate.</v>
      </c>
      <c r="H110" s="24" t="str">
        <f>IFERROR(__xludf.DUMMYFUNCTION("GOOGLETRANSLATE(B110, ""en"", ""de"")"),"Nahkampfwaffe. Schiebt die Dinge wieder einen Raum, wenn er trifft.")</f>
        <v>Nahkampfwaffe. Schiebt die Dinge wieder einen Raum, wenn er trifft.</v>
      </c>
      <c r="I110" s="23" t="str">
        <f>IFERROR(__xludf.DUMMYFUNCTION("GOOGLETRANSLATE(B110, ""en"", ""pl"")"),"Broń biała. Popycha rzeczy z powrotem jedno miejsce, gdy natrafi.")</f>
        <v>Broń biała. Popycha rzeczy z powrotem jedno miejsce, gdy natrafi.</v>
      </c>
      <c r="J110" s="25" t="str">
        <f>IFERROR(__xludf.DUMMYFUNCTION("GOOGLETRANSLATE(B110, ""en"", ""zh"")"),"近战武器。推动东西回来一个空当它击中。")</f>
        <v>近战武器。推动东西回来一个空当它击中。</v>
      </c>
      <c r="K110" s="25" t="str">
        <f>IFERROR(__xludf.DUMMYFUNCTION("GOOGLETRANSLATE(B110, ""en"", ""vi"")"),"vũ khí cận chiến. Push thứ trở lại một không gian khi nó chạm.")</f>
        <v>vũ khí cận chiến. Push thứ trở lại một không gian khi nó chạm.</v>
      </c>
      <c r="L110" s="26" t="str">
        <f>IFERROR(__xludf.DUMMYFUNCTION("GOOGLETRANSLATE(B110, ""en"", ""hr"")"),"Gužva oružje. Gura stvari vratiti za jedno mjesto kad ga pogodi.")</f>
        <v>Gužva oružje. Gura stvari vratiti za jedno mjesto kad ga pogodi.</v>
      </c>
      <c r="M110" s="28"/>
      <c r="N110" s="28"/>
      <c r="O110" s="28"/>
      <c r="P110" s="28"/>
      <c r="Q110" s="28"/>
      <c r="R110" s="28"/>
      <c r="S110" s="28"/>
      <c r="T110" s="28"/>
      <c r="U110" s="28"/>
      <c r="V110" s="28"/>
      <c r="W110" s="28"/>
      <c r="X110" s="28"/>
      <c r="Y110" s="28"/>
      <c r="Z110" s="28"/>
      <c r="AA110" s="28"/>
      <c r="AB110" s="28"/>
    </row>
    <row r="111">
      <c r="A111" s="21" t="s">
        <v>495</v>
      </c>
      <c r="B111" s="22" t="s">
        <v>496</v>
      </c>
      <c r="C111" s="23" t="str">
        <f>IFERROR(__xludf.DUMMYFUNCTION("GOOGLETRANSLATE(B111, ""en"", ""fr"")"),"armure Noctis")</f>
        <v>armure Noctis</v>
      </c>
      <c r="D111" s="23" t="str">
        <f>IFERROR(__xludf.DUMMYFUNCTION("GOOGLETRANSLATE(B111, ""en"", ""es"")"),"armadura noctis")</f>
        <v>armadura noctis</v>
      </c>
      <c r="E111" s="23" t="str">
        <f>IFERROR(__xludf.DUMMYFUNCTION("GOOGLETRANSLATE(B111, ""en"", ""ru"")"),"Ноктис броня")</f>
        <v>Ноктис броня</v>
      </c>
      <c r="F111" s="23" t="str">
        <f>IFERROR(__xludf.DUMMYFUNCTION("GOOGLETRANSLATE(B111, ""en"", ""tr"")"),"Noctis zırh")</f>
        <v>Noctis zırh</v>
      </c>
      <c r="G111" s="23" t="str">
        <f>IFERROR(__xludf.DUMMYFUNCTION("GOOGLETRANSLATE(B111, ""en"", ""pt"")"),"armadura Noctis")</f>
        <v>armadura Noctis</v>
      </c>
      <c r="H111" s="24" t="str">
        <f>IFERROR(__xludf.DUMMYFUNCTION("GOOGLETRANSLATE(B111, ""en"", ""de"")"),"Noctis Rüstung")</f>
        <v>Noctis Rüstung</v>
      </c>
      <c r="I111" s="23" t="str">
        <f>IFERROR(__xludf.DUMMYFUNCTION("GOOGLETRANSLATE(B111, ""en"", ""pl"")"),"Noctis pancerz")</f>
        <v>Noctis pancerz</v>
      </c>
      <c r="J111" s="25" t="str">
        <f>IFERROR(__xludf.DUMMYFUNCTION("GOOGLETRANSLATE(B111, ""en"", ""zh"")"),"Noctis装甲")</f>
        <v>Noctis装甲</v>
      </c>
      <c r="K111" s="25" t="str">
        <f>IFERROR(__xludf.DUMMYFUNCTION("GOOGLETRANSLATE(B111, ""en"", ""vi"")"),"Noctis giáp")</f>
        <v>Noctis giáp</v>
      </c>
      <c r="L111" s="26" t="str">
        <f>IFERROR(__xludf.DUMMYFUNCTION("GOOGLETRANSLATE(B111, ""en"", ""hr"")"),"Noctis oklop")</f>
        <v>Noctis oklop</v>
      </c>
      <c r="M111" s="28"/>
      <c r="N111" s="28"/>
      <c r="O111" s="28"/>
      <c r="P111" s="28"/>
      <c r="Q111" s="28"/>
      <c r="R111" s="28"/>
      <c r="S111" s="28"/>
      <c r="T111" s="28"/>
      <c r="U111" s="28"/>
      <c r="V111" s="28"/>
      <c r="W111" s="28"/>
      <c r="X111" s="28"/>
      <c r="Y111" s="28"/>
      <c r="Z111" s="28"/>
      <c r="AA111" s="28"/>
      <c r="AB111" s="28"/>
    </row>
    <row r="112">
      <c r="A112" s="21" t="s">
        <v>497</v>
      </c>
      <c r="B112" s="22" t="s">
        <v>498</v>
      </c>
      <c r="C112" s="23" t="str">
        <f>IFERROR(__xludf.DUMMYFUNCTION("GOOGLETRANSLATE(B112, ""en"", ""fr"")"),"armure agressif avec un bon bonus de défense, mais une faible durabilité. Grandement augmente votre stat Melee tout porté.")</f>
        <v>armure agressif avec un bon bonus de défense, mais une faible durabilité. Grandement augmente votre stat Melee tout porté.</v>
      </c>
      <c r="D112" s="23" t="str">
        <f>IFERROR(__xludf.DUMMYFUNCTION("GOOGLETRANSLATE(B112, ""en"", ""es"")"),"armadura agresivo con un buen bono de defensa, pero baja durabilidad. Aumenta en gran medida su stat cuerpo a cuerpo mientras se usa.")</f>
        <v>armadura agresivo con un buen bono de defensa, pero baja durabilidad. Aumenta en gran medida su stat cuerpo a cuerpo mientras se usa.</v>
      </c>
      <c r="E112" s="23" t="str">
        <f>IFERROR(__xludf.DUMMYFUNCTION("GOOGLETRANSLATE(B112, ""en"", ""ru"")"),"Агрессивный броня с хорошей бонус защиты, но низкая прочность. Значительно увеличивает рукопашной стат во время ношения.")</f>
        <v>Агрессивный броня с хорошей бонус защиты, но низкая прочность. Значительно увеличивает рукопашной стат во время ношения.</v>
      </c>
      <c r="F112" s="23" t="str">
        <f>IFERROR(__xludf.DUMMYFUNCTION("GOOGLETRANSLATE(B112, ""en"", ""tr"")"),"İyi bir savunma bonus Agresif zırh, ancak düşük dayanıklılık. aşınmış ise büyük ölçüde Melee Statini arttırır.")</f>
        <v>İyi bir savunma bonus Agresif zırh, ancak düşük dayanıklılık. aşınmış ise büyük ölçüde Melee Statini arttırır.</v>
      </c>
      <c r="G112" s="23" t="str">
        <f>IFERROR(__xludf.DUMMYFUNCTION("GOOGLETRANSLATE(B112, ""en"", ""pt"")"),"armadura agressivo com um bom bônus de defesa, mas baixa durabilidade. Grandemente aumenta seu status de corpo a corpo, enquanto desgastado.")</f>
        <v>armadura agressivo com um bom bônus de defesa, mas baixa durabilidade. Grandemente aumenta seu status de corpo a corpo, enquanto desgastado.</v>
      </c>
      <c r="H112" s="24" t="str">
        <f>IFERROR(__xludf.DUMMYFUNCTION("GOOGLETRANSLATE(B112, ""en"", ""de"")"),"Aggressive Rüstung mit einem guten Verteidigung Bonus, aber geringe Haltbarkeit. Erhöht Ihre Melee stat während des Tragens.")</f>
        <v>Aggressive Rüstung mit einem guten Verteidigung Bonus, aber geringe Haltbarkeit. Erhöht Ihre Melee stat während des Tragens.</v>
      </c>
      <c r="I112" s="23" t="str">
        <f>IFERROR(__xludf.DUMMYFUNCTION("GOOGLETRANSLATE(B112, ""en"", ""pl"")"),"Agresywny pancerz z dobrą premię obrony, ale niska trwałość. Znacznie zwiększa stat wręcz podczas noszenia.")</f>
        <v>Agresywny pancerz z dobrą premię obrony, ale niska trwałość. Znacznie zwiększa stat wręcz podczas noszenia.</v>
      </c>
      <c r="J112" s="25" t="str">
        <f>IFERROR(__xludf.DUMMYFUNCTION("GOOGLETRANSLATE(B112, ""en"", ""zh"")"),"激进装甲具有良好的防御加成，但耐久性低。而戴大大增加你的近战统计。")</f>
        <v>激进装甲具有良好的防御加成，但耐久性低。而戴大大增加你的近战统计。</v>
      </c>
      <c r="K112" s="25" t="str">
        <f>IFERROR(__xludf.DUMMYFUNCTION("GOOGLETRANSLATE(B112, ""en"", ""vi"")"),"giáp hung hăng với một tiền thưởng phòng thủ tốt, nhưng độ bền thấp. Làm tăng đáng kể Melee stat của bạn trong khi mặc.")</f>
        <v>giáp hung hăng với một tiền thưởng phòng thủ tốt, nhưng độ bền thấp. Làm tăng đáng kể Melee stat của bạn trong khi mặc.</v>
      </c>
      <c r="L112" s="26" t="str">
        <f>IFERROR(__xludf.DUMMYFUNCTION("GOOGLETRANSLATE(B112, ""en"", ""hr"")"),"Agresivni oklop s dobrom obrambenom bonus, ali niske trajnost. Uvelike povećava gužva stat dok istrošena.")</f>
        <v>Agresivni oklop s dobrom obrambenom bonus, ali niske trajnost. Uvelike povećava gužva stat dok istrošena.</v>
      </c>
      <c r="M112" s="28"/>
      <c r="N112" s="28"/>
      <c r="O112" s="28"/>
      <c r="P112" s="28"/>
      <c r="Q112" s="28"/>
      <c r="R112" s="28"/>
      <c r="S112" s="28"/>
      <c r="T112" s="28"/>
      <c r="U112" s="28"/>
      <c r="V112" s="28"/>
      <c r="W112" s="28"/>
      <c r="X112" s="28"/>
      <c r="Y112" s="28"/>
      <c r="Z112" s="28"/>
      <c r="AA112" s="28"/>
      <c r="AB112" s="28"/>
    </row>
    <row r="113">
      <c r="A113" s="21" t="s">
        <v>499</v>
      </c>
      <c r="B113" s="22" t="s">
        <v>500</v>
      </c>
      <c r="C113" s="23" t="str">
        <f>IFERROR(__xludf.DUMMYFUNCTION("GOOGLETRANSLATE(B113, ""en"", ""fr"")"),"vampire Croc")</f>
        <v>vampire Croc</v>
      </c>
      <c r="D113" s="23" t="str">
        <f>IFERROR(__xludf.DUMMYFUNCTION("GOOGLETRANSLATE(B113, ""en"", ""es"")"),"vampire fang")</f>
        <v>vampire fang</v>
      </c>
      <c r="E113" s="23" t="str">
        <f>IFERROR(__xludf.DUMMYFUNCTION("GOOGLETRANSLATE(B113, ""en"", ""ru"")"),"Вампир клыки")</f>
        <v>Вампир клыки</v>
      </c>
      <c r="F113" s="23" t="str">
        <f>IFERROR(__xludf.DUMMYFUNCTION("GOOGLETRANSLATE(B113, ""en"", ""tr"")"),"Vampir zehirli diş")</f>
        <v>Vampir zehirli diş</v>
      </c>
      <c r="G113" s="23" t="str">
        <f>IFERROR(__xludf.DUMMYFUNCTION("GOOGLETRANSLATE(B113, ""en"", ""pt"")"),"colmilho do vampiro")</f>
        <v>colmilho do vampiro</v>
      </c>
      <c r="H113" s="24" t="str">
        <f>IFERROR(__xludf.DUMMYFUNCTION("GOOGLETRANSLATE(B113, ""en"", ""de"")"),"Vampir Reißzahn")</f>
        <v>Vampir Reißzahn</v>
      </c>
      <c r="I113" s="23" t="str">
        <f>IFERROR(__xludf.DUMMYFUNCTION("GOOGLETRANSLATE(B113, ""en"", ""pl"")"),"Vampire Fang")</f>
        <v>Vampire Fang</v>
      </c>
      <c r="J113" s="25" t="str">
        <f>IFERROR(__xludf.DUMMYFUNCTION("GOOGLETRANSLATE(B113, ""en"", ""zh"")"),"吸血鬼芳")</f>
        <v>吸血鬼芳</v>
      </c>
      <c r="K113" s="25" t="str">
        <f>IFERROR(__xludf.DUMMYFUNCTION("GOOGLETRANSLATE(B113, ""en"", ""vi"")"),"Ma cà rồng fang")</f>
        <v>Ma cà rồng fang</v>
      </c>
      <c r="L113" s="26" t="str">
        <f>IFERROR(__xludf.DUMMYFUNCTION("GOOGLETRANSLATE(B113, ""en"", ""hr"")"),"Vampire fang")</f>
        <v>Vampire fang</v>
      </c>
      <c r="M113" s="28"/>
      <c r="N113" s="28"/>
      <c r="O113" s="28"/>
      <c r="P113" s="28"/>
      <c r="Q113" s="28"/>
      <c r="R113" s="28"/>
      <c r="S113" s="28"/>
      <c r="T113" s="28"/>
      <c r="U113" s="28"/>
      <c r="V113" s="28"/>
      <c r="W113" s="28"/>
      <c r="X113" s="28"/>
      <c r="Y113" s="28"/>
      <c r="Z113" s="28"/>
      <c r="AA113" s="28"/>
      <c r="AB113" s="28"/>
    </row>
    <row r="114">
      <c r="A114" s="21" t="s">
        <v>501</v>
      </c>
      <c r="B114" s="22" t="s">
        <v>502</v>
      </c>
      <c r="C114" s="23" t="str">
        <f>IFERROR(__xludf.DUMMYFUNCTION("GOOGLETRANSLATE(B114, ""en"", ""fr"")"),"Arme de mêlée. Ne peut endommager les créatures adjacentes, mais vous guérit quand il frappe.")</f>
        <v>Arme de mêlée. Ne peut endommager les créatures adjacentes, mais vous guérit quand il frappe.</v>
      </c>
      <c r="D114" s="23" t="str">
        <f>IFERROR(__xludf.DUMMYFUNCTION("GOOGLETRANSLATE(B114, ""en"", ""es"")"),"arma cuerpo a cuerpo. sólo puede dañar criaturas adyacentes, pero te cura cuando golpea.")</f>
        <v>arma cuerpo a cuerpo. sólo puede dañar criaturas adyacentes, pero te cura cuando golpea.</v>
      </c>
      <c r="E114" s="23" t="str">
        <f>IFERROR(__xludf.DUMMYFUNCTION("GOOGLETRANSLATE(B114, ""en"", ""ru"")"),"Оружие ближнего боя. Может только повредить соседние существа, но исцеляет вас, когда она попадает.")</f>
        <v>Оружие ближнего боя. Может только повредить соседние существа, но исцеляет вас, когда она попадает.</v>
      </c>
      <c r="F114" s="23" t="str">
        <f>IFERROR(__xludf.DUMMYFUNCTION("GOOGLETRANSLATE(B114, ""en"", ""tr"")"),"Yakın dövüş silahı. çarptığında sadece iyileşir sizi bitişik yaratıklar zarar ama Can.")</f>
        <v>Yakın dövüş silahı. çarptığında sadece iyileşir sizi bitişik yaratıklar zarar ama Can.</v>
      </c>
      <c r="G114" s="23" t="str">
        <f>IFERROR(__xludf.DUMMYFUNCTION("GOOGLETRANSLATE(B114, ""en"", ""pt"")"),"Arma branca. só pode danificar criaturas adjacentes, mas cura-te quando bate.")</f>
        <v>Arma branca. só pode danificar criaturas adjacentes, mas cura-te quando bate.</v>
      </c>
      <c r="H114" s="24" t="str">
        <f>IFERROR(__xludf.DUMMYFUNCTION("GOOGLETRANSLATE(B114, ""en"", ""de"")"),"Nahkampfwaffe. Kann nur benachbarte Kreaturen, sondern heilt Sie beschädigen, wenn er trifft.")</f>
        <v>Nahkampfwaffe. Kann nur benachbarte Kreaturen, sondern heilt Sie beschädigen, wenn er trifft.</v>
      </c>
      <c r="I114" s="23" t="str">
        <f>IFERROR(__xludf.DUMMYFUNCTION("GOOGLETRANSLATE(B114, ""en"", ""pl"")"),"Broń biała. Może uszkodzić sąsiednie tylko stworzenia, ale cię uzdrawia gdy trafi.")</f>
        <v>Broń biała. Może uszkodzić sąsiednie tylko stworzenia, ale cię uzdrawia gdy trafi.</v>
      </c>
      <c r="J114" s="25" t="str">
        <f>IFERROR(__xludf.DUMMYFUNCTION("GOOGLETRANSLATE(B114, ""en"", ""zh"")"),"近战武器。当它击中只能损害相邻的生物，但医治你。")</f>
        <v>近战武器。当它击中只能损害相邻的生物，但医治你。</v>
      </c>
      <c r="K114" s="25" t="str">
        <f>IFERROR(__xludf.DUMMYFUNCTION("GOOGLETRANSLATE(B114, ""en"", ""vi"")"),"vũ khí cận chiến. Chỉ có thể làm tổn hại sinh vật lân cận, nhưng chữa lành cho bạn khi nó chạm.")</f>
        <v>vũ khí cận chiến. Chỉ có thể làm tổn hại sinh vật lân cận, nhưng chữa lành cho bạn khi nó chạm.</v>
      </c>
      <c r="L114" s="26" t="str">
        <f>IFERROR(__xludf.DUMMYFUNCTION("GOOGLETRANSLATE(B114, ""en"", ""hr"")"),"Gužva oružje. Mogu samo oštetiti susjedne stvorenja, ali iscjeljuje vas kad ga pogodi.")</f>
        <v>Gužva oružje. Mogu samo oštetiti susjedne stvorenja, ali iscjeljuje vas kad ga pogodi.</v>
      </c>
      <c r="M114" s="28"/>
      <c r="N114" s="28"/>
      <c r="O114" s="28"/>
      <c r="P114" s="28"/>
      <c r="Q114" s="28"/>
      <c r="R114" s="28"/>
      <c r="S114" s="28"/>
      <c r="T114" s="28"/>
      <c r="U114" s="28"/>
      <c r="V114" s="28"/>
      <c r="W114" s="28"/>
      <c r="X114" s="28"/>
      <c r="Y114" s="28"/>
      <c r="Z114" s="28"/>
      <c r="AA114" s="28"/>
      <c r="AB114" s="28"/>
    </row>
    <row r="115">
      <c r="A115" s="21" t="s">
        <v>503</v>
      </c>
      <c r="B115" s="22" t="s">
        <v>504</v>
      </c>
      <c r="C115" s="23" t="str">
        <f>IFERROR(__xludf.DUMMYFUNCTION("GOOGLETRANSLATE(B115, ""en"", ""fr"")"),"arc Pine")</f>
        <v>arc Pine</v>
      </c>
      <c r="D115" s="23" t="str">
        <f>IFERROR(__xludf.DUMMYFUNCTION("GOOGLETRANSLATE(B115, ""en"", ""es"")"),"arco de pino")</f>
        <v>arco de pino</v>
      </c>
      <c r="E115" s="23" t="str">
        <f>IFERROR(__xludf.DUMMYFUNCTION("GOOGLETRANSLATE(B115, ""en"", ""ru"")"),"Сосна лук")</f>
        <v>Сосна лук</v>
      </c>
      <c r="F115" s="23" t="str">
        <f>IFERROR(__xludf.DUMMYFUNCTION("GOOGLETRANSLATE(B115, ""en"", ""tr"")"),"Çam yay")</f>
        <v>Çam yay</v>
      </c>
      <c r="G115" s="23" t="str">
        <f>IFERROR(__xludf.DUMMYFUNCTION("GOOGLETRANSLATE(B115, ""en"", ""pt"")"),"arco Pine")</f>
        <v>arco Pine</v>
      </c>
      <c r="H115" s="24" t="str">
        <f>IFERROR(__xludf.DUMMYFUNCTION("GOOGLETRANSLATE(B115, ""en"", ""de"")"),"Pine Bogen")</f>
        <v>Pine Bogen</v>
      </c>
      <c r="I115" s="23" t="str">
        <f>IFERROR(__xludf.DUMMYFUNCTION("GOOGLETRANSLATE(B115, ""en"", ""pl"")"),"Pine łuk")</f>
        <v>Pine łuk</v>
      </c>
      <c r="J115" s="25" t="str">
        <f>IFERROR(__xludf.DUMMYFUNCTION("GOOGLETRANSLATE(B115, ""en"", ""zh"")"),"松弓")</f>
        <v>松弓</v>
      </c>
      <c r="K115" s="25" t="str">
        <f>IFERROR(__xludf.DUMMYFUNCTION("GOOGLETRANSLATE(B115, ""en"", ""vi"")"),"Pine nơ")</f>
        <v>Pine nơ</v>
      </c>
      <c r="L115" s="26" t="str">
        <f>IFERROR(__xludf.DUMMYFUNCTION("GOOGLETRANSLATE(B115, ""en"", ""hr"")"),"Pine luk")</f>
        <v>Pine luk</v>
      </c>
      <c r="M115" s="28"/>
      <c r="N115" s="28"/>
      <c r="O115" s="28"/>
      <c r="P115" s="28"/>
      <c r="Q115" s="28"/>
      <c r="R115" s="28"/>
      <c r="S115" s="28"/>
      <c r="T115" s="28"/>
      <c r="U115" s="28"/>
      <c r="V115" s="28"/>
      <c r="W115" s="28"/>
      <c r="X115" s="28"/>
      <c r="Y115" s="28"/>
      <c r="Z115" s="28"/>
      <c r="AA115" s="28"/>
      <c r="AB115" s="28"/>
    </row>
    <row r="116">
      <c r="A116" s="21" t="s">
        <v>505</v>
      </c>
      <c r="B116" s="22" t="s">
        <v>506</v>
      </c>
      <c r="C116" s="23" t="str">
        <f>IFERROR(__xludf.DUMMYFUNCTION("GOOGLETRANSLATE(B116, ""en"", ""fr"")"),"Une faible arme à longue distance aux flèches des pousses.")</f>
        <v>Une faible arme à longue distance aux flèches des pousses.</v>
      </c>
      <c r="D116" s="23" t="str">
        <f>IFERROR(__xludf.DUMMYFUNCTION("GOOGLETRANSLATE(B116, ""en"", ""es"")"),"Un débil arma de largo alcance para disparar flechas.")</f>
        <v>Un débil arma de largo alcance para disparar flechas.</v>
      </c>
      <c r="E116" s="23" t="str">
        <f>IFERROR(__xludf.DUMMYFUNCTION("GOOGLETRANSLATE(B116, ""en"", ""ru"")"),"Слабое длинномасштабные оружие для метания стрел.")</f>
        <v>Слабое длинномасштабные оружие для метания стрел.</v>
      </c>
      <c r="F116" s="23" t="str">
        <f>IFERROR(__xludf.DUMMYFUNCTION("GOOGLETRANSLATE(B116, ""en"", ""tr"")"),"ateş okları için zayıf uzun menzilli silah.")</f>
        <v>ateş okları için zayıf uzun menzilli silah.</v>
      </c>
      <c r="G116" s="23" t="str">
        <f>IFERROR(__xludf.DUMMYFUNCTION("GOOGLETRANSLATE(B116, ""en"", ""pt"")"),"A fraca arma longa distância para atirar flechas.")</f>
        <v>A fraca arma longa distância para atirar flechas.</v>
      </c>
      <c r="H116" s="24" t="str">
        <f>IFERROR(__xludf.DUMMYFUNCTION("GOOGLETRANSLATE(B116, ""en"", ""de"")"),"Eine schwache lange Distanzwaffen zu schießen Pfeile.")</f>
        <v>Eine schwache lange Distanzwaffen zu schießen Pfeile.</v>
      </c>
      <c r="I116" s="23" t="str">
        <f>IFERROR(__xludf.DUMMYFUNCTION("GOOGLETRANSLATE(B116, ""en"", ""pl"")"),"Słaby długo wahał broń strzelać strzałkami.")</f>
        <v>Słaby długo wahał broń strzelać strzałkami.</v>
      </c>
      <c r="J116" s="25" t="str">
        <f>IFERROR(__xludf.DUMMYFUNCTION("GOOGLETRANSLATE(B116, ""en"", ""zh"")"),"弱长远程武器射箭。")</f>
        <v>弱长远程武器射箭。</v>
      </c>
      <c r="K116" s="25" t="str">
        <f>IFERROR(__xludf.DUMMYFUNCTION("GOOGLETRANSLATE(B116, ""en"", ""vi"")"),"Một vũ khí tầm xa yếu để mũi tên bắn.")</f>
        <v>Một vũ khí tầm xa yếu để mũi tên bắn.</v>
      </c>
      <c r="L116" s="26" t="str">
        <f>IFERROR(__xludf.DUMMYFUNCTION("GOOGLETRANSLATE(B116, ""en"", ""hr"")"),"Slaba dugo streljačko oružje za pucanje strelica.")</f>
        <v>Slaba dugo streljačko oružje za pucanje strelica.</v>
      </c>
      <c r="M116" s="28"/>
      <c r="N116" s="28"/>
      <c r="O116" s="28"/>
      <c r="P116" s="28"/>
      <c r="Q116" s="28"/>
      <c r="R116" s="28"/>
      <c r="S116" s="28"/>
      <c r="T116" s="28"/>
      <c r="U116" s="28"/>
      <c r="V116" s="28"/>
      <c r="W116" s="28"/>
      <c r="X116" s="28"/>
      <c r="Y116" s="28"/>
      <c r="Z116" s="28"/>
      <c r="AA116" s="28"/>
      <c r="AB116" s="28"/>
    </row>
    <row r="117">
      <c r="A117" s="21" t="s">
        <v>507</v>
      </c>
      <c r="B117" s="22" t="s">
        <v>508</v>
      </c>
      <c r="C117" s="23" t="str">
        <f>IFERROR(__xludf.DUMMYFUNCTION("GOOGLETRANSLATE(B117, ""en"", ""fr"")"),"Willow arc")</f>
        <v>Willow arc</v>
      </c>
      <c r="D117" s="23" t="str">
        <f>IFERROR(__xludf.DUMMYFUNCTION("GOOGLETRANSLATE(B117, ""en"", ""es"")"),"Willow arco")</f>
        <v>Willow arco</v>
      </c>
      <c r="E117" s="23" t="str">
        <f>IFERROR(__xludf.DUMMYFUNCTION("GOOGLETRANSLATE(B117, ""en"", ""ru"")"),"Уиллоу лук")</f>
        <v>Уиллоу лук</v>
      </c>
      <c r="F117" s="23" t="str">
        <f>IFERROR(__xludf.DUMMYFUNCTION("GOOGLETRANSLATE(B117, ""en"", ""tr"")"),"yay söğüt")</f>
        <v>yay söğüt</v>
      </c>
      <c r="G117" s="23" t="str">
        <f>IFERROR(__xludf.DUMMYFUNCTION("GOOGLETRANSLATE(B117, ""en"", ""pt"")"),"Willow arco")</f>
        <v>Willow arco</v>
      </c>
      <c r="H117" s="24" t="str">
        <f>IFERROR(__xludf.DUMMYFUNCTION("GOOGLETRANSLATE(B117, ""en"", ""de"")"),"Willow Bogen")</f>
        <v>Willow Bogen</v>
      </c>
      <c r="I117" s="23" t="str">
        <f>IFERROR(__xludf.DUMMYFUNCTION("GOOGLETRANSLATE(B117, ""en"", ""pl"")"),"Willow łuk")</f>
        <v>Willow łuk</v>
      </c>
      <c r="J117" s="25" t="str">
        <f>IFERROR(__xludf.DUMMYFUNCTION("GOOGLETRANSLATE(B117, ""en"", ""zh"")"),"柳弓")</f>
        <v>柳弓</v>
      </c>
      <c r="K117" s="25" t="str">
        <f>IFERROR(__xludf.DUMMYFUNCTION("GOOGLETRANSLATE(B117, ""en"", ""vi"")"),"Willow cúi")</f>
        <v>Willow cúi</v>
      </c>
      <c r="L117" s="26" t="str">
        <f>IFERROR(__xludf.DUMMYFUNCTION("GOOGLETRANSLATE(B117, ""en"", ""hr"")"),"Willow luk")</f>
        <v>Willow luk</v>
      </c>
      <c r="M117" s="28"/>
      <c r="N117" s="28"/>
      <c r="O117" s="28"/>
      <c r="P117" s="28"/>
      <c r="Q117" s="28"/>
      <c r="R117" s="28"/>
      <c r="S117" s="28"/>
      <c r="T117" s="28"/>
      <c r="U117" s="28"/>
      <c r="V117" s="28"/>
      <c r="W117" s="28"/>
      <c r="X117" s="28"/>
      <c r="Y117" s="28"/>
      <c r="Z117" s="28"/>
      <c r="AA117" s="28"/>
      <c r="AB117" s="28"/>
    </row>
    <row r="118">
      <c r="A118" s="21" t="s">
        <v>509</v>
      </c>
      <c r="B118" s="22" t="s">
        <v>510</v>
      </c>
      <c r="C118" s="23" t="str">
        <f>IFERROR(__xludf.DUMMYFUNCTION("GOOGLETRANSLATE(B118, ""en"", ""fr"")"),"Une bonne arme à longue portée aux flèches de tirer.")</f>
        <v>Une bonne arme à longue portée aux flèches de tirer.</v>
      </c>
      <c r="D118" s="23" t="str">
        <f>IFERROR(__xludf.DUMMYFUNCTION("GOOGLETRANSLATE(B118, ""en"", ""es"")"),"Un buen varió mucho arma para disparar flechas.")</f>
        <v>Un buen varió mucho arma para disparar flechas.</v>
      </c>
      <c r="E118" s="23" t="str">
        <f>IFERROR(__xludf.DUMMYFUNCTION("GOOGLETRANSLATE(B118, ""en"", ""ru"")"),"Хорошая длинномасштабное оружие для метания стрел.")</f>
        <v>Хорошая длинномасштабное оружие для метания стрел.</v>
      </c>
      <c r="F118" s="23" t="str">
        <f>IFERROR(__xludf.DUMMYFUNCTION("GOOGLETRANSLATE(B118, ""en"", ""tr"")"),"İyi bir uzun ateş okları için silah değişmekteydi.")</f>
        <v>İyi bir uzun ateş okları için silah değişmekteydi.</v>
      </c>
      <c r="G118" s="23" t="str">
        <f>IFERROR(__xludf.DUMMYFUNCTION("GOOGLETRANSLATE(B118, ""en"", ""pt"")"),"Um bom longa variou arma para atirar flechas.")</f>
        <v>Um bom longa variou arma para atirar flechas.</v>
      </c>
      <c r="H118" s="24" t="str">
        <f>IFERROR(__xludf.DUMMYFUNCTION("GOOGLETRANSLATE(B118, ""en"", ""de"")"),"Eine gute reichte lange Waffe zu schießen Pfeile.")</f>
        <v>Eine gute reichte lange Waffe zu schießen Pfeile.</v>
      </c>
      <c r="I118" s="23" t="str">
        <f>IFERROR(__xludf.DUMMYFUNCTION("GOOGLETRANSLATE(B118, ""en"", ""pl"")"),"Dobrym długo wahał się broni, aby strzelać strzałkami.")</f>
        <v>Dobrym długo wahał się broni, aby strzelać strzałkami.</v>
      </c>
      <c r="J118" s="25" t="str">
        <f>IFERROR(__xludf.DUMMYFUNCTION("GOOGLETRANSLATE(B118, ""en"", ""zh"")"),"好长好长的远程武器射箭。")</f>
        <v>好长好长的远程武器射箭。</v>
      </c>
      <c r="K118" s="25" t="str">
        <f>IFERROR(__xludf.DUMMYFUNCTION("GOOGLETRANSLATE(B118, ""en"", ""vi"")"),"Một tốt dài dao động vũ khí để mũi tên bắn.")</f>
        <v>Một tốt dài dao động vũ khí để mũi tên bắn.</v>
      </c>
      <c r="L118" s="26" t="str">
        <f>IFERROR(__xludf.DUMMYFUNCTION("GOOGLETRANSLATE(B118, ""en"", ""hr"")"),"Dobar dugo kretao oružje da bacaju strijele.")</f>
        <v>Dobar dugo kretao oružje da bacaju strijele.</v>
      </c>
      <c r="M118" s="28"/>
      <c r="N118" s="28"/>
      <c r="O118" s="28"/>
      <c r="P118" s="28"/>
      <c r="Q118" s="28"/>
      <c r="R118" s="28"/>
      <c r="S118" s="28"/>
      <c r="T118" s="28"/>
      <c r="U118" s="28"/>
      <c r="V118" s="28"/>
      <c r="W118" s="28"/>
      <c r="X118" s="28"/>
      <c r="Y118" s="28"/>
      <c r="Z118" s="28"/>
      <c r="AA118" s="28"/>
      <c r="AB118" s="28"/>
    </row>
    <row r="119">
      <c r="A119" s="21" t="s">
        <v>511</v>
      </c>
      <c r="B119" s="22" t="s">
        <v>512</v>
      </c>
      <c r="C119" s="23" t="str">
        <f>IFERROR(__xludf.DUMMYFUNCTION("GOOGLETRANSLATE(B119, ""en"", ""fr"")"),"chêne arc")</f>
        <v>chêne arc</v>
      </c>
      <c r="D119" s="23" t="str">
        <f>IFERROR(__xludf.DUMMYFUNCTION("GOOGLETRANSLATE(B119, ""en"", ""es"")"),"arco de madera de roble")</f>
        <v>arco de madera de roble</v>
      </c>
      <c r="E119" s="23" t="str">
        <f>IFERROR(__xludf.DUMMYFUNCTION("GOOGLETRANSLATE(B119, ""en"", ""ru"")"),"Дуб лук")</f>
        <v>Дуб лук</v>
      </c>
      <c r="F119" s="23" t="str">
        <f>IFERROR(__xludf.DUMMYFUNCTION("GOOGLETRANSLATE(B119, ""en"", ""tr"")"),"Meşe yay")</f>
        <v>Meşe yay</v>
      </c>
      <c r="G119" s="23" t="str">
        <f>IFERROR(__xludf.DUMMYFUNCTION("GOOGLETRANSLATE(B119, ""en"", ""pt"")"),"arco Oak")</f>
        <v>arco Oak</v>
      </c>
      <c r="H119" s="24" t="str">
        <f>IFERROR(__xludf.DUMMYFUNCTION("GOOGLETRANSLATE(B119, ""en"", ""de"")"),"Oak Bogen")</f>
        <v>Oak Bogen</v>
      </c>
      <c r="I119" s="23" t="str">
        <f>IFERROR(__xludf.DUMMYFUNCTION("GOOGLETRANSLATE(B119, ""en"", ""pl"")"),"dąb łuk")</f>
        <v>dąb łuk</v>
      </c>
      <c r="J119" s="25" t="str">
        <f>IFERROR(__xludf.DUMMYFUNCTION("GOOGLETRANSLATE(B119, ""en"", ""zh"")"),"橡树弓")</f>
        <v>橡树弓</v>
      </c>
      <c r="K119" s="25" t="str">
        <f>IFERROR(__xludf.DUMMYFUNCTION("GOOGLETRANSLATE(B119, ""en"", ""vi"")"),"Oak nơ")</f>
        <v>Oak nơ</v>
      </c>
      <c r="L119" s="26" t="str">
        <f>IFERROR(__xludf.DUMMYFUNCTION("GOOGLETRANSLATE(B119, ""en"", ""hr"")"),"hrast luk")</f>
        <v>hrast luk</v>
      </c>
      <c r="M119" s="28"/>
      <c r="N119" s="28"/>
      <c r="O119" s="28"/>
      <c r="P119" s="28"/>
      <c r="Q119" s="28"/>
      <c r="R119" s="28"/>
      <c r="S119" s="28"/>
      <c r="T119" s="28"/>
      <c r="U119" s="28"/>
      <c r="V119" s="28"/>
      <c r="W119" s="28"/>
      <c r="X119" s="28"/>
      <c r="Y119" s="28"/>
      <c r="Z119" s="28"/>
      <c r="AA119" s="28"/>
      <c r="AB119" s="28"/>
    </row>
    <row r="120">
      <c r="A120" s="21" t="s">
        <v>513</v>
      </c>
      <c r="B120" s="22" t="s">
        <v>514</v>
      </c>
      <c r="C120" s="23" t="str">
        <f>IFERROR(__xludf.DUMMYFUNCTION("GOOGLETRANSLATE(B120, ""en"", ""fr"")"),"Une arme forte longue portée aux flèches de tirer.")</f>
        <v>Une arme forte longue portée aux flèches de tirer.</v>
      </c>
      <c r="D120" s="23" t="str">
        <f>IFERROR(__xludf.DUMMYFUNCTION("GOOGLETRANSLATE(B120, ""en"", ""es"")"),"Un fuerte arma de largo alcance para disparar flechas.")</f>
        <v>Un fuerte arma de largo alcance para disparar flechas.</v>
      </c>
      <c r="E120" s="23" t="str">
        <f>IFERROR(__xludf.DUMMYFUNCTION("GOOGLETRANSLATE(B120, ""en"", ""ru"")"),"Сильное длинномасштабное оружие для метания стрел.")</f>
        <v>Сильное длинномасштабное оружие для метания стрел.</v>
      </c>
      <c r="F120" s="23" t="str">
        <f>IFERROR(__xludf.DUMMYFUNCTION("GOOGLETRANSLATE(B120, ""en"", ""tr"")"),"ateş okları için güçlü bir uzun menzilli silah.")</f>
        <v>ateş okları için güçlü bir uzun menzilli silah.</v>
      </c>
      <c r="G120" s="23" t="str">
        <f>IFERROR(__xludf.DUMMYFUNCTION("GOOGLETRANSLATE(B120, ""en"", ""pt"")"),"Um forte arma longa distância para atirar flechas.")</f>
        <v>Um forte arma longa distância para atirar flechas.</v>
      </c>
      <c r="H120" s="24" t="str">
        <f>IFERROR(__xludf.DUMMYFUNCTION("GOOGLETRANSLATE(B120, ""en"", ""de"")"),"Eine starke lange Distanzwaffen zu schießen Pfeile.")</f>
        <v>Eine starke lange Distanzwaffen zu schießen Pfeile.</v>
      </c>
      <c r="I120" s="23" t="str">
        <f>IFERROR(__xludf.DUMMYFUNCTION("GOOGLETRANSLATE(B120, ""en"", ""pl"")"),"Silny długo wahał broń strzelać strzałkami.")</f>
        <v>Silny długo wahał broń strzelać strzałkami.</v>
      </c>
      <c r="J120" s="25" t="str">
        <f>IFERROR(__xludf.DUMMYFUNCTION("GOOGLETRANSLATE(B120, ""en"", ""zh"")"),"强大的长远程武器射箭。")</f>
        <v>强大的长远程武器射箭。</v>
      </c>
      <c r="K120" s="25" t="str">
        <f>IFERROR(__xludf.DUMMYFUNCTION("GOOGLETRANSLATE(B120, ""en"", ""vi"")"),"Một vũ khí tầm xa mạnh để mũi tên bắn.")</f>
        <v>Một vũ khí tầm xa mạnh để mũi tên bắn.</v>
      </c>
      <c r="L120" s="26" t="str">
        <f>IFERROR(__xludf.DUMMYFUNCTION("GOOGLETRANSLATE(B120, ""en"", ""hr"")"),"Jaka dugo streljačko oružje za pucanje strelica.")</f>
        <v>Jaka dugo streljačko oružje za pucanje strelica.</v>
      </c>
      <c r="M120" s="28"/>
      <c r="N120" s="28"/>
      <c r="O120" s="28"/>
      <c r="P120" s="28"/>
      <c r="Q120" s="28"/>
      <c r="R120" s="28"/>
      <c r="S120" s="28"/>
      <c r="T120" s="28"/>
      <c r="U120" s="28"/>
      <c r="V120" s="28"/>
      <c r="W120" s="28"/>
      <c r="X120" s="28"/>
      <c r="Y120" s="28"/>
      <c r="Z120" s="28"/>
      <c r="AA120" s="28"/>
      <c r="AB120" s="28"/>
    </row>
    <row r="121">
      <c r="A121" s="21" t="s">
        <v>515</v>
      </c>
      <c r="B121" s="22" t="s">
        <v>516</v>
      </c>
      <c r="C121" s="23" t="str">
        <f>IFERROR(__xludf.DUMMYFUNCTION("GOOGLETRANSLATE(B121, ""en"", ""fr"")"),"shuriken")</f>
        <v>shuriken</v>
      </c>
      <c r="D121" s="23" t="str">
        <f>IFERROR(__xludf.DUMMYFUNCTION("GOOGLETRANSLATE(B121, ""en"", ""es"")"),"Shuriken")</f>
        <v>Shuriken</v>
      </c>
      <c r="E121" s="23" t="str">
        <f>IFERROR(__xludf.DUMMYFUNCTION("GOOGLETRANSLATE(B121, ""en"", ""ru"")"),"Shuriken")</f>
        <v>Shuriken</v>
      </c>
      <c r="F121" s="23" t="str">
        <f>IFERROR(__xludf.DUMMYFUNCTION("GOOGLETRANSLATE(B121, ""en"", ""tr"")"),"Shuriken")</f>
        <v>Shuriken</v>
      </c>
      <c r="G121" s="23" t="str">
        <f>IFERROR(__xludf.DUMMYFUNCTION("GOOGLETRANSLATE(B121, ""en"", ""pt"")"),"Shuriken")</f>
        <v>Shuriken</v>
      </c>
      <c r="H121" s="24" t="str">
        <f>IFERROR(__xludf.DUMMYFUNCTION("GOOGLETRANSLATE(B121, ""en"", ""de"")"),"Shuriken")</f>
        <v>Shuriken</v>
      </c>
      <c r="I121" s="23" t="str">
        <f>IFERROR(__xludf.DUMMYFUNCTION("GOOGLETRANSLATE(B121, ""en"", ""pl"")"),"Shuriken")</f>
        <v>Shuriken</v>
      </c>
      <c r="J121" s="25" t="str">
        <f>IFERROR(__xludf.DUMMYFUNCTION("GOOGLETRANSLATE(B121, ""en"", ""zh"")"),"手里剑")</f>
        <v>手里剑</v>
      </c>
      <c r="K121" s="25" t="str">
        <f>IFERROR(__xludf.DUMMYFUNCTION("GOOGLETRANSLATE(B121, ""en"", ""vi"")"),"Shuriken")</f>
        <v>Shuriken</v>
      </c>
      <c r="L121" s="26" t="str">
        <f>IFERROR(__xludf.DUMMYFUNCTION("GOOGLETRANSLATE(B121, ""en"", ""hr"")"),"Shuriken")</f>
        <v>Shuriken</v>
      </c>
      <c r="M121" s="28"/>
      <c r="N121" s="28"/>
      <c r="O121" s="28"/>
      <c r="P121" s="28"/>
      <c r="Q121" s="28"/>
      <c r="R121" s="28"/>
      <c r="S121" s="28"/>
      <c r="T121" s="28"/>
      <c r="U121" s="28"/>
      <c r="V121" s="28"/>
      <c r="W121" s="28"/>
      <c r="X121" s="28"/>
      <c r="Y121" s="28"/>
      <c r="Z121" s="28"/>
      <c r="AA121" s="28"/>
      <c r="AB121" s="28"/>
    </row>
    <row r="122">
      <c r="A122" s="21" t="s">
        <v>517</v>
      </c>
      <c r="B122" s="22" t="s">
        <v>518</v>
      </c>
      <c r="C122" s="23" t="str">
        <f>IFERROR(__xludf.DUMMYFUNCTION("GOOGLETRANSLATE(B122, ""en"", ""fr"")"),"Un milieu en mouvement rapide arme à distance.")</f>
        <v>Un milieu en mouvement rapide arme à distance.</v>
      </c>
      <c r="D122" s="23" t="str">
        <f>IFERROR(__xludf.DUMMYFUNCTION("GOOGLETRANSLATE(B122, ""en"", ""es"")"),"Un medio rápido movimiento arma de largo alcance.")</f>
        <v>Un medio rápido movimiento arma de largo alcance.</v>
      </c>
      <c r="E122" s="23" t="str">
        <f>IFERROR(__xludf.DUMMYFUNCTION("GOOGLETRANSLATE(B122, ""en"", ""ru"")"),"Быстро движущаяся среда варьировались оружие.")</f>
        <v>Быстро движущаяся среда варьировались оружие.</v>
      </c>
      <c r="F122" s="23" t="str">
        <f>IFERROR(__xludf.DUMMYFUNCTION("GOOGLETRANSLATE(B122, ""en"", ""tr"")"),"Hızlı hareket eden orta silah değişmekteydi.")</f>
        <v>Hızlı hareket eden orta silah değişmekteydi.</v>
      </c>
      <c r="G122" s="23" t="str">
        <f>IFERROR(__xludf.DUMMYFUNCTION("GOOGLETRANSLATE(B122, ""en"", ""pt"")"),"Um meio rápido movimento variou arma.")</f>
        <v>Um meio rápido movimento variou arma.</v>
      </c>
      <c r="H122" s="24" t="str">
        <f>IFERROR(__xludf.DUMMYFUNCTION("GOOGLETRANSLATE(B122, ""en"", ""de"")"),"Ein sich schnell bewegenden Medium Distanzwaffe.")</f>
        <v>Ein sich schnell bewegenden Medium Distanzwaffe.</v>
      </c>
      <c r="I122" s="23" t="str">
        <f>IFERROR(__xludf.DUMMYFUNCTION("GOOGLETRANSLATE(B122, ""en"", ""pl"")"),"A szybko poruszaj średnie wahały się broń.")</f>
        <v>A szybko poruszaj średnie wahały się broń.</v>
      </c>
      <c r="J122" s="25" t="str">
        <f>IFERROR(__xludf.DUMMYFUNCTION("GOOGLETRANSLATE(B122, ""en"", ""zh"")"),"快速移动中的远程武器。")</f>
        <v>快速移动中的远程武器。</v>
      </c>
      <c r="K122" s="25" t="str">
        <f>IFERROR(__xludf.DUMMYFUNCTION("GOOGLETRANSLATE(B122, ""en"", ""vi"")"),"Một phương tiện di chuyển nhanh ranged vũ khí.")</f>
        <v>Một phương tiện di chuyển nhanh ranged vũ khí.</v>
      </c>
      <c r="L122" s="26" t="str">
        <f>IFERROR(__xludf.DUMMYFUNCTION("GOOGLETRANSLATE(B122, ""en"", ""hr"")"),"Brzo se kreće srednje streljačko oružje.")</f>
        <v>Brzo se kreće srednje streljačko oružje.</v>
      </c>
      <c r="M122" s="28"/>
      <c r="N122" s="28"/>
      <c r="O122" s="28"/>
      <c r="P122" s="28"/>
      <c r="Q122" s="28"/>
      <c r="R122" s="28"/>
      <c r="S122" s="28"/>
      <c r="T122" s="28"/>
      <c r="U122" s="28"/>
      <c r="V122" s="28"/>
      <c r="W122" s="28"/>
      <c r="X122" s="28"/>
      <c r="Y122" s="28"/>
      <c r="Z122" s="28"/>
      <c r="AA122" s="28"/>
      <c r="AB122" s="28"/>
    </row>
    <row r="123">
      <c r="A123" s="21" t="s">
        <v>519</v>
      </c>
      <c r="B123" s="22" t="s">
        <v>520</v>
      </c>
      <c r="C123" s="23" t="str">
        <f>IFERROR(__xludf.DUMMYFUNCTION("GOOGLETRANSLATE(B123, ""en"", ""fr"")"),"Gemme")</f>
        <v>Gemme</v>
      </c>
      <c r="D123" s="23" t="str">
        <f>IFERROR(__xludf.DUMMYFUNCTION("GOOGLETRANSLATE(B123, ""en"", ""es"")"),"Joya")</f>
        <v>Joya</v>
      </c>
      <c r="E123" s="23" t="str">
        <f>IFERROR(__xludf.DUMMYFUNCTION("GOOGLETRANSLATE(B123, ""en"", ""ru"")"),"драгоценный камень")</f>
        <v>драгоценный камень</v>
      </c>
      <c r="F123" s="23" t="str">
        <f>IFERROR(__xludf.DUMMYFUNCTION("GOOGLETRANSLATE(B123, ""en"", ""tr"")"),"mücevher")</f>
        <v>mücevher</v>
      </c>
      <c r="G123" s="23" t="str">
        <f>IFERROR(__xludf.DUMMYFUNCTION("GOOGLETRANSLATE(B123, ""en"", ""pt"")"),"Gema")</f>
        <v>Gema</v>
      </c>
      <c r="H123" s="24" t="str">
        <f>IFERROR(__xludf.DUMMYFUNCTION("GOOGLETRANSLATE(B123, ""en"", ""de"")"),"Juwel")</f>
        <v>Juwel</v>
      </c>
      <c r="I123" s="23" t="str">
        <f>IFERROR(__xludf.DUMMYFUNCTION("GOOGLETRANSLATE(B123, ""en"", ""pl"")"),"Klejnot")</f>
        <v>Klejnot</v>
      </c>
      <c r="J123" s="25" t="str">
        <f>IFERROR(__xludf.DUMMYFUNCTION("GOOGLETRANSLATE(B123, ""en"", ""zh"")"),"宝石")</f>
        <v>宝石</v>
      </c>
      <c r="K123" s="25" t="str">
        <f>IFERROR(__xludf.DUMMYFUNCTION("GOOGLETRANSLATE(B123, ""en"", ""vi"")"),"ngọc")</f>
        <v>ngọc</v>
      </c>
      <c r="L123" s="26" t="str">
        <f>IFERROR(__xludf.DUMMYFUNCTION("GOOGLETRANSLATE(B123, ""en"", ""hr"")"),"Dragulj")</f>
        <v>Dragulj</v>
      </c>
      <c r="M123" s="28"/>
      <c r="N123" s="28"/>
      <c r="O123" s="28"/>
      <c r="P123" s="28"/>
      <c r="Q123" s="28"/>
      <c r="R123" s="28"/>
      <c r="S123" s="28"/>
      <c r="T123" s="28"/>
      <c r="U123" s="28"/>
      <c r="V123" s="28"/>
      <c r="W123" s="28"/>
      <c r="X123" s="28"/>
      <c r="Y123" s="28"/>
      <c r="Z123" s="28"/>
      <c r="AA123" s="28"/>
      <c r="AB123" s="28"/>
    </row>
    <row r="124">
      <c r="A124" s="21" t="s">
        <v>521</v>
      </c>
      <c r="B124" s="22" t="s">
        <v>522</v>
      </c>
      <c r="C124" s="23" t="str">
        <f>IFERROR(__xludf.DUMMYFUNCTION("GOOGLETRANSLATE(B124, ""en"", ""fr"")"),"Peut être chargé à un autel magique en utilisant la gloire d'ajouter un effet élémentaire.")</f>
        <v>Peut être chargé à un autel magique en utilisant la gloire d'ajouter un effet élémentaire.</v>
      </c>
      <c r="D124" s="23" t="str">
        <f>IFERROR(__xludf.DUMMYFUNCTION("GOOGLETRANSLATE(B124, ""en"", ""es"")"),"Puede ser cargado en una magia altar usando gloria a añadir un efecto elemental.")</f>
        <v>Puede ser cargado en una magia altar usando gloria a añadir un efecto elemental.</v>
      </c>
      <c r="E124" s="23" t="str">
        <f>IFERROR(__xludf.DUMMYFUNCTION("GOOGLETRANSLATE(B124, ""en"", ""ru"")"),"Может быть заряжена на алтарь магии, используя славу, чтобы добавить элементарный эффект.")</f>
        <v>Может быть заряжена на алтарь магии, используя славу, чтобы добавить элементарный эффект.</v>
      </c>
      <c r="F124" s="23" t="str">
        <f>IFERROR(__xludf.DUMMYFUNCTION("GOOGLETRANSLATE(B124, ""en"", ""tr"")"),"Bir element efekt eklemek için zafer kullanarak sunak bir büyü şarj edilebilir.")</f>
        <v>Bir element efekt eklemek için zafer kullanarak sunak bir büyü şarj edilebilir.</v>
      </c>
      <c r="G124" s="23" t="str">
        <f>IFERROR(__xludf.DUMMYFUNCTION("GOOGLETRANSLATE(B124, ""en"", ""pt"")"),"Pode ser carregada em uma magia altar usando glória para adicionar um efeito elementar.")</f>
        <v>Pode ser carregada em uma magia altar usando glória para adicionar um efeito elementar.</v>
      </c>
      <c r="H124" s="24" t="str">
        <f>IFERROR(__xludf.DUMMYFUNCTION("GOOGLETRANSLATE(B124, ""en"", ""de"")"),"Kann an einem magischen berechneten Altar Ruhm mit einer elementaren Wirkung hinzuzufügen.")</f>
        <v>Kann an einem magischen berechneten Altar Ruhm mit einer elementaren Wirkung hinzuzufügen.</v>
      </c>
      <c r="I124" s="23" t="str">
        <f>IFERROR(__xludf.DUMMYFUNCTION("GOOGLETRANSLATE(B124, ""en"", ""pl"")"),"Można ładować przy użyciu magii ołtarz chwałę dodać efekt elementarnej.")</f>
        <v>Można ładować przy użyciu magii ołtarz chwałę dodać efekt elementarnej.</v>
      </c>
      <c r="J124" s="25" t="str">
        <f>IFERROR(__xludf.DUMMYFUNCTION("GOOGLETRANSLATE(B124, ""en"", ""zh"")"),"可以在一个神奇的充电使用坛荣耀添加元素的效果。")</f>
        <v>可以在一个神奇的充电使用坛荣耀添加元素的效果。</v>
      </c>
      <c r="K124" s="25" t="str">
        <f>IFERROR(__xludf.DUMMYFUNCTION("GOOGLETRANSLATE(B124, ""en"", ""vi"")"),"Có thể được tính theo một ma thuật bàn thờ bằng vinh quang để thêm một hiệu ứng nguyên tố.")</f>
        <v>Có thể được tính theo một ma thuật bàn thờ bằng vinh quang để thêm một hiệu ứng nguyên tố.</v>
      </c>
      <c r="L124" s="26" t="str">
        <f>IFERROR(__xludf.DUMMYFUNCTION("GOOGLETRANSLATE(B124, ""en"", ""hr"")"),"Može se naplaćivati ​​po magije oltar pomoću slavu dodati elementarni učinak.")</f>
        <v>Može se naplaćivati ​​po magije oltar pomoću slavu dodati elementarni učinak.</v>
      </c>
      <c r="M124" s="28"/>
      <c r="N124" s="28"/>
      <c r="O124" s="28"/>
      <c r="P124" s="28"/>
      <c r="Q124" s="28"/>
      <c r="R124" s="28"/>
      <c r="S124" s="28"/>
      <c r="T124" s="28"/>
      <c r="U124" s="28"/>
      <c r="V124" s="28"/>
      <c r="W124" s="28"/>
      <c r="X124" s="28"/>
      <c r="Y124" s="28"/>
      <c r="Z124" s="28"/>
      <c r="AA124" s="28"/>
      <c r="AB124" s="28"/>
    </row>
    <row r="125">
      <c r="A125" s="21" t="s">
        <v>523</v>
      </c>
      <c r="B125" s="22" t="s">
        <v>524</v>
      </c>
      <c r="C125" s="23" t="str">
        <f>IFERROR(__xludf.DUMMYFUNCTION("GOOGLETRANSLATE(B125, ""en"", ""fr"")"),"petit bijou d'incendie")</f>
        <v>petit bijou d'incendie</v>
      </c>
      <c r="D125" s="23" t="str">
        <f>IFERROR(__xludf.DUMMYFUNCTION("GOOGLETRANSLATE(B125, ""en"", ""es"")"),"Gema de fuego")</f>
        <v>Gema de fuego</v>
      </c>
      <c r="E125" s="23" t="str">
        <f>IFERROR(__xludf.DUMMYFUNCTION("GOOGLETRANSLATE(B125, ""en"", ""ru"")"),"Огонь камень")</f>
        <v>Огонь камень</v>
      </c>
      <c r="F125" s="23" t="str">
        <f>IFERROR(__xludf.DUMMYFUNCTION("GOOGLETRANSLATE(B125, ""en"", ""tr"")"),"Yangın taş")</f>
        <v>Yangın taş</v>
      </c>
      <c r="G125" s="23" t="str">
        <f>IFERROR(__xludf.DUMMYFUNCTION("GOOGLETRANSLATE(B125, ""en"", ""pt"")"),"gem fogo")</f>
        <v>gem fogo</v>
      </c>
      <c r="H125" s="24" t="str">
        <f>IFERROR(__xludf.DUMMYFUNCTION("GOOGLETRANSLATE(B125, ""en"", ""de"")"),"Feuer gem")</f>
        <v>Feuer gem</v>
      </c>
      <c r="I125" s="23" t="str">
        <f>IFERROR(__xludf.DUMMYFUNCTION("GOOGLETRANSLATE(B125, ""en"", ""pl"")"),"Gem ognia")</f>
        <v>Gem ognia</v>
      </c>
      <c r="J125" s="25" t="str">
        <f>IFERROR(__xludf.DUMMYFUNCTION("GOOGLETRANSLATE(B125, ""en"", ""zh"")"),"火宝石")</f>
        <v>火宝石</v>
      </c>
      <c r="K125" s="25" t="str">
        <f>IFERROR(__xludf.DUMMYFUNCTION("GOOGLETRANSLATE(B125, ""en"", ""vi"")"),"Ngọc lửa")</f>
        <v>Ngọc lửa</v>
      </c>
      <c r="L125" s="26" t="str">
        <f>IFERROR(__xludf.DUMMYFUNCTION("GOOGLETRANSLATE(B125, ""en"", ""hr"")"),"vatra dragulj")</f>
        <v>vatra dragulj</v>
      </c>
      <c r="M125" s="28"/>
      <c r="N125" s="28"/>
      <c r="O125" s="28"/>
      <c r="P125" s="28"/>
      <c r="Q125" s="28"/>
      <c r="R125" s="28"/>
      <c r="S125" s="28"/>
      <c r="T125" s="28"/>
      <c r="U125" s="28"/>
      <c r="V125" s="28"/>
      <c r="W125" s="28"/>
      <c r="X125" s="28"/>
      <c r="Y125" s="28"/>
      <c r="Z125" s="28"/>
      <c r="AA125" s="28"/>
      <c r="AB125" s="28"/>
    </row>
    <row r="126">
      <c r="A126" s="21" t="s">
        <v>525</v>
      </c>
      <c r="B126" s="22" t="s">
        <v>526</v>
      </c>
      <c r="C126" s="23" t="str">
        <f>IFERROR(__xludf.DUMMYFUNCTION("GOOGLETRANSLATE(B126, ""en"", ""fr"")"),"Utilisé pour des objets d'artisanat avec un effet de feu.")</f>
        <v>Utilisé pour des objets d'artisanat avec un effet de feu.</v>
      </c>
      <c r="D126" s="23" t="str">
        <f>IFERROR(__xludf.DUMMYFUNCTION("GOOGLETRANSLATE(B126, ""en"", ""es"")"),"Se utiliza para artículos de artesanía con un efecto de fuego.")</f>
        <v>Se utiliza para artículos de artesanía con un efecto de fuego.</v>
      </c>
      <c r="E126" s="23" t="str">
        <f>IFERROR(__xludf.DUMMYFUNCTION("GOOGLETRANSLATE(B126, ""en"", ""ru"")"),"Используется для ремесленных изделий с эффектом огня.")</f>
        <v>Используется для ремесленных изделий с эффектом огня.</v>
      </c>
      <c r="F126" s="23" t="str">
        <f>IFERROR(__xludf.DUMMYFUNCTION("GOOGLETRANSLATE(B126, ""en"", ""tr"")"),"Bir yangın etkisi ile zanaat öğeleri için kullanılır.")</f>
        <v>Bir yangın etkisi ile zanaat öğeleri için kullanılır.</v>
      </c>
      <c r="G126" s="23" t="str">
        <f>IFERROR(__xludf.DUMMYFUNCTION("GOOGLETRANSLATE(B126, ""en"", ""pt"")"),"Usado para peças de artesanato com um efeito de fogo.")</f>
        <v>Usado para peças de artesanato com um efeito de fogo.</v>
      </c>
      <c r="H126" s="24" t="str">
        <f>IFERROR(__xludf.DUMMYFUNCTION("GOOGLETRANSLATE(B126, ""en"", ""de"")"),"Wird verwendet, um Kunsthandwerk mit einem Feuereffekt.")</f>
        <v>Wird verwendet, um Kunsthandwerk mit einem Feuereffekt.</v>
      </c>
      <c r="I126" s="23" t="str">
        <f>IFERROR(__xludf.DUMMYFUNCTION("GOOGLETRANSLATE(B126, ""en"", ""pl"")"),"Służy do rzemieślniczych o działaniu ognia.")</f>
        <v>Służy do rzemieślniczych o działaniu ognia.</v>
      </c>
      <c r="J126" s="25" t="str">
        <f>IFERROR(__xludf.DUMMYFUNCTION("GOOGLETRANSLATE(B126, ""en"", ""zh"")"),"习惯用火效果手工艺品。")</f>
        <v>习惯用火效果手工艺品。</v>
      </c>
      <c r="K126" s="25" t="str">
        <f>IFERROR(__xludf.DUMMYFUNCTION("GOOGLETRANSLATE(B126, ""en"", ""vi"")"),"Được sử dụng để mục nghề với một hiệu ứng lửa.")</f>
        <v>Được sử dụng để mục nghề với một hiệu ứng lửa.</v>
      </c>
      <c r="L126" s="26" t="str">
        <f>IFERROR(__xludf.DUMMYFUNCTION("GOOGLETRANSLATE(B126, ""en"", ""hr"")"),"Koristi se za obrtničke stavke s vatre učinak.")</f>
        <v>Koristi se za obrtničke stavke s vatre učinak.</v>
      </c>
      <c r="M126" s="28"/>
      <c r="N126" s="28"/>
      <c r="O126" s="28"/>
      <c r="P126" s="28"/>
      <c r="Q126" s="28"/>
      <c r="R126" s="28"/>
      <c r="S126" s="28"/>
      <c r="T126" s="28"/>
      <c r="U126" s="28"/>
      <c r="V126" s="28"/>
      <c r="W126" s="28"/>
      <c r="X126" s="28"/>
      <c r="Y126" s="28"/>
      <c r="Z126" s="28"/>
      <c r="AA126" s="28"/>
      <c r="AB126" s="28"/>
    </row>
    <row r="127">
      <c r="A127" s="21" t="s">
        <v>527</v>
      </c>
      <c r="B127" s="22" t="s">
        <v>528</v>
      </c>
      <c r="C127" s="23" t="str">
        <f>IFERROR(__xludf.DUMMYFUNCTION("GOOGLETRANSLATE(B127, ""en"", ""fr"")"),"joyau du vent")</f>
        <v>joyau du vent</v>
      </c>
      <c r="D127" s="23" t="str">
        <f>IFERROR(__xludf.DUMMYFUNCTION("GOOGLETRANSLATE(B127, ""en"", ""es"")"),"la gema del viento")</f>
        <v>la gema del viento</v>
      </c>
      <c r="E127" s="23" t="str">
        <f>IFERROR(__xludf.DUMMYFUNCTION("GOOGLETRANSLATE(B127, ""en"", ""ru"")"),"Ветер камень")</f>
        <v>Ветер камень</v>
      </c>
      <c r="F127" s="23" t="str">
        <f>IFERROR(__xludf.DUMMYFUNCTION("GOOGLETRANSLATE(B127, ""en"", ""tr"")"),"Rüzgar mücevher")</f>
        <v>Rüzgar mücevher</v>
      </c>
      <c r="G127" s="23" t="str">
        <f>IFERROR(__xludf.DUMMYFUNCTION("GOOGLETRANSLATE(B127, ""en"", ""pt"")"),"gem vento")</f>
        <v>gem vento</v>
      </c>
      <c r="H127" s="24" t="str">
        <f>IFERROR(__xludf.DUMMYFUNCTION("GOOGLETRANSLATE(B127, ""en"", ""de"")"),"Wind gem")</f>
        <v>Wind gem</v>
      </c>
      <c r="I127" s="23" t="str">
        <f>IFERROR(__xludf.DUMMYFUNCTION("GOOGLETRANSLATE(B127, ""en"", ""pl"")"),"gem wiatr")</f>
        <v>gem wiatr</v>
      </c>
      <c r="J127" s="25" t="str">
        <f>IFERROR(__xludf.DUMMYFUNCTION("GOOGLETRANSLATE(B127, ""en"", ""zh"")"),"风宝石")</f>
        <v>风宝石</v>
      </c>
      <c r="K127" s="25" t="str">
        <f>IFERROR(__xludf.DUMMYFUNCTION("GOOGLETRANSLATE(B127, ""en"", ""vi"")"),"gió đá quý")</f>
        <v>gió đá quý</v>
      </c>
      <c r="L127" s="26" t="str">
        <f>IFERROR(__xludf.DUMMYFUNCTION("GOOGLETRANSLATE(B127, ""en"", ""hr"")"),"vjetar dragulj")</f>
        <v>vjetar dragulj</v>
      </c>
      <c r="M127" s="28"/>
      <c r="N127" s="28"/>
      <c r="O127" s="28"/>
      <c r="P127" s="28"/>
      <c r="Q127" s="28"/>
      <c r="R127" s="28"/>
      <c r="S127" s="28"/>
      <c r="T127" s="28"/>
      <c r="U127" s="28"/>
      <c r="V127" s="28"/>
      <c r="W127" s="28"/>
      <c r="X127" s="28"/>
      <c r="Y127" s="28"/>
      <c r="Z127" s="28"/>
      <c r="AA127" s="28"/>
      <c r="AB127" s="28"/>
    </row>
    <row r="128">
      <c r="A128" s="21" t="s">
        <v>529</v>
      </c>
      <c r="B128" s="22" t="s">
        <v>530</v>
      </c>
      <c r="C128" s="23" t="str">
        <f>IFERROR(__xludf.DUMMYFUNCTION("GOOGLETRANSLATE(B128, ""en"", ""fr"")"),"Utilisé pour des objets d'artisanat avec un effet du vent.")</f>
        <v>Utilisé pour des objets d'artisanat avec un effet du vent.</v>
      </c>
      <c r="D128" s="23" t="str">
        <f>IFERROR(__xludf.DUMMYFUNCTION("GOOGLETRANSLATE(B128, ""en"", ""es"")"),"Se utiliza para artículos de artesanía con un efecto de viento.")</f>
        <v>Se utiliza para artículos de artesanía con un efecto de viento.</v>
      </c>
      <c r="E128" s="23" t="str">
        <f>IFERROR(__xludf.DUMMYFUNCTION("GOOGLETRANSLATE(B128, ""en"", ""ru"")"),"Используется для ремесленных изделий с эффектом ветра.")</f>
        <v>Используется для ремесленных изделий с эффектом ветра.</v>
      </c>
      <c r="F128" s="23" t="str">
        <f>IFERROR(__xludf.DUMMYFUNCTION("GOOGLETRANSLATE(B128, ""en"", ""tr"")"),"Bir rüzgar etkisi ile zanaat öğeleri için kullanılır.")</f>
        <v>Bir rüzgar etkisi ile zanaat öğeleri için kullanılır.</v>
      </c>
      <c r="G128" s="23" t="str">
        <f>IFERROR(__xludf.DUMMYFUNCTION("GOOGLETRANSLATE(B128, ""en"", ""pt"")"),"Usado para peças de artesanato com um efeito de vento.")</f>
        <v>Usado para peças de artesanato com um efeito de vento.</v>
      </c>
      <c r="H128" s="24" t="str">
        <f>IFERROR(__xludf.DUMMYFUNCTION("GOOGLETRANSLATE(B128, ""en"", ""de"")"),"Wird verwendet, um Kunsthandwerk mit einer Windeffekt.")</f>
        <v>Wird verwendet, um Kunsthandwerk mit einer Windeffekt.</v>
      </c>
      <c r="I128" s="23" t="str">
        <f>IFERROR(__xludf.DUMMYFUNCTION("GOOGLETRANSLATE(B128, ""en"", ""pl"")"),"Służy do rzemieślniczych o działaniu wiatru.")</f>
        <v>Służy do rzemieślniczych o działaniu wiatru.</v>
      </c>
      <c r="J128" s="25" t="str">
        <f>IFERROR(__xludf.DUMMYFUNCTION("GOOGLETRANSLATE(B128, ""en"", ""zh"")"),"用于与风的影响手工艺品。")</f>
        <v>用于与风的影响手工艺品。</v>
      </c>
      <c r="K128" s="25" t="str">
        <f>IFERROR(__xludf.DUMMYFUNCTION("GOOGLETRANSLATE(B128, ""en"", ""vi"")"),"Được sử dụng để mục nghề với hiệu ứng gió.")</f>
        <v>Được sử dụng để mục nghề với hiệu ứng gió.</v>
      </c>
      <c r="L128" s="26" t="str">
        <f>IFERROR(__xludf.DUMMYFUNCTION("GOOGLETRANSLATE(B128, ""en"", ""hr"")"),"Koristi se za obrtničke stavke s efektom vjetra.")</f>
        <v>Koristi se za obrtničke stavke s efektom vjetra.</v>
      </c>
      <c r="M128" s="28"/>
      <c r="N128" s="28"/>
      <c r="O128" s="28"/>
      <c r="P128" s="28"/>
      <c r="Q128" s="28"/>
      <c r="R128" s="28"/>
      <c r="S128" s="28"/>
      <c r="T128" s="28"/>
      <c r="U128" s="28"/>
      <c r="V128" s="28"/>
      <c r="W128" s="28"/>
      <c r="X128" s="28"/>
      <c r="Y128" s="28"/>
      <c r="Z128" s="28"/>
      <c r="AA128" s="28"/>
      <c r="AB128" s="28"/>
    </row>
    <row r="129">
      <c r="A129" s="21" t="s">
        <v>531</v>
      </c>
      <c r="B129" s="22" t="s">
        <v>532</v>
      </c>
      <c r="C129" s="23" t="str">
        <f>IFERROR(__xludf.DUMMYFUNCTION("GOOGLETRANSLATE(B129, ""en"", ""fr"")"),"petit bijou de sang")</f>
        <v>petit bijou de sang</v>
      </c>
      <c r="D129" s="23" t="str">
        <f>IFERROR(__xludf.DUMMYFUNCTION("GOOGLETRANSLATE(B129, ""en"", ""es"")"),"gema de sangre")</f>
        <v>gema de sangre</v>
      </c>
      <c r="E129" s="23" t="str">
        <f>IFERROR(__xludf.DUMMYFUNCTION("GOOGLETRANSLATE(B129, ""en"", ""ru"")"),"Кровь камень")</f>
        <v>Кровь камень</v>
      </c>
      <c r="F129" s="23" t="str">
        <f>IFERROR(__xludf.DUMMYFUNCTION("GOOGLETRANSLATE(B129, ""en"", ""tr"")"),"Kan mücevher")</f>
        <v>Kan mücevher</v>
      </c>
      <c r="G129" s="23" t="str">
        <f>IFERROR(__xludf.DUMMYFUNCTION("GOOGLETRANSLATE(B129, ""en"", ""pt"")"),"gem de sangue")</f>
        <v>gem de sangue</v>
      </c>
      <c r="H129" s="24" t="str">
        <f>IFERROR(__xludf.DUMMYFUNCTION("GOOGLETRANSLATE(B129, ""en"", ""de"")"),"Blut gem")</f>
        <v>Blut gem</v>
      </c>
      <c r="I129" s="23" t="str">
        <f>IFERROR(__xludf.DUMMYFUNCTION("GOOGLETRANSLATE(B129, ""en"", ""pl"")"),"klejnot krwi")</f>
        <v>klejnot krwi</v>
      </c>
      <c r="J129" s="25" t="str">
        <f>IFERROR(__xludf.DUMMYFUNCTION("GOOGLETRANSLATE(B129, ""en"", ""zh"")"),"血宝石")</f>
        <v>血宝石</v>
      </c>
      <c r="K129" s="25" t="str">
        <f>IFERROR(__xludf.DUMMYFUNCTION("GOOGLETRANSLATE(B129, ""en"", ""vi"")"),"đá quý máu")</f>
        <v>đá quý máu</v>
      </c>
      <c r="L129" s="26" t="str">
        <f>IFERROR(__xludf.DUMMYFUNCTION("GOOGLETRANSLATE(B129, ""en"", ""hr"")"),"krv dragulj")</f>
        <v>krv dragulj</v>
      </c>
      <c r="M129" s="28"/>
      <c r="N129" s="28"/>
      <c r="O129" s="28"/>
      <c r="P129" s="28"/>
      <c r="Q129" s="28"/>
      <c r="R129" s="28"/>
      <c r="S129" s="28"/>
      <c r="T129" s="28"/>
      <c r="U129" s="28"/>
      <c r="V129" s="28"/>
      <c r="W129" s="28"/>
      <c r="X129" s="28"/>
      <c r="Y129" s="28"/>
      <c r="Z129" s="28"/>
      <c r="AA129" s="28"/>
      <c r="AB129" s="28"/>
    </row>
    <row r="130">
      <c r="A130" s="21" t="s">
        <v>533</v>
      </c>
      <c r="B130" s="22" t="s">
        <v>534</v>
      </c>
      <c r="C130" s="23" t="str">
        <f>IFERROR(__xludf.DUMMYFUNCTION("GOOGLETRANSLATE(B130, ""en"", ""fr"")"),"Utilisé pour des objets d'artisanat avec un effet lifesteal.")</f>
        <v>Utilisé pour des objets d'artisanat avec un effet lifesteal.</v>
      </c>
      <c r="D130" s="23" t="str">
        <f>IFERROR(__xludf.DUMMYFUNCTION("GOOGLETRANSLATE(B130, ""en"", ""es"")"),"Se utiliza para artículos de artesanía con un efecto de Robo de vida.")</f>
        <v>Se utiliza para artículos de artesanía con un efecto de Robo de vida.</v>
      </c>
      <c r="E130" s="23" t="str">
        <f>IFERROR(__xludf.DUMMYFUNCTION("GOOGLETRANSLATE(B130, ""en"", ""ru"")"),"Используется для ремесленных изделий с Вампиризм эффектом.")</f>
        <v>Используется для ремесленных изделий с Вампиризм эффектом.</v>
      </c>
      <c r="F130" s="23" t="str">
        <f>IFERROR(__xludf.DUMMYFUNCTION("GOOGLETRANSLATE(B130, ""en"", ""tr"")"),"Bir lifesteal etkisi ile zanaat öğeleri için kullanılır.")</f>
        <v>Bir lifesteal etkisi ile zanaat öğeleri için kullanılır.</v>
      </c>
      <c r="G130" s="23" t="str">
        <f>IFERROR(__xludf.DUMMYFUNCTION("GOOGLETRANSLATE(B130, ""en"", ""pt"")"),"Usado para peças de artesanato com um efeito lifesteal.")</f>
        <v>Usado para peças de artesanato com um efeito lifesteal.</v>
      </c>
      <c r="H130" s="24" t="str">
        <f>IFERROR(__xludf.DUMMYFUNCTION("GOOGLETRANSLATE(B130, ""en"", ""de"")"),"Wird verwendet, um Kunsthandwerk mit einem Lebensraub Wirkung.")</f>
        <v>Wird verwendet, um Kunsthandwerk mit einem Lebensraub Wirkung.</v>
      </c>
      <c r="I130" s="23" t="str">
        <f>IFERROR(__xludf.DUMMYFUNCTION("GOOGLETRANSLATE(B130, ""en"", ""pl"")"),"Służy do przedmiotów rzemiosła z efektem Kradzież życia.")</f>
        <v>Służy do przedmiotów rzemiosła z efektem Kradzież życia.</v>
      </c>
      <c r="J130" s="25" t="str">
        <f>IFERROR(__xludf.DUMMYFUNCTION("GOOGLETRANSLATE(B130, ""en"", ""zh"")"),"用于手工艺品带吸血效果。")</f>
        <v>用于手工艺品带吸血效果。</v>
      </c>
      <c r="K130" s="25" t="str">
        <f>IFERROR(__xludf.DUMMYFUNCTION("GOOGLETRANSLATE(B130, ""en"", ""vi"")"),"Được sử dụng để mục nghề với một hiệu ứng lifesteal.")</f>
        <v>Được sử dụng để mục nghề với một hiệu ứng lifesteal.</v>
      </c>
      <c r="L130" s="26" t="str">
        <f>IFERROR(__xludf.DUMMYFUNCTION("GOOGLETRANSLATE(B130, ""en"", ""hr"")"),"Koristi se za obrtničke stavke s lifesteal učinak.")</f>
        <v>Koristi se za obrtničke stavke s lifesteal učinak.</v>
      </c>
      <c r="M130" s="28"/>
      <c r="N130" s="28"/>
      <c r="O130" s="28"/>
      <c r="P130" s="28"/>
      <c r="Q130" s="28"/>
      <c r="R130" s="28"/>
      <c r="S130" s="28"/>
      <c r="T130" s="28"/>
      <c r="U130" s="28"/>
      <c r="V130" s="28"/>
      <c r="W130" s="28"/>
      <c r="X130" s="28"/>
      <c r="Y130" s="28"/>
      <c r="Z130" s="28"/>
      <c r="AA130" s="28"/>
      <c r="AB130" s="28"/>
    </row>
    <row r="131">
      <c r="A131" s="21" t="s">
        <v>535</v>
      </c>
      <c r="B131" s="22" t="s">
        <v>536</v>
      </c>
      <c r="C131" s="23" t="str">
        <f>IFERROR(__xludf.DUMMYFUNCTION("GOOGLETRANSLATE(B131, ""en"", ""fr"")"),"Le personnel d'incendie")</f>
        <v>Le personnel d'incendie</v>
      </c>
      <c r="D131" s="23" t="str">
        <f>IFERROR(__xludf.DUMMYFUNCTION("GOOGLETRANSLATE(B131, ""en"", ""es"")"),"personal del fuego")</f>
        <v>personal del fuego</v>
      </c>
      <c r="E131" s="23" t="str">
        <f>IFERROR(__xludf.DUMMYFUNCTION("GOOGLETRANSLATE(B131, ""en"", ""ru"")"),"сотрудники пожарной")</f>
        <v>сотрудники пожарной</v>
      </c>
      <c r="F131" s="23" t="str">
        <f>IFERROR(__xludf.DUMMYFUNCTION("GOOGLETRANSLATE(B131, ""en"", ""tr"")"),"Yangın personel")</f>
        <v>Yangın personel</v>
      </c>
      <c r="G131" s="23" t="str">
        <f>IFERROR(__xludf.DUMMYFUNCTION("GOOGLETRANSLATE(B131, ""en"", ""pt"")"),"pessoal fogo")</f>
        <v>pessoal fogo</v>
      </c>
      <c r="H131" s="24" t="str">
        <f>IFERROR(__xludf.DUMMYFUNCTION("GOOGLETRANSLATE(B131, ""en"", ""de"")"),"Feuerstab")</f>
        <v>Feuerstab</v>
      </c>
      <c r="I131" s="23" t="str">
        <f>IFERROR(__xludf.DUMMYFUNCTION("GOOGLETRANSLATE(B131, ""en"", ""pl"")"),"pracownicy ogień")</f>
        <v>pracownicy ogień</v>
      </c>
      <c r="J131" s="25" t="str">
        <f>IFERROR(__xludf.DUMMYFUNCTION("GOOGLETRANSLATE(B131, ""en"", ""zh"")"),"消防工作人员")</f>
        <v>消防工作人员</v>
      </c>
      <c r="K131" s="25" t="str">
        <f>IFERROR(__xludf.DUMMYFUNCTION("GOOGLETRANSLATE(B131, ""en"", ""vi"")"),"Nhân viên cứu hỏa")</f>
        <v>Nhân viên cứu hỏa</v>
      </c>
      <c r="L131" s="26" t="str">
        <f>IFERROR(__xludf.DUMMYFUNCTION("GOOGLETRANSLATE(B131, ""en"", ""hr"")"),"osoblje požara")</f>
        <v>osoblje požara</v>
      </c>
      <c r="M131" s="28"/>
      <c r="N131" s="28"/>
      <c r="O131" s="28"/>
      <c r="P131" s="28"/>
      <c r="Q131" s="28"/>
      <c r="R131" s="28"/>
      <c r="S131" s="28"/>
      <c r="T131" s="28"/>
      <c r="U131" s="28"/>
      <c r="V131" s="28"/>
      <c r="W131" s="28"/>
      <c r="X131" s="28"/>
      <c r="Y131" s="28"/>
      <c r="Z131" s="28"/>
      <c r="AA131" s="28"/>
      <c r="AB131" s="28"/>
    </row>
    <row r="132">
      <c r="A132" s="21" t="s">
        <v>537</v>
      </c>
      <c r="B132" s="22" t="s">
        <v>538</v>
      </c>
      <c r="C132" s="23" t="str">
        <f>IFERROR(__xludf.DUMMYFUNCTION("GOOGLETRANSLATE(B132, ""en"", ""fr"")"),"Shoots feu qui inflige des blessures.")</f>
        <v>Shoots feu qui inflige des blessures.</v>
      </c>
      <c r="D132" s="23" t="str">
        <f>IFERROR(__xludf.DUMMYFUNCTION("GOOGLETRANSLATE(B132, ""en"", ""es"")"),"Dispara fuego que inflige daño.")</f>
        <v>Dispara fuego que inflige daño.</v>
      </c>
      <c r="E132" s="23" t="str">
        <f>IFERROR(__xludf.DUMMYFUNCTION("GOOGLETRANSLATE(B132, ""en"", ""ru"")"),"Побеги огонь, что повреждение сделок.")</f>
        <v>Побеги огонь, что повреждение сделок.</v>
      </c>
      <c r="F132" s="23" t="str">
        <f>IFERROR(__xludf.DUMMYFUNCTION("GOOGLETRANSLATE(B132, ""en"", ""tr"")"),"Sürgünler bu fırsatlar hasarı ateş.")</f>
        <v>Sürgünler bu fırsatlar hasarı ateş.</v>
      </c>
      <c r="G132" s="23" t="str">
        <f>IFERROR(__xludf.DUMMYFUNCTION("GOOGLETRANSLATE(B132, ""en"", ""pt"")"),"Atira fogo que causa dano.")</f>
        <v>Atira fogo que causa dano.</v>
      </c>
      <c r="H132" s="24" t="str">
        <f>IFERROR(__xludf.DUMMYFUNCTION("GOOGLETRANSLATE(B132, ""en"", ""de"")"),"Shoots Feuer, das Schaden zufügt.")</f>
        <v>Shoots Feuer, das Schaden zufügt.</v>
      </c>
      <c r="I132" s="23" t="str">
        <f>IFERROR(__xludf.DUMMYFUNCTION("GOOGLETRANSLATE(B132, ""en"", ""pl"")"),"Pędy ognia, że ​​uszkodzenie oferty.")</f>
        <v>Pędy ognia, że ​​uszkodzenie oferty.</v>
      </c>
      <c r="J132" s="25" t="str">
        <f>IFERROR(__xludf.DUMMYFUNCTION("GOOGLETRANSLATE(B132, ""en"", ""zh"")"),"芽火灾造成伤害。")</f>
        <v>芽火灾造成伤害。</v>
      </c>
      <c r="K132" s="25" t="str">
        <f>IFERROR(__xludf.DUMMYFUNCTION("GOOGLETRANSLATE(B132, ""en"", ""vi"")"),"Chồi bắn mà giao dịch thiệt hại.")</f>
        <v>Chồi bắn mà giao dịch thiệt hại.</v>
      </c>
      <c r="L132" s="26" t="str">
        <f>IFERROR(__xludf.DUMMYFUNCTION("GOOGLETRANSLATE(B132, ""en"", ""hr"")"),"Snima vatru koja se bavi štetu.")</f>
        <v>Snima vatru koja se bavi štetu.</v>
      </c>
      <c r="M132" s="28"/>
      <c r="N132" s="28"/>
      <c r="O132" s="28"/>
      <c r="P132" s="28"/>
      <c r="Q132" s="28"/>
      <c r="R132" s="28"/>
      <c r="S132" s="28"/>
      <c r="T132" s="28"/>
      <c r="U132" s="28"/>
      <c r="V132" s="28"/>
      <c r="W132" s="28"/>
      <c r="X132" s="28"/>
      <c r="Y132" s="28"/>
      <c r="Z132" s="28"/>
      <c r="AA132" s="28"/>
      <c r="AB132" s="28"/>
    </row>
    <row r="133">
      <c r="A133" s="21" t="s">
        <v>539</v>
      </c>
      <c r="B133" s="22" t="s">
        <v>540</v>
      </c>
      <c r="C133" s="23" t="str">
        <f>IFERROR(__xludf.DUMMYFUNCTION("GOOGLETRANSLATE(B133, ""en"", ""fr"")"),"Super personnel d'incendie")</f>
        <v>Super personnel d'incendie</v>
      </c>
      <c r="D133" s="23" t="str">
        <f>IFERROR(__xludf.DUMMYFUNCTION("GOOGLETRANSLATE(B133, ""en"", ""es"")"),"El personal es súper fuego")</f>
        <v>El personal es súper fuego</v>
      </c>
      <c r="E133" s="23" t="str">
        <f>IFERROR(__xludf.DUMMYFUNCTION("GOOGLETRANSLATE(B133, ""en"", ""ru"")"),"Супер сотрудники пожарных")</f>
        <v>Супер сотрудники пожарных</v>
      </c>
      <c r="F133" s="23" t="str">
        <f>IFERROR(__xludf.DUMMYFUNCTION("GOOGLETRANSLATE(B133, ""en"", ""tr"")"),"Süper yangın personeli")</f>
        <v>Süper yangın personeli</v>
      </c>
      <c r="G133" s="23" t="str">
        <f>IFERROR(__xludf.DUMMYFUNCTION("GOOGLETRANSLATE(B133, ""en"", ""pt"")"),"Super equipe fogo")</f>
        <v>Super equipe fogo</v>
      </c>
      <c r="H133" s="24" t="str">
        <f>IFERROR(__xludf.DUMMYFUNCTION("GOOGLETRANSLATE(B133, ""en"", ""de"")"),"Super-Feuerstab")</f>
        <v>Super-Feuerstab</v>
      </c>
      <c r="I133" s="23" t="str">
        <f>IFERROR(__xludf.DUMMYFUNCTION("GOOGLETRANSLATE(B133, ""en"", ""pl"")"),"Super personel ogień")</f>
        <v>Super personel ogień</v>
      </c>
      <c r="J133" s="25" t="str">
        <f>IFERROR(__xludf.DUMMYFUNCTION("GOOGLETRANSLATE(B133, ""en"", ""zh"")"),"特级防火人员")</f>
        <v>特级防火人员</v>
      </c>
      <c r="K133" s="25" t="str">
        <f>IFERROR(__xludf.DUMMYFUNCTION("GOOGLETRANSLATE(B133, ""en"", ""vi"")"),"nhân viên siêu lửa")</f>
        <v>nhân viên siêu lửa</v>
      </c>
      <c r="L133" s="26" t="str">
        <f>IFERROR(__xludf.DUMMYFUNCTION("GOOGLETRANSLATE(B133, ""en"", ""hr"")"),"Super vatra osoblje")</f>
        <v>Super vatra osoblje</v>
      </c>
      <c r="M133" s="28"/>
      <c r="N133" s="28"/>
      <c r="O133" s="28"/>
      <c r="P133" s="28"/>
      <c r="Q133" s="28"/>
      <c r="R133" s="28"/>
      <c r="S133" s="28"/>
      <c r="T133" s="28"/>
      <c r="U133" s="28"/>
      <c r="V133" s="28"/>
      <c r="W133" s="28"/>
      <c r="X133" s="28"/>
      <c r="Y133" s="28"/>
      <c r="Z133" s="28"/>
      <c r="AA133" s="28"/>
      <c r="AB133" s="28"/>
    </row>
    <row r="134">
      <c r="A134" s="21" t="s">
        <v>541</v>
      </c>
      <c r="B134" s="22" t="s">
        <v>542</v>
      </c>
      <c r="C134" s="23" t="str">
        <f>IFERROR(__xludf.DUMMYFUNCTION("GOOGLETRANSLATE(B134, ""en"", ""fr"")"),"Shoots feu qui tire plus de feu.")</f>
        <v>Shoots feu qui tire plus de feu.</v>
      </c>
      <c r="D134" s="23" t="str">
        <f>IFERROR(__xludf.DUMMYFUNCTION("GOOGLETRANSLATE(B134, ""en"", ""es"")"),"Dispara fuego que los brotes más fuego.")</f>
        <v>Dispara fuego que los brotes más fuego.</v>
      </c>
      <c r="E134" s="23" t="str">
        <f>IFERROR(__xludf.DUMMYFUNCTION("GOOGLETRANSLATE(B134, ""en"", ""ru"")"),"Побеги огонь, который стреляет больше огня.")</f>
        <v>Побеги огонь, который стреляет больше огня.</v>
      </c>
      <c r="F134" s="23" t="str">
        <f>IFERROR(__xludf.DUMMYFUNCTION("GOOGLETRANSLATE(B134, ""en"", ""tr"")"),"Sürgünler bu sürgünler daha fazla ateş ateş.")</f>
        <v>Sürgünler bu sürgünler daha fazla ateş ateş.</v>
      </c>
      <c r="G134" s="23" t="str">
        <f>IFERROR(__xludf.DUMMYFUNCTION("GOOGLETRANSLATE(B134, ""en"", ""pt"")"),"Atira fogo que dispara mais fogo.")</f>
        <v>Atira fogo que dispara mais fogo.</v>
      </c>
      <c r="H134" s="24" t="str">
        <f>IFERROR(__xludf.DUMMYFUNCTION("GOOGLETRANSLATE(B134, ""en"", ""de"")"),"Shoots Feuer, das mehr Feuer schießt.")</f>
        <v>Shoots Feuer, das mehr Feuer schießt.</v>
      </c>
      <c r="I134" s="23" t="str">
        <f>IFERROR(__xludf.DUMMYFUNCTION("GOOGLETRANSLATE(B134, ""en"", ""pl"")"),"Pędy ognia która strzela więcej ognia.")</f>
        <v>Pędy ognia która strzela więcej ognia.</v>
      </c>
      <c r="J134" s="25" t="str">
        <f>IFERROR(__xludf.DUMMYFUNCTION("GOOGLETRANSLATE(B134, ""en"", ""zh"")"),"芽火射击更火。")</f>
        <v>芽火射击更火。</v>
      </c>
      <c r="K134" s="25" t="str">
        <f>IFERROR(__xludf.DUMMYFUNCTION("GOOGLETRANSLATE(B134, ""en"", ""vi"")"),"Chồi bắn mà chồi hơn lửa.")</f>
        <v>Chồi bắn mà chồi hơn lửa.</v>
      </c>
      <c r="L134" s="26" t="str">
        <f>IFERROR(__xludf.DUMMYFUNCTION("GOOGLETRANSLATE(B134, ""en"", ""hr"")"),"Snima vatru koja puca više požara.")</f>
        <v>Snima vatru koja puca više požara.</v>
      </c>
      <c r="M134" s="28"/>
      <c r="N134" s="28"/>
      <c r="O134" s="28"/>
      <c r="P134" s="28"/>
      <c r="Q134" s="28"/>
      <c r="R134" s="28"/>
      <c r="S134" s="28"/>
      <c r="T134" s="28"/>
      <c r="U134" s="28"/>
      <c r="V134" s="28"/>
      <c r="W134" s="28"/>
      <c r="X134" s="28"/>
      <c r="Y134" s="28"/>
      <c r="Z134" s="28"/>
      <c r="AA134" s="28"/>
      <c r="AB134" s="28"/>
    </row>
    <row r="135">
      <c r="A135" s="21" t="s">
        <v>543</v>
      </c>
      <c r="B135" s="22" t="s">
        <v>544</v>
      </c>
      <c r="C135" s="23" t="str">
        <f>IFERROR(__xludf.DUMMYFUNCTION("GOOGLETRANSLATE(B135, ""en"", ""fr"")"),"Le personnel du vent")</f>
        <v>Le personnel du vent</v>
      </c>
      <c r="D135" s="23" t="str">
        <f>IFERROR(__xludf.DUMMYFUNCTION("GOOGLETRANSLATE(B135, ""en"", ""es"")"),"El personal del viento")</f>
        <v>El personal del viento</v>
      </c>
      <c r="E135" s="23" t="str">
        <f>IFERROR(__xludf.DUMMYFUNCTION("GOOGLETRANSLATE(B135, ""en"", ""ru"")"),"сотрудники Wind")</f>
        <v>сотрудники Wind</v>
      </c>
      <c r="F135" s="23" t="str">
        <f>IFERROR(__xludf.DUMMYFUNCTION("GOOGLETRANSLATE(B135, ""en"", ""tr"")"),"Rüzgar personel")</f>
        <v>Rüzgar personel</v>
      </c>
      <c r="G135" s="23" t="str">
        <f>IFERROR(__xludf.DUMMYFUNCTION("GOOGLETRANSLATE(B135, ""en"", ""pt"")"),"funcionários vento")</f>
        <v>funcionários vento</v>
      </c>
      <c r="H135" s="24" t="str">
        <f>IFERROR(__xludf.DUMMYFUNCTION("GOOGLETRANSLATE(B135, ""en"", ""de"")"),"Wind Personal")</f>
        <v>Wind Personal</v>
      </c>
      <c r="I135" s="23" t="str">
        <f>IFERROR(__xludf.DUMMYFUNCTION("GOOGLETRANSLATE(B135, ""en"", ""pl"")"),"pracownicy wiatr")</f>
        <v>pracownicy wiatr</v>
      </c>
      <c r="J135" s="25" t="str">
        <f>IFERROR(__xludf.DUMMYFUNCTION("GOOGLETRANSLATE(B135, ""en"", ""zh"")"),"风人员")</f>
        <v>风人员</v>
      </c>
      <c r="K135" s="25" t="str">
        <f>IFERROR(__xludf.DUMMYFUNCTION("GOOGLETRANSLATE(B135, ""en"", ""vi"")"),"nhân viên gió")</f>
        <v>nhân viên gió</v>
      </c>
      <c r="L135" s="26" t="str">
        <f>IFERROR(__xludf.DUMMYFUNCTION("GOOGLETRANSLATE(B135, ""en"", ""hr"")"),"osoblje vjetra")</f>
        <v>osoblje vjetra</v>
      </c>
      <c r="M135" s="28"/>
      <c r="N135" s="28"/>
      <c r="O135" s="28"/>
      <c r="P135" s="28"/>
      <c r="Q135" s="28"/>
      <c r="R135" s="28"/>
      <c r="S135" s="28"/>
      <c r="T135" s="28"/>
      <c r="U135" s="28"/>
      <c r="V135" s="28"/>
      <c r="W135" s="28"/>
      <c r="X135" s="28"/>
      <c r="Y135" s="28"/>
      <c r="Z135" s="28"/>
      <c r="AA135" s="28"/>
      <c r="AB135" s="28"/>
    </row>
    <row r="136">
      <c r="A136" s="21" t="s">
        <v>545</v>
      </c>
      <c r="B136" s="22" t="s">
        <v>546</v>
      </c>
      <c r="C136" s="23" t="str">
        <f>IFERROR(__xludf.DUMMYFUNCTION("GOOGLETRANSLATE(B136, ""en"", ""fr"")"),"Shoots vent qui frappe les choses.")</f>
        <v>Shoots vent qui frappe les choses.</v>
      </c>
      <c r="D136" s="23" t="str">
        <f>IFERROR(__xludf.DUMMYFUNCTION("GOOGLETRANSLATE(B136, ""en"", ""es"")"),"Los brotes viento que golpea las cosas de nuevo.")</f>
        <v>Los brotes viento que golpea las cosas de nuevo.</v>
      </c>
      <c r="E136" s="23" t="str">
        <f>IFERROR(__xludf.DUMMYFUNCTION("GOOGLETRANSLATE(B136, ""en"", ""ru"")"),"Побеги ветер, который стучит вещи обратно.")</f>
        <v>Побеги ветер, который стучит вещи обратно.</v>
      </c>
      <c r="F136" s="23" t="str">
        <f>IFERROR(__xludf.DUMMYFUNCTION("GOOGLETRANSLATE(B136, ""en"", ""tr"")"),"Sürgünler darbelere şeyler arkasında olduğunu öne rüzgar.")</f>
        <v>Sürgünler darbelere şeyler arkasında olduğunu öne rüzgar.</v>
      </c>
      <c r="G136" s="23" t="str">
        <f>IFERROR(__xludf.DUMMYFUNCTION("GOOGLETRANSLATE(B136, ""en"", ""pt"")"),"Shoots vento que derruba as coisas de volta.")</f>
        <v>Shoots vento que derruba as coisas de volta.</v>
      </c>
      <c r="H136" s="24" t="str">
        <f>IFERROR(__xludf.DUMMYFUNCTION("GOOGLETRANSLATE(B136, ""en"", ""de"")"),"Shoots Wind, der klopft Dinge zurück.")</f>
        <v>Shoots Wind, der klopft Dinge zurück.</v>
      </c>
      <c r="I136" s="23" t="str">
        <f>IFERROR(__xludf.DUMMYFUNCTION("GOOGLETRANSLATE(B136, ""en"", ""pl"")"),"Pędy wiatr, który puka rzeczy z powrotem.")</f>
        <v>Pędy wiatr, który puka rzeczy z powrotem.</v>
      </c>
      <c r="J136" s="25" t="str">
        <f>IFERROR(__xludf.DUMMYFUNCTION("GOOGLETRANSLATE(B136, ""en"", ""zh"")"),"芽风敲东西回来。")</f>
        <v>芽风敲东西回来。</v>
      </c>
      <c r="K136" s="25" t="str">
        <f>IFERROR(__xludf.DUMMYFUNCTION("GOOGLETRANSLATE(B136, ""en"", ""vi"")"),"Chồi gió rằng tiếng gõ thứ sao.")</f>
        <v>Chồi gió rằng tiếng gõ thứ sao.</v>
      </c>
      <c r="L136" s="26" t="str">
        <f>IFERROR(__xludf.DUMMYFUNCTION("GOOGLETRANSLATE(B136, ""en"", ""hr"")"),"Snima se vjetar koji kuca stvari natrag.")</f>
        <v>Snima se vjetar koji kuca stvari natrag.</v>
      </c>
      <c r="M136" s="28"/>
      <c r="N136" s="28"/>
      <c r="O136" s="28"/>
      <c r="P136" s="28"/>
      <c r="Q136" s="28"/>
      <c r="R136" s="28"/>
      <c r="S136" s="28"/>
      <c r="T136" s="28"/>
      <c r="U136" s="28"/>
      <c r="V136" s="28"/>
      <c r="W136" s="28"/>
      <c r="X136" s="28"/>
      <c r="Y136" s="28"/>
      <c r="Z136" s="28"/>
      <c r="AA136" s="28"/>
      <c r="AB136" s="28"/>
    </row>
    <row r="137">
      <c r="A137" s="21" t="s">
        <v>547</v>
      </c>
      <c r="B137" s="22" t="s">
        <v>548</v>
      </c>
      <c r="C137" s="23" t="str">
        <f>IFERROR(__xludf.DUMMYFUNCTION("GOOGLETRANSLATE(B137, ""en"", ""fr"")"),"Super personnel du vent")</f>
        <v>Super personnel du vent</v>
      </c>
      <c r="D137" s="23" t="str">
        <f>IFERROR(__xludf.DUMMYFUNCTION("GOOGLETRANSLATE(B137, ""en"", ""es"")"),"El personal es súper viento")</f>
        <v>El personal es súper viento</v>
      </c>
      <c r="E137" s="23" t="str">
        <f>IFERROR(__xludf.DUMMYFUNCTION("GOOGLETRANSLATE(B137, ""en"", ""ru"")"),"Супер персонал ветер")</f>
        <v>Супер персонал ветер</v>
      </c>
      <c r="F137" s="23" t="str">
        <f>IFERROR(__xludf.DUMMYFUNCTION("GOOGLETRANSLATE(B137, ""en"", ""tr"")"),"Süper rüzgar personel")</f>
        <v>Süper rüzgar personel</v>
      </c>
      <c r="G137" s="23" t="str">
        <f>IFERROR(__xludf.DUMMYFUNCTION("GOOGLETRANSLATE(B137, ""en"", ""pt"")"),"equipe Super vento")</f>
        <v>equipe Super vento</v>
      </c>
      <c r="H137" s="24" t="str">
        <f>IFERROR(__xludf.DUMMYFUNCTION("GOOGLETRANSLATE(B137, ""en"", ""de"")"),"Super Wind Personal")</f>
        <v>Super Wind Personal</v>
      </c>
      <c r="I137" s="23" t="str">
        <f>IFERROR(__xludf.DUMMYFUNCTION("GOOGLETRANSLATE(B137, ""en"", ""pl"")"),"Super personel wiatr")</f>
        <v>Super personel wiatr</v>
      </c>
      <c r="J137" s="25" t="str">
        <f>IFERROR(__xludf.DUMMYFUNCTION("GOOGLETRANSLATE(B137, ""en"", ""zh"")"),"超级风人员")</f>
        <v>超级风人员</v>
      </c>
      <c r="K137" s="25" t="str">
        <f>IFERROR(__xludf.DUMMYFUNCTION("GOOGLETRANSLATE(B137, ""en"", ""vi"")"),"nhân viên siêu gió")</f>
        <v>nhân viên siêu gió</v>
      </c>
      <c r="L137" s="26" t="str">
        <f>IFERROR(__xludf.DUMMYFUNCTION("GOOGLETRANSLATE(B137, ""en"", ""hr"")"),"Super vjetar osoblje")</f>
        <v>Super vjetar osoblje</v>
      </c>
      <c r="M137" s="28"/>
      <c r="N137" s="28"/>
      <c r="O137" s="28"/>
      <c r="P137" s="28"/>
      <c r="Q137" s="28"/>
      <c r="R137" s="28"/>
      <c r="S137" s="28"/>
      <c r="T137" s="28"/>
      <c r="U137" s="28"/>
      <c r="V137" s="28"/>
      <c r="W137" s="28"/>
      <c r="X137" s="28"/>
      <c r="Y137" s="28"/>
      <c r="Z137" s="28"/>
      <c r="AA137" s="28"/>
      <c r="AB137" s="28"/>
    </row>
    <row r="138">
      <c r="A138" s="21" t="s">
        <v>549</v>
      </c>
      <c r="B138" s="22" t="s">
        <v>550</v>
      </c>
      <c r="C138" s="23" t="str">
        <f>IFERROR(__xludf.DUMMYFUNCTION("GOOGLETRANSLATE(B138, ""en"", ""fr"")"),"Shoots vent qui tire plus de vent.")</f>
        <v>Shoots vent qui tire plus de vent.</v>
      </c>
      <c r="D138" s="23" t="str">
        <f>IFERROR(__xludf.DUMMYFUNCTION("GOOGLETRANSLATE(B138, ""en"", ""es"")"),"Los brotes de viento que los brotes más viento.")</f>
        <v>Los brotes de viento que los brotes más viento.</v>
      </c>
      <c r="E138" s="23" t="str">
        <f>IFERROR(__xludf.DUMMYFUNCTION("GOOGLETRANSLATE(B138, ""en"", ""ru"")"),"Побеги ветра, который стреляет больше ветров.")</f>
        <v>Побеги ветра, который стреляет больше ветров.</v>
      </c>
      <c r="F138" s="23" t="str">
        <f>IFERROR(__xludf.DUMMYFUNCTION("GOOGLETRANSLATE(B138, ""en"", ""tr"")"),"Sürgünler bu sürgünler daha fazla rüzgar rüzgar.")</f>
        <v>Sürgünler bu sürgünler daha fazla rüzgar rüzgar.</v>
      </c>
      <c r="G138" s="23" t="str">
        <f>IFERROR(__xludf.DUMMYFUNCTION("GOOGLETRANSLATE(B138, ""en"", ""pt"")"),"Shoots vento que brotos mais vento.")</f>
        <v>Shoots vento que brotos mais vento.</v>
      </c>
      <c r="H138" s="24" t="str">
        <f>IFERROR(__xludf.DUMMYFUNCTION("GOOGLETRANSLATE(B138, ""en"", ""de"")"),"Shoots Wind, den Trieb mehr Wind.")</f>
        <v>Shoots Wind, den Trieb mehr Wind.</v>
      </c>
      <c r="I138" s="23" t="str">
        <f>IFERROR(__xludf.DUMMYFUNCTION("GOOGLETRANSLATE(B138, ""en"", ""pl"")"),"Pędy wiatr, który pędy więcej wiatr.")</f>
        <v>Pędy wiatr, który pędy więcej wiatr.</v>
      </c>
      <c r="J138" s="25" t="str">
        <f>IFERROR(__xludf.DUMMYFUNCTION("GOOGLETRANSLATE(B138, ""en"", ""zh"")"),"芽风射击更多的风。")</f>
        <v>芽风射击更多的风。</v>
      </c>
      <c r="K138" s="25" t="str">
        <f>IFERROR(__xludf.DUMMYFUNCTION("GOOGLETRANSLATE(B138, ""en"", ""vi"")"),"Chồi gió mà gió chồi hơn.")</f>
        <v>Chồi gió mà gió chồi hơn.</v>
      </c>
      <c r="L138" s="26" t="str">
        <f>IFERROR(__xludf.DUMMYFUNCTION("GOOGLETRANSLATE(B138, ""en"", ""hr"")"),"Snima vjetar koji puca više vjetra.")</f>
        <v>Snima vjetar koji puca više vjetra.</v>
      </c>
      <c r="M138" s="28"/>
      <c r="N138" s="28"/>
      <c r="O138" s="28"/>
      <c r="P138" s="28"/>
      <c r="Q138" s="28"/>
      <c r="R138" s="28"/>
      <c r="S138" s="28"/>
      <c r="T138" s="28"/>
      <c r="U138" s="28"/>
      <c r="V138" s="28"/>
      <c r="W138" s="28"/>
      <c r="X138" s="28"/>
      <c r="Y138" s="28"/>
      <c r="Z138" s="28"/>
      <c r="AA138" s="28"/>
      <c r="AB138" s="28"/>
    </row>
    <row r="139">
      <c r="A139" s="21" t="s">
        <v>551</v>
      </c>
      <c r="B139" s="22" t="s">
        <v>552</v>
      </c>
      <c r="C139" s="23" t="str">
        <f>IFERROR(__xludf.DUMMYFUNCTION("GOOGLETRANSLATE(B139, ""en"", ""fr"")"),"Le personnel de sang")</f>
        <v>Le personnel de sang</v>
      </c>
      <c r="D139" s="23" t="str">
        <f>IFERROR(__xludf.DUMMYFUNCTION("GOOGLETRANSLATE(B139, ""en"", ""es"")"),"el personal de la sangre")</f>
        <v>el personal de la sangre</v>
      </c>
      <c r="E139" s="23" t="str">
        <f>IFERROR(__xludf.DUMMYFUNCTION("GOOGLETRANSLATE(B139, ""en"", ""ru"")"),"сотрудники крови")</f>
        <v>сотрудники крови</v>
      </c>
      <c r="F139" s="23" t="str">
        <f>IFERROR(__xludf.DUMMYFUNCTION("GOOGLETRANSLATE(B139, ""en"", ""tr"")"),"Kan personel")</f>
        <v>Kan personel</v>
      </c>
      <c r="G139" s="23" t="str">
        <f>IFERROR(__xludf.DUMMYFUNCTION("GOOGLETRANSLATE(B139, ""en"", ""pt"")"),"equipe de sangue")</f>
        <v>equipe de sangue</v>
      </c>
      <c r="H139" s="24" t="str">
        <f>IFERROR(__xludf.DUMMYFUNCTION("GOOGLETRANSLATE(B139, ""en"", ""de"")"),"Blut Personal")</f>
        <v>Blut Personal</v>
      </c>
      <c r="I139" s="23" t="str">
        <f>IFERROR(__xludf.DUMMYFUNCTION("GOOGLETRANSLATE(B139, ""en"", ""pl"")"),"pracownicy krwi")</f>
        <v>pracownicy krwi</v>
      </c>
      <c r="J139" s="25" t="str">
        <f>IFERROR(__xludf.DUMMYFUNCTION("GOOGLETRANSLATE(B139, ""en"", ""zh"")"),"血液的工作人员")</f>
        <v>血液的工作人员</v>
      </c>
      <c r="K139" s="25" t="str">
        <f>IFERROR(__xludf.DUMMYFUNCTION("GOOGLETRANSLATE(B139, ""en"", ""vi"")"),"nhân viên máu")</f>
        <v>nhân viên máu</v>
      </c>
      <c r="L139" s="26" t="str">
        <f>IFERROR(__xludf.DUMMYFUNCTION("GOOGLETRANSLATE(B139, ""en"", ""hr"")"),"krv osoblje")</f>
        <v>krv osoblje</v>
      </c>
      <c r="M139" s="28"/>
      <c r="N139" s="28"/>
      <c r="O139" s="28"/>
      <c r="P139" s="28"/>
      <c r="Q139" s="28"/>
      <c r="R139" s="28"/>
      <c r="S139" s="28"/>
      <c r="T139" s="28"/>
      <c r="U139" s="28"/>
      <c r="V139" s="28"/>
      <c r="W139" s="28"/>
      <c r="X139" s="28"/>
      <c r="Y139" s="28"/>
      <c r="Z139" s="28"/>
      <c r="AA139" s="28"/>
      <c r="AB139" s="28"/>
    </row>
    <row r="140">
      <c r="A140" s="21" t="s">
        <v>553</v>
      </c>
      <c r="B140" s="22" t="s">
        <v>554</v>
      </c>
      <c r="C140" s="23" t="str">
        <f>IFERROR(__xludf.DUMMYFUNCTION("GOOGLETRANSLATE(B140, ""en"", ""fr"")"),"Shoots un projectile qui vole hitpoints. Consomme hitpoints lorsqu'il est utilisé.")</f>
        <v>Shoots un projectile qui vole hitpoints. Consomme hitpoints lorsqu'il est utilisé.</v>
      </c>
      <c r="D140" s="23" t="str">
        <f>IFERROR(__xludf.DUMMYFUNCTION("GOOGLETRANSLATE(B140, ""en"", ""es"")"),"Brotes un proyectil que roba puntos de golpe. Consume puntos de golpe cuando se utiliza.")</f>
        <v>Brotes un proyectil que roba puntos de golpe. Consume puntos de golpe cuando se utiliza.</v>
      </c>
      <c r="E140" s="23" t="str">
        <f>IFERROR(__xludf.DUMMYFUNCTION("GOOGLETRANSLATE(B140, ""en"", ""ru"")"),"Побеги снаряд, который крадет хитпоинты. Потребляет хитпоинты при использовании.")</f>
        <v>Побеги снаряд, который крадет хитпоинты. Потребляет хитпоинты при использовании.</v>
      </c>
      <c r="F140" s="23" t="str">
        <f>IFERROR(__xludf.DUMMYFUNCTION("GOOGLETRANSLATE(B140, ""en"", ""tr"")"),"Sürgünler hitpoints çalan bir mermi. Tüketir hitpoints kullanıldığında.")</f>
        <v>Sürgünler hitpoints çalan bir mermi. Tüketir hitpoints kullanıldığında.</v>
      </c>
      <c r="G140" s="23" t="str">
        <f>IFERROR(__xludf.DUMMYFUNCTION("GOOGLETRANSLATE(B140, ""en"", ""pt"")"),"Dispara um projétil que rouba pontos de vida. Consome pontos de vida quando usado.")</f>
        <v>Dispara um projétil que rouba pontos de vida. Consome pontos de vida quando usado.</v>
      </c>
      <c r="H140" s="24" t="str">
        <f>IFERROR(__xludf.DUMMYFUNCTION("GOOGLETRANSLATE(B140, ""en"", ""de"")"),"Shoots ein Projektil, das Hitpoints stiehlt. Verbraucht Hitpoints, wenn verwendet.")</f>
        <v>Shoots ein Projektil, das Hitpoints stiehlt. Verbraucht Hitpoints, wenn verwendet.</v>
      </c>
      <c r="I140" s="23" t="str">
        <f>IFERROR(__xludf.DUMMYFUNCTION("GOOGLETRANSLATE(B140, ""en"", ""pl"")"),"Wystrzeliwuje pocisk, który kradnie punkty życia. gdy stosowane zużywa PW.")</f>
        <v>Wystrzeliwuje pocisk, który kradnie punkty życia. gdy stosowane zużywa PW.</v>
      </c>
      <c r="J140" s="25" t="str">
        <f>IFERROR(__xludf.DUMMYFUNCTION("GOOGLETRANSLATE(B140, ""en"", ""zh"")"),"芽窃取生命值弹丸。使用时消耗生命值。")</f>
        <v>芽窃取生命值弹丸。使用时消耗生命值。</v>
      </c>
      <c r="K140" s="25" t="str">
        <f>IFERROR(__xludf.DUMMYFUNCTION("GOOGLETRANSLATE(B140, ""en"", ""vi"")"),"Chồi một viên đạn mà đánh cắp hp. Tốn một hp khi được sử dụng.")</f>
        <v>Chồi một viên đạn mà đánh cắp hp. Tốn một hp khi được sử dụng.</v>
      </c>
      <c r="L140" s="26" t="str">
        <f>IFERROR(__xludf.DUMMYFUNCTION("GOOGLETRANSLATE(B140, ""en"", ""hr"")"),"Snima projektil koji krade udarpoena. Troši udarpoena kada se koristi.")</f>
        <v>Snima projektil koji krade udarpoena. Troši udarpoena kada se koristi.</v>
      </c>
      <c r="M140" s="28"/>
      <c r="N140" s="28"/>
      <c r="O140" s="28"/>
      <c r="P140" s="28"/>
      <c r="Q140" s="28"/>
      <c r="R140" s="28"/>
      <c r="S140" s="28"/>
      <c r="T140" s="28"/>
      <c r="U140" s="28"/>
      <c r="V140" s="28"/>
      <c r="W140" s="28"/>
      <c r="X140" s="28"/>
      <c r="Y140" s="28"/>
      <c r="Z140" s="28"/>
      <c r="AA140" s="28"/>
      <c r="AB140" s="28"/>
    </row>
    <row r="141">
      <c r="A141" s="21" t="s">
        <v>555</v>
      </c>
      <c r="B141" s="22" t="s">
        <v>556</v>
      </c>
      <c r="C141" s="23" t="str">
        <f>IFERROR(__xludf.DUMMYFUNCTION("GOOGLETRANSLATE(B141, ""en"", ""fr"")"),"Super personnel de sang")</f>
        <v>Super personnel de sang</v>
      </c>
      <c r="D141" s="23" t="str">
        <f>IFERROR(__xludf.DUMMYFUNCTION("GOOGLETRANSLATE(B141, ""en"", ""es"")"),"el personal de la sangre súper")</f>
        <v>el personal de la sangre súper</v>
      </c>
      <c r="E141" s="23" t="str">
        <f>IFERROR(__xludf.DUMMYFUNCTION("GOOGLETRANSLATE(B141, ""en"", ""ru"")"),"Супер персонал крови")</f>
        <v>Супер персонал крови</v>
      </c>
      <c r="F141" s="23" t="str">
        <f>IFERROR(__xludf.DUMMYFUNCTION("GOOGLETRANSLATE(B141, ""en"", ""tr"")"),"Süper kan personel")</f>
        <v>Süper kan personel</v>
      </c>
      <c r="G141" s="23" t="str">
        <f>IFERROR(__xludf.DUMMYFUNCTION("GOOGLETRANSLATE(B141, ""en"", ""pt"")"),"funcionários sangue Super")</f>
        <v>funcionários sangue Super</v>
      </c>
      <c r="H141" s="24" t="str">
        <f>IFERROR(__xludf.DUMMYFUNCTION("GOOGLETRANSLATE(B141, ""en"", ""de"")"),"Super Blut Personal")</f>
        <v>Super Blut Personal</v>
      </c>
      <c r="I141" s="23" t="str">
        <f>IFERROR(__xludf.DUMMYFUNCTION("GOOGLETRANSLATE(B141, ""en"", ""pl"")"),"Super personel krwi")</f>
        <v>Super personel krwi</v>
      </c>
      <c r="J141" s="25" t="str">
        <f>IFERROR(__xludf.DUMMYFUNCTION("GOOGLETRANSLATE(B141, ""en"", ""zh"")"),"超级血员工")</f>
        <v>超级血员工</v>
      </c>
      <c r="K141" s="25" t="str">
        <f>IFERROR(__xludf.DUMMYFUNCTION("GOOGLETRANSLATE(B141, ""en"", ""vi"")"),"nhân viên máu siêu")</f>
        <v>nhân viên máu siêu</v>
      </c>
      <c r="L141" s="26" t="str">
        <f>IFERROR(__xludf.DUMMYFUNCTION("GOOGLETRANSLATE(B141, ""en"", ""hr"")"),"Super krvi osoblje")</f>
        <v>Super krvi osoblje</v>
      </c>
      <c r="M141" s="28"/>
      <c r="N141" s="28"/>
      <c r="O141" s="28"/>
      <c r="P141" s="28"/>
      <c r="Q141" s="28"/>
      <c r="R141" s="28"/>
      <c r="S141" s="28"/>
      <c r="T141" s="28"/>
      <c r="U141" s="28"/>
      <c r="V141" s="28"/>
      <c r="W141" s="28"/>
      <c r="X141" s="28"/>
      <c r="Y141" s="28"/>
      <c r="Z141" s="28"/>
      <c r="AA141" s="28"/>
      <c r="AB141" s="28"/>
    </row>
    <row r="142">
      <c r="A142" s="21" t="s">
        <v>557</v>
      </c>
      <c r="B142" s="22" t="s">
        <v>558</v>
      </c>
      <c r="C142" s="23" t="str">
        <f>IFERROR(__xludf.DUMMYFUNCTION("GOOGLETRANSLATE(B142, ""en"", ""fr"")"),"Shoots un projectile qui tire des projectiles lifesteal plus lifesteal.")</f>
        <v>Shoots un projectile qui tire des projectiles lifesteal plus lifesteal.</v>
      </c>
      <c r="D142" s="23" t="str">
        <f>IFERROR(__xludf.DUMMYFUNCTION("GOOGLETRANSLATE(B142, ""en"", ""es"")"),"Brotes un proyectil que dispara proyectiles de Robo de vida más Robo de vida.")</f>
        <v>Brotes un proyectil que dispara proyectiles de Robo de vida más Robo de vida.</v>
      </c>
      <c r="E142" s="23" t="str">
        <f>IFERROR(__xludf.DUMMYFUNCTION("GOOGLETRANSLATE(B142, ""en"", ""ru"")"),"Стреляю лайфстил снаряд, который стреляет более Вампиризм снаряды.")</f>
        <v>Стреляю лайфстил снаряд, который стреляет более Вампиризм снаряды.</v>
      </c>
      <c r="F142" s="23" t="str">
        <f>IFERROR(__xludf.DUMMYFUNCTION("GOOGLETRANSLATE(B142, ""en"", ""tr"")"),"Sürgünler bir lifesteal mermi sürgünler daha lifesteal mermiler söyledi.")</f>
        <v>Sürgünler bir lifesteal mermi sürgünler daha lifesteal mermiler söyledi.</v>
      </c>
      <c r="G142" s="23" t="str">
        <f>IFERROR(__xludf.DUMMYFUNCTION("GOOGLETRANSLATE(B142, ""en"", ""pt"")"),"Dispara um projétil lifesteal que atira projéteis mais Lifesteal.")</f>
        <v>Dispara um projétil lifesteal que atira projéteis mais Lifesteal.</v>
      </c>
      <c r="H142" s="24" t="str">
        <f>IFERROR(__xludf.DUMMYFUNCTION("GOOGLETRANSLATE(B142, ""en"", ""de"")"),"Shoots ein Projektil Lebensraub, dass Triebe mehr Lebensraub Geschosse.")</f>
        <v>Shoots ein Projektil Lebensraub, dass Triebe mehr Lebensraub Geschosse.</v>
      </c>
      <c r="I142" s="23" t="str">
        <f>IFERROR(__xludf.DUMMYFUNCTION("GOOGLETRANSLATE(B142, ""en"", ""pl"")"),"Pędy Kradzież życia pocisk że pędy więcej Kradzież życia pociski.")</f>
        <v>Pędy Kradzież życia pocisk że pędy więcej Kradzież życia pociski.</v>
      </c>
      <c r="J142" s="25" t="str">
        <f>IFERROR(__xludf.DUMMYFUNCTION("GOOGLETRANSLATE(B142, ""en"", ""zh"")"),"芽一个吸血弹射击更多的生命偷取抛射。")</f>
        <v>芽一个吸血弹射击更多的生命偷取抛射。</v>
      </c>
      <c r="K142" s="25" t="str">
        <f>IFERROR(__xludf.DUMMYFUNCTION("GOOGLETRANSLATE(B142, ""en"", ""vi"")"),"Chồi một viên đạn lifesteal mà chồi projectiles lifesteal hơn.")</f>
        <v>Chồi một viên đạn lifesteal mà chồi projectiles lifesteal hơn.</v>
      </c>
      <c r="L142" s="26" t="str">
        <f>IFERROR(__xludf.DUMMYFUNCTION("GOOGLETRANSLATE(B142, ""en"", ""hr"")"),"Snima lifesteal projektil koji ispaljuje više lifesteal projektili.")</f>
        <v>Snima lifesteal projektil koji ispaljuje više lifesteal projektili.</v>
      </c>
      <c r="M142" s="28"/>
      <c r="N142" s="28"/>
      <c r="O142" s="28"/>
      <c r="P142" s="28"/>
      <c r="Q142" s="28"/>
      <c r="R142" s="28"/>
      <c r="S142" s="28"/>
      <c r="T142" s="28"/>
      <c r="U142" s="28"/>
      <c r="V142" s="28"/>
      <c r="W142" s="28"/>
      <c r="X142" s="28"/>
      <c r="Y142" s="28"/>
      <c r="Z142" s="28"/>
      <c r="AA142" s="28"/>
      <c r="AB142" s="28"/>
    </row>
    <row r="143">
      <c r="A143" s="21" t="s">
        <v>559</v>
      </c>
      <c r="B143" s="22" t="s">
        <v>560</v>
      </c>
      <c r="C143" s="23" t="str">
        <f>IFERROR(__xludf.DUMMYFUNCTION("GOOGLETRANSLATE(B143, ""en"", ""fr"")"),"Livre de lumière")</f>
        <v>Livre de lumière</v>
      </c>
      <c r="D143" s="23" t="str">
        <f>IFERROR(__xludf.DUMMYFUNCTION("GOOGLETRANSLATE(B143, ""en"", ""es"")"),"Libro de la luz")</f>
        <v>Libro de la luz</v>
      </c>
      <c r="E143" s="23" t="str">
        <f>IFERROR(__xludf.DUMMYFUNCTION("GOOGLETRANSLATE(B143, ""en"", ""ru"")"),"Книга света")</f>
        <v>Книга света</v>
      </c>
      <c r="F143" s="23" t="str">
        <f>IFERROR(__xludf.DUMMYFUNCTION("GOOGLETRANSLATE(B143, ""en"", ""tr"")"),"Işık Kitabı")</f>
        <v>Işık Kitabı</v>
      </c>
      <c r="G143" s="23" t="str">
        <f>IFERROR(__xludf.DUMMYFUNCTION("GOOGLETRANSLATE(B143, ""en"", ""pt"")"),"Livro de luz")</f>
        <v>Livro de luz</v>
      </c>
      <c r="H143" s="24" t="str">
        <f>IFERROR(__xludf.DUMMYFUNCTION("GOOGLETRANSLATE(B143, ""en"", ""de"")"),"Buch des Lichts")</f>
        <v>Buch des Lichts</v>
      </c>
      <c r="I143" s="23" t="str">
        <f>IFERROR(__xludf.DUMMYFUNCTION("GOOGLETRANSLATE(B143, ""en"", ""pl"")"),"Book of light")</f>
        <v>Book of light</v>
      </c>
      <c r="J143" s="25" t="str">
        <f>IFERROR(__xludf.DUMMYFUNCTION("GOOGLETRANSLATE(B143, ""en"", ""zh"")"),"光书")</f>
        <v>光书</v>
      </c>
      <c r="K143" s="25" t="str">
        <f>IFERROR(__xludf.DUMMYFUNCTION("GOOGLETRANSLATE(B143, ""en"", ""vi"")"),"Sách của ánh sáng")</f>
        <v>Sách của ánh sáng</v>
      </c>
      <c r="L143" s="26" t="str">
        <f>IFERROR(__xludf.DUMMYFUNCTION("GOOGLETRANSLATE(B143, ""en"", ""hr"")"),"Knjiga svjetlo")</f>
        <v>Knjiga svjetlo</v>
      </c>
      <c r="M143" s="28"/>
      <c r="N143" s="28"/>
      <c r="O143" s="28"/>
      <c r="P143" s="28"/>
      <c r="Q143" s="28"/>
      <c r="R143" s="28"/>
      <c r="S143" s="28"/>
      <c r="T143" s="28"/>
      <c r="U143" s="28"/>
      <c r="V143" s="28"/>
      <c r="W143" s="28"/>
      <c r="X143" s="28"/>
      <c r="Y143" s="28"/>
      <c r="Z143" s="28"/>
      <c r="AA143" s="28"/>
      <c r="AB143" s="28"/>
    </row>
    <row r="144">
      <c r="A144" s="21" t="s">
        <v>561</v>
      </c>
      <c r="B144" s="22" t="s">
        <v>562</v>
      </c>
      <c r="C144" s="23" t="str">
        <f>IFERROR(__xludf.DUMMYFUNCTION("GOOGLETRANSLATE(B144, ""en"", ""fr"")"),"Un livre de sorts de soutien.")</f>
        <v>Un livre de sorts de soutien.</v>
      </c>
      <c r="D144" s="23" t="str">
        <f>IFERROR(__xludf.DUMMYFUNCTION("GOOGLETRANSLATE(B144, ""en"", ""es"")"),"Un libro de hechizos de apoyo.")</f>
        <v>Un libro de hechizos de apoyo.</v>
      </c>
      <c r="E144" s="23" t="str">
        <f>IFERROR(__xludf.DUMMYFUNCTION("GOOGLETRANSLATE(B144, ""en"", ""ru"")"),"Книга поддержки заклинаний.")</f>
        <v>Книга поддержки заклинаний.</v>
      </c>
      <c r="F144" s="23" t="str">
        <f>IFERROR(__xludf.DUMMYFUNCTION("GOOGLETRANSLATE(B144, ""en"", ""tr"")"),"destek büyü bir kitap.")</f>
        <v>destek büyü bir kitap.</v>
      </c>
      <c r="G144" s="23" t="str">
        <f>IFERROR(__xludf.DUMMYFUNCTION("GOOGLETRANSLATE(B144, ""en"", ""pt"")"),"Um livro de feitiços de apoio.")</f>
        <v>Um livro de feitiços de apoio.</v>
      </c>
      <c r="H144" s="24" t="str">
        <f>IFERROR(__xludf.DUMMYFUNCTION("GOOGLETRANSLATE(B144, ""en"", ""de"")"),"Ein Buch der Unterstützung Zauber.")</f>
        <v>Ein Buch der Unterstützung Zauber.</v>
      </c>
      <c r="I144" s="23" t="str">
        <f>IFERROR(__xludf.DUMMYFUNCTION("GOOGLETRANSLATE(B144, ""en"", ""pl"")"),"Księga zaklęć wsparcia.")</f>
        <v>Księga zaklęć wsparcia.</v>
      </c>
      <c r="J144" s="25" t="str">
        <f>IFERROR(__xludf.DUMMYFUNCTION("GOOGLETRANSLATE(B144, ""en"", ""zh"")"),"书支持法术。")</f>
        <v>书支持法术。</v>
      </c>
      <c r="K144" s="25" t="str">
        <f>IFERROR(__xludf.DUMMYFUNCTION("GOOGLETRANSLATE(B144, ""en"", ""vi"")"),"Một cuốn sách của phép thuật hỗ trợ.")</f>
        <v>Một cuốn sách của phép thuật hỗ trợ.</v>
      </c>
      <c r="L144" s="26" t="str">
        <f>IFERROR(__xludf.DUMMYFUNCTION("GOOGLETRANSLATE(B144, ""en"", ""hr"")"),"Knjiga podrške uroka.")</f>
        <v>Knjiga podrške uroka.</v>
      </c>
      <c r="M144" s="28"/>
      <c r="N144" s="28"/>
      <c r="O144" s="28"/>
      <c r="P144" s="28"/>
      <c r="Q144" s="28"/>
      <c r="R144" s="28"/>
      <c r="S144" s="28"/>
      <c r="T144" s="28"/>
      <c r="U144" s="28"/>
      <c r="V144" s="28"/>
      <c r="W144" s="28"/>
      <c r="X144" s="28"/>
      <c r="Y144" s="28"/>
      <c r="Z144" s="28"/>
      <c r="AA144" s="28"/>
      <c r="AB144" s="28"/>
    </row>
    <row r="145">
      <c r="A145" s="21" t="s">
        <v>563</v>
      </c>
      <c r="B145" s="22" t="s">
        <v>564</v>
      </c>
      <c r="C145" s="23" t="str">
        <f>IFERROR(__xludf.DUMMYFUNCTION("GOOGLETRANSLATE(B145, ""en"", ""fr"")"),"Livre des âmes")</f>
        <v>Livre des âmes</v>
      </c>
      <c r="D145" s="23" t="str">
        <f>IFERROR(__xludf.DUMMYFUNCTION("GOOGLETRANSLATE(B145, ""en"", ""es"")"),"Libro de las almas")</f>
        <v>Libro de las almas</v>
      </c>
      <c r="E145" s="23" t="str">
        <f>IFERROR(__xludf.DUMMYFUNCTION("GOOGLETRANSLATE(B145, ""en"", ""ru"")"),"Книга душ")</f>
        <v>Книга душ</v>
      </c>
      <c r="F145" s="23" t="str">
        <f>IFERROR(__xludf.DUMMYFUNCTION("GOOGLETRANSLATE(B145, ""en"", ""tr"")"),"Ruhların Kitabı")</f>
        <v>Ruhların Kitabı</v>
      </c>
      <c r="G145" s="23" t="str">
        <f>IFERROR(__xludf.DUMMYFUNCTION("GOOGLETRANSLATE(B145, ""en"", ""pt"")"),"Livro de almas")</f>
        <v>Livro de almas</v>
      </c>
      <c r="H145" s="24" t="str">
        <f>IFERROR(__xludf.DUMMYFUNCTION("GOOGLETRANSLATE(B145, ""en"", ""de"")"),"Buch der Seelen")</f>
        <v>Buch der Seelen</v>
      </c>
      <c r="I145" s="23" t="str">
        <f>IFERROR(__xludf.DUMMYFUNCTION("GOOGLETRANSLATE(B145, ""en"", ""pl"")"),"Księga dusz")</f>
        <v>Księga dusz</v>
      </c>
      <c r="J145" s="25" t="str">
        <f>IFERROR(__xludf.DUMMYFUNCTION("GOOGLETRANSLATE(B145, ""en"", ""zh"")"),"灵魂之书")</f>
        <v>灵魂之书</v>
      </c>
      <c r="K145" s="25" t="str">
        <f>IFERROR(__xludf.DUMMYFUNCTION("GOOGLETRANSLATE(B145, ""en"", ""vi"")"),"Sách linh hồn")</f>
        <v>Sách linh hồn</v>
      </c>
      <c r="L145" s="26" t="str">
        <f>IFERROR(__xludf.DUMMYFUNCTION("GOOGLETRANSLATE(B145, ""en"", ""hr"")"),"Knjiga duše")</f>
        <v>Knjiga duše</v>
      </c>
      <c r="M145" s="28"/>
      <c r="N145" s="28"/>
      <c r="O145" s="28"/>
      <c r="P145" s="28"/>
      <c r="Q145" s="28"/>
      <c r="R145" s="28"/>
      <c r="S145" s="28"/>
      <c r="T145" s="28"/>
      <c r="U145" s="28"/>
      <c r="V145" s="28"/>
      <c r="W145" s="28"/>
      <c r="X145" s="28"/>
      <c r="Y145" s="28"/>
      <c r="Z145" s="28"/>
      <c r="AA145" s="28"/>
      <c r="AB145" s="28"/>
    </row>
    <row r="146">
      <c r="A146" s="21" t="s">
        <v>565</v>
      </c>
      <c r="B146" s="22" t="s">
        <v>566</v>
      </c>
      <c r="C146" s="23" t="str">
        <f>IFERROR(__xludf.DUMMYFUNCTION("GOOGLETRANSLATE(B146, ""en"", ""fr"")"),"Un livre de sorts d'invocation.")</f>
        <v>Un livre de sorts d'invocation.</v>
      </c>
      <c r="D146" s="23" t="str">
        <f>IFERROR(__xludf.DUMMYFUNCTION("GOOGLETRANSLATE(B146, ""en"", ""es"")"),"Un libro de invocar hechizos.")</f>
        <v>Un libro de invocar hechizos.</v>
      </c>
      <c r="E146" s="23" t="str">
        <f>IFERROR(__xludf.DUMMYFUNCTION("GOOGLETRANSLATE(B146, ""en"", ""ru"")"),"Книга вызова заклинаний.")</f>
        <v>Книга вызова заклинаний.</v>
      </c>
      <c r="F146" s="23" t="str">
        <f>IFERROR(__xludf.DUMMYFUNCTION("GOOGLETRANSLATE(B146, ""en"", ""tr"")"),"çağırma büyü bir kitap.")</f>
        <v>çağırma büyü bir kitap.</v>
      </c>
      <c r="G146" s="23" t="str">
        <f>IFERROR(__xludf.DUMMYFUNCTION("GOOGLETRANSLATE(B146, ""en"", ""pt"")"),"Um livro de magias de invocação.")</f>
        <v>Um livro de magias de invocação.</v>
      </c>
      <c r="H146" s="24" t="str">
        <f>IFERROR(__xludf.DUMMYFUNCTION("GOOGLETRANSLATE(B146, ""en"", ""de"")"),"Ein Buch Zauber der Einberufung.")</f>
        <v>Ein Buch Zauber der Einberufung.</v>
      </c>
      <c r="I146" s="23" t="str">
        <f>IFERROR(__xludf.DUMMYFUNCTION("GOOGLETRANSLATE(B146, ""en"", ""pl"")"),"Księga czarów przywołania.")</f>
        <v>Księga czarów przywołania.</v>
      </c>
      <c r="J146" s="25" t="str">
        <f>IFERROR(__xludf.DUMMYFUNCTION("GOOGLETRANSLATE(B146, ""en"", ""zh"")"),"书召唤法术。")</f>
        <v>书召唤法术。</v>
      </c>
      <c r="K146" s="25" t="str">
        <f>IFERROR(__xludf.DUMMYFUNCTION("GOOGLETRANSLATE(B146, ""en"", ""vi"")"),"Một cuốn sách triệu hồi phép thuật.")</f>
        <v>Một cuốn sách triệu hồi phép thuật.</v>
      </c>
      <c r="L146" s="26" t="str">
        <f>IFERROR(__xludf.DUMMYFUNCTION("GOOGLETRANSLATE(B146, ""en"", ""hr"")"),"Knjiga pozivanja uroka.")</f>
        <v>Knjiga pozivanja uroka.</v>
      </c>
      <c r="M146" s="28"/>
      <c r="N146" s="28"/>
      <c r="O146" s="28"/>
      <c r="P146" s="28"/>
      <c r="Q146" s="28"/>
      <c r="R146" s="28"/>
      <c r="S146" s="28"/>
      <c r="T146" s="28"/>
      <c r="U146" s="28"/>
      <c r="V146" s="28"/>
      <c r="W146" s="28"/>
      <c r="X146" s="28"/>
      <c r="Y146" s="28"/>
      <c r="Z146" s="28"/>
      <c r="AA146" s="28"/>
      <c r="AB146" s="28"/>
    </row>
    <row r="147">
      <c r="A147" s="21" t="s">
        <v>567</v>
      </c>
      <c r="B147" s="22" t="s">
        <v>568</v>
      </c>
      <c r="C147" s="23" t="str">
        <f>IFERROR(__xludf.DUMMYFUNCTION("GOOGLETRANSLATE(B147, ""en"", ""fr"")"),"flèches d'os")</f>
        <v>flèches d'os</v>
      </c>
      <c r="D147" s="23" t="str">
        <f>IFERROR(__xludf.DUMMYFUNCTION("GOOGLETRANSLATE(B147, ""en"", ""es"")"),"flechas de hueso")</f>
        <v>flechas de hueso</v>
      </c>
      <c r="E147" s="23" t="str">
        <f>IFERROR(__xludf.DUMMYFUNCTION("GOOGLETRANSLATE(B147, ""en"", ""ru"")"),"Костные стрелки")</f>
        <v>Костные стрелки</v>
      </c>
      <c r="F147" s="23" t="str">
        <f>IFERROR(__xludf.DUMMYFUNCTION("GOOGLETRANSLATE(B147, ""en"", ""tr"")"),"Kemik oklar")</f>
        <v>Kemik oklar</v>
      </c>
      <c r="G147" s="23" t="str">
        <f>IFERROR(__xludf.DUMMYFUNCTION("GOOGLETRANSLATE(B147, ""en"", ""pt"")"),"setas ósseas")</f>
        <v>setas ósseas</v>
      </c>
      <c r="H147" s="24" t="str">
        <f>IFERROR(__xludf.DUMMYFUNCTION("GOOGLETRANSLATE(B147, ""en"", ""de"")"),"Knochenpfeile")</f>
        <v>Knochenpfeile</v>
      </c>
      <c r="I147" s="23" t="str">
        <f>IFERROR(__xludf.DUMMYFUNCTION("GOOGLETRANSLATE(B147, ""en"", ""pl"")"),"strzałki kości")</f>
        <v>strzałki kości</v>
      </c>
      <c r="J147" s="25" t="str">
        <f>IFERROR(__xludf.DUMMYFUNCTION("GOOGLETRANSLATE(B147, ""en"", ""zh"")"),"骨箭")</f>
        <v>骨箭</v>
      </c>
      <c r="K147" s="25" t="str">
        <f>IFERROR(__xludf.DUMMYFUNCTION("GOOGLETRANSLATE(B147, ""en"", ""vi"")"),"mũi tên xương")</f>
        <v>mũi tên xương</v>
      </c>
      <c r="L147" s="26" t="str">
        <f>IFERROR(__xludf.DUMMYFUNCTION("GOOGLETRANSLATE(B147, ""en"", ""hr"")"),"Bone strelice")</f>
        <v>Bone strelice</v>
      </c>
      <c r="M147" s="28"/>
      <c r="N147" s="28"/>
      <c r="O147" s="28"/>
      <c r="P147" s="28"/>
      <c r="Q147" s="28"/>
      <c r="R147" s="28"/>
      <c r="S147" s="28"/>
      <c r="T147" s="28"/>
      <c r="U147" s="28"/>
      <c r="V147" s="28"/>
      <c r="W147" s="28"/>
      <c r="X147" s="28"/>
      <c r="Y147" s="28"/>
      <c r="Z147" s="28"/>
      <c r="AA147" s="28"/>
      <c r="AB147" s="28"/>
    </row>
    <row r="148">
      <c r="A148" s="21" t="s">
        <v>569</v>
      </c>
      <c r="B148" s="22" t="s">
        <v>438</v>
      </c>
      <c r="C148" s="23" t="str">
        <f>IFERROR(__xludf.DUMMYFUNCTION("GOOGLETRANSLATE(B148, ""en"", ""fr"")"),"Utilisé comme munitions pour un arc.")</f>
        <v>Utilisé comme munitions pour un arc.</v>
      </c>
      <c r="D148" s="23" t="str">
        <f>IFERROR(__xludf.DUMMYFUNCTION("GOOGLETRANSLATE(B148, ""en"", ""es"")"),"Se utiliza como munición para un arco.")</f>
        <v>Se utiliza como munición para un arco.</v>
      </c>
      <c r="E148" s="23" t="str">
        <f>IFERROR(__xludf.DUMMYFUNCTION("GOOGLETRANSLATE(B148, ""en"", ""ru"")"),"Используется в качестве боеприпасов для лука.")</f>
        <v>Используется в качестве боеприпасов для лука.</v>
      </c>
      <c r="F148" s="23" t="str">
        <f>IFERROR(__xludf.DUMMYFUNCTION("GOOGLETRANSLATE(B148, ""en"", ""tr"")"),"Bir yay için mühimmat olarak kullanılır.")</f>
        <v>Bir yay için mühimmat olarak kullanılır.</v>
      </c>
      <c r="G148" s="23" t="str">
        <f>IFERROR(__xludf.DUMMYFUNCTION("GOOGLETRANSLATE(B148, ""en"", ""pt"")"),"Usado como munição para um arco.")</f>
        <v>Usado como munição para um arco.</v>
      </c>
      <c r="H148" s="24" t="str">
        <f>IFERROR(__xludf.DUMMYFUNCTION("GOOGLETRANSLATE(B148, ""en"", ""de"")"),"Wird als Munition für einen Bogen.")</f>
        <v>Wird als Munition für einen Bogen.</v>
      </c>
      <c r="I148" s="23" t="str">
        <f>IFERROR(__xludf.DUMMYFUNCTION("GOOGLETRANSLATE(B148, ""en"", ""pl"")"),"Używany jako amunicji do łuku.")</f>
        <v>Używany jako amunicji do łuku.</v>
      </c>
      <c r="J148" s="25" t="str">
        <f>IFERROR(__xludf.DUMMYFUNCTION("GOOGLETRANSLATE(B148, ""en"", ""zh"")"),"作为弹药弓。")</f>
        <v>作为弹药弓。</v>
      </c>
      <c r="K148" s="25" t="str">
        <f>IFERROR(__xludf.DUMMYFUNCTION("GOOGLETRANSLATE(B148, ""en"", ""vi"")"),"Sử dụng như đạn dược cho một cây cung.")</f>
        <v>Sử dụng như đạn dược cho một cây cung.</v>
      </c>
      <c r="L148" s="26" t="str">
        <f>IFERROR(__xludf.DUMMYFUNCTION("GOOGLETRANSLATE(B148, ""en"", ""hr"")"),"Koristi se kao streljivo za luk.")</f>
        <v>Koristi se kao streljivo za luk.</v>
      </c>
      <c r="M148" s="28"/>
      <c r="N148" s="28"/>
      <c r="O148" s="28"/>
      <c r="P148" s="28"/>
      <c r="Q148" s="28"/>
      <c r="R148" s="28"/>
      <c r="S148" s="28"/>
      <c r="T148" s="28"/>
      <c r="U148" s="28"/>
      <c r="V148" s="28"/>
      <c r="W148" s="28"/>
      <c r="X148" s="28"/>
      <c r="Y148" s="28"/>
      <c r="Z148" s="28"/>
      <c r="AA148" s="28"/>
      <c r="AB148" s="28"/>
    </row>
    <row r="149">
      <c r="A149" s="21" t="s">
        <v>570</v>
      </c>
      <c r="B149" s="22" t="s">
        <v>571</v>
      </c>
      <c r="C149" s="23" t="str">
        <f>IFERROR(__xludf.DUMMYFUNCTION("GOOGLETRANSLATE(B149, ""en"", ""fr"")"),"Peignoir")</f>
        <v>Peignoir</v>
      </c>
      <c r="D149" s="23" t="str">
        <f>IFERROR(__xludf.DUMMYFUNCTION("GOOGLETRANSLATE(B149, ""en"", ""es"")"),"Túnica")</f>
        <v>Túnica</v>
      </c>
      <c r="E149" s="23" t="str">
        <f>IFERROR(__xludf.DUMMYFUNCTION("GOOGLETRANSLATE(B149, ""en"", ""ru"")"),"Халат")</f>
        <v>Халат</v>
      </c>
      <c r="F149" s="23" t="str">
        <f>IFERROR(__xludf.DUMMYFUNCTION("GOOGLETRANSLATE(B149, ""en"", ""tr"")"),"Elbise")</f>
        <v>Elbise</v>
      </c>
      <c r="G149" s="23" t="str">
        <f>IFERROR(__xludf.DUMMYFUNCTION("GOOGLETRANSLATE(B149, ""en"", ""pt"")"),"robe")</f>
        <v>robe</v>
      </c>
      <c r="H149" s="24" t="str">
        <f>IFERROR(__xludf.DUMMYFUNCTION("GOOGLETRANSLATE(B149, ""en"", ""de"")"),"Kleid")</f>
        <v>Kleid</v>
      </c>
      <c r="I149" s="23" t="str">
        <f>IFERROR(__xludf.DUMMYFUNCTION("GOOGLETRANSLATE(B149, ""en"", ""pl"")"),"Szata")</f>
        <v>Szata</v>
      </c>
      <c r="J149" s="25" t="str">
        <f>IFERROR(__xludf.DUMMYFUNCTION("GOOGLETRANSLATE(B149, ""en"", ""zh"")"),"长袍")</f>
        <v>长袍</v>
      </c>
      <c r="K149" s="25" t="str">
        <f>IFERROR(__xludf.DUMMYFUNCTION("GOOGLETRANSLATE(B149, ""en"", ""vi"")"),"quần áo")</f>
        <v>quần áo</v>
      </c>
      <c r="L149" s="26" t="str">
        <f>IFERROR(__xludf.DUMMYFUNCTION("GOOGLETRANSLATE(B149, ""en"", ""hr"")"),"haljina")</f>
        <v>haljina</v>
      </c>
      <c r="M149" s="28"/>
      <c r="N149" s="28"/>
      <c r="O149" s="28"/>
      <c r="P149" s="28"/>
      <c r="Q149" s="28"/>
      <c r="R149" s="28"/>
      <c r="S149" s="28"/>
      <c r="T149" s="28"/>
      <c r="U149" s="28"/>
      <c r="V149" s="28"/>
      <c r="W149" s="28"/>
      <c r="X149" s="28"/>
      <c r="Y149" s="28"/>
      <c r="Z149" s="28"/>
      <c r="AA149" s="28"/>
      <c r="AB149" s="28"/>
    </row>
    <row r="150">
      <c r="A150" s="21" t="s">
        <v>572</v>
      </c>
      <c r="B150" s="22" t="s">
        <v>573</v>
      </c>
      <c r="C150" s="23" t="str">
        <f>IFERROR(__xludf.DUMMYFUNCTION("GOOGLETRANSLATE(B150, ""en"", ""fr"")"),"Une robe simple. Augmente votre Potionry stat alors porté.")</f>
        <v>Une robe simple. Augmente votre Potionry stat alors porté.</v>
      </c>
      <c r="D150" s="23" t="str">
        <f>IFERROR(__xludf.DUMMYFUNCTION("GOOGLETRANSLATE(B150, ""en"", ""es"")"),"Un manto liso. Aumenta la estadística Potionry mientras se usa.")</f>
        <v>Un manto liso. Aumenta la estadística Potionry mientras se usa.</v>
      </c>
      <c r="E150" s="23" t="str">
        <f>IFERROR(__xludf.DUMMYFUNCTION("GOOGLETRANSLATE(B150, ""en"", ""ru"")"),"Простой халат. Повышает Potionry стат во время ношения.")</f>
        <v>Простой халат. Повышает Potionry стат во время ношения.</v>
      </c>
      <c r="F150" s="23" t="str">
        <f>IFERROR(__xludf.DUMMYFUNCTION("GOOGLETRANSLATE(B150, ""en"", ""tr"")"),"Düz cübbesi. yıpranmış ederken Potionry, stat artırır.")</f>
        <v>Düz cübbesi. yıpranmış ederken Potionry, stat artırır.</v>
      </c>
      <c r="G150" s="23" t="str">
        <f>IFERROR(__xludf.DUMMYFUNCTION("GOOGLETRANSLATE(B150, ""en"", ""pt"")"),"Um manto simples. Aumenta seu status Potionry enquanto desgastado.")</f>
        <v>Um manto simples. Aumenta seu status Potionry enquanto desgastado.</v>
      </c>
      <c r="H150" s="24" t="str">
        <f>IFERROR(__xludf.DUMMYFUNCTION("GOOGLETRANSLATE(B150, ""en"", ""de"")"),"Ein einfaches Gewand. Erhöht Eure Potionry stat während des Tragens.")</f>
        <v>Ein einfaches Gewand. Erhöht Eure Potionry stat während des Tragens.</v>
      </c>
      <c r="I150" s="23" t="str">
        <f>IFERROR(__xludf.DUMMYFUNCTION("GOOGLETRANSLATE(B150, ""en"", ""pl"")"),"Zwykły szatę. Zwiększa stat Potionry podczas noszenia.")</f>
        <v>Zwykły szatę. Zwiększa stat Potionry podczas noszenia.</v>
      </c>
      <c r="J150" s="25" t="str">
        <f>IFERROR(__xludf.DUMMYFUNCTION("GOOGLETRANSLATE(B150, ""en"", ""zh"")"),"一个普通的长袍。使你的Potionry统计而磨损。")</f>
        <v>一个普通的长袍。使你的Potionry统计而磨损。</v>
      </c>
      <c r="K150" s="25" t="str">
        <f>IFERROR(__xludf.DUMMYFUNCTION("GOOGLETRANSLATE(B150, ""en"", ""vi"")"),"Một chiếc áo choàng đơn giản. Tăng Potionry stat của bạn trong khi mặc.")</f>
        <v>Một chiếc áo choàng đơn giản. Tăng Potionry stat của bạn trong khi mặc.</v>
      </c>
      <c r="L150" s="26" t="str">
        <f>IFERROR(__xludf.DUMMYFUNCTION("GOOGLETRANSLATE(B150, ""en"", ""hr"")"),"Običan ogrtač. Povećava Potionry stat dok istrošena.")</f>
        <v>Običan ogrtač. Povećava Potionry stat dok istrošena.</v>
      </c>
      <c r="M150" s="28"/>
      <c r="N150" s="28"/>
      <c r="O150" s="28"/>
      <c r="P150" s="28"/>
      <c r="Q150" s="28"/>
      <c r="R150" s="28"/>
      <c r="S150" s="28"/>
      <c r="T150" s="28"/>
      <c r="U150" s="28"/>
      <c r="V150" s="28"/>
      <c r="W150" s="28"/>
      <c r="X150" s="28"/>
      <c r="Y150" s="28"/>
      <c r="Z150" s="28"/>
      <c r="AA150" s="28"/>
      <c r="AB150" s="28"/>
    </row>
    <row r="151">
      <c r="A151" s="21" t="s">
        <v>574</v>
      </c>
      <c r="B151" s="22" t="s">
        <v>575</v>
      </c>
      <c r="C151" s="23" t="str">
        <f>IFERROR(__xludf.DUMMYFUNCTION("GOOGLETRANSLATE(B151, ""en"", ""fr"")"),"robe Mage")</f>
        <v>robe Mage</v>
      </c>
      <c r="D151" s="23" t="str">
        <f>IFERROR(__xludf.DUMMYFUNCTION("GOOGLETRANSLATE(B151, ""en"", ""es"")"),"túnica de mago")</f>
        <v>túnica de mago</v>
      </c>
      <c r="E151" s="23" t="str">
        <f>IFERROR(__xludf.DUMMYFUNCTION("GOOGLETRANSLATE(B151, ""en"", ""ru"")"),"Mage халат")</f>
        <v>Mage халат</v>
      </c>
      <c r="F151" s="23" t="str">
        <f>IFERROR(__xludf.DUMMYFUNCTION("GOOGLETRANSLATE(B151, ""en"", ""tr"")"),"Mage elbise")</f>
        <v>Mage elbise</v>
      </c>
      <c r="G151" s="23" t="str">
        <f>IFERROR(__xludf.DUMMYFUNCTION("GOOGLETRANSLATE(B151, ""en"", ""pt"")"),"mago robe")</f>
        <v>mago robe</v>
      </c>
      <c r="H151" s="24" t="str">
        <f>IFERROR(__xludf.DUMMYFUNCTION("GOOGLETRANSLATE(B151, ""en"", ""de"")"),"Mage Robe")</f>
        <v>Mage Robe</v>
      </c>
      <c r="I151" s="23" t="str">
        <f>IFERROR(__xludf.DUMMYFUNCTION("GOOGLETRANSLATE(B151, ""en"", ""pl"")"),"Mage szata")</f>
        <v>Mage szata</v>
      </c>
      <c r="J151" s="25" t="str">
        <f>IFERROR(__xludf.DUMMYFUNCTION("GOOGLETRANSLATE(B151, ""en"", ""zh"")"),"法师长袍")</f>
        <v>法师长袍</v>
      </c>
      <c r="K151" s="25" t="str">
        <f>IFERROR(__xludf.DUMMYFUNCTION("GOOGLETRANSLATE(B151, ""en"", ""vi"")"),"Mage robe")</f>
        <v>Mage robe</v>
      </c>
      <c r="L151" s="26" t="str">
        <f>IFERROR(__xludf.DUMMYFUNCTION("GOOGLETRANSLATE(B151, ""en"", ""hr"")"),"Mage ogrtač")</f>
        <v>Mage ogrtač</v>
      </c>
      <c r="M151" s="28"/>
      <c r="N151" s="28"/>
      <c r="O151" s="28"/>
      <c r="P151" s="28"/>
      <c r="Q151" s="28"/>
      <c r="R151" s="28"/>
      <c r="S151" s="28"/>
      <c r="T151" s="28"/>
      <c r="U151" s="28"/>
      <c r="V151" s="28"/>
      <c r="W151" s="28"/>
      <c r="X151" s="28"/>
      <c r="Y151" s="28"/>
      <c r="Z151" s="28"/>
      <c r="AA151" s="28"/>
      <c r="AB151" s="28"/>
    </row>
    <row r="152">
      <c r="A152" s="21" t="s">
        <v>576</v>
      </c>
      <c r="B152" s="22" t="s">
        <v>577</v>
      </c>
      <c r="C152" s="23" t="str">
        <f>IFERROR(__xludf.DUMMYFUNCTION("GOOGLETRANSLATE(B152, ""en"", ""fr"")"),"Une robe de base pour faire de la magie en. Augmente votre stat magique tout porté.")</f>
        <v>Une robe de base pour faire de la magie en. Augmente votre stat magique tout porté.</v>
      </c>
      <c r="D152" s="23" t="str">
        <f>IFERROR(__xludf.DUMMYFUNCTION("GOOGLETRANSLATE(B152, ""en"", ""es"")"),"Una bata básico para hacer magia en. Aumenta la estadística magia mientras se usa.")</f>
        <v>Una bata básico para hacer magia en. Aumenta la estadística magia mientras se usa.</v>
      </c>
      <c r="E152" s="23" t="str">
        <f>IFERROR(__xludf.DUMMYFUNCTION("GOOGLETRANSLATE(B152, ""en"", ""ru"")"),"Основной халат для Поколдуем. Повышает Волшебный стат во время ношения.")</f>
        <v>Основной халат для Поколдуем. Повышает Волшебный стат во время ношения.</v>
      </c>
      <c r="F152" s="23" t="str">
        <f>IFERROR(__xludf.DUMMYFUNCTION("GOOGLETRANSLATE(B152, ""en"", ""tr"")"),"yıpranmış ise büyü yapmak için temel bir cübbesi. Magic, stat artırır.")</f>
        <v>yıpranmış ise büyü yapmak için temel bir cübbesi. Magic, stat artırır.</v>
      </c>
      <c r="G152" s="23" t="str">
        <f>IFERROR(__xludf.DUMMYFUNCTION("GOOGLETRANSLATE(B152, ""en"", ""pt"")"),"Um manto básico para fazer magia no. Aumenta seu status de Magia enquanto desgastado.")</f>
        <v>Um manto básico para fazer magia no. Aumenta seu status de Magia enquanto desgastado.</v>
      </c>
      <c r="H152" s="24" t="str">
        <f>IFERROR(__xludf.DUMMYFUNCTION("GOOGLETRANSLATE(B152, ""en"", ""de"")"),"Ein grundlegendes Gewand zu tun Magie. Erhöht den Zauber stat während des Tragens.")</f>
        <v>Ein grundlegendes Gewand zu tun Magie. Erhöht den Zauber stat während des Tragens.</v>
      </c>
      <c r="I152" s="23" t="str">
        <f>IFERROR(__xludf.DUMMYFUNCTION("GOOGLETRANSLATE(B152, ""en"", ""pl"")"),"Podstawowym szata dla prowadzenia magii. Zwiększa Magiczny stat podczas noszenia.")</f>
        <v>Podstawowym szata dla prowadzenia magii. Zwiększa Magiczny stat podczas noszenia.</v>
      </c>
      <c r="J152" s="25" t="str">
        <f>IFERROR(__xludf.DUMMYFUNCTION("GOOGLETRANSLATE(B152, ""en"", ""zh"")"),"在做魔术的基本长袍。使你的魔统计而磨损。")</f>
        <v>在做魔术的基本长袍。使你的魔统计而磨损。</v>
      </c>
      <c r="K152" s="25" t="str">
        <f>IFERROR(__xludf.DUMMYFUNCTION("GOOGLETRANSLATE(B152,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52" s="26" t="str">
        <f>IFERROR(__xludf.DUMMYFUNCTION("GOOGLETRANSLATE(B152, ""en"", ""hr"")"),"Osnovni ogrtač za obavljanje magijom. Povećava Magic stat dok istrošena.")</f>
        <v>Osnovni ogrtač za obavljanje magijom. Povećava Magic stat dok istrošena.</v>
      </c>
      <c r="M152" s="28"/>
      <c r="N152" s="28"/>
      <c r="O152" s="28"/>
      <c r="P152" s="28"/>
      <c r="Q152" s="28"/>
      <c r="R152" s="28"/>
      <c r="S152" s="28"/>
      <c r="T152" s="28"/>
      <c r="U152" s="28"/>
      <c r="V152" s="28"/>
      <c r="W152" s="28"/>
      <c r="X152" s="28"/>
      <c r="Y152" s="28"/>
      <c r="Z152" s="28"/>
      <c r="AA152" s="28"/>
      <c r="AB152" s="28"/>
    </row>
    <row r="153">
      <c r="A153" s="21" t="s">
        <v>578</v>
      </c>
      <c r="B153" s="22" t="s">
        <v>579</v>
      </c>
      <c r="C153" s="23" t="str">
        <f>IFERROR(__xludf.DUMMYFUNCTION("GOOGLETRANSLATE(B153, ""en"", ""fr"")"),"robe nécromancien")</f>
        <v>robe nécromancien</v>
      </c>
      <c r="D153" s="23" t="str">
        <f>IFERROR(__xludf.DUMMYFUNCTION("GOOGLETRANSLATE(B153, ""en"", ""es"")"),"bata Nigromante")</f>
        <v>bata Nigromante</v>
      </c>
      <c r="E153" s="23" t="str">
        <f>IFERROR(__xludf.DUMMYFUNCTION("GOOGLETRANSLATE(B153, ""en"", ""ru"")"),"Некромант халат")</f>
        <v>Некромант халат</v>
      </c>
      <c r="F153" s="23" t="str">
        <f>IFERROR(__xludf.DUMMYFUNCTION("GOOGLETRANSLATE(B153, ""en"", ""tr"")"),"Necromancer elbise")</f>
        <v>Necromancer elbise</v>
      </c>
      <c r="G153" s="23" t="str">
        <f>IFERROR(__xludf.DUMMYFUNCTION("GOOGLETRANSLATE(B153, ""en"", ""pt"")"),"Necromancer robe")</f>
        <v>Necromancer robe</v>
      </c>
      <c r="H153" s="24" t="str">
        <f>IFERROR(__xludf.DUMMYFUNCTION("GOOGLETRANSLATE(B153, ""en"", ""de"")"),"Necromancer Gewand")</f>
        <v>Necromancer Gewand</v>
      </c>
      <c r="I153" s="23" t="str">
        <f>IFERROR(__xludf.DUMMYFUNCTION("GOOGLETRANSLATE(B153, ""en"", ""pl"")"),"Nekromanta szata")</f>
        <v>Nekromanta szata</v>
      </c>
      <c r="J153" s="25" t="str">
        <f>IFERROR(__xludf.DUMMYFUNCTION("GOOGLETRANSLATE(B153, ""en"", ""zh"")"),"亡灵巫师长袍")</f>
        <v>亡灵巫师长袍</v>
      </c>
      <c r="K153" s="25" t="str">
        <f>IFERROR(__xludf.DUMMYFUNCTION("GOOGLETRANSLATE(B153, ""en"", ""vi"")"),"Necromancer robe")</f>
        <v>Necromancer robe</v>
      </c>
      <c r="L153" s="26" t="str">
        <f>IFERROR(__xludf.DUMMYFUNCTION("GOOGLETRANSLATE(B153, ""en"", ""hr"")"),"Necromancer ogrtač")</f>
        <v>Necromancer ogrtač</v>
      </c>
      <c r="M153" s="28"/>
      <c r="N153" s="28"/>
      <c r="O153" s="28"/>
      <c r="P153" s="28"/>
      <c r="Q153" s="28"/>
      <c r="R153" s="28"/>
      <c r="S153" s="28"/>
      <c r="T153" s="28"/>
      <c r="U153" s="28"/>
      <c r="V153" s="28"/>
      <c r="W153" s="28"/>
      <c r="X153" s="28"/>
      <c r="Y153" s="28"/>
      <c r="Z153" s="28"/>
      <c r="AA153" s="28"/>
      <c r="AB153" s="28"/>
    </row>
    <row r="154">
      <c r="A154" s="21" t="s">
        <v>580</v>
      </c>
      <c r="B154" s="22" t="s">
        <v>577</v>
      </c>
      <c r="C154" s="23" t="str">
        <f>IFERROR(__xludf.DUMMYFUNCTION("GOOGLETRANSLATE(B154, ""en"", ""fr"")"),"Une robe de base pour faire de la magie en. Augmente votre stat magique tout porté.")</f>
        <v>Une robe de base pour faire de la magie en. Augmente votre stat magique tout porté.</v>
      </c>
      <c r="D154" s="23" t="str">
        <f>IFERROR(__xludf.DUMMYFUNCTION("GOOGLETRANSLATE(B154, ""en"", ""es"")"),"Una bata básico para hacer magia en. Aumenta la estadística magia mientras se usa.")</f>
        <v>Una bata básico para hacer magia en. Aumenta la estadística magia mientras se usa.</v>
      </c>
      <c r="E154" s="23" t="str">
        <f>IFERROR(__xludf.DUMMYFUNCTION("GOOGLETRANSLATE(B154, ""en"", ""ru"")"),"Основной халат для Поколдуем. Повышает Волшебный стат во время ношения.")</f>
        <v>Основной халат для Поколдуем. Повышает Волшебный стат во время ношения.</v>
      </c>
      <c r="F154" s="23" t="str">
        <f>IFERROR(__xludf.DUMMYFUNCTION("GOOGLETRANSLATE(B154, ""en"", ""tr"")"),"yıpranmış ise büyü yapmak için temel bir cübbesi. Magic, stat artırır.")</f>
        <v>yıpranmış ise büyü yapmak için temel bir cübbesi. Magic, stat artırır.</v>
      </c>
      <c r="G154" s="23" t="str">
        <f>IFERROR(__xludf.DUMMYFUNCTION("GOOGLETRANSLATE(B154, ""en"", ""pt"")"),"Um manto básico para fazer magia no. Aumenta seu status de Magia enquanto desgastado.")</f>
        <v>Um manto básico para fazer magia no. Aumenta seu status de Magia enquanto desgastado.</v>
      </c>
      <c r="H154" s="24" t="str">
        <f>IFERROR(__xludf.DUMMYFUNCTION("GOOGLETRANSLATE(B154, ""en"", ""de"")"),"Ein grundlegendes Gewand zu tun Magie. Erhöht den Zauber stat während des Tragens.")</f>
        <v>Ein grundlegendes Gewand zu tun Magie. Erhöht den Zauber stat während des Tragens.</v>
      </c>
      <c r="I154" s="23" t="str">
        <f>IFERROR(__xludf.DUMMYFUNCTION("GOOGLETRANSLATE(B154, ""en"", ""pl"")"),"Podstawowym szata dla prowadzenia magii. Zwiększa Magiczny stat podczas noszenia.")</f>
        <v>Podstawowym szata dla prowadzenia magii. Zwiększa Magiczny stat podczas noszenia.</v>
      </c>
      <c r="J154" s="25" t="str">
        <f>IFERROR(__xludf.DUMMYFUNCTION("GOOGLETRANSLATE(B154, ""en"", ""zh"")"),"在做魔术的基本长袍。使你的魔统计而磨损。")</f>
        <v>在做魔术的基本长袍。使你的魔统计而磨损。</v>
      </c>
      <c r="K154" s="25" t="str">
        <f>IFERROR(__xludf.DUMMYFUNCTION("GOOGLETRANSLATE(B154,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54" s="26" t="str">
        <f>IFERROR(__xludf.DUMMYFUNCTION("GOOGLETRANSLATE(B154, ""en"", ""hr"")"),"Osnovni ogrtač za obavljanje magijom. Povećava Magic stat dok istrošena.")</f>
        <v>Osnovni ogrtač za obavljanje magijom. Povećava Magic stat dok istrošena.</v>
      </c>
      <c r="M154" s="28"/>
      <c r="N154" s="28"/>
      <c r="O154" s="28"/>
      <c r="P154" s="28"/>
      <c r="Q154" s="28"/>
      <c r="R154" s="28"/>
      <c r="S154" s="28"/>
      <c r="T154" s="28"/>
      <c r="U154" s="28"/>
      <c r="V154" s="28"/>
      <c r="W154" s="28"/>
      <c r="X154" s="28"/>
      <c r="Y154" s="28"/>
      <c r="Z154" s="28"/>
      <c r="AA154" s="28"/>
      <c r="AB154" s="28"/>
    </row>
    <row r="155">
      <c r="A155" s="21" t="s">
        <v>581</v>
      </c>
      <c r="B155" s="22" t="s">
        <v>582</v>
      </c>
      <c r="C155" s="23" t="str">
        <f>IFERROR(__xludf.DUMMYFUNCTION("GOOGLETRANSLATE(B155, ""en"", ""fr"")"),"Manteau")</f>
        <v>Manteau</v>
      </c>
      <c r="D155" s="23" t="str">
        <f>IFERROR(__xludf.DUMMYFUNCTION("GOOGLETRANSLATE(B155, ""en"", ""es"")"),"Capa")</f>
        <v>Capa</v>
      </c>
      <c r="E155" s="23" t="str">
        <f>IFERROR(__xludf.DUMMYFUNCTION("GOOGLETRANSLATE(B155, ""en"", ""ru"")"),"плащ")</f>
        <v>плащ</v>
      </c>
      <c r="F155" s="23" t="str">
        <f>IFERROR(__xludf.DUMMYFUNCTION("GOOGLETRANSLATE(B155, ""en"", ""tr"")"),"Pelerin")</f>
        <v>Pelerin</v>
      </c>
      <c r="G155" s="23" t="str">
        <f>IFERROR(__xludf.DUMMYFUNCTION("GOOGLETRANSLATE(B155, ""en"", ""pt"")"),"Capa")</f>
        <v>Capa</v>
      </c>
      <c r="H155" s="24" t="str">
        <f>IFERROR(__xludf.DUMMYFUNCTION("GOOGLETRANSLATE(B155, ""en"", ""de"")"),"Mantel")</f>
        <v>Mantel</v>
      </c>
      <c r="I155" s="23" t="str">
        <f>IFERROR(__xludf.DUMMYFUNCTION("GOOGLETRANSLATE(B155, ""en"", ""pl"")"),"Płaszcz")</f>
        <v>Płaszcz</v>
      </c>
      <c r="J155" s="25" t="str">
        <f>IFERROR(__xludf.DUMMYFUNCTION("GOOGLETRANSLATE(B155, ""en"", ""zh"")"),"披风")</f>
        <v>披风</v>
      </c>
      <c r="K155" s="25" t="str">
        <f>IFERROR(__xludf.DUMMYFUNCTION("GOOGLETRANSLATE(B155, ""en"", ""vi"")"),"áo choàng")</f>
        <v>áo choàng</v>
      </c>
      <c r="L155" s="26" t="str">
        <f>IFERROR(__xludf.DUMMYFUNCTION("GOOGLETRANSLATE(B155, ""en"", ""hr"")"),"Plašt")</f>
        <v>Plašt</v>
      </c>
      <c r="M155" s="28"/>
      <c r="N155" s="28"/>
      <c r="O155" s="28"/>
      <c r="P155" s="28"/>
      <c r="Q155" s="28"/>
      <c r="R155" s="28"/>
      <c r="S155" s="28"/>
      <c r="T155" s="28"/>
      <c r="U155" s="28"/>
      <c r="V155" s="28"/>
      <c r="W155" s="28"/>
      <c r="X155" s="28"/>
      <c r="Y155" s="28"/>
      <c r="Z155" s="28"/>
      <c r="AA155" s="28"/>
      <c r="AB155" s="28"/>
    </row>
    <row r="156">
      <c r="A156" s="21" t="s">
        <v>583</v>
      </c>
      <c r="B156" s="22" t="s">
        <v>584</v>
      </c>
      <c r="C156" s="23" t="str">
        <f>IFERROR(__xludf.DUMMYFUNCTION("GOOGLETRANSLATE(B156, ""en"", ""fr"")"),"Un manteau de base pour le faire à distance. Les augmentations de votre stat tout porté à distance.")</f>
        <v>Un manteau de base pour le faire à distance. Les augmentations de votre stat tout porté à distance.</v>
      </c>
      <c r="D156" s="23" t="str">
        <f>IFERROR(__xludf.DUMMYFUNCTION("GOOGLETRANSLATE(B156, ""en"", ""es"")"),"Una capa básica para hacer oscilado en. Aumenta la estadística a distancia mientras se usa.")</f>
        <v>Una capa básica para hacer oscilado en. Aumenta la estadística a distancia mientras se usa.</v>
      </c>
      <c r="E156" s="23" t="str">
        <f>IFERROR(__xludf.DUMMYFUNCTION("GOOGLETRANSLATE(B156, ""en"", ""ru"")"),"Основной плащ для выполнения варьировались. Повышает дальний бой стат во время ношения.")</f>
        <v>Основной плащ для выполнения варьировались. Повышает дальний бой стат во время ношения.</v>
      </c>
      <c r="F156" s="23" t="str">
        <f>IFERROR(__xludf.DUMMYFUNCTION("GOOGLETRANSLATE(B156, ""en"", ""tr"")"),"yıpranmış ederken değişmekteydi yapmak için bir temel pelerin. sizin Menzilli, stat artırır.")</f>
        <v>yıpranmış ederken değişmekteydi yapmak için bir temel pelerin. sizin Menzilli, stat artırır.</v>
      </c>
      <c r="G156" s="23" t="str">
        <f>IFERROR(__xludf.DUMMYFUNCTION("GOOGLETRANSLATE(B156, ""en"", ""pt"")"),"Um manto básica para fazer variou dentro. Aumenta seu status de Combate à distância enquanto desgastado.")</f>
        <v>Um manto básica para fazer variou dentro. Aumenta seu status de Combate à distância enquanto desgastado.</v>
      </c>
      <c r="H156" s="24" t="str">
        <f>IFERROR(__xludf.DUMMYFUNCTION("GOOGLETRANSLATE(B156, ""en"", ""de"")"),"Ein Grund Mantel für in reichte zu tun. Erhöht Eure Distanz stat während des Tragens.")</f>
        <v>Ein Grund Mantel für in reichte zu tun. Erhöht Eure Distanz stat während des Tragens.</v>
      </c>
      <c r="I156" s="23" t="str">
        <f>IFERROR(__xludf.DUMMYFUNCTION("GOOGLETRANSLATE(B156, ""en"", ""pl"")"),"Podstawowym płaszcz do prowadzenia wahał się. Zwiększa Ranged stat podczas noszenia.")</f>
        <v>Podstawowym płaszcz do prowadzenia wahał się. Zwiększa Ranged stat podczas noszenia.</v>
      </c>
      <c r="J156" s="25" t="str">
        <f>IFERROR(__xludf.DUMMYFUNCTION("GOOGLETRANSLATE(B156, ""en"", ""zh"")"),"在做着范围基本斗篷。使你的远程统计，而磨损。")</f>
        <v>在做着范围基本斗篷。使你的远程统计，而磨损。</v>
      </c>
      <c r="K156" s="25" t="str">
        <f>IFERROR(__xludf.DUMMYFUNCTION("GOOGLETRANSLATE(B156, ""en"", ""vi"")"),"Một chiếc áo choàng cơ bản để thực hiện dao động trong. Tăng stat Ranged của bạn trong khi mặc.")</f>
        <v>Một chiếc áo choàng cơ bản để thực hiện dao động trong. Tăng stat Ranged của bạn trong khi mặc.</v>
      </c>
      <c r="L156" s="26" t="str">
        <f>IFERROR(__xludf.DUMMYFUNCTION("GOOGLETRANSLATE(B156, ""en"", ""hr"")"),"Osnovni plašt za događaj u rasponu. Povećava kretala stat dok istrošena.")</f>
        <v>Osnovni plašt za događaj u rasponu. Povećava kretala stat dok istrošena.</v>
      </c>
      <c r="M156" s="28"/>
      <c r="N156" s="28"/>
      <c r="O156" s="28"/>
      <c r="P156" s="28"/>
      <c r="Q156" s="28"/>
      <c r="R156" s="28"/>
      <c r="S156" s="28"/>
      <c r="T156" s="28"/>
      <c r="U156" s="28"/>
      <c r="V156" s="28"/>
      <c r="W156" s="28"/>
      <c r="X156" s="28"/>
      <c r="Y156" s="28"/>
      <c r="Z156" s="28"/>
      <c r="AA156" s="28"/>
      <c r="AB156" s="28"/>
    </row>
    <row r="157">
      <c r="A157" s="21" t="s">
        <v>585</v>
      </c>
      <c r="B157" s="22" t="s">
        <v>586</v>
      </c>
      <c r="C157" s="23" t="str">
        <f>IFERROR(__xludf.DUMMYFUNCTION("GOOGLETRANSLATE(B157, ""en"", ""fr"")"),"tenue Ninja")</f>
        <v>tenue Ninja</v>
      </c>
      <c r="D157" s="23" t="str">
        <f>IFERROR(__xludf.DUMMYFUNCTION("GOOGLETRANSLATE(B157, ""en"", ""es"")"),"atuendo Ninja")</f>
        <v>atuendo Ninja</v>
      </c>
      <c r="E157" s="23" t="str">
        <f>IFERROR(__xludf.DUMMYFUNCTION("GOOGLETRANSLATE(B157, ""en"", ""ru"")"),"Ninja одеяние")</f>
        <v>Ninja одеяние</v>
      </c>
      <c r="F157" s="23" t="str">
        <f>IFERROR(__xludf.DUMMYFUNCTION("GOOGLETRANSLATE(B157, ""en"", ""tr"")"),"Ninja garb")</f>
        <v>Ninja garb</v>
      </c>
      <c r="G157" s="23" t="str">
        <f>IFERROR(__xludf.DUMMYFUNCTION("GOOGLETRANSLATE(B157, ""en"", ""pt"")"),"traje Ninja")</f>
        <v>traje Ninja</v>
      </c>
      <c r="H157" s="24" t="str">
        <f>IFERROR(__xludf.DUMMYFUNCTION("GOOGLETRANSLATE(B157, ""en"", ""de"")"),"Ninja Gewand")</f>
        <v>Ninja Gewand</v>
      </c>
      <c r="I157" s="23" t="str">
        <f>IFERROR(__xludf.DUMMYFUNCTION("GOOGLETRANSLATE(B157, ""en"", ""pl"")"),"strój ninja")</f>
        <v>strój ninja</v>
      </c>
      <c r="J157" s="25" t="str">
        <f>IFERROR(__xludf.DUMMYFUNCTION("GOOGLETRANSLATE(B157, ""en"", ""zh"")"),"忍者装束")</f>
        <v>忍者装束</v>
      </c>
      <c r="K157" s="25" t="str">
        <f>IFERROR(__xludf.DUMMYFUNCTION("GOOGLETRANSLATE(B157, ""en"", ""vi"")"),"Ninja trang phục")</f>
        <v>Ninja trang phục</v>
      </c>
      <c r="L157" s="26" t="str">
        <f>IFERROR(__xludf.DUMMYFUNCTION("GOOGLETRANSLATE(B157, ""en"", ""hr"")"),"ninja odjeća")</f>
        <v>ninja odjeća</v>
      </c>
      <c r="M157" s="28"/>
      <c r="N157" s="28"/>
      <c r="O157" s="28"/>
      <c r="P157" s="28"/>
      <c r="Q157" s="28"/>
      <c r="R157" s="28"/>
      <c r="S157" s="28"/>
      <c r="T157" s="28"/>
      <c r="U157" s="28"/>
      <c r="V157" s="28"/>
      <c r="W157" s="28"/>
      <c r="X157" s="28"/>
      <c r="Y157" s="28"/>
      <c r="Z157" s="28"/>
      <c r="AA157" s="28"/>
      <c r="AB157" s="28"/>
    </row>
    <row r="158">
      <c r="A158" s="21" t="s">
        <v>587</v>
      </c>
      <c r="B158" s="22" t="s">
        <v>588</v>
      </c>
      <c r="C158" s="23" t="str">
        <f>IFERROR(__xludf.DUMMYFUNCTION("GOOGLETRANSLATE(B158, ""en"", ""fr"")"),"Augmente vos stats mêlée et à distance et cache votre nom tout porté.")</f>
        <v>Augmente vos stats mêlée et à distance et cache votre nom tout porté.</v>
      </c>
      <c r="D158" s="23" t="str">
        <f>IFERROR(__xludf.DUMMYFUNCTION("GOOGLETRANSLATE(B158, ""en"", ""es"")"),"Aumenta tus estadísticas cuerpo a cuerpo ya distancia y oculta su nombre mientras se usa.")</f>
        <v>Aumenta tus estadísticas cuerpo a cuerpo ya distancia y oculta su nombre mientras se usa.</v>
      </c>
      <c r="E158" s="23" t="str">
        <f>IFERROR(__xludf.DUMMYFUNCTION("GOOGLETRANSLATE(B158, ""en"", ""ru"")"),"Увеличивает ближнего и дальнего боя статистику и скрывает свое имя во время ношения.")</f>
        <v>Увеличивает ближнего и дальнего боя статистику и скрывает свое имя во время ношения.</v>
      </c>
      <c r="F158" s="23" t="str">
        <f>IFERROR(__xludf.DUMMYFUNCTION("GOOGLETRANSLATE(B158, ""en"", ""tr"")"),"sizin Melee ve Menzilli istatistikleri artırır ve yıpranmış da sizin adınızı gizler.")</f>
        <v>sizin Melee ve Menzilli istatistikleri artırır ve yıpranmış da sizin adınızı gizler.</v>
      </c>
      <c r="G158" s="23" t="str">
        <f>IFERROR(__xludf.DUMMYFUNCTION("GOOGLETRANSLATE(B158, ""en"", ""pt"")"),"Aumenta suas estatísticas corpo a corpo e de longo alcance e esconde seu nome enquanto desgastado.")</f>
        <v>Aumenta suas estatísticas corpo a corpo e de longo alcance e esconde seu nome enquanto desgastado.</v>
      </c>
      <c r="H158" s="24" t="str">
        <f>IFERROR(__xludf.DUMMYFUNCTION("GOOGLETRANSLATE(B158, ""en"", ""de"")"),"Erhöht Eure Nahkampf- und Distanz Statistiken und versteckt Ihren Namen während des Tragens.")</f>
        <v>Erhöht Eure Nahkampf- und Distanz Statistiken und versteckt Ihren Namen während des Tragens.</v>
      </c>
      <c r="I158" s="23" t="str">
        <f>IFERROR(__xludf.DUMMYFUNCTION("GOOGLETRANSLATE(B158, ""en"", ""pl"")"),"Zwiększa walce wręcz oraz dystansowych statystyk i ukrywa swoje nazwisko podczas noszenia.")</f>
        <v>Zwiększa walce wręcz oraz dystansowych statystyk i ukrywa swoje nazwisko podczas noszenia.</v>
      </c>
      <c r="J158" s="25" t="str">
        <f>IFERROR(__xludf.DUMMYFUNCTION("GOOGLETRANSLATE(B158, ""en"", ""zh"")"),"使你的近战和远程统计信息和隐藏你的名字，而磨损。")</f>
        <v>使你的近战和远程统计信息和隐藏你的名字，而磨损。</v>
      </c>
      <c r="K158" s="25" t="str">
        <f>IFERROR(__xludf.DUMMYFUNCTION("GOOGLETRANSLATE(B158, ""en"", ""vi"")"),"Tăng số liệu thống kê Melee và Ranged của bạn và giấu tên của bạn trong khi mặc.")</f>
        <v>Tăng số liệu thống kê Melee và Ranged của bạn và giấu tên của bạn trong khi mặc.</v>
      </c>
      <c r="L158" s="26" t="str">
        <f>IFERROR(__xludf.DUMMYFUNCTION("GOOGLETRANSLATE(B158, ""en"", ""hr"")"),"Povećava gužva i kretao se statistika i skriva svoje ime, a nosio.")</f>
        <v>Povećava gužva i kretao se statistika i skriva svoje ime, a nosio.</v>
      </c>
      <c r="M158" s="28"/>
      <c r="N158" s="28"/>
      <c r="O158" s="28"/>
      <c r="P158" s="28"/>
      <c r="Q158" s="28"/>
      <c r="R158" s="28"/>
      <c r="S158" s="28"/>
      <c r="T158" s="28"/>
      <c r="U158" s="28"/>
      <c r="V158" s="28"/>
      <c r="W158" s="28"/>
      <c r="X158" s="28"/>
      <c r="Y158" s="28"/>
      <c r="Z158" s="28"/>
      <c r="AA158" s="28"/>
      <c r="AB158" s="28"/>
    </row>
    <row r="159">
      <c r="A159" s="21" t="s">
        <v>589</v>
      </c>
      <c r="B159" s="22" t="s">
        <v>590</v>
      </c>
      <c r="C159" s="23" t="str">
        <f>IFERROR(__xludf.DUMMYFUNCTION("GOOGLETRANSLATE(B159, ""en"", ""fr"")"),"Charte")</f>
        <v>Charte</v>
      </c>
      <c r="D159" s="23" t="str">
        <f>IFERROR(__xludf.DUMMYFUNCTION("GOOGLETRANSLATE(B159, ""en"", ""es"")"),"Carta")</f>
        <v>Carta</v>
      </c>
      <c r="E159" s="23" t="str">
        <f>IFERROR(__xludf.DUMMYFUNCTION("GOOGLETRANSLATE(B159, ""en"", ""ru"")"),"чартер")</f>
        <v>чартер</v>
      </c>
      <c r="F159" s="23" t="str">
        <f>IFERROR(__xludf.DUMMYFUNCTION("GOOGLETRANSLATE(B159, ""en"", ""tr"")"),"tüzük")</f>
        <v>tüzük</v>
      </c>
      <c r="G159" s="23" t="str">
        <f>IFERROR(__xludf.DUMMYFUNCTION("GOOGLETRANSLATE(B159, ""en"", ""pt"")"),"fretar")</f>
        <v>fretar</v>
      </c>
      <c r="H159" s="24" t="str">
        <f>IFERROR(__xludf.DUMMYFUNCTION("GOOGLETRANSLATE(B159, ""en"", ""de"")"),"Charta")</f>
        <v>Charta</v>
      </c>
      <c r="I159" s="23" t="str">
        <f>IFERROR(__xludf.DUMMYFUNCTION("GOOGLETRANSLATE(B159, ""en"", ""pl"")"),"Czarter")</f>
        <v>Czarter</v>
      </c>
      <c r="J159" s="25" t="str">
        <f>IFERROR(__xludf.DUMMYFUNCTION("GOOGLETRANSLATE(B159, ""en"", ""zh"")"),"宪章")</f>
        <v>宪章</v>
      </c>
      <c r="K159" s="25" t="str">
        <f>IFERROR(__xludf.DUMMYFUNCTION("GOOGLETRANSLATE(B159, ""en"", ""vi"")"),"hiến chương")</f>
        <v>hiến chương</v>
      </c>
      <c r="L159" s="26" t="str">
        <f>IFERROR(__xludf.DUMMYFUNCTION("GOOGLETRANSLATE(B159, ""en"", ""hr"")"),"Čarter")</f>
        <v>Čarter</v>
      </c>
      <c r="M159" s="28"/>
      <c r="N159" s="28"/>
      <c r="O159" s="28"/>
      <c r="P159" s="28"/>
      <c r="Q159" s="28"/>
      <c r="R159" s="28"/>
      <c r="S159" s="28"/>
      <c r="T159" s="28"/>
      <c r="U159" s="28"/>
      <c r="V159" s="28"/>
      <c r="W159" s="28"/>
      <c r="X159" s="28"/>
      <c r="Y159" s="28"/>
      <c r="Z159" s="28"/>
      <c r="AA159" s="28"/>
      <c r="AB159" s="28"/>
    </row>
    <row r="160">
      <c r="A160" s="21" t="s">
        <v>591</v>
      </c>
      <c r="B160" s="22" t="s">
        <v>592</v>
      </c>
      <c r="C160" s="23" t="str">
        <f>IFERROR(__xludf.DUMMYFUNCTION("GOOGLETRANSLATE(B160,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160" s="23" t="str">
        <f>IFERROR(__xludf.DUMMYFUNCTION("GOOGLETRANSLATE(B160, ""en"", ""es"")"),"estructura del clan. Lugar para comenzar un clan. Se utiliza para diseñar otras estructuras de clan. Si esto se destruye, el clan y todas las estructuras son también destruidos.")</f>
        <v>estructura del clan. Lugar para comenzar un clan. Se utiliza para diseñar otras estructuras de clan. Si esto se destruye, el clan y todas las estructuras son también destruidos.</v>
      </c>
      <c r="E160" s="23" t="str">
        <f>IFERROR(__xludf.DUMMYFUNCTION("GOOGLETRANSLATE(B160, ""en"", ""ru"")"),"Структура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f>
        <v>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v>
      </c>
      <c r="F160" s="23" t="str">
        <f>IFERROR(__xludf.DUMMYFUNCTION("GOOGLETRANSLATE(B160, ""en"", ""tr"")"),"Klan yapısı. Bir klan kurmak yerleştirin. Diğer klan yapılarını zanaat kullanılır. Bu tahrip edilirse, klan ve tüm yapılar da yok edilir.")</f>
        <v>Klan yapısı. Bir klan kurmak yerleştirin. Diğer klan yapılarını zanaat kullanılır. Bu tahrip edilirse, klan ve tüm yapılar da yok edilir.</v>
      </c>
      <c r="G160" s="23" t="str">
        <f>IFERROR(__xludf.DUMMYFUNCTION("GOOGLETRANSLATE(B160, ""en"", ""pt"")"),"estrutura clã. Lugar para começar um clã. Usado para criar outras estruturas do clã. Se isso for destruído, o clã e todas as estruturas também são destruídos.")</f>
        <v>estrutura clã. Lugar para começar um clã. Usado para criar outras estruturas do clã. Se isso for destruído, o clã e todas as estruturas também são destruídos.</v>
      </c>
      <c r="H160" s="24" t="str">
        <f>IFERROR(__xludf.DUMMYFUNCTION("GOOGLETRANSLATE(B160, ""en"", ""de"")"),"Clan-Struktur. Legen Sie einen Clan zu starten. Wird verwendet, um andere Clanstrukturen herstellt. Wenn diese zerstört wird, werden die Clans und alle Strukturen auch zerstört.")</f>
        <v>Clan-Struktur. Legen Sie einen Clan zu starten. Wird verwendet, um andere Clanstrukturen herstellt. Wenn diese zerstört wird, werden die Clans und alle Strukturen auch zerstört.</v>
      </c>
      <c r="I160" s="23" t="str">
        <f>IFERROR(__xludf.DUMMYFUNCTION("GOOGLETRANSLATE(B160, ""en"", ""pl"")"),"Struktura klanu. Miejsce do rozpoczęcia klan. Stosowane do jednostek innych struktur klanowych. Jeśli to jest zniszczona, klan, a wszystkie struktury są również zniszczone.")</f>
        <v>Struktura klanu. Miejsce do rozpoczęcia klan. Stosowane do jednostek innych struktur klanowych. Jeśli to jest zniszczona, klan, a wszystkie struktury są również zniszczone.</v>
      </c>
      <c r="J160" s="25" t="str">
        <f>IFERROR(__xludf.DUMMYFUNCTION("GOOGLETRANSLATE(B160, ""en"", ""zh"")"),"部族结构。开始的地方氏族。用于手艺其他氏族的结构。如果被破坏，氏族和所有的结构也被破坏了。")</f>
        <v>部族结构。开始的地方氏族。用于手艺其他氏族的结构。如果被破坏，氏族和所有的结构也被破坏了。</v>
      </c>
      <c r="K160" s="25" t="str">
        <f>IFERROR(__xludf.DUMMYFUNCTION("GOOGLETRANSLATE(B160, ""en"", ""vi"")"),"Clan cấu trúc. Đặt để bắt đầu một gia tộc. Dùng để craft cấu trúc tộc khác. Nếu đây bị phá hủy, gia tộc và tất cả các cấu trúc cũng bị phá hủy.")</f>
        <v>Clan cấu trúc. Đặt để bắt đầu một gia tộc. Dùng để craft cấu trúc tộc khác. Nếu đây bị phá hủy, gia tộc và tất cả các cấu trúc cũng bị phá hủy.</v>
      </c>
      <c r="L160" s="26" t="str">
        <f>IFERROR(__xludf.DUMMYFUNCTION("GOOGLETRANSLATE(B160, ""en"", ""hr"")"),"Clan struktura. Mjesto za početak klan. Koristi se za obrt i druge klana strukture. Ako je to uništeno, klan i sve strukture su uništeni.")</f>
        <v>Clan struktura. Mjesto za početak klan. Koristi se za obrt i druge klana strukture. Ako je to uništeno, klan i sve strukture su uništeni.</v>
      </c>
      <c r="M160" s="28"/>
      <c r="N160" s="28"/>
      <c r="O160" s="28"/>
      <c r="P160" s="28"/>
      <c r="Q160" s="28"/>
      <c r="R160" s="28"/>
      <c r="S160" s="28"/>
      <c r="T160" s="28"/>
      <c r="U160" s="28"/>
      <c r="V160" s="28"/>
      <c r="W160" s="28"/>
      <c r="X160" s="28"/>
      <c r="Y160" s="28"/>
      <c r="Z160" s="28"/>
      <c r="AA160" s="28"/>
      <c r="AB160" s="28"/>
    </row>
    <row r="161">
      <c r="A161" s="21" t="s">
        <v>593</v>
      </c>
      <c r="B161" s="22" t="s">
        <v>594</v>
      </c>
      <c r="C161" s="23" t="str">
        <f>IFERROR(__xludf.DUMMYFUNCTION("GOOGLETRANSLATE(B161, ""en"", ""fr"")"),"Mur de bois")</f>
        <v>Mur de bois</v>
      </c>
      <c r="D161" s="23" t="str">
        <f>IFERROR(__xludf.DUMMYFUNCTION("GOOGLETRANSLATE(B161, ""en"", ""es"")"),"pared de madera")</f>
        <v>pared de madera</v>
      </c>
      <c r="E161" s="23" t="str">
        <f>IFERROR(__xludf.DUMMYFUNCTION("GOOGLETRANSLATE(B161, ""en"", ""ru"")"),"Дерево стены")</f>
        <v>Дерево стены</v>
      </c>
      <c r="F161" s="23" t="str">
        <f>IFERROR(__xludf.DUMMYFUNCTION("GOOGLETRANSLATE(B161, ""en"", ""tr"")"),"Tahta duvar")</f>
        <v>Tahta duvar</v>
      </c>
      <c r="G161" s="23" t="str">
        <f>IFERROR(__xludf.DUMMYFUNCTION("GOOGLETRANSLATE(B161, ""en"", ""pt"")"),"Parede de madeira")</f>
        <v>Parede de madeira</v>
      </c>
      <c r="H161" s="24" t="str">
        <f>IFERROR(__xludf.DUMMYFUNCTION("GOOGLETRANSLATE(B161, ""en"", ""de"")"),"Holzwand")</f>
        <v>Holzwand</v>
      </c>
      <c r="I161" s="23" t="str">
        <f>IFERROR(__xludf.DUMMYFUNCTION("GOOGLETRANSLATE(B161, ""en"", ""pl"")"),"Drewniana ściana")</f>
        <v>Drewniana ściana</v>
      </c>
      <c r="J161" s="25" t="str">
        <f>IFERROR(__xludf.DUMMYFUNCTION("GOOGLETRANSLATE(B161, ""en"", ""zh"")"),"木墙上")</f>
        <v>木墙上</v>
      </c>
      <c r="K161" s="25" t="str">
        <f>IFERROR(__xludf.DUMMYFUNCTION("GOOGLETRANSLATE(B161, ""en"", ""vi"")"),"tường gỗ")</f>
        <v>tường gỗ</v>
      </c>
      <c r="L161" s="26" t="str">
        <f>IFERROR(__xludf.DUMMYFUNCTION("GOOGLETRANSLATE(B161, ""en"", ""hr"")"),"drvo zid")</f>
        <v>drvo zid</v>
      </c>
      <c r="M161" s="28"/>
      <c r="N161" s="28"/>
      <c r="O161" s="28"/>
      <c r="P161" s="28"/>
      <c r="Q161" s="28"/>
      <c r="R161" s="28"/>
      <c r="S161" s="28"/>
      <c r="T161" s="28"/>
      <c r="U161" s="28"/>
      <c r="V161" s="28"/>
      <c r="W161" s="28"/>
      <c r="X161" s="28"/>
      <c r="Y161" s="28"/>
      <c r="Z161" s="28"/>
      <c r="AA161" s="28"/>
      <c r="AB161" s="28"/>
    </row>
    <row r="162">
      <c r="A162" s="21" t="s">
        <v>595</v>
      </c>
      <c r="B162" s="22" t="s">
        <v>596</v>
      </c>
      <c r="C162" s="23" t="str">
        <f>IFERROR(__xludf.DUMMYFUNCTION("GOOGLETRANSLATE(B162, ""en"", ""fr"")"),"Structure du clan. A faible profondeur d'une base.")</f>
        <v>Structure du clan. A faible profondeur d'une base.</v>
      </c>
      <c r="D162" s="23" t="str">
        <f>IFERROR(__xludf.DUMMYFUNCTION("GOOGLETRANSLATE(B162, ""en"", ""es"")"),"estructura del clan. Una defensa débil para una base.")</f>
        <v>estructura del clan. Una defensa débil para una base.</v>
      </c>
      <c r="E162" s="23" t="str">
        <f>IFERROR(__xludf.DUMMYFUNCTION("GOOGLETRANSLATE(B162, ""en"", ""ru"")"),"Структура клана. Слабая защита для основы.")</f>
        <v>Структура клана. Слабая защита для основы.</v>
      </c>
      <c r="F162" s="23" t="str">
        <f>IFERROR(__xludf.DUMMYFUNCTION("GOOGLETRANSLATE(B162, ""en"", ""tr"")"),"Klan yapısı. Bir üs için zayıf bir savunma.")</f>
        <v>Klan yapısı. Bir üs için zayıf bir savunma.</v>
      </c>
      <c r="G162" s="23" t="str">
        <f>IFERROR(__xludf.DUMMYFUNCTION("GOOGLETRANSLATE(B162, ""en"", ""pt"")"),"estrutura clã. Uma fraca defesa para uma base.")</f>
        <v>estrutura clã. Uma fraca defesa para uma base.</v>
      </c>
      <c r="H162" s="24" t="str">
        <f>IFERROR(__xludf.DUMMYFUNCTION("GOOGLETRANSLATE(B162, ""en"", ""de"")"),"Clan-Struktur. Eine schwache Verteidigung für eine Basis.")</f>
        <v>Clan-Struktur. Eine schwache Verteidigung für eine Basis.</v>
      </c>
      <c r="I162" s="23" t="str">
        <f>IFERROR(__xludf.DUMMYFUNCTION("GOOGLETRANSLATE(B162, ""en"", ""pl"")"),"Struktura klanu. Słaba obrona dla zasady.")</f>
        <v>Struktura klanu. Słaba obrona dla zasady.</v>
      </c>
      <c r="J162" s="25" t="str">
        <f>IFERROR(__xludf.DUMMYFUNCTION("GOOGLETRANSLATE(B162, ""en"", ""zh"")"),"部族结构。弱防御基地。")</f>
        <v>部族结构。弱防御基地。</v>
      </c>
      <c r="K162" s="25" t="str">
        <f>IFERROR(__xludf.DUMMYFUNCTION("GOOGLETRANSLATE(B162, ""en"", ""vi"")"),"Clan cấu trúc. Một vệ yếu cho cơ sở.")</f>
        <v>Clan cấu trúc. Một vệ yếu cho cơ sở.</v>
      </c>
      <c r="L162" s="26" t="str">
        <f>IFERROR(__xludf.DUMMYFUNCTION("GOOGLETRANSLATE(B162, ""en"", ""hr"")"),"Clan struktura. Slaba obrana bazu.")</f>
        <v>Clan struktura. Slaba obrana bazu.</v>
      </c>
      <c r="M162" s="28"/>
      <c r="N162" s="28"/>
      <c r="O162" s="28"/>
      <c r="P162" s="28"/>
      <c r="Q162" s="28"/>
      <c r="R162" s="28"/>
      <c r="S162" s="28"/>
      <c r="T162" s="28"/>
      <c r="U162" s="28"/>
      <c r="V162" s="28"/>
      <c r="W162" s="28"/>
      <c r="X162" s="28"/>
      <c r="Y162" s="28"/>
      <c r="Z162" s="28"/>
      <c r="AA162" s="28"/>
      <c r="AB162" s="28"/>
    </row>
    <row r="163">
      <c r="A163" s="21" t="s">
        <v>597</v>
      </c>
      <c r="B163" s="22" t="s">
        <v>598</v>
      </c>
      <c r="C163" s="23" t="str">
        <f>IFERROR(__xludf.DUMMYFUNCTION("GOOGLETRANSLATE(B163, ""en"", ""fr"")"),"porte en bois")</f>
        <v>porte en bois</v>
      </c>
      <c r="D163" s="23" t="str">
        <f>IFERROR(__xludf.DUMMYFUNCTION("GOOGLETRANSLATE(B163, ""en"", ""es"")"),"Puerta de madera")</f>
        <v>Puerta de madera</v>
      </c>
      <c r="E163" s="23" t="str">
        <f>IFERROR(__xludf.DUMMYFUNCTION("GOOGLETRANSLATE(B163, ""en"", ""ru"")"),"Вуд двери")</f>
        <v>Вуд двери</v>
      </c>
      <c r="F163" s="23" t="str">
        <f>IFERROR(__xludf.DUMMYFUNCTION("GOOGLETRANSLATE(B163, ""en"", ""tr"")"),"Tahta kapı")</f>
        <v>Tahta kapı</v>
      </c>
      <c r="G163" s="23" t="str">
        <f>IFERROR(__xludf.DUMMYFUNCTION("GOOGLETRANSLATE(B163, ""en"", ""pt"")"),"porta de madeira")</f>
        <v>porta de madeira</v>
      </c>
      <c r="H163" s="24" t="str">
        <f>IFERROR(__xludf.DUMMYFUNCTION("GOOGLETRANSLATE(B163, ""en"", ""de"")"),"Holztür")</f>
        <v>Holztür</v>
      </c>
      <c r="I163" s="23" t="str">
        <f>IFERROR(__xludf.DUMMYFUNCTION("GOOGLETRANSLATE(B163, ""en"", ""pl"")"),"Drewniane drzwi")</f>
        <v>Drewniane drzwi</v>
      </c>
      <c r="J163" s="25" t="str">
        <f>IFERROR(__xludf.DUMMYFUNCTION("GOOGLETRANSLATE(B163, ""en"", ""zh"")"),"木门")</f>
        <v>木门</v>
      </c>
      <c r="K163" s="25" t="str">
        <f>IFERROR(__xludf.DUMMYFUNCTION("GOOGLETRANSLATE(B163, ""en"", ""vi"")"),"Cửa gô")</f>
        <v>Cửa gô</v>
      </c>
      <c r="L163" s="26" t="str">
        <f>IFERROR(__xludf.DUMMYFUNCTION("GOOGLETRANSLATE(B163, ""en"", ""hr"")"),"vrata drvo")</f>
        <v>vrata drvo</v>
      </c>
      <c r="M163" s="28"/>
      <c r="N163" s="28"/>
      <c r="O163" s="28"/>
      <c r="P163" s="28"/>
      <c r="Q163" s="28"/>
      <c r="R163" s="28"/>
      <c r="S163" s="28"/>
      <c r="T163" s="28"/>
      <c r="U163" s="28"/>
      <c r="V163" s="28"/>
      <c r="W163" s="28"/>
      <c r="X163" s="28"/>
      <c r="Y163" s="28"/>
      <c r="Z163" s="28"/>
      <c r="AA163" s="28"/>
      <c r="AB163" s="28"/>
    </row>
    <row r="164">
      <c r="A164" s="21" t="s">
        <v>599</v>
      </c>
      <c r="B164" s="22" t="s">
        <v>600</v>
      </c>
      <c r="C164" s="23" t="str">
        <f>IFERROR(__xludf.DUMMYFUNCTION("GOOGLETRANSLATE(B164, ""en"", ""fr"")"),"Structure du clan. Ne peut être ouvert par les membres du clan.")</f>
        <v>Structure du clan. Ne peut être ouvert par les membres du clan.</v>
      </c>
      <c r="D164" s="23" t="str">
        <f>IFERROR(__xludf.DUMMYFUNCTION("GOOGLETRANSLATE(B164, ""en"", ""es"")"),"estructura del clan. sólo puede ser abierto por los miembros del clan.")</f>
        <v>estructura del clan. sólo puede ser abierto por los miembros del clan.</v>
      </c>
      <c r="E164" s="23" t="str">
        <f>IFERROR(__xludf.DUMMYFUNCTION("GOOGLETRANSLATE(B164, ""en"", ""ru"")"),"Структура клана. Может быть открыт только членами клана.")</f>
        <v>Структура клана. Может быть открыт только членами клана.</v>
      </c>
      <c r="F164" s="23" t="str">
        <f>IFERROR(__xludf.DUMMYFUNCTION("GOOGLETRANSLATE(B164, ""en"", ""tr"")"),"Klan yapısı. Sadece klan üyeleri tarafından açılabilir.")</f>
        <v>Klan yapısı. Sadece klan üyeleri tarafından açılabilir.</v>
      </c>
      <c r="G164" s="23" t="str">
        <f>IFERROR(__xludf.DUMMYFUNCTION("GOOGLETRANSLATE(B164, ""en"", ""pt"")"),"estrutura clã. só pode ser aberto por membros do clã.")</f>
        <v>estrutura clã. só pode ser aberto por membros do clã.</v>
      </c>
      <c r="H164" s="24" t="str">
        <f>IFERROR(__xludf.DUMMYFUNCTION("GOOGLETRANSLATE(B164, ""en"", ""de"")"),"Clan-Struktur. Kann nur von Clan-Mitglieder geöffnet werden.")</f>
        <v>Clan-Struktur. Kann nur von Clan-Mitglieder geöffnet werden.</v>
      </c>
      <c r="I164" s="23" t="str">
        <f>IFERROR(__xludf.DUMMYFUNCTION("GOOGLETRANSLATE(B164, ""en"", ""pl"")"),"Struktura klanu. Mogą być otwierane tylko przez członków klanu.")</f>
        <v>Struktura klanu. Mogą być otwierane tylko przez członków klanu.</v>
      </c>
      <c r="J164" s="25" t="str">
        <f>IFERROR(__xludf.DUMMYFUNCTION("GOOGLETRANSLATE(B164, ""en"", ""zh"")"),"部族结构。只能由公会成员打开。")</f>
        <v>部族结构。只能由公会成员打开。</v>
      </c>
      <c r="K164" s="25" t="str">
        <f>IFERROR(__xludf.DUMMYFUNCTION("GOOGLETRANSLATE(B164, ""en"", ""vi"")"),"Clan cấu trúc. chỉ có thể được mở bởi các thành viên gia tộc.")</f>
        <v>Clan cấu trúc. chỉ có thể được mở bởi các thành viên gia tộc.</v>
      </c>
      <c r="L164" s="26" t="str">
        <f>IFERROR(__xludf.DUMMYFUNCTION("GOOGLETRANSLATE(B164, ""en"", ""hr"")"),"Clan struktura. Može se otvoriti samo članovima klana.")</f>
        <v>Clan struktura. Može se otvoriti samo članovima klana.</v>
      </c>
      <c r="M164" s="28"/>
      <c r="N164" s="28"/>
      <c r="O164" s="28"/>
      <c r="P164" s="28"/>
      <c r="Q164" s="28"/>
      <c r="R164" s="28"/>
      <c r="S164" s="28"/>
      <c r="T164" s="28"/>
      <c r="U164" s="28"/>
      <c r="V164" s="28"/>
      <c r="W164" s="28"/>
      <c r="X164" s="28"/>
      <c r="Y164" s="28"/>
      <c r="Z164" s="28"/>
      <c r="AA164" s="28"/>
      <c r="AB164" s="28"/>
    </row>
    <row r="165">
      <c r="A165" s="42" t="s">
        <v>601</v>
      </c>
      <c r="B165" s="22" t="s">
        <v>602</v>
      </c>
      <c r="C165" s="23" t="str">
        <f>IFERROR(__xludf.DUMMYFUNCTION("GOOGLETRANSLATE(B165, ""en"", ""fr"")"),"Mur de briques")</f>
        <v>Mur de briques</v>
      </c>
      <c r="D165" s="23" t="str">
        <f>IFERROR(__xludf.DUMMYFUNCTION("GOOGLETRANSLATE(B165, ""en"", ""es"")"),"Pared de ladrillo")</f>
        <v>Pared de ladrillo</v>
      </c>
      <c r="E165" s="23" t="str">
        <f>IFERROR(__xludf.DUMMYFUNCTION("GOOGLETRANSLATE(B165, ""en"", ""ru"")"),"Кирпичная стена")</f>
        <v>Кирпичная стена</v>
      </c>
      <c r="F165" s="23" t="str">
        <f>IFERROR(__xludf.DUMMYFUNCTION("GOOGLETRANSLATE(B165, ""en"", ""tr"")"),"Tuğla duvar")</f>
        <v>Tuğla duvar</v>
      </c>
      <c r="G165" s="23" t="str">
        <f>IFERROR(__xludf.DUMMYFUNCTION("GOOGLETRANSLATE(B165, ""en"", ""pt"")"),"Parede de tijolos")</f>
        <v>Parede de tijolos</v>
      </c>
      <c r="H165" s="24" t="str">
        <f>IFERROR(__xludf.DUMMYFUNCTION("GOOGLETRANSLATE(B165, ""en"", ""de"")"),"Ziegelwand")</f>
        <v>Ziegelwand</v>
      </c>
      <c r="I165" s="23" t="str">
        <f>IFERROR(__xludf.DUMMYFUNCTION("GOOGLETRANSLATE(B165, ""en"", ""pl"")"),"Ceglana ściana")</f>
        <v>Ceglana ściana</v>
      </c>
      <c r="J165" s="25" t="str">
        <f>IFERROR(__xludf.DUMMYFUNCTION("GOOGLETRANSLATE(B165, ""en"", ""zh"")"),"砖墙")</f>
        <v>砖墙</v>
      </c>
      <c r="K165" s="25" t="str">
        <f>IFERROR(__xludf.DUMMYFUNCTION("GOOGLETRANSLATE(B165, ""en"", ""vi"")"),"Tường gạch")</f>
        <v>Tường gạch</v>
      </c>
      <c r="L165" s="26" t="str">
        <f>IFERROR(__xludf.DUMMYFUNCTION("GOOGLETRANSLATE(B165, ""en"", ""hr"")"),"Zid od cigli")</f>
        <v>Zid od cigli</v>
      </c>
      <c r="M165" s="28"/>
      <c r="N165" s="28"/>
      <c r="O165" s="28"/>
      <c r="P165" s="28"/>
      <c r="Q165" s="28"/>
      <c r="R165" s="28"/>
      <c r="S165" s="28"/>
      <c r="T165" s="28"/>
      <c r="U165" s="28"/>
      <c r="V165" s="28"/>
      <c r="W165" s="28"/>
      <c r="X165" s="28"/>
      <c r="Y165" s="28"/>
      <c r="Z165" s="28"/>
      <c r="AA165" s="28"/>
      <c r="AB165" s="28"/>
    </row>
    <row r="166">
      <c r="A166" s="42" t="s">
        <v>603</v>
      </c>
      <c r="B166" s="22" t="s">
        <v>604</v>
      </c>
      <c r="C166" s="23" t="str">
        <f>IFERROR(__xludf.DUMMYFUNCTION("GOOGLETRANSLATE(B166, ""en"", ""fr"")"),"Structure du clan. Une bonne défense pour une base.")</f>
        <v>Structure du clan. Une bonne défense pour une base.</v>
      </c>
      <c r="D166" s="23" t="str">
        <f>IFERROR(__xludf.DUMMYFUNCTION("GOOGLETRANSLATE(B166, ""en"", ""es"")"),"estructura del clan. Una buena defensa para una base.")</f>
        <v>estructura del clan. Una buena defensa para una base.</v>
      </c>
      <c r="E166" s="23" t="str">
        <f>IFERROR(__xludf.DUMMYFUNCTION("GOOGLETRANSLATE(B166, ""en"", ""ru"")"),"Структура клана. Хорошая защита для базы.")</f>
        <v>Структура клана. Хорошая защита для базы.</v>
      </c>
      <c r="F166" s="23" t="str">
        <f>IFERROR(__xludf.DUMMYFUNCTION("GOOGLETRANSLATE(B166, ""en"", ""tr"")"),"Klan yapısı. bir üs için iyi bir savunma.")</f>
        <v>Klan yapısı. bir üs için iyi bir savunma.</v>
      </c>
      <c r="G166" s="23" t="str">
        <f>IFERROR(__xludf.DUMMYFUNCTION("GOOGLETRANSLATE(B166, ""en"", ""pt"")"),"estrutura clã. Uma boa defesa para uma base.")</f>
        <v>estrutura clã. Uma boa defesa para uma base.</v>
      </c>
      <c r="H166" s="24" t="str">
        <f>IFERROR(__xludf.DUMMYFUNCTION("GOOGLETRANSLATE(B166, ""en"", ""de"")"),"Clan-Struktur. Eine gute Verteidigung für eine Basis.")</f>
        <v>Clan-Struktur. Eine gute Verteidigung für eine Basis.</v>
      </c>
      <c r="I166" s="23" t="str">
        <f>IFERROR(__xludf.DUMMYFUNCTION("GOOGLETRANSLATE(B166, ""en"", ""pl"")"),"Struktura klanu. Dobrym obrony dla zasady.")</f>
        <v>Struktura klanu. Dobrym obrony dla zasady.</v>
      </c>
      <c r="J166" s="25" t="str">
        <f>IFERROR(__xludf.DUMMYFUNCTION("GOOGLETRANSLATE(B166, ""en"", ""zh"")"),"部族结构。一个好的防御基地。")</f>
        <v>部族结构。一个好的防御基地。</v>
      </c>
      <c r="K166" s="25" t="str">
        <f>IFERROR(__xludf.DUMMYFUNCTION("GOOGLETRANSLATE(B166, ""en"", ""vi"")"),"Clan cấu trúc. Một bảo vệ tốt cho một cơ sở.")</f>
        <v>Clan cấu trúc. Một bảo vệ tốt cho một cơ sở.</v>
      </c>
      <c r="L166" s="26" t="str">
        <f>IFERROR(__xludf.DUMMYFUNCTION("GOOGLETRANSLATE(B166, ""en"", ""hr"")"),"Clan struktura. Dobra obrana bazu.")</f>
        <v>Clan struktura. Dobra obrana bazu.</v>
      </c>
      <c r="M166" s="28"/>
      <c r="N166" s="28"/>
      <c r="O166" s="28"/>
      <c r="P166" s="28"/>
      <c r="Q166" s="28"/>
      <c r="R166" s="28"/>
      <c r="S166" s="28"/>
      <c r="T166" s="28"/>
      <c r="U166" s="28"/>
      <c r="V166" s="28"/>
      <c r="W166" s="28"/>
      <c r="X166" s="28"/>
      <c r="Y166" s="28"/>
      <c r="Z166" s="28"/>
      <c r="AA166" s="28"/>
      <c r="AB166" s="28"/>
    </row>
    <row r="167">
      <c r="A167" s="42" t="s">
        <v>605</v>
      </c>
      <c r="B167" s="22" t="s">
        <v>606</v>
      </c>
      <c r="C167" s="23" t="str">
        <f>IFERROR(__xludf.DUMMYFUNCTION("GOOGLETRANSLATE(B167, ""en"", ""fr"")"),"porte brique")</f>
        <v>porte brique</v>
      </c>
      <c r="D167" s="23" t="str">
        <f>IFERROR(__xludf.DUMMYFUNCTION("GOOGLETRANSLATE(B167, ""en"", ""es"")"),"puerta de ladrillo")</f>
        <v>puerta de ladrillo</v>
      </c>
      <c r="E167" s="23" t="str">
        <f>IFERROR(__xludf.DUMMYFUNCTION("GOOGLETRANSLATE(B167, ""en"", ""ru"")"),"Кирпич двери")</f>
        <v>Кирпич двери</v>
      </c>
      <c r="F167" s="23" t="str">
        <f>IFERROR(__xludf.DUMMYFUNCTION("GOOGLETRANSLATE(B167, ""en"", ""tr"")"),"Tuğla kapı")</f>
        <v>Tuğla kapı</v>
      </c>
      <c r="G167" s="23" t="str">
        <f>IFERROR(__xludf.DUMMYFUNCTION("GOOGLETRANSLATE(B167, ""en"", ""pt"")"),"porta tijolo")</f>
        <v>porta tijolo</v>
      </c>
      <c r="H167" s="24" t="str">
        <f>IFERROR(__xludf.DUMMYFUNCTION("GOOGLETRANSLATE(B167, ""en"", ""de"")"),"Brick Tür")</f>
        <v>Brick Tür</v>
      </c>
      <c r="I167" s="23" t="str">
        <f>IFERROR(__xludf.DUMMYFUNCTION("GOOGLETRANSLATE(B167, ""en"", ""pl"")"),"cegła drzwi")</f>
        <v>cegła drzwi</v>
      </c>
      <c r="J167" s="25" t="str">
        <f>IFERROR(__xludf.DUMMYFUNCTION("GOOGLETRANSLATE(B167, ""en"", ""zh"")"),"砖门")</f>
        <v>砖门</v>
      </c>
      <c r="K167" s="25" t="str">
        <f>IFERROR(__xludf.DUMMYFUNCTION("GOOGLETRANSLATE(B167, ""en"", ""vi"")"),"cửa gạch")</f>
        <v>cửa gạch</v>
      </c>
      <c r="L167" s="26" t="str">
        <f>IFERROR(__xludf.DUMMYFUNCTION("GOOGLETRANSLATE(B167, ""en"", ""hr"")"),"vrata Brick")</f>
        <v>vrata Brick</v>
      </c>
      <c r="M167" s="28"/>
      <c r="N167" s="28"/>
      <c r="O167" s="28"/>
      <c r="P167" s="28"/>
      <c r="Q167" s="28"/>
      <c r="R167" s="28"/>
      <c r="S167" s="28"/>
      <c r="T167" s="28"/>
      <c r="U167" s="28"/>
      <c r="V167" s="28"/>
      <c r="W167" s="28"/>
      <c r="X167" s="28"/>
      <c r="Y167" s="28"/>
      <c r="Z167" s="28"/>
      <c r="AA167" s="28"/>
      <c r="AB167" s="28"/>
    </row>
    <row r="168">
      <c r="A168" s="42" t="s">
        <v>607</v>
      </c>
      <c r="B168" s="22" t="s">
        <v>608</v>
      </c>
      <c r="C168" s="23" t="str">
        <f>IFERROR(__xludf.DUMMYFUNCTION("GOOGLETRANSLATE(B168, ""en"", ""fr"")"),"Structure du clan. Ne peut être ouvert par les membres du clan. Plus fort que une porte en bois.")</f>
        <v>Structure du clan. Ne peut être ouvert par les membres du clan. Plus fort que une porte en bois.</v>
      </c>
      <c r="D168" s="23" t="str">
        <f>IFERROR(__xludf.DUMMYFUNCTION("GOOGLETRANSLATE(B168, ""en"", ""es"")"),"estructura del clan. sólo puede ser abierto por los miembros del clan. Más fuerte que una puerta de madera.")</f>
        <v>estructura del clan. sólo puede ser abierto por los miembros del clan. Más fuerte que una puerta de madera.</v>
      </c>
      <c r="E168" s="23" t="str">
        <f>IFERROR(__xludf.DUMMYFUNCTION("GOOGLETRANSLATE(B168, ""en"", ""ru"")"),"Структура клана. Может быть открыт только членами клана. Сильнее, чем деревянная дверь.")</f>
        <v>Структура клана. Может быть открыт только членами клана. Сильнее, чем деревянная дверь.</v>
      </c>
      <c r="F168" s="23" t="str">
        <f>IFERROR(__xludf.DUMMYFUNCTION("GOOGLETRANSLATE(B168, ""en"", ""tr"")"),"Klan yapısı. Sadece klan üyeleri tarafından açılabilir. Bir ahşap kapı daha güçlü.")</f>
        <v>Klan yapısı. Sadece klan üyeleri tarafından açılabilir. Bir ahşap kapı daha güçlü.</v>
      </c>
      <c r="G168" s="23" t="str">
        <f>IFERROR(__xludf.DUMMYFUNCTION("GOOGLETRANSLATE(B168, ""en"", ""pt"")"),"estrutura clã. só pode ser aberto por membros do clã. Mais forte do que uma porta de madeira.")</f>
        <v>estrutura clã. só pode ser aberto por membros do clã. Mais forte do que uma porta de madeira.</v>
      </c>
      <c r="H168" s="24" t="str">
        <f>IFERROR(__xludf.DUMMYFUNCTION("GOOGLETRANSLATE(B168, ""en"", ""de"")"),"Clan-Struktur. Kann nur von Clan-Mitglieder geöffnet werden. Stärker als eine Holztür.")</f>
        <v>Clan-Struktur. Kann nur von Clan-Mitglieder geöffnet werden. Stärker als eine Holztür.</v>
      </c>
      <c r="I168" s="23" t="str">
        <f>IFERROR(__xludf.DUMMYFUNCTION("GOOGLETRANSLATE(B168, ""en"", ""pl"")"),"Struktura klanu. Mogą być otwierane tylko przez członków klanu. Silniejsze niż drzwi drewnianych.")</f>
        <v>Struktura klanu. Mogą być otwierane tylko przez członków klanu. Silniejsze niż drzwi drewnianych.</v>
      </c>
      <c r="J168" s="25" t="str">
        <f>IFERROR(__xludf.DUMMYFUNCTION("GOOGLETRANSLATE(B168, ""en"", ""zh"")"),"部族结构。只能由公会成员打开。比木门更强。")</f>
        <v>部族结构。只能由公会成员打开。比木门更强。</v>
      </c>
      <c r="K168" s="25" t="str">
        <f>IFERROR(__xludf.DUMMYFUNCTION("GOOGLETRANSLATE(B168, ""en"", ""vi"")"),"Clan cấu trúc. chỉ có thể được mở bởi các thành viên gia tộc. Mạnh hơn một cánh cửa gỗ.")</f>
        <v>Clan cấu trúc. chỉ có thể được mở bởi các thành viên gia tộc. Mạnh hơn một cánh cửa gỗ.</v>
      </c>
      <c r="L168" s="26" t="str">
        <f>IFERROR(__xludf.DUMMYFUNCTION("GOOGLETRANSLATE(B168, ""en"", ""hr"")"),"Clan struktura. Može se otvoriti samo članovima klana. Jači od vrata drva.")</f>
        <v>Clan struktura. Može se otvoriti samo članovima klana. Jači od vrata drva.</v>
      </c>
      <c r="M168" s="28"/>
      <c r="N168" s="28"/>
      <c r="O168" s="28"/>
      <c r="P168" s="28"/>
      <c r="Q168" s="28"/>
      <c r="R168" s="28"/>
      <c r="S168" s="28"/>
      <c r="T168" s="28"/>
      <c r="U168" s="28"/>
      <c r="V168" s="28"/>
      <c r="W168" s="28"/>
      <c r="X168" s="28"/>
      <c r="Y168" s="28"/>
      <c r="Z168" s="28"/>
      <c r="AA168" s="28"/>
      <c r="AB168" s="28"/>
    </row>
    <row r="169">
      <c r="A169" s="42" t="s">
        <v>609</v>
      </c>
      <c r="B169" s="22" t="s">
        <v>610</v>
      </c>
      <c r="C169" s="23" t="str">
        <f>IFERROR(__xludf.DUMMYFUNCTION("GOOGLETRANSLATE(B169, ""en"", ""fr"")"),"Mur de fer")</f>
        <v>Mur de fer</v>
      </c>
      <c r="D169" s="23" t="str">
        <f>IFERROR(__xludf.DUMMYFUNCTION("GOOGLETRANSLATE(B169, ""en"", ""es"")"),"Muro de hierro")</f>
        <v>Muro de hierro</v>
      </c>
      <c r="E169" s="23" t="str">
        <f>IFERROR(__xludf.DUMMYFUNCTION("GOOGLETRANSLATE(B169, ""en"", ""ru"")"),"Железная стена")</f>
        <v>Железная стена</v>
      </c>
      <c r="F169" s="23" t="str">
        <f>IFERROR(__xludf.DUMMYFUNCTION("GOOGLETRANSLATE(B169, ""en"", ""tr"")"),"Demir duvar")</f>
        <v>Demir duvar</v>
      </c>
      <c r="G169" s="23" t="str">
        <f>IFERROR(__xludf.DUMMYFUNCTION("GOOGLETRANSLATE(B169, ""en"", ""pt"")"),"Parede de ferro")</f>
        <v>Parede de ferro</v>
      </c>
      <c r="H169" s="24" t="str">
        <f>IFERROR(__xludf.DUMMYFUNCTION("GOOGLETRANSLATE(B169, ""en"", ""de"")"),"Eisenwand")</f>
        <v>Eisenwand</v>
      </c>
      <c r="I169" s="23" t="str">
        <f>IFERROR(__xludf.DUMMYFUNCTION("GOOGLETRANSLATE(B169, ""en"", ""pl"")"),"Żelazna ściana")</f>
        <v>Żelazna ściana</v>
      </c>
      <c r="J169" s="25" t="str">
        <f>IFERROR(__xludf.DUMMYFUNCTION("GOOGLETRANSLATE(B169, ""en"", ""zh"")"),"铁壁")</f>
        <v>铁壁</v>
      </c>
      <c r="K169" s="25" t="str">
        <f>IFERROR(__xludf.DUMMYFUNCTION("GOOGLETRANSLATE(B169, ""en"", ""vi"")"),"Bức tường sắt")</f>
        <v>Bức tường sắt</v>
      </c>
      <c r="L169" s="26" t="str">
        <f>IFERROR(__xludf.DUMMYFUNCTION("GOOGLETRANSLATE(B169, ""en"", ""hr"")"),"Željezo zid")</f>
        <v>Željezo zid</v>
      </c>
      <c r="M169" s="28"/>
      <c r="N169" s="28"/>
      <c r="O169" s="28"/>
      <c r="P169" s="28"/>
      <c r="Q169" s="28"/>
      <c r="R169" s="28"/>
      <c r="S169" s="28"/>
      <c r="T169" s="28"/>
      <c r="U169" s="28"/>
      <c r="V169" s="28"/>
      <c r="W169" s="28"/>
      <c r="X169" s="28"/>
      <c r="Y169" s="28"/>
      <c r="Z169" s="28"/>
      <c r="AA169" s="28"/>
      <c r="AB169" s="28"/>
    </row>
    <row r="170">
      <c r="A170" s="42" t="s">
        <v>611</v>
      </c>
      <c r="B170" s="22" t="s">
        <v>612</v>
      </c>
      <c r="C170" s="23" t="str">
        <f>IFERROR(__xludf.DUMMYFUNCTION("GOOGLETRANSLATE(B170, ""en"", ""fr"")"),"Structure du clan. Une grande défense pour une base.")</f>
        <v>Structure du clan. Une grande défense pour une base.</v>
      </c>
      <c r="D170" s="23" t="str">
        <f>IFERROR(__xludf.DUMMYFUNCTION("GOOGLETRANSLATE(B170, ""en"", ""es"")"),"estructura del clan. Una gran defensa para una base.")</f>
        <v>estructura del clan. Una gran defensa para una base.</v>
      </c>
      <c r="E170" s="23" t="str">
        <f>IFERROR(__xludf.DUMMYFUNCTION("GOOGLETRANSLATE(B170, ""en"", ""ru"")"),"Структура клана. Большая защита для базы.")</f>
        <v>Структура клана. Большая защита для базы.</v>
      </c>
      <c r="F170" s="23" t="str">
        <f>IFERROR(__xludf.DUMMYFUNCTION("GOOGLETRANSLATE(B170, ""en"", ""tr"")"),"Klan yapısı. bir üs için büyük bir savunma.")</f>
        <v>Klan yapısı. bir üs için büyük bir savunma.</v>
      </c>
      <c r="G170" s="23" t="str">
        <f>IFERROR(__xludf.DUMMYFUNCTION("GOOGLETRANSLATE(B170, ""en"", ""pt"")"),"estrutura clã. Uma grande defesa para uma base.")</f>
        <v>estrutura clã. Uma grande defesa para uma base.</v>
      </c>
      <c r="H170" s="24" t="str">
        <f>IFERROR(__xludf.DUMMYFUNCTION("GOOGLETRANSLATE(B170, ""en"", ""de"")"),"Clan-Struktur. Eine große Verteidigung für eine Basis.")</f>
        <v>Clan-Struktur. Eine große Verteidigung für eine Basis.</v>
      </c>
      <c r="I170" s="23" t="str">
        <f>IFERROR(__xludf.DUMMYFUNCTION("GOOGLETRANSLATE(B170, ""en"", ""pl"")"),"Struktura klanu. Wielki obrony dla zasady.")</f>
        <v>Struktura klanu. Wielki obrony dla zasady.</v>
      </c>
      <c r="J170" s="25" t="str">
        <f>IFERROR(__xludf.DUMMYFUNCTION("GOOGLETRANSLATE(B170, ""en"", ""zh"")"),"部族结构。基极用出色的防守。")</f>
        <v>部族结构。基极用出色的防守。</v>
      </c>
      <c r="K170" s="25" t="str">
        <f>IFERROR(__xludf.DUMMYFUNCTION("GOOGLETRANSLATE(B170, ""en"", ""vi"")"),"Clan cấu trúc. Một bảo vệ tuyệt vời cho một cơ sở.")</f>
        <v>Clan cấu trúc. Một bảo vệ tuyệt vời cho một cơ sở.</v>
      </c>
      <c r="L170" s="26" t="str">
        <f>IFERROR(__xludf.DUMMYFUNCTION("GOOGLETRANSLATE(B170, ""en"", ""hr"")"),"Clan struktura. Velika obrana bazu.")</f>
        <v>Clan struktura. Velika obrana bazu.</v>
      </c>
      <c r="M170" s="28"/>
      <c r="N170" s="28"/>
      <c r="O170" s="28"/>
      <c r="P170" s="28"/>
      <c r="Q170" s="28"/>
      <c r="R170" s="28"/>
      <c r="S170" s="28"/>
      <c r="T170" s="28"/>
      <c r="U170" s="28"/>
      <c r="V170" s="28"/>
      <c r="W170" s="28"/>
      <c r="X170" s="28"/>
      <c r="Y170" s="28"/>
      <c r="Z170" s="28"/>
      <c r="AA170" s="28"/>
      <c r="AB170" s="28"/>
    </row>
    <row r="171">
      <c r="A171" s="42" t="s">
        <v>613</v>
      </c>
      <c r="B171" s="22" t="s">
        <v>614</v>
      </c>
      <c r="C171" s="23" t="str">
        <f>IFERROR(__xludf.DUMMYFUNCTION("GOOGLETRANSLATE(B171, ""en"", ""fr"")"),"Porte en fer")</f>
        <v>Porte en fer</v>
      </c>
      <c r="D171" s="23" t="str">
        <f>IFERROR(__xludf.DUMMYFUNCTION("GOOGLETRANSLATE(B171, ""en"", ""es"")"),"Puerta de Hierro")</f>
        <v>Puerta de Hierro</v>
      </c>
      <c r="E171" s="23" t="str">
        <f>IFERROR(__xludf.DUMMYFUNCTION("GOOGLETRANSLATE(B171, ""en"", ""ru"")"),"Железные двери")</f>
        <v>Железные двери</v>
      </c>
      <c r="F171" s="23" t="str">
        <f>IFERROR(__xludf.DUMMYFUNCTION("GOOGLETRANSLATE(B171, ""en"", ""tr"")"),"Demir kapı")</f>
        <v>Demir kapı</v>
      </c>
      <c r="G171" s="23" t="str">
        <f>IFERROR(__xludf.DUMMYFUNCTION("GOOGLETRANSLATE(B171, ""en"", ""pt"")"),"Porta de ferro")</f>
        <v>Porta de ferro</v>
      </c>
      <c r="H171" s="24" t="str">
        <f>IFERROR(__xludf.DUMMYFUNCTION("GOOGLETRANSLATE(B171, ""en"", ""de"")"),"Eiserne Tür")</f>
        <v>Eiserne Tür</v>
      </c>
      <c r="I171" s="23" t="str">
        <f>IFERROR(__xludf.DUMMYFUNCTION("GOOGLETRANSLATE(B171, ""en"", ""pl"")"),"Żelazne drzwi")</f>
        <v>Żelazne drzwi</v>
      </c>
      <c r="J171" s="25" t="str">
        <f>IFERROR(__xludf.DUMMYFUNCTION("GOOGLETRANSLATE(B171, ""en"", ""zh"")"),"铁艺大门")</f>
        <v>铁艺大门</v>
      </c>
      <c r="K171" s="25" t="str">
        <f>IFERROR(__xludf.DUMMYFUNCTION("GOOGLETRANSLATE(B171, ""en"", ""vi"")"),"Cửa sắt")</f>
        <v>Cửa sắt</v>
      </c>
      <c r="L171" s="26" t="str">
        <f>IFERROR(__xludf.DUMMYFUNCTION("GOOGLETRANSLATE(B171, ""en"", ""hr"")"),"željezna vrata")</f>
        <v>željezna vrata</v>
      </c>
      <c r="M171" s="28"/>
      <c r="N171" s="28"/>
      <c r="O171" s="28"/>
      <c r="P171" s="28"/>
      <c r="Q171" s="28"/>
      <c r="R171" s="28"/>
      <c r="S171" s="28"/>
      <c r="T171" s="28"/>
      <c r="U171" s="28"/>
      <c r="V171" s="28"/>
      <c r="W171" s="28"/>
      <c r="X171" s="28"/>
      <c r="Y171" s="28"/>
      <c r="Z171" s="28"/>
      <c r="AA171" s="28"/>
      <c r="AB171" s="28"/>
    </row>
    <row r="172">
      <c r="A172" s="42" t="s">
        <v>615</v>
      </c>
      <c r="B172" s="22" t="s">
        <v>616</v>
      </c>
      <c r="C172" s="23" t="str">
        <f>IFERROR(__xludf.DUMMYFUNCTION("GOOGLETRANSLATE(B172, ""en"", ""fr"")"),"Structure du clan. Ne peut être ouvert par les membres du clan. Plus fort que la porte de briques.")</f>
        <v>Structure du clan. Ne peut être ouvert par les membres du clan. Plus fort que la porte de briques.</v>
      </c>
      <c r="D172" s="23" t="str">
        <f>IFERROR(__xludf.DUMMYFUNCTION("GOOGLETRANSLATE(B172, ""en"", ""es"")"),"estructura del clan. sólo puede ser abierto por los miembros del clan. Más fuerte que una puerta de ladrillo.")</f>
        <v>estructura del clan. sólo puede ser abierto por los miembros del clan. Más fuerte que una puerta de ladrillo.</v>
      </c>
      <c r="E172" s="23" t="str">
        <f>IFERROR(__xludf.DUMMYFUNCTION("GOOGLETRANSLATE(B172, ""en"", ""ru"")"),"Структура клана. Может быть открыт только членами клана. Сильнее кирпичной дверь.")</f>
        <v>Структура клана. Может быть открыт только членами клана. Сильнее кирпичной дверь.</v>
      </c>
      <c r="F172" s="23" t="str">
        <f>IFERROR(__xludf.DUMMYFUNCTION("GOOGLETRANSLATE(B172, ""en"", ""tr"")"),"Klan yapısı. Sadece klan üyeleri tarafından açılabilir. Bir tuğla kapı daha güçlü.")</f>
        <v>Klan yapısı. Sadece klan üyeleri tarafından açılabilir. Bir tuğla kapı daha güçlü.</v>
      </c>
      <c r="G172" s="23" t="str">
        <f>IFERROR(__xludf.DUMMYFUNCTION("GOOGLETRANSLATE(B172, ""en"", ""pt"")"),"estrutura clã. só pode ser aberto por membros do clã. Mais forte do que uma porta de tijolo.")</f>
        <v>estrutura clã. só pode ser aberto por membros do clã. Mais forte do que uma porta de tijolo.</v>
      </c>
      <c r="H172" s="24" t="str">
        <f>IFERROR(__xludf.DUMMYFUNCTION("GOOGLETRANSLATE(B172, ""en"", ""de"")"),"Clan-Struktur. Kann nur von Clan-Mitglieder geöffnet werden. Stärker als ein Ziegel Tür.")</f>
        <v>Clan-Struktur. Kann nur von Clan-Mitglieder geöffnet werden. Stärker als ein Ziegel Tür.</v>
      </c>
      <c r="I172" s="23" t="str">
        <f>IFERROR(__xludf.DUMMYFUNCTION("GOOGLETRANSLATE(B172, ""en"", ""pl"")"),"Struktura klanu. Mogą być otwierane tylko przez członków klanu. Silniejsze niż drzwi cegły.")</f>
        <v>Struktura klanu. Mogą być otwierane tylko przez członków klanu. Silniejsze niż drzwi cegły.</v>
      </c>
      <c r="J172" s="25" t="str">
        <f>IFERROR(__xludf.DUMMYFUNCTION("GOOGLETRANSLATE(B172, ""en"", ""zh"")"),"部族结构。只能由公会成员打开。比砖门更强。")</f>
        <v>部族结构。只能由公会成员打开。比砖门更强。</v>
      </c>
      <c r="K172" s="25" t="str">
        <f>IFERROR(__xludf.DUMMYFUNCTION("GOOGLETRANSLATE(B172, ""en"", ""vi"")"),"Clan cấu trúc. chỉ có thể được mở bởi các thành viên gia tộc. Mạnh hơn một cánh cửa bằng gạch.")</f>
        <v>Clan cấu trúc. chỉ có thể được mở bởi các thành viên gia tộc. Mạnh hơn một cánh cửa bằng gạch.</v>
      </c>
      <c r="L172" s="26" t="str">
        <f>IFERROR(__xludf.DUMMYFUNCTION("GOOGLETRANSLATE(B172, ""en"", ""hr"")"),"Clan struktura. Može se otvoriti samo članovima klana. Jači od vrata opeke.")</f>
        <v>Clan struktura. Može se otvoriti samo članovima klana. Jači od vrata opeke.</v>
      </c>
      <c r="M172" s="28"/>
      <c r="N172" s="28"/>
      <c r="O172" s="28"/>
      <c r="P172" s="28"/>
      <c r="Q172" s="28"/>
      <c r="R172" s="28"/>
      <c r="S172" s="28"/>
      <c r="T172" s="28"/>
      <c r="U172" s="28"/>
      <c r="V172" s="28"/>
      <c r="W172" s="28"/>
      <c r="X172" s="28"/>
      <c r="Y172" s="28"/>
      <c r="Z172" s="28"/>
      <c r="AA172" s="28"/>
      <c r="AB172" s="28"/>
    </row>
    <row r="173">
      <c r="A173" s="21" t="s">
        <v>617</v>
      </c>
      <c r="B173" s="22" t="s">
        <v>618</v>
      </c>
      <c r="C173" s="23" t="str">
        <f>IFERROR(__xludf.DUMMYFUNCTION("GOOGLETRANSLATE(B173, ""en"", ""fr"")"),"Banque poitrine")</f>
        <v>Banque poitrine</v>
      </c>
      <c r="D173" s="23" t="str">
        <f>IFERROR(__xludf.DUMMYFUNCTION("GOOGLETRANSLATE(B173, ""en"", ""es"")"),"pecho bancaria")</f>
        <v>pecho bancaria</v>
      </c>
      <c r="E173" s="23" t="str">
        <f>IFERROR(__xludf.DUMMYFUNCTION("GOOGLETRANSLATE(B173, ""en"", ""ru"")"),"Банк груди")</f>
        <v>Банк груди</v>
      </c>
      <c r="F173" s="23" t="str">
        <f>IFERROR(__xludf.DUMMYFUNCTION("GOOGLETRANSLATE(B173, ""en"", ""tr"")"),"Banka göğüs")</f>
        <v>Banka göğüs</v>
      </c>
      <c r="G173" s="23" t="str">
        <f>IFERROR(__xludf.DUMMYFUNCTION("GOOGLETRANSLATE(B173, ""en"", ""pt"")"),"peito Banco")</f>
        <v>peito Banco</v>
      </c>
      <c r="H173" s="24" t="str">
        <f>IFERROR(__xludf.DUMMYFUNCTION("GOOGLETRANSLATE(B173, ""en"", ""de"")"),"Bank Brust")</f>
        <v>Bank Brust</v>
      </c>
      <c r="I173" s="23" t="str">
        <f>IFERROR(__xludf.DUMMYFUNCTION("GOOGLETRANSLATE(B173, ""en"", ""pl"")"),"Bank w klatce piersiowej")</f>
        <v>Bank w klatce piersiowej</v>
      </c>
      <c r="J173" s="25" t="str">
        <f>IFERROR(__xludf.DUMMYFUNCTION("GOOGLETRANSLATE(B173, ""en"", ""zh"")"),"银行胸部")</f>
        <v>银行胸部</v>
      </c>
      <c r="K173" s="25" t="str">
        <f>IFERROR(__xludf.DUMMYFUNCTION("GOOGLETRANSLATE(B173, ""en"", ""vi"")"),"Ngân hàng ngực")</f>
        <v>Ngân hàng ngực</v>
      </c>
      <c r="L173" s="26" t="str">
        <f>IFERROR(__xludf.DUMMYFUNCTION("GOOGLETRANSLATE(B173, ""en"", ""hr"")"),"banke u prsima")</f>
        <v>banke u prsima</v>
      </c>
      <c r="M173" s="28"/>
      <c r="N173" s="28"/>
      <c r="O173" s="28"/>
      <c r="P173" s="28"/>
      <c r="Q173" s="28"/>
      <c r="R173" s="28"/>
      <c r="S173" s="28"/>
      <c r="T173" s="28"/>
      <c r="U173" s="28"/>
      <c r="V173" s="28"/>
      <c r="W173" s="28"/>
      <c r="X173" s="28"/>
      <c r="Y173" s="28"/>
      <c r="Z173" s="28"/>
      <c r="AA173" s="28"/>
      <c r="AB173" s="28"/>
    </row>
    <row r="174">
      <c r="A174" s="21" t="s">
        <v>619</v>
      </c>
      <c r="B174" s="22" t="s">
        <v>620</v>
      </c>
      <c r="C174" s="23" t="str">
        <f>IFERROR(__xludf.DUMMYFUNCTION("GOOGLETRANSLATE(B174, ""en"", ""fr"")"),"Structure du clan. Permet d'accéder à votre stockage bancaire personnel.")</f>
        <v>Structure du clan. Permet d'accéder à votre stockage bancaire personnel.</v>
      </c>
      <c r="D174" s="23" t="str">
        <f>IFERROR(__xludf.DUMMYFUNCTION("GOOGLETRANSLATE(B174, ""en"", ""es"")"),"estructura del clan. Da acceso a su almacenamiento bancaria personal.")</f>
        <v>estructura del clan. Da acceso a su almacenamiento bancaria personal.</v>
      </c>
      <c r="E174" s="23" t="str">
        <f>IFERROR(__xludf.DUMMYFUNCTION("GOOGLETRANSLATE(B174, ""en"", ""ru"")"),"Структура клана. Дает доступ к вашим личным банковским хранения.")</f>
        <v>Структура клана. Дает доступ к вашим личным банковским хранения.</v>
      </c>
      <c r="F174" s="23" t="str">
        <f>IFERROR(__xludf.DUMMYFUNCTION("GOOGLETRANSLATE(B174, ""en"", ""tr"")"),"Klan yapısı. Kişisel banka depolama erişim sağlar.")</f>
        <v>Klan yapısı. Kişisel banka depolama erişim sağlar.</v>
      </c>
      <c r="G174" s="23" t="str">
        <f>IFERROR(__xludf.DUMMYFUNCTION("GOOGLETRANSLATE(B174, ""en"", ""pt"")"),"estrutura clã. Dá acesso ao seu armazenamento bancária pessoal.")</f>
        <v>estrutura clã. Dá acesso ao seu armazenamento bancária pessoal.</v>
      </c>
      <c r="H174" s="24" t="str">
        <f>IFERROR(__xludf.DUMMYFUNCTION("GOOGLETRANSLATE(B174, ""en"", ""de"")"),"Clan-Struktur. Ermöglicht den Zugriff auf Ihre persönlichen Bankspeicher.")</f>
        <v>Clan-Struktur. Ermöglicht den Zugriff auf Ihre persönlichen Bankspeicher.</v>
      </c>
      <c r="I174" s="23" t="str">
        <f>IFERROR(__xludf.DUMMYFUNCTION("GOOGLETRANSLATE(B174, ""en"", ""pl"")"),"Struktura klanu. Daje dostęp do osobistego przechowywania bankowego.")</f>
        <v>Struktura klanu. Daje dostęp do osobistego przechowywania bankowego.</v>
      </c>
      <c r="J174" s="25" t="str">
        <f>IFERROR(__xludf.DUMMYFUNCTION("GOOGLETRANSLATE(B174, ""en"", ""zh"")"),"部族结构。可以访问您的个人银行存储。")</f>
        <v>部族结构。可以访问您的个人银行存储。</v>
      </c>
      <c r="K174" s="25" t="str">
        <f>IFERROR(__xludf.DUMMYFUNCTION("GOOGLETRANSLATE(B174, ""en"", ""vi"")"),"Clan cấu trúc. Cho phép truy cập để lưu trữ ngân hàng cá nhân của bạn.")</f>
        <v>Clan cấu trúc. Cho phép truy cập để lưu trữ ngân hàng cá nhân của bạn.</v>
      </c>
      <c r="L174" s="26" t="str">
        <f>IFERROR(__xludf.DUMMYFUNCTION("GOOGLETRANSLATE(B174, ""en"", ""hr"")"),"Clan struktura. Daje pristup vašim osobnim pohranu banke.")</f>
        <v>Clan struktura. Daje pristup vašim osobnim pohranu banke.</v>
      </c>
      <c r="M174" s="28"/>
      <c r="N174" s="28"/>
      <c r="O174" s="28"/>
      <c r="P174" s="28"/>
      <c r="Q174" s="28"/>
      <c r="R174" s="28"/>
      <c r="S174" s="28"/>
      <c r="T174" s="28"/>
      <c r="U174" s="28"/>
      <c r="V174" s="28"/>
      <c r="W174" s="28"/>
      <c r="X174" s="28"/>
      <c r="Y174" s="28"/>
      <c r="Z174" s="28"/>
      <c r="AA174" s="28"/>
      <c r="AB174" s="28"/>
    </row>
    <row r="175">
      <c r="A175" s="21" t="s">
        <v>621</v>
      </c>
      <c r="B175" s="22" t="s">
        <v>302</v>
      </c>
      <c r="C175" s="23" t="str">
        <f>IFERROR(__xludf.DUMMYFUNCTION("GOOGLETRANSLATE(B175, ""en"", ""fr"")"),"Table de travail")</f>
        <v>Table de travail</v>
      </c>
      <c r="D175" s="23" t="str">
        <f>IFERROR(__xludf.DUMMYFUNCTION("GOOGLETRANSLATE(B175, ""en"", ""es"")"),"Workbench")</f>
        <v>Workbench</v>
      </c>
      <c r="E175" s="23" t="str">
        <f>IFERROR(__xludf.DUMMYFUNCTION("GOOGLETRANSLATE(B175, ""en"", ""ru"")"),"верстак")</f>
        <v>верстак</v>
      </c>
      <c r="F175" s="23" t="str">
        <f>IFERROR(__xludf.DUMMYFUNCTION("GOOGLETRANSLATE(B175, ""en"", ""tr"")"),"tezgâh")</f>
        <v>tezgâh</v>
      </c>
      <c r="G175" s="23" t="str">
        <f>IFERROR(__xludf.DUMMYFUNCTION("GOOGLETRANSLATE(B175, ""en"", ""pt"")"),"Workbench")</f>
        <v>Workbench</v>
      </c>
      <c r="H175" s="24" t="str">
        <f>IFERROR(__xludf.DUMMYFUNCTION("GOOGLETRANSLATE(B175, ""en"", ""de"")"),"Werkbank")</f>
        <v>Werkbank</v>
      </c>
      <c r="I175" s="23" t="str">
        <f>IFERROR(__xludf.DUMMYFUNCTION("GOOGLETRANSLATE(B175, ""en"", ""pl"")"),"stoł warsztatowy")</f>
        <v>stoł warsztatowy</v>
      </c>
      <c r="J175" s="25" t="str">
        <f>IFERROR(__xludf.DUMMYFUNCTION("GOOGLETRANSLATE(B175, ""en"", ""zh"")"),"工作台")</f>
        <v>工作台</v>
      </c>
      <c r="K175" s="25" t="str">
        <f>IFERROR(__xludf.DUMMYFUNCTION("GOOGLETRANSLATE(B175, ""en"", ""vi"")"),"Workbench")</f>
        <v>Workbench</v>
      </c>
      <c r="L175" s="26" t="str">
        <f>IFERROR(__xludf.DUMMYFUNCTION("GOOGLETRANSLATE(B175, ""en"", ""hr"")"),"radna tezga")</f>
        <v>radna tezga</v>
      </c>
      <c r="M175" s="28"/>
      <c r="N175" s="28"/>
      <c r="O175" s="28"/>
      <c r="P175" s="28"/>
      <c r="Q175" s="28"/>
      <c r="R175" s="28"/>
      <c r="S175" s="28"/>
      <c r="T175" s="28"/>
      <c r="U175" s="28"/>
      <c r="V175" s="28"/>
      <c r="W175" s="28"/>
      <c r="X175" s="28"/>
      <c r="Y175" s="28"/>
      <c r="Z175" s="28"/>
      <c r="AA175" s="28"/>
      <c r="AB175" s="28"/>
    </row>
    <row r="176">
      <c r="A176" s="21" t="s">
        <v>622</v>
      </c>
      <c r="B176" s="22" t="s">
        <v>623</v>
      </c>
      <c r="C176" s="23" t="str">
        <f>IFERROR(__xludf.DUMMYFUNCTION("GOOGLETRANSLATE(B176, ""en"", ""fr"")"),"Structure du clan. Utilisé pour fabriquer divers objets.")</f>
        <v>Structure du clan. Utilisé pour fabriquer divers objets.</v>
      </c>
      <c r="D176" s="23" t="str">
        <f>IFERROR(__xludf.DUMMYFUNCTION("GOOGLETRANSLATE(B176, ""en"", ""es"")"),"estructura del clan. Se utiliza para elaborar diversos artículos.")</f>
        <v>estructura del clan. Se utiliza para elaborar diversos artículos.</v>
      </c>
      <c r="E176" s="23" t="str">
        <f>IFERROR(__xludf.DUMMYFUNCTION("GOOGLETRANSLATE(B176, ""en"", ""ru"")"),"Структура клана. Используется для изготовления различных предметов.")</f>
        <v>Структура клана. Используется для изготовления различных предметов.</v>
      </c>
      <c r="F176" s="23" t="str">
        <f>IFERROR(__xludf.DUMMYFUNCTION("GOOGLETRANSLATE(B176, ""en"", ""tr"")"),"Klan yapısı. çeşitli öğeleri zanaat kullanılır.")</f>
        <v>Klan yapısı. çeşitli öğeleri zanaat kullanılır.</v>
      </c>
      <c r="G176" s="23" t="str">
        <f>IFERROR(__xludf.DUMMYFUNCTION("GOOGLETRANSLATE(B176, ""en"", ""pt"")"),"estrutura clã. Usado para criar vários itens.")</f>
        <v>estrutura clã. Usado para criar vários itens.</v>
      </c>
      <c r="H176" s="24" t="str">
        <f>IFERROR(__xludf.DUMMYFUNCTION("GOOGLETRANSLATE(B176, ""en"", ""de"")"),"Clan-Struktur. Verwendet, um verschiedene Gegenstände herzustellen.")</f>
        <v>Clan-Struktur. Verwendet, um verschiedene Gegenstände herzustellen.</v>
      </c>
      <c r="I176" s="23" t="str">
        <f>IFERROR(__xludf.DUMMYFUNCTION("GOOGLETRANSLATE(B176, ""en"", ""pl"")"),"Struktura klanu. Stosowane do jednostek różne przedmioty.")</f>
        <v>Struktura klanu. Stosowane do jednostek różne przedmioty.</v>
      </c>
      <c r="J176" s="25" t="str">
        <f>IFERROR(__xludf.DUMMYFUNCTION("GOOGLETRANSLATE(B176, ""en"", ""zh"")"),"部族结构。用于手艺的各种项目。")</f>
        <v>部族结构。用于手艺的各种项目。</v>
      </c>
      <c r="K176" s="25" t="str">
        <f>IFERROR(__xludf.DUMMYFUNCTION("GOOGLETRANSLATE(B176, ""en"", ""vi"")"),"Clan cấu trúc. Dùng để craft mục khác nhau.")</f>
        <v>Clan cấu trúc. Dùng để craft mục khác nhau.</v>
      </c>
      <c r="L176" s="26" t="str">
        <f>IFERROR(__xludf.DUMMYFUNCTION("GOOGLETRANSLATE(B176, ""en"", ""hr"")"),"Clan struktura. Koristi se za plovila razne predmete.")</f>
        <v>Clan struktura. Koristi se za plovila razne predmete.</v>
      </c>
      <c r="M176" s="28"/>
      <c r="N176" s="28"/>
      <c r="O176" s="28"/>
      <c r="P176" s="28"/>
      <c r="Q176" s="28"/>
      <c r="R176" s="28"/>
      <c r="S176" s="28"/>
      <c r="T176" s="28"/>
      <c r="U176" s="28"/>
      <c r="V176" s="28"/>
      <c r="W176" s="28"/>
      <c r="X176" s="28"/>
      <c r="Y176" s="28"/>
      <c r="Z176" s="28"/>
      <c r="AA176" s="28"/>
      <c r="AB176" s="28"/>
    </row>
    <row r="177">
      <c r="A177" s="21" t="s">
        <v>624</v>
      </c>
      <c r="B177" s="22" t="s">
        <v>300</v>
      </c>
      <c r="C177" s="23" t="str">
        <f>IFERROR(__xludf.DUMMYFUNCTION("GOOGLETRANSLATE(B177, ""en"", ""fr"")"),"fourneau")</f>
        <v>fourneau</v>
      </c>
      <c r="D177" s="23" t="str">
        <f>IFERROR(__xludf.DUMMYFUNCTION("GOOGLETRANSLATE(B177, ""en"", ""es"")"),"Horno")</f>
        <v>Horno</v>
      </c>
      <c r="E177" s="23" t="str">
        <f>IFERROR(__xludf.DUMMYFUNCTION("GOOGLETRANSLATE(B177, ""en"", ""ru"")"),"печь")</f>
        <v>печь</v>
      </c>
      <c r="F177" s="23" t="str">
        <f>IFERROR(__xludf.DUMMYFUNCTION("GOOGLETRANSLATE(B177, ""en"", ""tr"")"),"Fırın")</f>
        <v>Fırın</v>
      </c>
      <c r="G177" s="23" t="str">
        <f>IFERROR(__xludf.DUMMYFUNCTION("GOOGLETRANSLATE(B177, ""en"", ""pt"")"),"Forno")</f>
        <v>Forno</v>
      </c>
      <c r="H177" s="24" t="str">
        <f>IFERROR(__xludf.DUMMYFUNCTION("GOOGLETRANSLATE(B177, ""en"", ""de"")"),"Ofen")</f>
        <v>Ofen</v>
      </c>
      <c r="I177" s="23" t="str">
        <f>IFERROR(__xludf.DUMMYFUNCTION("GOOGLETRANSLATE(B177, ""en"", ""pl"")"),"Piec")</f>
        <v>Piec</v>
      </c>
      <c r="J177" s="25" t="str">
        <f>IFERROR(__xludf.DUMMYFUNCTION("GOOGLETRANSLATE(B177, ""en"", ""zh"")"),"炉")</f>
        <v>炉</v>
      </c>
      <c r="K177" s="25" t="str">
        <f>IFERROR(__xludf.DUMMYFUNCTION("GOOGLETRANSLATE(B177, ""en"", ""vi"")"),"Lò lửa")</f>
        <v>Lò lửa</v>
      </c>
      <c r="L177" s="26" t="str">
        <f>IFERROR(__xludf.DUMMYFUNCTION("GOOGLETRANSLATE(B177, ""en"", ""hr"")"),"Peć")</f>
        <v>Peć</v>
      </c>
      <c r="M177" s="28"/>
      <c r="N177" s="28"/>
      <c r="O177" s="28"/>
      <c r="P177" s="28"/>
      <c r="Q177" s="28"/>
      <c r="R177" s="28"/>
      <c r="S177" s="28"/>
      <c r="T177" s="28"/>
      <c r="U177" s="28"/>
      <c r="V177" s="28"/>
      <c r="W177" s="28"/>
      <c r="X177" s="28"/>
      <c r="Y177" s="28"/>
      <c r="Z177" s="28"/>
      <c r="AA177" s="28"/>
      <c r="AB177" s="28"/>
    </row>
    <row r="178">
      <c r="A178" s="21" t="s">
        <v>625</v>
      </c>
      <c r="B178" s="22" t="s">
        <v>626</v>
      </c>
      <c r="C178" s="23" t="str">
        <f>IFERROR(__xludf.DUMMYFUNCTION("GOOGLETRANSLATE(B178, ""en"", ""fr"")"),"Structure du clan. Utilisé pour transformer les minerais en barres métalliques.")</f>
        <v>Structure du clan. Utilisé pour transformer les minerais en barres métalliques.</v>
      </c>
      <c r="D178" s="23" t="str">
        <f>IFERROR(__xludf.DUMMYFUNCTION("GOOGLETRANSLATE(B178, ""en"", ""es"")"),"estructura del clan. Se utiliza para convertir los minerales en barras de metal.")</f>
        <v>estructura del clan. Se utiliza para convertir los minerales en barras de metal.</v>
      </c>
      <c r="E178" s="23" t="str">
        <f>IFERROR(__xludf.DUMMYFUNCTION("GOOGLETRANSLATE(B178, ""en"", ""ru"")"),"Структура клана. Используется для включения руды в металлические прутья.")</f>
        <v>Структура клана. Используется для включения руды в металлические прутья.</v>
      </c>
      <c r="F178" s="23" t="str">
        <f>IFERROR(__xludf.DUMMYFUNCTION("GOOGLETRANSLATE(B178, ""en"", ""tr"")"),"Klan yapısı. Metal çubuklar içine cevherleri çevirmek için kullanılır.")</f>
        <v>Klan yapısı. Metal çubuklar içine cevherleri çevirmek için kullanılır.</v>
      </c>
      <c r="G178" s="23" t="str">
        <f>IFERROR(__xludf.DUMMYFUNCTION("GOOGLETRANSLATE(B178, ""en"", ""pt"")"),"estrutura clã. Usado para transformar minério em barras de metal.")</f>
        <v>estrutura clã. Usado para transformar minério em barras de metal.</v>
      </c>
      <c r="H178" s="24" t="str">
        <f>IFERROR(__xludf.DUMMYFUNCTION("GOOGLETRANSLATE(B178, ""en"", ""de"")"),"Clan-Struktur. Gebrauchte Erze in Metallstangen zu drehen.")</f>
        <v>Clan-Struktur. Gebrauchte Erze in Metallstangen zu drehen.</v>
      </c>
      <c r="I178" s="23" t="str">
        <f>IFERROR(__xludf.DUMMYFUNCTION("GOOGLETRANSLATE(B178, ""en"", ""pl"")"),"Struktura klanu. Służy do włączania rud do metalowych prętów.")</f>
        <v>Struktura klanu. Służy do włączania rud do metalowych prętów.</v>
      </c>
      <c r="J178" s="25" t="str">
        <f>IFERROR(__xludf.DUMMYFUNCTION("GOOGLETRANSLATE(B178, ""en"", ""zh"")"),"部族结构。用来把矿石到金属条。")</f>
        <v>部族结构。用来把矿石到金属条。</v>
      </c>
      <c r="K178" s="25" t="str">
        <f>IFERROR(__xludf.DUMMYFUNCTION("GOOGLETRANSLATE(B178, ""en"", ""vi"")"),"Clan cấu trúc. Sử dụng để biến quặng thành các thanh kim loại.")</f>
        <v>Clan cấu trúc. Sử dụng để biến quặng thành các thanh kim loại.</v>
      </c>
      <c r="L178" s="26" t="str">
        <f>IFERROR(__xludf.DUMMYFUNCTION("GOOGLETRANSLATE(B178, ""en"", ""hr"")"),"Clan struktura. Koristi se za uključivanje rude u metalnim šipkama.")</f>
        <v>Clan struktura. Koristi se za uključivanje rude u metalnim šipkama.</v>
      </c>
      <c r="M178" s="28"/>
      <c r="N178" s="28"/>
      <c r="O178" s="28"/>
      <c r="P178" s="28"/>
      <c r="Q178" s="28"/>
      <c r="R178" s="28"/>
      <c r="S178" s="28"/>
      <c r="T178" s="28"/>
      <c r="U178" s="28"/>
      <c r="V178" s="28"/>
      <c r="W178" s="28"/>
      <c r="X178" s="28"/>
      <c r="Y178" s="28"/>
      <c r="Z178" s="28"/>
      <c r="AA178" s="28"/>
      <c r="AB178" s="28"/>
    </row>
    <row r="179">
      <c r="A179" s="21" t="s">
        <v>627</v>
      </c>
      <c r="B179" s="22" t="s">
        <v>299</v>
      </c>
      <c r="C179" s="23" t="str">
        <f>IFERROR(__xludf.DUMMYFUNCTION("GOOGLETRANSLATE(B179, ""en"", ""fr"")"),"Enclume")</f>
        <v>Enclume</v>
      </c>
      <c r="D179" s="23" t="str">
        <f>IFERROR(__xludf.DUMMYFUNCTION("GOOGLETRANSLATE(B179, ""en"", ""es"")"),"Yunque")</f>
        <v>Yunque</v>
      </c>
      <c r="E179" s="23" t="str">
        <f>IFERROR(__xludf.DUMMYFUNCTION("GOOGLETRANSLATE(B179, ""en"", ""ru"")"),"наковальня")</f>
        <v>наковальня</v>
      </c>
      <c r="F179" s="23" t="str">
        <f>IFERROR(__xludf.DUMMYFUNCTION("GOOGLETRANSLATE(B179, ""en"", ""tr"")"),"Örs")</f>
        <v>Örs</v>
      </c>
      <c r="G179" s="23" t="str">
        <f>IFERROR(__xludf.DUMMYFUNCTION("GOOGLETRANSLATE(B179, ""en"", ""pt"")"),"Bigorna")</f>
        <v>Bigorna</v>
      </c>
      <c r="H179" s="24" t="str">
        <f>IFERROR(__xludf.DUMMYFUNCTION("GOOGLETRANSLATE(B179, ""en"", ""de"")"),"Amboss")</f>
        <v>Amboss</v>
      </c>
      <c r="I179" s="23" t="str">
        <f>IFERROR(__xludf.DUMMYFUNCTION("GOOGLETRANSLATE(B179, ""en"", ""pl"")"),"Kowadło")</f>
        <v>Kowadło</v>
      </c>
      <c r="J179" s="25" t="str">
        <f>IFERROR(__xludf.DUMMYFUNCTION("GOOGLETRANSLATE(B179, ""en"", ""zh"")"),"砧")</f>
        <v>砧</v>
      </c>
      <c r="K179" s="25" t="str">
        <f>IFERROR(__xludf.DUMMYFUNCTION("GOOGLETRANSLATE(B179, ""en"", ""vi"")"),"cái de")</f>
        <v>cái de</v>
      </c>
      <c r="L179" s="26" t="str">
        <f>IFERROR(__xludf.DUMMYFUNCTION("GOOGLETRANSLATE(B179, ""en"", ""hr"")"),"Nakovanj")</f>
        <v>Nakovanj</v>
      </c>
      <c r="M179" s="28"/>
      <c r="N179" s="28"/>
      <c r="O179" s="28"/>
      <c r="P179" s="28"/>
      <c r="Q179" s="28"/>
      <c r="R179" s="28"/>
      <c r="S179" s="28"/>
      <c r="T179" s="28"/>
      <c r="U179" s="28"/>
      <c r="V179" s="28"/>
      <c r="W179" s="28"/>
      <c r="X179" s="28"/>
      <c r="Y179" s="28"/>
      <c r="Z179" s="28"/>
      <c r="AA179" s="28"/>
      <c r="AB179" s="28"/>
    </row>
    <row r="180">
      <c r="A180" s="21" t="s">
        <v>628</v>
      </c>
      <c r="B180" s="22" t="s">
        <v>629</v>
      </c>
      <c r="C180" s="23" t="str">
        <f>IFERROR(__xludf.DUMMYFUNCTION("GOOGLETRANSLATE(B180, ""en"", ""fr"")"),"Structure du clan. Utilisé pour les objets métalliques d'artisanat.")</f>
        <v>Structure du clan. Utilisé pour les objets métalliques d'artisanat.</v>
      </c>
      <c r="D180" s="23" t="str">
        <f>IFERROR(__xludf.DUMMYFUNCTION("GOOGLETRANSLATE(B180, ""en"", ""es"")"),"estructura del clan. Se utiliza para artículos de artesanía de metal.")</f>
        <v>estructura del clan. Se utiliza para artículos de artesanía de metal.</v>
      </c>
      <c r="E180" s="23" t="str">
        <f>IFERROR(__xludf.DUMMYFUNCTION("GOOGLETRANSLATE(B180, ""en"", ""ru"")"),"Структура клана. Используется для судов металлических изделий.")</f>
        <v>Структура клана. Используется для судов металлических изделий.</v>
      </c>
      <c r="F180" s="23" t="str">
        <f>IFERROR(__xludf.DUMMYFUNCTION("GOOGLETRANSLATE(B180, ""en"", ""tr"")"),"Klan yapısı. zanaat metal öğeleri için kullanılır.")</f>
        <v>Klan yapısı. zanaat metal öğeleri için kullanılır.</v>
      </c>
      <c r="G180" s="23" t="str">
        <f>IFERROR(__xludf.DUMMYFUNCTION("GOOGLETRANSLATE(B180, ""en"", ""pt"")"),"estrutura clã. Usado para itens de artesanato de metal.")</f>
        <v>estrutura clã. Usado para itens de artesanato de metal.</v>
      </c>
      <c r="H180" s="24" t="str">
        <f>IFERROR(__xludf.DUMMYFUNCTION("GOOGLETRANSLATE(B180, ""en"", ""de"")"),"Clan-Struktur. Wird verwendet, um Handwerk Artikel aus Metall.")</f>
        <v>Clan-Struktur. Wird verwendet, um Handwerk Artikel aus Metall.</v>
      </c>
      <c r="I180" s="23" t="str">
        <f>IFERROR(__xludf.DUMMYFUNCTION("GOOGLETRANSLATE(B180, ""en"", ""pl"")"),"Struktura klanu. Służy do metalowych przedmiotów rzemiosła.")</f>
        <v>Struktura klanu. Służy do metalowych przedmiotów rzemiosła.</v>
      </c>
      <c r="J180" s="25" t="str">
        <f>IFERROR(__xludf.DUMMYFUNCTION("GOOGLETRANSLATE(B180, ""en"", ""zh"")"),"部族结构。用于工艺金属物品。")</f>
        <v>部族结构。用于工艺金属物品。</v>
      </c>
      <c r="K180" s="25" t="str">
        <f>IFERROR(__xludf.DUMMYFUNCTION("GOOGLETRANSLATE(B180, ""en"", ""vi"")"),"Clan cấu trúc. Được sử dụng để ghi thủ công kim loại.")</f>
        <v>Clan cấu trúc. Được sử dụng để ghi thủ công kim loại.</v>
      </c>
      <c r="L180" s="26" t="str">
        <f>IFERROR(__xludf.DUMMYFUNCTION("GOOGLETRANSLATE(B180, ""en"", ""hr"")"),"Clan struktura. Koristi se za obrt metalnih predmeta.")</f>
        <v>Clan struktura. Koristi se za obrt metalnih predmeta.</v>
      </c>
      <c r="M180" s="28"/>
      <c r="N180" s="28"/>
      <c r="O180" s="28"/>
      <c r="P180" s="28"/>
      <c r="Q180" s="28"/>
      <c r="R180" s="28"/>
      <c r="S180" s="28"/>
      <c r="T180" s="28"/>
      <c r="U180" s="28"/>
      <c r="V180" s="28"/>
      <c r="W180" s="28"/>
      <c r="X180" s="28"/>
      <c r="Y180" s="28"/>
      <c r="Z180" s="28"/>
      <c r="AA180" s="28"/>
      <c r="AB180" s="28"/>
    </row>
    <row r="181">
      <c r="A181" s="42" t="s">
        <v>630</v>
      </c>
      <c r="B181" s="22" t="s">
        <v>301</v>
      </c>
      <c r="C181" s="23" t="str">
        <f>IFERROR(__xludf.DUMMYFUNCTION("GOOGLETRANSLATE(B181, ""en"", ""fr"")"),"Laboratoire")</f>
        <v>Laboratoire</v>
      </c>
      <c r="D181" s="23" t="str">
        <f>IFERROR(__xludf.DUMMYFUNCTION("GOOGLETRANSLATE(B181, ""en"", ""es"")"),"Laboratorio")</f>
        <v>Laboratorio</v>
      </c>
      <c r="E181" s="23" t="str">
        <f>IFERROR(__xludf.DUMMYFUNCTION("GOOGLETRANSLATE(B181, ""en"", ""ru"")"),"лаборатория")</f>
        <v>лаборатория</v>
      </c>
      <c r="F181" s="23" t="str">
        <f>IFERROR(__xludf.DUMMYFUNCTION("GOOGLETRANSLATE(B181, ""en"", ""tr"")"),"laboratuvar")</f>
        <v>laboratuvar</v>
      </c>
      <c r="G181" s="23" t="str">
        <f>IFERROR(__xludf.DUMMYFUNCTION("GOOGLETRANSLATE(B181, ""en"", ""pt"")"),"Laboratório")</f>
        <v>Laboratório</v>
      </c>
      <c r="H181" s="24" t="str">
        <f>IFERROR(__xludf.DUMMYFUNCTION("GOOGLETRANSLATE(B181, ""en"", ""de"")"),"Labor")</f>
        <v>Labor</v>
      </c>
      <c r="I181" s="23" t="str">
        <f>IFERROR(__xludf.DUMMYFUNCTION("GOOGLETRANSLATE(B181, ""en"", ""pl"")"),"Laboratorium")</f>
        <v>Laboratorium</v>
      </c>
      <c r="J181" s="25" t="str">
        <f>IFERROR(__xludf.DUMMYFUNCTION("GOOGLETRANSLATE(B181, ""en"", ""zh"")"),"实验室")</f>
        <v>实验室</v>
      </c>
      <c r="K181" s="25" t="str">
        <f>IFERROR(__xludf.DUMMYFUNCTION("GOOGLETRANSLATE(B181, ""en"", ""vi"")"),"phòng thí nghiệm")</f>
        <v>phòng thí nghiệm</v>
      </c>
      <c r="L181" s="26" t="str">
        <f>IFERROR(__xludf.DUMMYFUNCTION("GOOGLETRANSLATE(B181, ""en"", ""hr"")"),"Laboratorija")</f>
        <v>Laboratorija</v>
      </c>
      <c r="M181" s="28"/>
      <c r="N181" s="28"/>
      <c r="O181" s="28"/>
      <c r="P181" s="28"/>
      <c r="Q181" s="28"/>
      <c r="R181" s="28"/>
      <c r="S181" s="28"/>
      <c r="T181" s="28"/>
      <c r="U181" s="28"/>
      <c r="V181" s="28"/>
      <c r="W181" s="28"/>
      <c r="X181" s="28"/>
      <c r="Y181" s="28"/>
      <c r="Z181" s="28"/>
      <c r="AA181" s="28"/>
      <c r="AB181" s="28"/>
    </row>
    <row r="182">
      <c r="A182" s="42" t="s">
        <v>631</v>
      </c>
      <c r="B182" s="22" t="s">
        <v>632</v>
      </c>
      <c r="C182" s="23" t="str">
        <f>IFERROR(__xludf.DUMMYFUNCTION("GOOGLETRANSLATE(B182, ""en"", ""fr"")"),"Structure du clan. Utilisé pour les potions d'artisanat.")</f>
        <v>Structure du clan. Utilisé pour les potions d'artisanat.</v>
      </c>
      <c r="D182" s="23" t="str">
        <f>IFERROR(__xludf.DUMMYFUNCTION("GOOGLETRANSLATE(B182, ""en"", ""es"")"),"estructura del clan. Se utiliza para pociones de artesanía.")</f>
        <v>estructura del clan. Se utiliza para pociones de artesanía.</v>
      </c>
      <c r="E182" s="23" t="str">
        <f>IFERROR(__xludf.DUMMYFUNCTION("GOOGLETRANSLATE(B182, ""en"", ""ru"")"),"Структура клана. Используется для ремесленных зелий.")</f>
        <v>Структура клана. Используется для ремесленных зелий.</v>
      </c>
      <c r="F182" s="23" t="str">
        <f>IFERROR(__xludf.DUMMYFUNCTION("GOOGLETRANSLATE(B182, ""en"", ""tr"")"),"Klan yapısı. zanaat iksirler için kullanılır.")</f>
        <v>Klan yapısı. zanaat iksirler için kullanılır.</v>
      </c>
      <c r="G182" s="23" t="str">
        <f>IFERROR(__xludf.DUMMYFUNCTION("GOOGLETRANSLATE(B182, ""en"", ""pt"")"),"estrutura clã. Usado para poções de artesanato.")</f>
        <v>estrutura clã. Usado para poções de artesanato.</v>
      </c>
      <c r="H182" s="24" t="str">
        <f>IFERROR(__xludf.DUMMYFUNCTION("GOOGLETRANSLATE(B182, ""en"", ""de"")"),"Clan-Struktur. Wird verwendet, um Handwerk Tränke.")</f>
        <v>Clan-Struktur. Wird verwendet, um Handwerk Tränke.</v>
      </c>
      <c r="I182" s="23" t="str">
        <f>IFERROR(__xludf.DUMMYFUNCTION("GOOGLETRANSLATE(B182, ""en"", ""pl"")"),"Struktura klanu. Służy do eliksirów rzemieślniczych.")</f>
        <v>Struktura klanu. Służy do eliksirów rzemieślniczych.</v>
      </c>
      <c r="J182" s="25" t="str">
        <f>IFERROR(__xludf.DUMMYFUNCTION("GOOGLETRANSLATE(B182, ""en"", ""zh"")"),"部族结构。用于工艺药水。")</f>
        <v>部族结构。用于工艺药水。</v>
      </c>
      <c r="K182" s="25" t="str">
        <f>IFERROR(__xludf.DUMMYFUNCTION("GOOGLETRANSLATE(B182, ""en"", ""vi"")"),"Clan cấu trúc. Được sử dụng để potions nghề.")</f>
        <v>Clan cấu trúc. Được sử dụng để potions nghề.</v>
      </c>
      <c r="L182" s="26" t="str">
        <f>IFERROR(__xludf.DUMMYFUNCTION("GOOGLETRANSLATE(B182, ""en"", ""hr"")"),"Clan struktura. Koristi se za obrtničke napitaka.")</f>
        <v>Clan struktura. Koristi se za obrtničke napitaka.</v>
      </c>
      <c r="M182" s="28"/>
      <c r="N182" s="28"/>
      <c r="O182" s="28"/>
      <c r="P182" s="28"/>
      <c r="Q182" s="28"/>
      <c r="R182" s="28"/>
      <c r="S182" s="28"/>
      <c r="T182" s="28"/>
      <c r="U182" s="28"/>
      <c r="V182" s="28"/>
      <c r="W182" s="28"/>
      <c r="X182" s="28"/>
      <c r="Y182" s="28"/>
      <c r="Z182" s="28"/>
      <c r="AA182" s="28"/>
      <c r="AB182" s="28"/>
    </row>
    <row r="183">
      <c r="A183" s="42" t="s">
        <v>633</v>
      </c>
      <c r="B183" s="22" t="s">
        <v>634</v>
      </c>
      <c r="C183" s="23" t="str">
        <f>IFERROR(__xludf.DUMMYFUNCTION("GOOGLETRANSLATE(B183, ""en"", ""fr"")"),"Générateur")</f>
        <v>Générateur</v>
      </c>
      <c r="D183" s="23" t="str">
        <f>IFERROR(__xludf.DUMMYFUNCTION("GOOGLETRANSLATE(B183, ""en"", ""es"")"),"Generador")</f>
        <v>Generador</v>
      </c>
      <c r="E183" s="23" t="str">
        <f>IFERROR(__xludf.DUMMYFUNCTION("GOOGLETRANSLATE(B183, ""en"", ""ru"")"),"Генератор")</f>
        <v>Генератор</v>
      </c>
      <c r="F183" s="23" t="str">
        <f>IFERROR(__xludf.DUMMYFUNCTION("GOOGLETRANSLATE(B183, ""en"", ""tr"")"),"Jeneratör")</f>
        <v>Jeneratör</v>
      </c>
      <c r="G183" s="23" t="str">
        <f>IFERROR(__xludf.DUMMYFUNCTION("GOOGLETRANSLATE(B183, ""en"", ""pt"")"),"Gerador")</f>
        <v>Gerador</v>
      </c>
      <c r="H183" s="24" t="str">
        <f>IFERROR(__xludf.DUMMYFUNCTION("GOOGLETRANSLATE(B183, ""en"", ""de"")"),"Generator")</f>
        <v>Generator</v>
      </c>
      <c r="I183" s="23" t="str">
        <f>IFERROR(__xludf.DUMMYFUNCTION("GOOGLETRANSLATE(B183, ""en"", ""pl"")"),"Generator")</f>
        <v>Generator</v>
      </c>
      <c r="J183" s="25" t="str">
        <f>IFERROR(__xludf.DUMMYFUNCTION("GOOGLETRANSLATE(B183, ""en"", ""zh"")"),"发电机")</f>
        <v>发电机</v>
      </c>
      <c r="K183" s="25" t="str">
        <f>IFERROR(__xludf.DUMMYFUNCTION("GOOGLETRANSLATE(B183, ""en"", ""vi"")"),"Máy phát điện")</f>
        <v>Máy phát điện</v>
      </c>
      <c r="L183" s="26" t="str">
        <f>IFERROR(__xludf.DUMMYFUNCTION("GOOGLETRANSLATE(B183, ""en"", ""hr"")"),"Generator")</f>
        <v>Generator</v>
      </c>
      <c r="M183" s="28"/>
      <c r="N183" s="28"/>
      <c r="O183" s="28"/>
      <c r="P183" s="28"/>
      <c r="Q183" s="28"/>
      <c r="R183" s="28"/>
      <c r="S183" s="28"/>
      <c r="T183" s="28"/>
      <c r="U183" s="28"/>
      <c r="V183" s="28"/>
      <c r="W183" s="28"/>
      <c r="X183" s="28"/>
      <c r="Y183" s="28"/>
      <c r="Z183" s="28"/>
      <c r="AA183" s="28"/>
      <c r="AB183" s="28"/>
    </row>
    <row r="184">
      <c r="A184" s="42" t="s">
        <v>635</v>
      </c>
      <c r="B184" s="22" t="s">
        <v>636</v>
      </c>
      <c r="C184" s="23" t="str">
        <f>IFERROR(__xludf.DUMMYFUNCTION("GOOGLETRANSLATE(B184,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184" s="23" t="str">
        <f>IFERROR(__xludf.DUMMYFUNCTION("GOOGLETRANSLATE(B184, ""en"", ""es"")"),"estructura del clan. Convierte la gloria de los jugadores en el poder que se pueden utilizar para activar otras estructuras de clan que requieren energía, y puede proteger a todas las estructuras de clan de los daños.")</f>
        <v>estructura del clan. Convierte la gloria de los jugadores en el poder que se pueden utilizar para activar otras estructuras de clan que requieren energía, y puede proteger a todas las estructuras de clan de los daños.</v>
      </c>
      <c r="E184" s="23" t="str">
        <f>IFERROR(__xludf.DUMMYFUNCTION("GOOGLETRANSLATE(B184, ""en"", ""ru"")"),"Структура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f>
        <v>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v>
      </c>
      <c r="F184" s="23" t="str">
        <f>IFERROR(__xludf.DUMMYFUNCTION("GOOGLETRANSLATE(B184, ""en"", ""tr"")"),"Klan yapısı. güç gerektirir ve hasardan tüm klan yapıları kalkan diğer klan yapılarını etkinleştirmek için kullanılabilir güç haline oyunculardan dönüştürür zafer.")</f>
        <v>Klan yapısı. güç gerektirir ve hasardan tüm klan yapıları kalkan diğer klan yapılarını etkinleştirmek için kullanılabilir güç haline oyunculardan dönüştürür zafer.</v>
      </c>
      <c r="G184" s="23" t="str">
        <f>IFERROR(__xludf.DUMMYFUNCTION("GOOGLETRANSLATE(B184, ""en"", ""pt"")"),"estrutura clã. Converte glória de jogadores em energia que pode ser usada para ativar outras estruturas clã que exigem poder, e pode proteger todas as estruturas do clã de danos.")</f>
        <v>estrutura clã. Converte glória de jogadores em energia que pode ser usada para ativar outras estruturas clã que exigem poder, e pode proteger todas as estruturas do clã de danos.</v>
      </c>
      <c r="H184" s="24" t="str">
        <f>IFERROR(__xludf.DUMMYFUNCTION("GOOGLETRANSLATE(B184, ""en"", ""de"")"),"Clan-Struktur. Wandelt Ruhm von Spielern in Kraft, die verwendet werden können, andere Clanstrukturen zu aktivieren, die Energie benötigen, und können alle Clanstrukturen vor Beschädigung schützen.")</f>
        <v>Clan-Struktur. Wandelt Ruhm von Spielern in Kraft, die verwendet werden können, andere Clanstrukturen zu aktivieren, die Energie benötigen, und können alle Clanstrukturen vor Beschädigung schützen.</v>
      </c>
      <c r="I184" s="23" t="str">
        <f>IFERROR(__xludf.DUMMYFUNCTION("GOOGLETRANSLATE(B184, ""en"", ""pl"")"),"Struktura klanu. Nawróceni chwała od graczy w energię, które mogą być wykorzystywane do aktywacji innych struktur klanowych, które wymagają zasilania i może osłonić wszystkie struktury klanowe przed uszkodzeniem.")</f>
        <v>Struktura klanu. Nawróceni chwała od graczy w energię, które mogą być wykorzystywane do aktywacji innych struktur klanowych, które wymagają zasilania i może osłonić wszystkie struktury klanowe przed uszkodzeniem.</v>
      </c>
      <c r="J184" s="25" t="str">
        <f>IFERROR(__xludf.DUMMYFUNCTION("GOOGLETRANSLATE(B184, ""en"", ""zh"")"),"部族结构。从球员到电力可以用来激活需要电源，并且可以从损坏屏蔽所有部族结构的其他氏族的结构转换的辉煌。")</f>
        <v>部族结构。从球员到电力可以用来激活需要电源，并且可以从损坏屏蔽所有部族结构的其他氏族的结构转换的辉煌。</v>
      </c>
      <c r="K184" s="25" t="str">
        <f>IFERROR(__xludf.DUMMYFUNCTION("GOOGLETRANSLATE(B184, ""en"", ""vi"")"),"Clan cấu trúc. Chuyển đổi vinh quang từ những người chơi vào năng lượng có thể được sử dụng để kích hoạt các cấu trúc tộc khác đòi hỏi phải có sức mạnh, và có thể bảo vệ tất cả các cấu trúc tộc khỏi hư hỏng.")</f>
        <v>Clan cấu trúc. Chuyển đổi vinh quang từ những người chơi vào năng lượng có thể được sử dụng để kích hoạt các cấu trúc tộc khác đòi hỏi phải có sức mạnh, và có thể bảo vệ tất cả các cấu trúc tộc khỏi hư hỏng.</v>
      </c>
      <c r="L184" s="26" t="str">
        <f>IFERROR(__xludf.DUMMYFUNCTION("GOOGLETRANSLATE(B184, ""en"", ""hr"")"),"Clan struktura. Pretvara slava od igrača na vlast koji se mogu koristiti za aktiviranje druge klana struktura koje zahtijevaju snagu, a može štit sve klana struktura od oštećenja.")</f>
        <v>Clan struktura. Pretvara slava od igrača na vlast koji se mogu koristiti za aktiviranje druge klana struktura koje zahtijevaju snagu, a može štit sve klana struktura od oštećenja.</v>
      </c>
      <c r="M184" s="28"/>
      <c r="N184" s="28"/>
      <c r="O184" s="28"/>
      <c r="P184" s="28"/>
      <c r="Q184" s="28"/>
      <c r="R184" s="28"/>
      <c r="S184" s="28"/>
      <c r="T184" s="28"/>
      <c r="U184" s="28"/>
      <c r="V184" s="28"/>
      <c r="W184" s="28"/>
      <c r="X184" s="28"/>
      <c r="Y184" s="28"/>
      <c r="Z184" s="28"/>
      <c r="AA184" s="28"/>
      <c r="AB184" s="28"/>
    </row>
    <row r="185">
      <c r="A185" s="42" t="s">
        <v>637</v>
      </c>
      <c r="B185" s="22" t="s">
        <v>638</v>
      </c>
      <c r="C185" s="23" t="str">
        <f>IFERROR(__xludf.DUMMYFUNCTION("GOOGLETRANSLATE(B185, ""en"", ""fr"")"),"clé Fighter")</f>
        <v>clé Fighter</v>
      </c>
      <c r="D185" s="23" t="str">
        <f>IFERROR(__xludf.DUMMYFUNCTION("GOOGLETRANSLATE(B185, ""en"", ""es"")"),"clave de combate")</f>
        <v>clave de combate</v>
      </c>
      <c r="E185" s="23" t="str">
        <f>IFERROR(__xludf.DUMMYFUNCTION("GOOGLETRANSLATE(B185, ""en"", ""ru"")"),"ключ Fighter")</f>
        <v>ключ Fighter</v>
      </c>
      <c r="F185" s="23" t="str">
        <f>IFERROR(__xludf.DUMMYFUNCTION("GOOGLETRANSLATE(B185, ""en"", ""tr"")"),"dövüşçü anahtar")</f>
        <v>dövüşçü anahtar</v>
      </c>
      <c r="G185" s="23" t="str">
        <f>IFERROR(__xludf.DUMMYFUNCTION("GOOGLETRANSLATE(B185, ""en"", ""pt"")"),"chave de lutador")</f>
        <v>chave de lutador</v>
      </c>
      <c r="H185" s="24" t="str">
        <f>IFERROR(__xludf.DUMMYFUNCTION("GOOGLETRANSLATE(B185, ""en"", ""de"")"),"Kämpfer Schlüssel")</f>
        <v>Kämpfer Schlüssel</v>
      </c>
      <c r="I185" s="23" t="str">
        <f>IFERROR(__xludf.DUMMYFUNCTION("GOOGLETRANSLATE(B185, ""en"", ""pl"")"),"kluczem Fighter")</f>
        <v>kluczem Fighter</v>
      </c>
      <c r="J185" s="25" t="str">
        <f>IFERROR(__xludf.DUMMYFUNCTION("GOOGLETRANSLATE(B185, ""en"", ""zh"")"),"战斗机关键")</f>
        <v>战斗机关键</v>
      </c>
      <c r="K185" s="25" t="str">
        <f>IFERROR(__xludf.DUMMYFUNCTION("GOOGLETRANSLATE(B185, ""en"", ""vi"")"),"chìa khóa Fighter")</f>
        <v>chìa khóa Fighter</v>
      </c>
      <c r="L185" s="26" t="str">
        <f>IFERROR(__xludf.DUMMYFUNCTION("GOOGLETRANSLATE(B185, ""en"", ""hr"")"),"ključ borac")</f>
        <v>ključ borac</v>
      </c>
      <c r="M185" s="28"/>
      <c r="N185" s="28"/>
      <c r="O185" s="28"/>
      <c r="P185" s="28"/>
      <c r="Q185" s="28"/>
      <c r="R185" s="28"/>
      <c r="S185" s="28"/>
      <c r="T185" s="28"/>
      <c r="U185" s="28"/>
      <c r="V185" s="28"/>
      <c r="W185" s="28"/>
      <c r="X185" s="28"/>
      <c r="Y185" s="28"/>
      <c r="Z185" s="28"/>
      <c r="AA185" s="28"/>
      <c r="AB185" s="28"/>
    </row>
    <row r="186">
      <c r="A186" s="42" t="s">
        <v>639</v>
      </c>
      <c r="B186" s="22" t="s">
        <v>640</v>
      </c>
      <c r="C186" s="23" t="str">
        <f>IFERROR(__xludf.DUMMYFUNCTION("GOOGLETRANSLATE(B186,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186" s="23" t="str">
        <f>IFERROR(__xludf.DUMMYFUNCTION("GOOGLETRANSLATE(B186, ""en"", ""es"")"),"Se abre la puerta a la zona de preparación de arena PvP. ¡Advertencia! Otros jugadores que pueden atacar en el pozo de lucha!")</f>
        <v>Se abre la puerta a la zona de preparación de arena PvP. ¡Advertencia! Otros jugadores que pueden atacar en el pozo de lucha!</v>
      </c>
      <c r="E186" s="23" t="str">
        <f>IFERROR(__xludf.DUMMYFUNCTION("GOOGLETRANSLATE(B186, ""en"", ""ru"")"),"Открывается дверь в зоне подготовки PvP арены. Предупреждение! Другие игроки могут атаковать вас в бою яме!")</f>
        <v>Открывается дверь в зоне подготовки PvP арены. Предупреждение! Другие игроки могут атаковать вас в бою яме!</v>
      </c>
      <c r="F186" s="23" t="str">
        <f>IFERROR(__xludf.DUMMYFUNCTION("GOOGLETRANSLATE(B186, ""en"", ""tr"")"),"PvP arenası hazırlama alanının kapısını açar. Uyarı! Diğer oyuncular kavga çukura size saldırabilir!")</f>
        <v>PvP arenası hazırlama alanının kapısını açar. Uyarı! Diğer oyuncular kavga çukura size saldırabilir!</v>
      </c>
      <c r="G186" s="23" t="str">
        <f>IFERROR(__xludf.DUMMYFUNCTION("GOOGLETRANSLATE(B186, ""en"", ""pt"")"),"Abre a porta para a área de preparação da arena PvP. Aviso! Outros jogadores podem atacá-lo no pit luta!")</f>
        <v>Abre a porta para a área de preparação da arena PvP. Aviso! Outros jogadores podem atacá-lo no pit luta!</v>
      </c>
      <c r="H186" s="24" t="str">
        <f>IFERROR(__xludf.DUMMYFUNCTION("GOOGLETRANSLATE(B186, ""en"", ""de"")"),"Öffnet die Tür zum PvP Arena Vorbereitungsbereich. Warnung! Andere Spieler können Sie im Kampf Grube angreifen!")</f>
        <v>Öffnet die Tür zum PvP Arena Vorbereitungsbereich. Warnung! Andere Spieler können Sie im Kampf Grube angreifen!</v>
      </c>
      <c r="I186" s="23" t="str">
        <f>IFERROR(__xludf.DUMMYFUNCTION("GOOGLETRANSLATE(B186, ""en"", ""pl"")"),"Otwiera drzwi do pola zabiegowego PvP areny. Ostrzeżenie! Inni gracze mogą atakować cię w boksie walki!")</f>
        <v>Otwiera drzwi do pola zabiegowego PvP areny. Ostrzeżenie! Inni gracze mogą atakować cię w boksie walki!</v>
      </c>
      <c r="J186" s="25" t="str">
        <f>IFERROR(__xludf.DUMMYFUNCTION("GOOGLETRANSLATE(B186, ""en"", ""zh"")"),"打开大门的PvP竞技场准备区。警告！其他玩家可以攻击你在打坑！")</f>
        <v>打开大门的PvP竞技场准备区。警告！其他玩家可以攻击你在打坑！</v>
      </c>
      <c r="K186" s="25" t="str">
        <f>IFERROR(__xludf.DUMMYFUNCTION("GOOGLETRANSLATE(B186, ""en"", ""vi"")"),"Mở cửa vào khu vực chuẩn bị PvP đấu trường. Cảnh báo! những người chơi khác có thể tấn công bạn trong hố chiến đấu!")</f>
        <v>Mở cửa vào khu vực chuẩn bị PvP đấu trường. Cảnh báo! những người chơi khác có thể tấn công bạn trong hố chiến đấu!</v>
      </c>
      <c r="L186" s="26" t="str">
        <f>IFERROR(__xludf.DUMMYFUNCTION("GOOGLETRANSLATE(B186, ""en"", ""hr"")"),"Otvara vrata na području pripreme PvP arene. Upozorenje! Ostali igrači mogu vas napadati u borbi jamu!")</f>
        <v>Otvara vrata na području pripreme PvP arene. Upozorenje! Ostali igrači mogu vas napadati u borbi jamu!</v>
      </c>
      <c r="M186" s="28"/>
      <c r="N186" s="28"/>
      <c r="O186" s="28"/>
      <c r="P186" s="28"/>
      <c r="Q186" s="28"/>
      <c r="R186" s="28"/>
      <c r="S186" s="28"/>
      <c r="T186" s="28"/>
      <c r="U186" s="28"/>
      <c r="V186" s="28"/>
      <c r="W186" s="28"/>
      <c r="X186" s="28"/>
      <c r="Y186" s="28"/>
      <c r="Z186" s="28"/>
      <c r="AA186" s="28"/>
      <c r="AB186" s="28"/>
    </row>
    <row r="187">
      <c r="A187" s="42" t="s">
        <v>641</v>
      </c>
      <c r="B187" s="22" t="s">
        <v>642</v>
      </c>
      <c r="C187" s="23" t="str">
        <f>IFERROR(__xludf.DUMMYFUNCTION("GOOGLETRANSLATE(B187, ""en"", ""fr"")"),"clé Pit")</f>
        <v>clé Pit</v>
      </c>
      <c r="D187" s="23" t="str">
        <f>IFERROR(__xludf.DUMMYFUNCTION("GOOGLETRANSLATE(B187, ""en"", ""es"")"),"Pit clave")</f>
        <v>Pit clave</v>
      </c>
      <c r="E187" s="23" t="str">
        <f>IFERROR(__xludf.DUMMYFUNCTION("GOOGLETRANSLATE(B187, ""en"", ""ru"")"),"ключ Pit")</f>
        <v>ключ Pit</v>
      </c>
      <c r="F187" s="23" t="str">
        <f>IFERROR(__xludf.DUMMYFUNCTION("GOOGLETRANSLATE(B187, ""en"", ""tr"")"),"çukur anahtar")</f>
        <v>çukur anahtar</v>
      </c>
      <c r="G187" s="23" t="str">
        <f>IFERROR(__xludf.DUMMYFUNCTION("GOOGLETRANSLATE(B187, ""en"", ""pt"")"),"chave pit")</f>
        <v>chave pit</v>
      </c>
      <c r="H187" s="24" t="str">
        <f>IFERROR(__xludf.DUMMYFUNCTION("GOOGLETRANSLATE(B187, ""en"", ""de"")"),"Pit Schlüssel")</f>
        <v>Pit Schlüssel</v>
      </c>
      <c r="I187" s="23" t="str">
        <f>IFERROR(__xludf.DUMMYFUNCTION("GOOGLETRANSLATE(B187, ""en"", ""pl"")"),"kluczem Pit")</f>
        <v>kluczem Pit</v>
      </c>
      <c r="J187" s="25" t="str">
        <f>IFERROR(__xludf.DUMMYFUNCTION("GOOGLETRANSLATE(B187, ""en"", ""zh"")"),"坑关键")</f>
        <v>坑关键</v>
      </c>
      <c r="K187" s="25" t="str">
        <f>IFERROR(__xludf.DUMMYFUNCTION("GOOGLETRANSLATE(B187, ""en"", ""vi"")"),"chìa khóa pit")</f>
        <v>chìa khóa pit</v>
      </c>
      <c r="L187" s="26" t="str">
        <f>IFERROR(__xludf.DUMMYFUNCTION("GOOGLETRANSLATE(B187, ""en"", ""hr"")"),"ključ Pit")</f>
        <v>ključ Pit</v>
      </c>
      <c r="M187" s="28"/>
      <c r="N187" s="28"/>
      <c r="O187" s="28"/>
      <c r="P187" s="28"/>
      <c r="Q187" s="28"/>
      <c r="R187" s="28"/>
      <c r="S187" s="28"/>
      <c r="T187" s="28"/>
      <c r="U187" s="28"/>
      <c r="V187" s="28"/>
      <c r="W187" s="28"/>
      <c r="X187" s="28"/>
      <c r="Y187" s="28"/>
      <c r="Z187" s="28"/>
      <c r="AA187" s="28"/>
      <c r="AB187" s="28"/>
    </row>
    <row r="188">
      <c r="A188" s="42" t="s">
        <v>643</v>
      </c>
      <c r="B188" s="22" t="s">
        <v>644</v>
      </c>
      <c r="C188" s="23" t="str">
        <f>IFERROR(__xludf.DUMMYFUNCTION("GOOGLETRANSLATE(B188, ""en"", ""fr"")"),"Ouvre les portes pour sortir de la fosse de combat.")</f>
        <v>Ouvre les portes pour sortir de la fosse de combat.</v>
      </c>
      <c r="D188" s="23" t="str">
        <f>IFERROR(__xludf.DUMMYFUNCTION("GOOGLETRANSLATE(B188, ""en"", ""es"")"),"Abre las puertas para salir del pozo pelea.")</f>
        <v>Abre las puertas para salir del pozo pelea.</v>
      </c>
      <c r="E188" s="23" t="str">
        <f>IFERROR(__xludf.DUMMYFUNCTION("GOOGLETRANSLATE(B188, ""en"", ""ru"")"),"Открывает двери, чтобы выйти из боя ямы.")</f>
        <v>Открывает двери, чтобы выйти из боя ямы.</v>
      </c>
      <c r="F188" s="23" t="str">
        <f>IFERROR(__xludf.DUMMYFUNCTION("GOOGLETRANSLATE(B188, ""en"", ""tr"")"),"kavga çukurun çıkmak kapılarını açar.")</f>
        <v>kavga çukurun çıkmak kapılarını açar.</v>
      </c>
      <c r="G188" s="23" t="str">
        <f>IFERROR(__xludf.DUMMYFUNCTION("GOOGLETRANSLATE(B188, ""en"", ""pt"")"),"Abre as portas para sair do pit luta.")</f>
        <v>Abre as portas para sair do pit luta.</v>
      </c>
      <c r="H188" s="24" t="str">
        <f>IFERROR(__xludf.DUMMYFUNCTION("GOOGLETRANSLATE(B188, ""en"", ""de"")"),"Öffnet die Türen des Kampfes Grube raus.")</f>
        <v>Öffnet die Türen des Kampfes Grube raus.</v>
      </c>
      <c r="I188" s="23" t="str">
        <f>IFERROR(__xludf.DUMMYFUNCTION("GOOGLETRANSLATE(B188, ""en"", ""pl"")"),"Otwiera drzwi, aby wydostać się z dołu walki.")</f>
        <v>Otwiera drzwi, aby wydostać się z dołu walki.</v>
      </c>
      <c r="J188" s="25" t="str">
        <f>IFERROR(__xludf.DUMMYFUNCTION("GOOGLETRANSLATE(B188, ""en"", ""zh"")"),"打开大门，让打坑出来。")</f>
        <v>打开大门，让打坑出来。</v>
      </c>
      <c r="K188" s="25" t="str">
        <f>IFERROR(__xludf.DUMMYFUNCTION("GOOGLETRANSLATE(B188, ""en"", ""vi"")"),"Mở cửa thoát ra khỏi hố chiến đấu.")</f>
        <v>Mở cửa thoát ra khỏi hố chiến đấu.</v>
      </c>
      <c r="L188" s="26" t="str">
        <f>IFERROR(__xludf.DUMMYFUNCTION("GOOGLETRANSLATE(B188, ""en"", ""hr"")"),"Otvara vrata da se iz borbe jame.")</f>
        <v>Otvara vrata da se iz borbe jame.</v>
      </c>
      <c r="M188" s="28"/>
      <c r="N188" s="28"/>
      <c r="O188" s="28"/>
      <c r="P188" s="28"/>
      <c r="Q188" s="28"/>
      <c r="R188" s="28"/>
      <c r="S188" s="28"/>
      <c r="T188" s="28"/>
      <c r="U188" s="28"/>
      <c r="V188" s="28"/>
      <c r="W188" s="28"/>
      <c r="X188" s="28"/>
      <c r="Y188" s="28"/>
      <c r="Z188" s="28"/>
      <c r="AA188" s="28"/>
      <c r="AB188" s="28"/>
    </row>
    <row r="189">
      <c r="A189" s="21" t="s">
        <v>645</v>
      </c>
      <c r="B189" s="22" t="s">
        <v>646</v>
      </c>
      <c r="C189" s="23" t="str">
        <f>IFERROR(__xludf.DUMMYFUNCTION("GOOGLETRANSLATE(B189, ""en"", ""fr"")"),"Parchemin de zone de guérison")</f>
        <v>Parchemin de zone de guérison</v>
      </c>
      <c r="D189" s="23" t="str">
        <f>IFERROR(__xludf.DUMMYFUNCTION("GOOGLETRANSLATE(B189, ""en"", ""es"")"),"Pergamino de la zona cicatrice")</f>
        <v>Pergamino de la zona cicatrice</v>
      </c>
      <c r="E189" s="23" t="str">
        <f>IFERROR(__xludf.DUMMYFUNCTION("GOOGLETRANSLATE(B189, ""en"", ""ru"")"),"Свиток залечить области")</f>
        <v>Свиток залечить области</v>
      </c>
      <c r="F189" s="23" t="str">
        <f>IFERROR(__xludf.DUMMYFUNCTION("GOOGLETRANSLATE(B189, ""en"", ""tr"")"),"iyileşmek alanının Kaydırma")</f>
        <v>iyileşmek alanının Kaydırma</v>
      </c>
      <c r="G189" s="23" t="str">
        <f>IFERROR(__xludf.DUMMYFUNCTION("GOOGLETRANSLATE(B189, ""en"", ""pt"")"),"Scroll of área de curar")</f>
        <v>Scroll of área de curar</v>
      </c>
      <c r="H189" s="24" t="str">
        <f>IFERROR(__xludf.DUMMYFUNCTION("GOOGLETRANSLATE(B189, ""en"", ""de"")"),"Rolle der heilen Bereich")</f>
        <v>Rolle der heilen Bereich</v>
      </c>
      <c r="I189" s="23" t="str">
        <f>IFERROR(__xludf.DUMMYFUNCTION("GOOGLETRANSLATE(B189, ""en"", ""pl"")"),"Zwój leczyć okolicy")</f>
        <v>Zwój leczyć okolicy</v>
      </c>
      <c r="J189" s="25" t="str">
        <f>IFERROR(__xludf.DUMMYFUNCTION("GOOGLETRANSLATE(B189, ""en"", ""zh"")"),"治疗区域的滚动")</f>
        <v>治疗区域的滚动</v>
      </c>
      <c r="K189" s="25" t="str">
        <f>IFERROR(__xludf.DUMMYFUNCTION("GOOGLETRANSLATE(B189, ""en"", ""vi"")"),"Scroll diện tích chữa lành")</f>
        <v>Scroll diện tích chữa lành</v>
      </c>
      <c r="L189" s="26" t="str">
        <f>IFERROR(__xludf.DUMMYFUNCTION("GOOGLETRANSLATE(B189, ""en"", ""hr"")"),"Dođite od liječe područja")</f>
        <v>Dođite od liječe područja</v>
      </c>
      <c r="M189" s="28"/>
      <c r="N189" s="28"/>
      <c r="O189" s="28"/>
      <c r="P189" s="28"/>
      <c r="Q189" s="28"/>
      <c r="R189" s="28"/>
      <c r="S189" s="28"/>
      <c r="T189" s="28"/>
      <c r="U189" s="28"/>
      <c r="V189" s="28"/>
      <c r="W189" s="28"/>
      <c r="X189" s="28"/>
      <c r="Y189" s="28"/>
      <c r="Z189" s="28"/>
      <c r="AA189" s="28"/>
      <c r="AB189" s="28"/>
    </row>
    <row r="190">
      <c r="A190" s="21" t="s">
        <v>647</v>
      </c>
      <c r="B190" s="22" t="s">
        <v>648</v>
      </c>
      <c r="C190" s="23" t="str">
        <f>IFERROR(__xludf.DUMMYFUNCTION("GOOGLETRANSLATE(B190, ""en"", ""fr"")"),"Guérit toutes les créatures autour de vous.")</f>
        <v>Guérit toutes les créatures autour de vous.</v>
      </c>
      <c r="D190" s="23" t="str">
        <f>IFERROR(__xludf.DUMMYFUNCTION("GOOGLETRANSLATE(B190, ""en"", ""es"")"),"Cura todas las criaturas alrededor de sí mismo.")</f>
        <v>Cura todas las criaturas alrededor de sí mismo.</v>
      </c>
      <c r="E190" s="23" t="str">
        <f>IFERROR(__xludf.DUMMYFUNCTION("GOOGLETRANSLATE(B190, ""en"", ""ru"")"),"Лечит все существа вокруг себя.")</f>
        <v>Лечит все существа вокруг себя.</v>
      </c>
      <c r="F190" s="23" t="str">
        <f>IFERROR(__xludf.DUMMYFUNCTION("GOOGLETRANSLATE(B190, ""en"", ""tr"")"),"İyileşir kendine çevresindeki tüm yaratıklar.")</f>
        <v>İyileşir kendine çevresindeki tüm yaratıklar.</v>
      </c>
      <c r="G190" s="23" t="str">
        <f>IFERROR(__xludf.DUMMYFUNCTION("GOOGLETRANSLATE(B190, ""en"", ""pt"")"),"Cura todas as criaturas em torno de si mesmo.")</f>
        <v>Cura todas as criaturas em torno de si mesmo.</v>
      </c>
      <c r="H190" s="24" t="str">
        <f>IFERROR(__xludf.DUMMYFUNCTION("GOOGLETRANSLATE(B190, ""en"", ""de"")"),"Heilt alle Wesen um sich herum.")</f>
        <v>Heilt alle Wesen um sich herum.</v>
      </c>
      <c r="I190" s="23" t="str">
        <f>IFERROR(__xludf.DUMMYFUNCTION("GOOGLETRANSLATE(B190, ""en"", ""pl"")"),"Leczy wszystkie stworzenia wokół siebie.")</f>
        <v>Leczy wszystkie stworzenia wokół siebie.</v>
      </c>
      <c r="J190" s="25" t="str">
        <f>IFERROR(__xludf.DUMMYFUNCTION("GOOGLETRANSLATE(B190, ""en"", ""zh"")"),"医治自己周围的一切生物。")</f>
        <v>医治自己周围的一切生物。</v>
      </c>
      <c r="K190" s="25" t="str">
        <f>IFERROR(__xludf.DUMMYFUNCTION("GOOGLETRANSLATE(B190, ""en"", ""vi"")"),"Hồi tất cả các sinh vật xung quanh mình.")</f>
        <v>Hồi tất cả các sinh vật xung quanh mình.</v>
      </c>
      <c r="L190" s="26" t="str">
        <f>IFERROR(__xludf.DUMMYFUNCTION("GOOGLETRANSLATE(B190, ""en"", ""hr"")"),"Liječi sva bića oko sebe.")</f>
        <v>Liječi sva bića oko sebe.</v>
      </c>
      <c r="M190" s="28"/>
      <c r="N190" s="28"/>
      <c r="O190" s="28"/>
      <c r="P190" s="28"/>
      <c r="Q190" s="28"/>
      <c r="R190" s="28"/>
      <c r="S190" s="28"/>
      <c r="T190" s="28"/>
      <c r="U190" s="28"/>
      <c r="V190" s="28"/>
      <c r="W190" s="28"/>
      <c r="X190" s="28"/>
      <c r="Y190" s="28"/>
      <c r="Z190" s="28"/>
      <c r="AA190" s="28"/>
      <c r="AB190" s="28"/>
    </row>
    <row r="191">
      <c r="A191" s="21" t="s">
        <v>649</v>
      </c>
      <c r="B191" s="22" t="s">
        <v>650</v>
      </c>
      <c r="C191" s="23" t="str">
        <f>IFERROR(__xludf.DUMMYFUNCTION("GOOGLETRANSLATE(B191, ""en"", ""fr"")"),"Parchemin de Warding")</f>
        <v>Parchemin de Warding</v>
      </c>
      <c r="D191" s="23" t="str">
        <f>IFERROR(__xludf.DUMMYFUNCTION("GOOGLETRANSLATE(B191, ""en"", ""es"")"),"Desplazamiento de guardia")</f>
        <v>Desplazamiento de guardia</v>
      </c>
      <c r="E191" s="23" t="str">
        <f>IFERROR(__xludf.DUMMYFUNCTION("GOOGLETRANSLATE(B191, ""en"", ""ru"")"),"Свиток оберега")</f>
        <v>Свиток оберега</v>
      </c>
      <c r="F191" s="23" t="str">
        <f>IFERROR(__xludf.DUMMYFUNCTION("GOOGLETRANSLATE(B191, ""en"", ""tr"")"),"yapmaktan kaçınma Kaydırma")</f>
        <v>yapmaktan kaçınma Kaydırma</v>
      </c>
      <c r="G191" s="23" t="str">
        <f>IFERROR(__xludf.DUMMYFUNCTION("GOOGLETRANSLATE(B191, ""en"", ""pt"")"),"Scroll of Warding")</f>
        <v>Scroll of Warding</v>
      </c>
      <c r="H191" s="24" t="str">
        <f>IFERROR(__xludf.DUMMYFUNCTION("GOOGLETRANSLATE(B191, ""en"", ""de"")"),"Scroll of warding")</f>
        <v>Scroll of warding</v>
      </c>
      <c r="I191" s="23" t="str">
        <f>IFERROR(__xludf.DUMMYFUNCTION("GOOGLETRANSLATE(B191, ""en"", ""pl"")"),"Zwój Warding")</f>
        <v>Zwój Warding</v>
      </c>
      <c r="J191" s="25" t="str">
        <f>IFERROR(__xludf.DUMMYFUNCTION("GOOGLETRANSLATE(B191, ""en"", ""zh"")"),"守护卷轴")</f>
        <v>守护卷轴</v>
      </c>
      <c r="K191" s="25" t="str">
        <f>IFERROR(__xludf.DUMMYFUNCTION("GOOGLETRANSLATE(B191, ""en"", ""vi"")"),"Scroll of ward")</f>
        <v>Scroll of ward</v>
      </c>
      <c r="L191" s="26" t="str">
        <f>IFERROR(__xludf.DUMMYFUNCTION("GOOGLETRANSLATE(B191, ""en"", ""hr"")"),"Dođite od otpremničke")</f>
        <v>Dođite od otpremničke</v>
      </c>
      <c r="M191" s="28"/>
      <c r="N191" s="28"/>
      <c r="O191" s="28"/>
      <c r="P191" s="28"/>
      <c r="Q191" s="28"/>
      <c r="R191" s="28"/>
      <c r="S191" s="28"/>
      <c r="T191" s="28"/>
      <c r="U191" s="28"/>
      <c r="V191" s="28"/>
      <c r="W191" s="28"/>
      <c r="X191" s="28"/>
      <c r="Y191" s="28"/>
      <c r="Z191" s="28"/>
      <c r="AA191" s="28"/>
      <c r="AB191" s="28"/>
    </row>
    <row r="192">
      <c r="A192" s="21" t="s">
        <v>651</v>
      </c>
      <c r="B192" s="22" t="s">
        <v>652</v>
      </c>
      <c r="C192" s="23" t="str">
        <f>IFERROR(__xludf.DUMMYFUNCTION("GOOGLETRANSLATE(B192, ""en"", ""fr"")"),"Enchante toutes les créatures autour de vous. Ces créatures prennent aucun dommage la prochaine fois qu'ils seraient endommagés.")</f>
        <v>Enchante toutes les créatures autour de vous. Ces créatures prennent aucun dommage la prochaine fois qu'ils seraient endommagés.</v>
      </c>
      <c r="D192" s="23" t="str">
        <f>IFERROR(__xludf.DUMMYFUNCTION("GOOGLETRANSLATE(B192, ""en"", ""es"")"),"Encanta a todas las criaturas alrededor de sí mismo. Esas criaturas toman ningún daño la próxima vez que se vería perjudicada.")</f>
        <v>Encanta a todas las criaturas alrededor de sí mismo. Esas criaturas toman ningún daño la próxima vez que se vería perjudicada.</v>
      </c>
      <c r="E192" s="23" t="str">
        <f>IFERROR(__xludf.DUMMYFUNCTION("GOOGLETRANSLATE(B192, ""en"", ""ru"")"),"Чары всех существ вокруг себя. Эти существа не принимают какие-либо повреждений в следующий раз, когда они будут повреждены.")</f>
        <v>Чары всех существ вокруг себя. Эти существа не принимают какие-либо повреждений в следующий раз, когда они будут повреждены.</v>
      </c>
      <c r="F192" s="23" t="str">
        <f>IFERROR(__xludf.DUMMYFUNCTION("GOOGLETRANSLATE(B192, ""en"", ""tr"")"),"Kendine çevresindeki tüm yaratıkları büyülemektedir. O yaratıklar hiçbir Zarar onlar zarar görecektir sonraki zaman ayırın.")</f>
        <v>Kendine çevresindeki tüm yaratıkları büyülemektedir. O yaratıklar hiçbir Zarar onlar zarar görecektir sonraki zaman ayırın.</v>
      </c>
      <c r="G192" s="23" t="str">
        <f>IFERROR(__xludf.DUMMYFUNCTION("GOOGLETRANSLATE(B192, ""en"", ""pt"")"),"Encanta todas as criaturas em torno de si mesmo. Essas criaturas tomar nenhum dano na próxima vez que seria danificado.")</f>
        <v>Encanta todas as criaturas em torno de si mesmo. Essas criaturas tomar nenhum dano na próxima vez que seria danificado.</v>
      </c>
      <c r="H192" s="24" t="str">
        <f>IFERROR(__xludf.DUMMYFUNCTION("GOOGLETRANSLATE(B192, ""en"", ""de"")"),"Verzaubert alle Wesen um sich herum. Diese Kreaturen nehmen keinen Schaden beim nächsten Mal, wenn sie beschädigt würden.")</f>
        <v>Verzaubert alle Wesen um sich herum. Diese Kreaturen nehmen keinen Schaden beim nächsten Mal, wenn sie beschädigt würden.</v>
      </c>
      <c r="I192" s="23" t="str">
        <f>IFERROR(__xludf.DUMMYFUNCTION("GOOGLETRANSLATE(B192, ""en"", ""pl"")"),"Oczarowuje wszystkie stworzenia wokół siebie. Stworzenia te podejmują żadnych uszkodzeń następnym razem zostaną one uszkodzone.")</f>
        <v>Oczarowuje wszystkie stworzenia wokół siebie. Stworzenia te podejmują żadnych uszkodzeń następnym razem zostaną one uszkodzone.</v>
      </c>
      <c r="J192" s="25" t="str">
        <f>IFERROR(__xludf.DUMMYFUNCTION("GOOGLETRANSLATE(B192, ""en"", ""zh"")"),"附魔自己周围的所有生物。这些生物采取无损伤，他们将被损坏的下一次。")</f>
        <v>附魔自己周围的所有生物。这些生物采取无损伤，他们将被损坏的下一次。</v>
      </c>
      <c r="K192" s="25" t="str">
        <f>IFERROR(__xludf.DUMMYFUNCTION("GOOGLETRANSLATE(B192, ""en"", ""vi"")"),"Làm say đắm tất cả các sinh vật xung quanh mình. Những sinh vật không bị damage lần sau họ sẽ bị hư hỏng.")</f>
        <v>Làm say đắm tất cả các sinh vật xung quanh mình. Những sinh vật không bị damage lần sau họ sẽ bị hư hỏng.</v>
      </c>
      <c r="L192" s="26" t="str">
        <f>IFERROR(__xludf.DUMMYFUNCTION("GOOGLETRANSLATE(B192, ""en"", ""hr"")"),"Očarava sva stvorenja oko sebe. Ti stvorenja uzeti nikakvu štetu sljedeći put će biti oštećen.")</f>
        <v>Očarava sva stvorenja oko sebe. Ti stvorenja uzeti nikakvu štetu sljedeći put će biti oštećen.</v>
      </c>
      <c r="M192" s="28"/>
      <c r="N192" s="28"/>
      <c r="O192" s="28"/>
      <c r="P192" s="28"/>
      <c r="Q192" s="28"/>
      <c r="R192" s="28"/>
      <c r="S192" s="28"/>
      <c r="T192" s="28"/>
      <c r="U192" s="28"/>
      <c r="V192" s="28"/>
      <c r="W192" s="28"/>
      <c r="X192" s="28"/>
      <c r="Y192" s="28"/>
      <c r="Z192" s="28"/>
      <c r="AA192" s="28"/>
      <c r="AB192" s="28"/>
    </row>
    <row r="193">
      <c r="A193" s="21" t="s">
        <v>653</v>
      </c>
      <c r="B193" s="22" t="s">
        <v>654</v>
      </c>
      <c r="C193" s="23" t="str">
        <f>IFERROR(__xludf.DUMMYFUNCTION("GOOGLETRANSLATE(B193, ""en"", ""fr"")"),"Parchemin de nettoyage")</f>
        <v>Parchemin de nettoyage</v>
      </c>
      <c r="D193" s="23" t="str">
        <f>IFERROR(__xludf.DUMMYFUNCTION("GOOGLETRANSLATE(B193, ""en"", ""es"")"),"Pergamino de limpieza")</f>
        <v>Pergamino de limpieza</v>
      </c>
      <c r="E193" s="23" t="str">
        <f>IFERROR(__xludf.DUMMYFUNCTION("GOOGLETRANSLATE(B193, ""en"", ""ru"")"),"Свиток очищения")</f>
        <v>Свиток очищения</v>
      </c>
      <c r="F193" s="23" t="str">
        <f>IFERROR(__xludf.DUMMYFUNCTION("GOOGLETRANSLATE(B193, ""en"", ""tr"")"),"temizlik Kaydırma")</f>
        <v>temizlik Kaydırma</v>
      </c>
      <c r="G193" s="23" t="str">
        <f>IFERROR(__xludf.DUMMYFUNCTION("GOOGLETRANSLATE(B193, ""en"", ""pt"")"),"Pergaminho de limpeza")</f>
        <v>Pergaminho de limpeza</v>
      </c>
      <c r="H193" s="24" t="str">
        <f>IFERROR(__xludf.DUMMYFUNCTION("GOOGLETRANSLATE(B193, ""en"", ""de"")"),"Schriftrolle der Reinigung")</f>
        <v>Schriftrolle der Reinigung</v>
      </c>
      <c r="I193" s="23" t="str">
        <f>IFERROR(__xludf.DUMMYFUNCTION("GOOGLETRANSLATE(B193, ""en"", ""pl"")"),"Zwój czystek")</f>
        <v>Zwój czystek</v>
      </c>
      <c r="J193" s="25" t="str">
        <f>IFERROR(__xludf.DUMMYFUNCTION("GOOGLETRANSLATE(B193, ""en"", ""zh"")"),"清洗卷轴")</f>
        <v>清洗卷轴</v>
      </c>
      <c r="K193" s="25" t="str">
        <f>IFERROR(__xludf.DUMMYFUNCTION("GOOGLETRANSLATE(B193, ""en"", ""vi"")"),"Scroll làm sạch")</f>
        <v>Scroll làm sạch</v>
      </c>
      <c r="L193" s="26" t="str">
        <f>IFERROR(__xludf.DUMMYFUNCTION("GOOGLETRANSLATE(B193, ""en"", ""hr"")"),"Dođite čišćenja")</f>
        <v>Dođite čišćenja</v>
      </c>
      <c r="M193" s="28"/>
      <c r="N193" s="28"/>
      <c r="O193" s="28"/>
      <c r="P193" s="28"/>
      <c r="Q193" s="28"/>
      <c r="R193" s="28"/>
      <c r="S193" s="28"/>
      <c r="T193" s="28"/>
      <c r="U193" s="28"/>
      <c r="V193" s="28"/>
      <c r="W193" s="28"/>
      <c r="X193" s="28"/>
      <c r="Y193" s="28"/>
      <c r="Z193" s="28"/>
      <c r="AA193" s="28"/>
      <c r="AB193" s="28"/>
    </row>
    <row r="194">
      <c r="A194" s="21" t="s">
        <v>655</v>
      </c>
      <c r="B194" s="22" t="s">
        <v>656</v>
      </c>
      <c r="C194" s="23" t="str">
        <f>IFERROR(__xludf.DUMMYFUNCTION("GOOGLETRANSLATE(B194, ""en"", ""fr"")"),"Supprime malédictions sur toutes les créatures autour de vous.")</f>
        <v>Supprime malédictions sur toutes les créatures autour de vous.</v>
      </c>
      <c r="D194" s="23" t="str">
        <f>IFERROR(__xludf.DUMMYFUNCTION("GOOGLETRANSLATE(B194, ""en"", ""es"")"),"Elimina maldiciones sobre todas las criaturas alrededor de sí mismo.")</f>
        <v>Elimina maldiciones sobre todas las criaturas alrededor de sí mismo.</v>
      </c>
      <c r="E194" s="23" t="str">
        <f>IFERROR(__xludf.DUMMYFUNCTION("GOOGLETRANSLATE(B194, ""en"", ""ru"")"),"Удаляет проклятия на все существа вокруг себя.")</f>
        <v>Удаляет проклятия на все существа вокруг себя.</v>
      </c>
      <c r="F194" s="23" t="str">
        <f>IFERROR(__xludf.DUMMYFUNCTION("GOOGLETRANSLATE(B194, ""en"", ""tr"")"),"Kendine çevresindeki tüm canlılara lanetleri kaldırır.")</f>
        <v>Kendine çevresindeki tüm canlılara lanetleri kaldırır.</v>
      </c>
      <c r="G194" s="23" t="str">
        <f>IFERROR(__xludf.DUMMYFUNCTION("GOOGLETRANSLATE(B194, ""en"", ""pt"")"),"Remove maldições sobre todas as criaturas em torno de si mesmo.")</f>
        <v>Remove maldições sobre todas as criaturas em torno de si mesmo.</v>
      </c>
      <c r="H194" s="24" t="str">
        <f>IFERROR(__xludf.DUMMYFUNCTION("GOOGLETRANSLATE(B194, ""en"", ""de"")"),"Entfernt Flüche auf allen Kreaturen um sich selbst.")</f>
        <v>Entfernt Flüche auf allen Kreaturen um sich selbst.</v>
      </c>
      <c r="I194" s="23" t="str">
        <f>IFERROR(__xludf.DUMMYFUNCTION("GOOGLETRANSLATE(B194, ""en"", ""pl"")"),"Usuwa przekleństwa na wszystkich stworzeń wokół siebie.")</f>
        <v>Usuwa przekleństwa na wszystkich stworzeń wokół siebie.</v>
      </c>
      <c r="J194" s="25" t="str">
        <f>IFERROR(__xludf.DUMMYFUNCTION("GOOGLETRANSLATE(B194, ""en"", ""zh"")"),"消除了对自己周围所有生物的诅咒。")</f>
        <v>消除了对自己周围所有生物的诅咒。</v>
      </c>
      <c r="K194" s="25" t="str">
        <f>IFERROR(__xludf.DUMMYFUNCTION("GOOGLETRANSLATE(B194, ""en"", ""vi"")"),"Loại bỏ lời nguyền trên tất cả các sinh vật xung quanh mình.")</f>
        <v>Loại bỏ lời nguyền trên tất cả các sinh vật xung quanh mình.</v>
      </c>
      <c r="L194" s="26" t="str">
        <f>IFERROR(__xludf.DUMMYFUNCTION("GOOGLETRANSLATE(B194, ""en"", ""hr"")"),"Uklanja psovke na svim stvorenjima oko sebe.")</f>
        <v>Uklanja psovke na svim stvorenjima oko sebe.</v>
      </c>
      <c r="M194" s="28"/>
      <c r="N194" s="28"/>
      <c r="O194" s="28"/>
      <c r="P194" s="28"/>
      <c r="Q194" s="28"/>
      <c r="R194" s="28"/>
      <c r="S194" s="28"/>
      <c r="T194" s="28"/>
      <c r="U194" s="28"/>
      <c r="V194" s="28"/>
      <c r="W194" s="28"/>
      <c r="X194" s="28"/>
      <c r="Y194" s="28"/>
      <c r="Z194" s="28"/>
      <c r="AA194" s="28"/>
      <c r="AB194" s="28"/>
    </row>
    <row r="195">
      <c r="A195" s="21" t="s">
        <v>657</v>
      </c>
      <c r="B195" s="22" t="s">
        <v>658</v>
      </c>
      <c r="C195" s="23" t="str">
        <f>IFERROR(__xludf.DUMMYFUNCTION("GOOGLETRANSLATE(B195, ""en"", ""fr"")"),"Parchemin de Pacify")</f>
        <v>Parchemin de Pacify</v>
      </c>
      <c r="D195" s="23" t="str">
        <f>IFERROR(__xludf.DUMMYFUNCTION("GOOGLETRANSLATE(B195, ""en"", ""es"")"),"Pergamino de pacify")</f>
        <v>Pergamino de pacify</v>
      </c>
      <c r="E195" s="23" t="str">
        <f>IFERROR(__xludf.DUMMYFUNCTION("GOOGLETRANSLATE(B195, ""en"", ""ru"")"),"Свиток усмирять")</f>
        <v>Свиток усмирять</v>
      </c>
      <c r="F195" s="23" t="str">
        <f>IFERROR(__xludf.DUMMYFUNCTION("GOOGLETRANSLATE(B195, ""en"", ""tr"")"),"yatıştırmak Scroll of")</f>
        <v>yatıştırmak Scroll of</v>
      </c>
      <c r="G195" s="23" t="str">
        <f>IFERROR(__xludf.DUMMYFUNCTION("GOOGLETRANSLATE(B195, ""en"", ""pt"")"),"Scroll of pacificar")</f>
        <v>Scroll of pacificar</v>
      </c>
      <c r="H195" s="24" t="str">
        <f>IFERROR(__xludf.DUMMYFUNCTION("GOOGLETRANSLATE(B195, ""en"", ""de"")"),"Scroll of Pacify")</f>
        <v>Scroll of Pacify</v>
      </c>
      <c r="I195" s="23" t="str">
        <f>IFERROR(__xludf.DUMMYFUNCTION("GOOGLETRANSLATE(B195, ""en"", ""pl"")"),"Zwój spacyfikować")</f>
        <v>Zwój spacyfikować</v>
      </c>
      <c r="J195" s="25" t="str">
        <f>IFERROR(__xludf.DUMMYFUNCTION("GOOGLETRANSLATE(B195, ""en"", ""zh"")"),"靖州卷轴")</f>
        <v>靖州卷轴</v>
      </c>
      <c r="K195" s="25" t="str">
        <f>IFERROR(__xludf.DUMMYFUNCTION("GOOGLETRANSLATE(B195, ""en"", ""vi"")"),"Scroll của bình định")</f>
        <v>Scroll của bình định</v>
      </c>
      <c r="L195" s="26" t="str">
        <f>IFERROR(__xludf.DUMMYFUNCTION("GOOGLETRANSLATE(B195, ""en"", ""hr"")"),"Dođite od smiriti")</f>
        <v>Dođite od smiriti</v>
      </c>
      <c r="M195" s="28"/>
      <c r="N195" s="28"/>
      <c r="O195" s="28"/>
      <c r="P195" s="28"/>
      <c r="Q195" s="28"/>
      <c r="R195" s="28"/>
      <c r="S195" s="28"/>
      <c r="T195" s="28"/>
      <c r="U195" s="28"/>
      <c r="V195" s="28"/>
      <c r="W195" s="28"/>
      <c r="X195" s="28"/>
      <c r="Y195" s="28"/>
      <c r="Z195" s="28"/>
      <c r="AA195" s="28"/>
      <c r="AB195" s="28"/>
    </row>
    <row r="196">
      <c r="A196" s="21" t="s">
        <v>659</v>
      </c>
      <c r="B196" s="22" t="s">
        <v>660</v>
      </c>
      <c r="C196" s="23" t="str">
        <f>IFERROR(__xludf.DUMMYFUNCTION("GOOGLETRANSLATE(B196, ""en"", ""fr"")"),"Maudit la cible. Pour une courte durée, la cible ne peut pas utiliser leur élément en attente.")</f>
        <v>Maudit la cible. Pour une courte durée, la cible ne peut pas utiliser leur élément en attente.</v>
      </c>
      <c r="D196" s="23" t="str">
        <f>IFERROR(__xludf.DUMMYFUNCTION("GOOGLETRANSLATE(B196, ""en"", ""es"")"),"Maldice al objetivo. Para una corta duración, el objetivo no puede utilizar su artículo en espera.")</f>
        <v>Maldice al objetivo. Para una corta duración, el objetivo no puede utilizar su artículo en espera.</v>
      </c>
      <c r="E196" s="23" t="str">
        <f>IFERROR(__xludf.DUMMYFUNCTION("GOOGLETRANSLATE(B196, ""en"", ""ru"")"),"Проклясть цель. За короткий срок, цель не может использовать их удерживаемый предмет.")</f>
        <v>Проклясть цель. За короткий срок, цель не может использовать их удерживаемый предмет.</v>
      </c>
      <c r="F196" s="23" t="str">
        <f>IFERROR(__xludf.DUMMYFUNCTION("GOOGLETRANSLATE(B196, ""en"", ""tr"")"),"Hedefi küfürler. Kısa bir süre için, hedef kendi bekletilen öğeyi kullanamaz.")</f>
        <v>Hedefi küfürler. Kısa bir süre için, hedef kendi bekletilen öğeyi kullanamaz.</v>
      </c>
      <c r="G196" s="23" t="str">
        <f>IFERROR(__xludf.DUMMYFUNCTION("GOOGLETRANSLATE(B196, ""en"", ""pt"")"),"Maldiz o alvo. Por um curto período, o alvo não pode usar seu artigo em espera.")</f>
        <v>Maldiz o alvo. Por um curto período, o alvo não pode usar seu artigo em espera.</v>
      </c>
      <c r="H196" s="24" t="str">
        <f>IFERROR(__xludf.DUMMYFUNCTION("GOOGLETRANSLATE(B196, ""en"", ""de"")"),"Verflucht das Ziel. Für eine kurze Zeit kann das Ziel nicht ihr gehaltenes Element verwenden.")</f>
        <v>Verflucht das Ziel. Für eine kurze Zeit kann das Ziel nicht ihr gehaltenes Element verwenden.</v>
      </c>
      <c r="I196" s="23" t="str">
        <f>IFERROR(__xludf.DUMMYFUNCTION("GOOGLETRANSLATE(B196, ""en"", ""pl"")"),"Przeklina cel. Przez krótki czas, cel nie można używać ich zawieszonego elementu.")</f>
        <v>Przeklina cel. Przez krótki czas, cel nie można używać ich zawieszonego elementu.</v>
      </c>
      <c r="J196" s="25" t="str">
        <f>IFERROR(__xludf.DUMMYFUNCTION("GOOGLETRANSLATE(B196, ""en"", ""zh"")"),"诅咒目标。对于持续时间短，目标不能使用他们的手持产品。")</f>
        <v>诅咒目标。对于持续时间短，目标不能使用他们的手持产品。</v>
      </c>
      <c r="K196" s="25" t="str">
        <f>IFERROR(__xludf.DUMMYFUNCTION("GOOGLETRANSLATE(B196, ""en"", ""vi"")"),"Nguyền rủa mục tiêu. Đối với một thời gian ngắn, mục tiêu không thể sử dụng item được tổ chức của họ.")</f>
        <v>Nguyền rủa mục tiêu. Đối với một thời gian ngắn, mục tiêu không thể sử dụng item được tổ chức của họ.</v>
      </c>
      <c r="L196" s="26" t="str">
        <f>IFERROR(__xludf.DUMMYFUNCTION("GOOGLETRANSLATE(B196, ""en"", ""hr"")"),"Proklinje cilj. Za kratko vrijeme, cilj ne može koristiti svoje Held stavku.")</f>
        <v>Proklinje cilj. Za kratko vrijeme, cilj ne može koristiti svoje Held stavku.</v>
      </c>
      <c r="M196" s="28"/>
      <c r="N196" s="28"/>
      <c r="O196" s="28"/>
      <c r="P196" s="28"/>
      <c r="Q196" s="28"/>
      <c r="R196" s="28"/>
      <c r="S196" s="28"/>
      <c r="T196" s="28"/>
      <c r="U196" s="28"/>
      <c r="V196" s="28"/>
      <c r="W196" s="28"/>
      <c r="X196" s="28"/>
      <c r="Y196" s="28"/>
      <c r="Z196" s="28"/>
      <c r="AA196" s="28"/>
      <c r="AB196" s="28"/>
    </row>
    <row r="197">
      <c r="A197" s="21" t="s">
        <v>661</v>
      </c>
      <c r="B197" s="22" t="s">
        <v>662</v>
      </c>
      <c r="C197" s="23" t="str">
        <f>IFERROR(__xludf.DUMMYFUNCTION("GOOGLETRANSLATE(B197, ""en"", ""fr"")"),"Parchemin de Réanimation")</f>
        <v>Parchemin de Réanimation</v>
      </c>
      <c r="D197" s="23" t="str">
        <f>IFERROR(__xludf.DUMMYFUNCTION("GOOGLETRANSLATE(B197, ""en"", ""es"")"),"Pergamino de reanimación")</f>
        <v>Pergamino de reanimación</v>
      </c>
      <c r="E197" s="23" t="str">
        <f>IFERROR(__xludf.DUMMYFUNCTION("GOOGLETRANSLATE(B197, ""en"", ""ru"")"),"Свиток реанимации")</f>
        <v>Свиток реанимации</v>
      </c>
      <c r="F197" s="23" t="str">
        <f>IFERROR(__xludf.DUMMYFUNCTION("GOOGLETRANSLATE(B197, ""en"", ""tr"")"),"reanimasyon Kaydırma")</f>
        <v>reanimasyon Kaydırma</v>
      </c>
      <c r="G197" s="23" t="str">
        <f>IFERROR(__xludf.DUMMYFUNCTION("GOOGLETRANSLATE(B197, ""en"", ""pt"")"),"Pergaminho de reanimação")</f>
        <v>Pergaminho de reanimação</v>
      </c>
      <c r="H197" s="24" t="str">
        <f>IFERROR(__xludf.DUMMYFUNCTION("GOOGLETRANSLATE(B197, ""en"", ""de"")"),"Rolle der Reanimation")</f>
        <v>Rolle der Reanimation</v>
      </c>
      <c r="I197" s="23" t="str">
        <f>IFERROR(__xludf.DUMMYFUNCTION("GOOGLETRANSLATE(B197, ""en"", ""pl"")"),"Zwój reanimacji")</f>
        <v>Zwój reanimacji</v>
      </c>
      <c r="J197" s="25" t="str">
        <f>IFERROR(__xludf.DUMMYFUNCTION("GOOGLETRANSLATE(B197, ""en"", ""zh"")"),"复活卷轴")</f>
        <v>复活卷轴</v>
      </c>
      <c r="K197" s="25" t="str">
        <f>IFERROR(__xludf.DUMMYFUNCTION("GOOGLETRANSLATE(B197, ""en"", ""vi"")"),"Scroll của Reanimation")</f>
        <v>Scroll của Reanimation</v>
      </c>
      <c r="L197" s="26" t="str">
        <f>IFERROR(__xludf.DUMMYFUNCTION("GOOGLETRANSLATE(B197, ""en"", ""hr"")"),"Dođite na reanimaciju")</f>
        <v>Dođite na reanimaciju</v>
      </c>
      <c r="M197" s="28"/>
      <c r="N197" s="28"/>
      <c r="O197" s="28"/>
      <c r="P197" s="28"/>
      <c r="Q197" s="28"/>
      <c r="R197" s="28"/>
      <c r="S197" s="28"/>
      <c r="T197" s="28"/>
      <c r="U197" s="28"/>
      <c r="V197" s="28"/>
      <c r="W197" s="28"/>
      <c r="X197" s="28"/>
      <c r="Y197" s="28"/>
      <c r="Z197" s="28"/>
      <c r="AA197" s="28"/>
      <c r="AB197" s="28"/>
    </row>
    <row r="198">
      <c r="A198" s="21" t="s">
        <v>663</v>
      </c>
      <c r="B198" s="22" t="s">
        <v>664</v>
      </c>
      <c r="C198" s="23" t="str">
        <f>IFERROR(__xludf.DUMMYFUNCTION("GOOGLETRANSLATE(B198, ""en"", ""fr"")"),"Soulève tous les cadavres autour de vous comme sbires du type de créature qu'ils étaient avant leur mort qui vous servira.")</f>
        <v>Soulève tous les cadavres autour de vous comme sbires du type de créature qu'ils étaient avant leur mort qui vous servira.</v>
      </c>
      <c r="D198" s="23" t="str">
        <f>IFERROR(__xludf.DUMMYFUNCTION("GOOGLETRANSLATE(B198, ""en"", ""es"")"),"Eleva todos los cadáveres alrededor de sí mismo como secuaces del tipo de criatura que eran antes de morir que le servirá.")</f>
        <v>Eleva todos los cadáveres alrededor de sí mismo como secuaces del tipo de criatura que eran antes de morir que le servirá.</v>
      </c>
      <c r="E198" s="23" t="str">
        <f>IFERROR(__xludf.DUMMYFUNCTION("GOOGLETRANSLATE(B198, ""en"", ""ru"")"),"Поднимает все трупы вокруг себя, как приспешники типа существ, что они были прежде, чем они умерли, которые будут служить вам.")</f>
        <v>Поднимает все трупы вокруг себя, как приспешники типа существ, что они были прежде, чем они умерли, которые будут служить вам.</v>
      </c>
      <c r="F198" s="23" t="str">
        <f>IFERROR(__xludf.DUMMYFUNCTION("GOOGLETRANSLATE(B198, ""en"", ""tr"")"),"onlar bu hizmet edecek ölmeden önce olduklarını yaratık türü minyonları kendine çevresindeki tüm cesetleri Artırdı.")</f>
        <v>onlar bu hizmet edecek ölmeden önce olduklarını yaratık türü minyonları kendine çevresindeki tüm cesetleri Artırdı.</v>
      </c>
      <c r="G198" s="23" t="str">
        <f>IFERROR(__xludf.DUMMYFUNCTION("GOOGLETRANSLATE(B198, ""en"", ""pt"")"),"Levanta todos os cadáveres em torno de si mesmo como asseclas do tipo de criatura que eles eram antes de morrer, que irá atendê-lo.")</f>
        <v>Levanta todos os cadáveres em torno de si mesmo como asseclas do tipo de criatura que eles eram antes de morrer, que irá atendê-lo.</v>
      </c>
      <c r="H198" s="24" t="str">
        <f>IFERROR(__xludf.DUMMYFUNCTION("GOOGLETRANSLATE(B198, ""en"", ""de"")"),"Löst alle Leichen um sich selbst als Lakaien von der Art der Kreatur, daß sie waren, bevor sie, dass servieren Ihnen gestorben.")</f>
        <v>Löst alle Leichen um sich selbst als Lakaien von der Art der Kreatur, daß sie waren, bevor sie, dass servieren Ihnen gestorben.</v>
      </c>
      <c r="I198" s="23" t="str">
        <f>IFERROR(__xludf.DUMMYFUNCTION("GOOGLETRANSLATE(B198, ""en"", ""pl"")"),"Podnosi wszystkie trupy wokół siebie jako sługusów rodzaju stworzenia, które były przed śmiercią, która będzie służyć.")</f>
        <v>Podnosi wszystkie trupy wokół siebie jako sługusów rodzaju stworzenia, które były przed śmiercią, która będzie służyć.</v>
      </c>
      <c r="J198" s="25" t="str">
        <f>IFERROR(__xludf.DUMMYFUNCTION("GOOGLETRANSLATE(B198, ""en"", ""zh"")"),"提高自己周围所有的尸体作为生物类型的爪牙，他们是他们死于将为你面前。")</f>
        <v>提高自己周围所有的尸体作为生物类型的爪牙，他们是他们死于将为你面前。</v>
      </c>
      <c r="K198" s="25" t="str">
        <f>IFERROR(__xludf.DUMMYFUNCTION("GOOGLETRANSLATE(B198, ""en"", ""vi"")"),"Tăng tất cả xác chết xung quanh mình là tay sai của các loại sinh vật mà họ trước khi họ chết mà sẽ phục vụ quý khách.")</f>
        <v>Tăng tất cả xác chết xung quanh mình là tay sai của các loại sinh vật mà họ trước khi họ chết mà sẽ phục vụ quý khách.</v>
      </c>
      <c r="L198" s="26" t="str">
        <f>IFERROR(__xludf.DUMMYFUNCTION("GOOGLETRANSLATE(B198, ""en"", ""hr"")"),"Podiže sve leševe oko sebe kao sluge na vrstu stvorenja koja su bili prije nego što su umrli, koji će vam poslužiti.")</f>
        <v>Podiže sve leševe oko sebe kao sluge na vrstu stvorenja koja su bili prije nego što su umrli, koji će vam poslužiti.</v>
      </c>
      <c r="M198" s="28"/>
      <c r="N198" s="28"/>
      <c r="O198" s="28"/>
      <c r="P198" s="28"/>
      <c r="Q198" s="28"/>
      <c r="R198" s="28"/>
      <c r="S198" s="28"/>
      <c r="T198" s="28"/>
      <c r="U198" s="28"/>
      <c r="V198" s="28"/>
      <c r="W198" s="28"/>
      <c r="X198" s="28"/>
      <c r="Y198" s="28"/>
      <c r="Z198" s="28"/>
      <c r="AA198" s="28"/>
      <c r="AB198" s="28"/>
    </row>
    <row r="199">
      <c r="A199" s="21" t="s">
        <v>665</v>
      </c>
      <c r="B199" s="22" t="s">
        <v>666</v>
      </c>
      <c r="C199" s="23" t="str">
        <f>IFERROR(__xludf.DUMMYFUNCTION("GOOGLETRANSLATE(B199, ""en"", ""fr"")"),"Parchemin de consommer")</f>
        <v>Parchemin de consommer</v>
      </c>
      <c r="D199" s="23" t="str">
        <f>IFERROR(__xludf.DUMMYFUNCTION("GOOGLETRANSLATE(B199, ""en"", ""es"")"),"Pergamino de consumir")</f>
        <v>Pergamino de consumir</v>
      </c>
      <c r="E199" s="23" t="str">
        <f>IFERROR(__xludf.DUMMYFUNCTION("GOOGLETRANSLATE(B199, ""en"", ""ru"")"),"Свиток потреблять")</f>
        <v>Свиток потреблять</v>
      </c>
      <c r="F199" s="23" t="str">
        <f>IFERROR(__xludf.DUMMYFUNCTION("GOOGLETRANSLATE(B199, ""en"", ""tr"")"),"Kaydırma tüketmek")</f>
        <v>Kaydırma tüketmek</v>
      </c>
      <c r="G199" s="23" t="str">
        <f>IFERROR(__xludf.DUMMYFUNCTION("GOOGLETRANSLATE(B199, ""en"", ""pt"")"),"Scroll of consumir")</f>
        <v>Scroll of consumir</v>
      </c>
      <c r="H199" s="24" t="str">
        <f>IFERROR(__xludf.DUMMYFUNCTION("GOOGLETRANSLATE(B199, ""en"", ""de"")"),"Scroll of verbrauchen")</f>
        <v>Scroll of verbrauchen</v>
      </c>
      <c r="I199" s="23" t="str">
        <f>IFERROR(__xludf.DUMMYFUNCTION("GOOGLETRANSLATE(B199, ""en"", ""pl"")"),"Zwój zużywają")</f>
        <v>Zwój zużywają</v>
      </c>
      <c r="J199" s="25" t="str">
        <f>IFERROR(__xludf.DUMMYFUNCTION("GOOGLETRANSLATE(B199, ""en"", ""zh"")"),"滚动的消耗")</f>
        <v>滚动的消耗</v>
      </c>
      <c r="K199" s="25" t="str">
        <f>IFERROR(__xludf.DUMMYFUNCTION("GOOGLETRANSLATE(B199, ""en"", ""vi"")"),"Scroll của tiêu thụ")</f>
        <v>Scroll của tiêu thụ</v>
      </c>
      <c r="L199" s="26" t="str">
        <f>IFERROR(__xludf.DUMMYFUNCTION("GOOGLETRANSLATE(B199, ""en"", ""hr"")"),"Svitak konzumirati")</f>
        <v>Svitak konzumirati</v>
      </c>
      <c r="M199" s="28"/>
      <c r="N199" s="28"/>
      <c r="O199" s="28"/>
      <c r="P199" s="28"/>
      <c r="Q199" s="28"/>
      <c r="R199" s="28"/>
      <c r="S199" s="28"/>
      <c r="T199" s="28"/>
      <c r="U199" s="28"/>
      <c r="V199" s="28"/>
      <c r="W199" s="28"/>
      <c r="X199" s="28"/>
      <c r="Y199" s="28"/>
      <c r="Z199" s="28"/>
      <c r="AA199" s="28"/>
      <c r="AB199" s="28"/>
    </row>
    <row r="200">
      <c r="A200" s="21" t="s">
        <v>667</v>
      </c>
      <c r="B200" s="22" t="s">
        <v>668</v>
      </c>
      <c r="C200" s="23" t="str">
        <f>IFERROR(__xludf.DUMMYFUNCTION("GOOGLETRANSLATE(B200, ""en"", ""fr"")"),"Détruire un sbire que vous contrôlez dans la direction cible pour vous guérir.")</f>
        <v>Détruire un sbire que vous contrôlez dans la direction cible pour vous guérir.</v>
      </c>
      <c r="D200" s="23" t="str">
        <f>IFERROR(__xludf.DUMMYFUNCTION("GOOGLETRANSLATE(B200, ""en"", ""es"")"),"Destruir un subordinado que el control en la dirección de destino para curarse a sí mismo.")</f>
        <v>Destruir un subordinado que el control en la dirección de destino para curarse a sí mismo.</v>
      </c>
      <c r="E200" s="23" t="str">
        <f>IFERROR(__xludf.DUMMYFUNCTION("GOOGLETRANSLATE(B200, ""en"", ""ru"")"),"Уничтожить миньон, что вы контролируете в целевом направлении, чтобы залечить себя.")</f>
        <v>Уничтожить миньон, что вы контролируете в целевом направлении, чтобы залечить себя.</v>
      </c>
      <c r="F200" s="23" t="str">
        <f>IFERROR(__xludf.DUMMYFUNCTION("GOOGLETRANSLATE(B200, ""en"", ""tr"")"),"Kendini iyileşmek için hedef doğrultusunda kontrol ettiğini bir minion yok edin.")</f>
        <v>Kendini iyileşmek için hedef doğrultusunda kontrol ettiğini bir minion yok edin.</v>
      </c>
      <c r="G200" s="23" t="str">
        <f>IFERROR(__xludf.DUMMYFUNCTION("GOOGLETRANSLATE(B200, ""en"", ""pt"")"),"Destruir um assecla que você controla na direção alvo para curar-se.")</f>
        <v>Destruir um assecla que você controla na direção alvo para curar-se.</v>
      </c>
      <c r="H200" s="24" t="str">
        <f>IFERROR(__xludf.DUMMYFUNCTION("GOOGLETRANSLATE(B200, ""en"", ""de"")"),"Zerstöre ein Günstling, dass Sie in der Zielrichtung steuern sich selbst zu heilen.")</f>
        <v>Zerstöre ein Günstling, dass Sie in der Zielrichtung steuern sich selbst zu heilen.</v>
      </c>
      <c r="I200" s="23" t="str">
        <f>IFERROR(__xludf.DUMMYFUNCTION("GOOGLETRANSLATE(B200, ""en"", ""pl"")"),"Zniszczyć miniona, że ​​sterowanie w kierunku docelowym aby się uzdrowić.")</f>
        <v>Zniszczyć miniona, że ​​sterowanie w kierunku docelowym aby się uzdrowić.</v>
      </c>
      <c r="J200" s="25" t="str">
        <f>IFERROR(__xludf.DUMMYFUNCTION("GOOGLETRANSLATE(B200, ""en"", ""zh"")"),"销毁奴才，你的目标方向，以治愈自己控制。")</f>
        <v>销毁奴才，你的目标方向，以治愈自己控制。</v>
      </c>
      <c r="K200" s="25" t="str">
        <f>IFERROR(__xludf.DUMMYFUNCTION("GOOGLETRANSLATE(B200, ""en"", ""vi"")"),"Phá hủy một khẩu thần công mà bạn kiểm soát theo hướng mục tiêu để chữa bệnh cho mình.")</f>
        <v>Phá hủy một khẩu thần công mà bạn kiểm soát theo hướng mục tiêu để chữa bệnh cho mình.</v>
      </c>
      <c r="L200" s="26" t="str">
        <f>IFERROR(__xludf.DUMMYFUNCTION("GOOGLETRANSLATE(B200, ""en"", ""hr"")"),"Uništiti Minione koju kontrolira u ciljnom pravcu da se izliječi.")</f>
        <v>Uništiti Minione koju kontrolira u ciljnom pravcu da se izliječi.</v>
      </c>
      <c r="M200" s="28"/>
      <c r="N200" s="28"/>
      <c r="O200" s="28"/>
      <c r="P200" s="28"/>
      <c r="Q200" s="28"/>
      <c r="R200" s="28"/>
      <c r="S200" s="28"/>
      <c r="T200" s="28"/>
      <c r="U200" s="28"/>
      <c r="V200" s="28"/>
      <c r="W200" s="28"/>
      <c r="X200" s="28"/>
      <c r="Y200" s="28"/>
      <c r="Z200" s="28"/>
      <c r="AA200" s="28"/>
      <c r="AB200" s="28"/>
    </row>
    <row r="201">
      <c r="A201" s="21" t="s">
        <v>669</v>
      </c>
      <c r="B201" s="22" t="s">
        <v>670</v>
      </c>
      <c r="C201" s="23" t="str">
        <f>IFERROR(__xludf.DUMMYFUNCTION("GOOGLETRANSLATE(B201, ""en"", ""fr"")"),"Parchemin de deathbind")</f>
        <v>Parchemin de deathbind</v>
      </c>
      <c r="D201" s="23" t="str">
        <f>IFERROR(__xludf.DUMMYFUNCTION("GOOGLETRANSLATE(B201, ""en"", ""es"")"),"Pergamino de deathbind")</f>
        <v>Pergamino de deathbind</v>
      </c>
      <c r="E201" s="23" t="str">
        <f>IFERROR(__xludf.DUMMYFUNCTION("GOOGLETRANSLATE(B201, ""en"", ""ru"")"),"Свиток deathbind")</f>
        <v>Свиток deathbind</v>
      </c>
      <c r="F201" s="23" t="str">
        <f>IFERROR(__xludf.DUMMYFUNCTION("GOOGLETRANSLATE(B201, ""en"", ""tr"")"),"deathbind Scroll of")</f>
        <v>deathbind Scroll of</v>
      </c>
      <c r="G201" s="23" t="str">
        <f>IFERROR(__xludf.DUMMYFUNCTION("GOOGLETRANSLATE(B201, ""en"", ""pt"")"),"Scroll of deathbind")</f>
        <v>Scroll of deathbind</v>
      </c>
      <c r="H201" s="24" t="str">
        <f>IFERROR(__xludf.DUMMYFUNCTION("GOOGLETRANSLATE(B201, ""en"", ""de"")"),"Scroll of deathbind")</f>
        <v>Scroll of deathbind</v>
      </c>
      <c r="I201" s="23" t="str">
        <f>IFERROR(__xludf.DUMMYFUNCTION("GOOGLETRANSLATE(B201, ""en"", ""pl"")"),"Zwój deathbind")</f>
        <v>Zwój deathbind</v>
      </c>
      <c r="J201" s="25" t="str">
        <f>IFERROR(__xludf.DUMMYFUNCTION("GOOGLETRANSLATE(B201, ""en"", ""zh"")"),"deathbind卷轴")</f>
        <v>deathbind卷轴</v>
      </c>
      <c r="K201" s="25" t="str">
        <f>IFERROR(__xludf.DUMMYFUNCTION("GOOGLETRANSLATE(B201, ""en"", ""vi"")"),"Scroll của deathbind")</f>
        <v>Scroll của deathbind</v>
      </c>
      <c r="L201" s="26" t="str">
        <f>IFERROR(__xludf.DUMMYFUNCTION("GOOGLETRANSLATE(B201, ""en"", ""hr"")"),"Dođite od deathbind")</f>
        <v>Dođite od deathbind</v>
      </c>
      <c r="M201" s="28"/>
      <c r="N201" s="28"/>
      <c r="O201" s="28"/>
      <c r="P201" s="28"/>
      <c r="Q201" s="28"/>
      <c r="R201" s="28"/>
      <c r="S201" s="28"/>
      <c r="T201" s="28"/>
      <c r="U201" s="28"/>
      <c r="V201" s="28"/>
      <c r="W201" s="28"/>
      <c r="X201" s="28"/>
      <c r="Y201" s="28"/>
      <c r="Z201" s="28"/>
      <c r="AA201" s="28"/>
      <c r="AB201" s="28"/>
    </row>
    <row r="202">
      <c r="A202" s="21" t="s">
        <v>671</v>
      </c>
      <c r="B202" s="22" t="s">
        <v>672</v>
      </c>
      <c r="C202" s="23" t="str">
        <f>IFERROR(__xludf.DUMMYFUNCTION("GOOGLETRANSLATE(B202, ""en"", ""fr"")"),"Malédiction la cible. Quand ils meurent, ils se transforment en un sbire de morts-vivants non réclamés automatiquement.")</f>
        <v>Malédiction la cible. Quand ils meurent, ils se transforment en un sbire de morts-vivants non réclamés automatiquement.</v>
      </c>
      <c r="D202" s="23" t="str">
        <f>IFERROR(__xludf.DUMMYFUNCTION("GOOGLETRANSLATE(B202, ""en"", ""es"")"),"Maldecir al destino. Cuando mueren, se convierten en un servidor muerto viviente no reclamada automáticamente.")</f>
        <v>Maldecir al destino. Cuando mueren, se convierten en un servidor muerto viviente no reclamada automáticamente.</v>
      </c>
      <c r="E202" s="23" t="str">
        <f>IFERROR(__xludf.DUMMYFUNCTION("GOOGLETRANSLATE(B202, ""en"", ""ru"")"),"Проклятие цели. Когда они умирают, они автоматически превращаются в невостребованную нежити миньон.")</f>
        <v>Проклятие цели. Когда они умирают, они автоматически превращаются в невостребованную нежити миньон.</v>
      </c>
      <c r="F202" s="23" t="str">
        <f>IFERROR(__xludf.DUMMYFUNCTION("GOOGLETRANSLATE(B202, ""en"", ""tr"")"),"Hedefi lanetliyorum. Öldüklerinde bunlar otomatik bir sahipsiz ölümsüz kölesine dönüşür.")</f>
        <v>Hedefi lanetliyorum. Öldüklerinde bunlar otomatik bir sahipsiz ölümsüz kölesine dönüşür.</v>
      </c>
      <c r="G202" s="23" t="str">
        <f>IFERROR(__xludf.DUMMYFUNCTION("GOOGLETRANSLATE(B202, ""en"", ""pt"")"),"Maldiga o alvo. Quando eles morrem, eles se transformam em um assecla mortos-vivos não reclamados automaticamente.")</f>
        <v>Maldiga o alvo. Quando eles morrem, eles se transformam em um assecla mortos-vivos não reclamados automaticamente.</v>
      </c>
      <c r="H202" s="24" t="str">
        <f>IFERROR(__xludf.DUMMYFUNCTION("GOOGLETRANSLATE(B202, ""en"", ""de"")"),"Verflucht das Ziel. Wenn sie sterben, verwandeln sie sich in einem nicht beanspruchten untoten Schergen automatisch.")</f>
        <v>Verflucht das Ziel. Wenn sie sterben, verwandeln sie sich in einem nicht beanspruchten untoten Schergen automatisch.</v>
      </c>
      <c r="I202" s="23" t="str">
        <f>IFERROR(__xludf.DUMMYFUNCTION("GOOGLETRANSLATE(B202, ""en"", ""pl"")"),"Przeklinać cel. Kiedy umrą, zostaną one automatycznie zamieni się nieodebrane nieumarłych minion.")</f>
        <v>Przeklinać cel. Kiedy umrą, zostaną one automatycznie zamieni się nieodebrane nieumarłych minion.</v>
      </c>
      <c r="J202" s="25" t="str">
        <f>IFERROR(__xludf.DUMMYFUNCTION("GOOGLETRANSLATE(B202, ""en"", ""zh"")"),"诅咒目标。当他们死了，他们变成一个无人认领的亡灵仆从自动。")</f>
        <v>诅咒目标。当他们死了，他们变成一个无人认领的亡灵仆从自动。</v>
      </c>
      <c r="K202" s="25" t="str">
        <f>IFERROR(__xludf.DUMMYFUNCTION("GOOGLETRANSLATE(B202, ""en"", ""vi"")"),"Nguyền rủa mục tiêu. Khi họ chết, họ biến thành một minion Undead không có người nhận tự động.")</f>
        <v>Nguyền rủa mục tiêu. Khi họ chết, họ biến thành một minion Undead không có người nhận tự động.</v>
      </c>
      <c r="L202" s="26" t="str">
        <f>IFERROR(__xludf.DUMMYFUNCTION("GOOGLETRANSLATE(B202, ""en"", ""hr"")"),"Proklinjati cilj. Kada umru, oni se automatski pretvoriti u zatražen undead mezimac.")</f>
        <v>Proklinjati cilj. Kada umru, oni se automatski pretvoriti u zatražen undead mezimac.</v>
      </c>
      <c r="M202" s="28"/>
      <c r="N202" s="28"/>
      <c r="O202" s="28"/>
      <c r="P202" s="28"/>
      <c r="Q202" s="28"/>
      <c r="R202" s="28"/>
      <c r="S202" s="28"/>
      <c r="T202" s="28"/>
      <c r="U202" s="28"/>
      <c r="V202" s="28"/>
      <c r="W202" s="28"/>
      <c r="X202" s="28"/>
      <c r="Y202" s="28"/>
      <c r="Z202" s="28"/>
      <c r="AA202" s="28"/>
      <c r="AB202" s="28"/>
    </row>
    <row r="203">
      <c r="A203" s="21" t="s">
        <v>673</v>
      </c>
      <c r="B203" s="22" t="s">
        <v>674</v>
      </c>
      <c r="C203" s="23" t="str">
        <f>IFERROR(__xludf.DUMMYFUNCTION("GOOGLETRANSLATE(B203, ""en"", ""fr"")"),"Parchemin de Enthrall")</f>
        <v>Parchemin de Enthrall</v>
      </c>
      <c r="D203" s="23" t="str">
        <f>IFERROR(__xludf.DUMMYFUNCTION("GOOGLETRANSLATE(B203, ""en"", ""es"")"),"Pergamino de enthral")</f>
        <v>Pergamino de enthral</v>
      </c>
      <c r="E203" s="23" t="str">
        <f>IFERROR(__xludf.DUMMYFUNCTION("GOOGLETRANSLATE(B203, ""en"", ""ru"")"),"Свиток увлекать")</f>
        <v>Свиток увлекать</v>
      </c>
      <c r="F203" s="23" t="str">
        <f>IFERROR(__xludf.DUMMYFUNCTION("GOOGLETRANSLATE(B203, ""en"", ""tr"")"),"esir etmek Scroll of")</f>
        <v>esir etmek Scroll of</v>
      </c>
      <c r="G203" s="23" t="str">
        <f>IFERROR(__xludf.DUMMYFUNCTION("GOOGLETRANSLATE(B203, ""en"", ""pt"")"),"Scroll of Enthral")</f>
        <v>Scroll of Enthral</v>
      </c>
      <c r="H203" s="24" t="str">
        <f>IFERROR(__xludf.DUMMYFUNCTION("GOOGLETRANSLATE(B203, ""en"", ""de"")"),"Scroll of enthral")</f>
        <v>Scroll of enthral</v>
      </c>
      <c r="I203" s="23" t="str">
        <f>IFERROR(__xludf.DUMMYFUNCTION("GOOGLETRANSLATE(B203, ""en"", ""pl"")"),"Zwój Enthrall")</f>
        <v>Zwój Enthrall</v>
      </c>
      <c r="J203" s="25" t="str">
        <f>IFERROR(__xludf.DUMMYFUNCTION("GOOGLETRANSLATE(B203, ""en"", ""zh"")"),"迷住卷轴")</f>
        <v>迷住卷轴</v>
      </c>
      <c r="K203" s="25" t="str">
        <f>IFERROR(__xludf.DUMMYFUNCTION("GOOGLETRANSLATE(B203, ""en"", ""vi"")"),"Scroll of say mê")</f>
        <v>Scroll of say mê</v>
      </c>
      <c r="L203" s="26" t="str">
        <f>IFERROR(__xludf.DUMMYFUNCTION("GOOGLETRANSLATE(B203, ""en"", ""hr"")"),"Dođite od očarati")</f>
        <v>Dođite od očarati</v>
      </c>
      <c r="M203" s="28"/>
      <c r="N203" s="28"/>
      <c r="O203" s="28"/>
      <c r="P203" s="28"/>
      <c r="Q203" s="28"/>
      <c r="R203" s="28"/>
      <c r="S203" s="28"/>
      <c r="T203" s="28"/>
      <c r="U203" s="28"/>
      <c r="V203" s="28"/>
      <c r="W203" s="28"/>
      <c r="X203" s="28"/>
      <c r="Y203" s="28"/>
      <c r="Z203" s="28"/>
      <c r="AA203" s="28"/>
      <c r="AB203" s="28"/>
    </row>
    <row r="204">
      <c r="A204" s="21" t="s">
        <v>675</v>
      </c>
      <c r="B204" s="22" t="s">
        <v>676</v>
      </c>
      <c r="C204" s="23" t="str">
        <f>IFERROR(__xludf.DUMMYFUNCTION("GOOGLETRANSLATE(B204, ""en"", ""fr"")"),"Faire toutes les créatures de morts-vivants non réclamés autour de vous devenez vos sbires.")</f>
        <v>Faire toutes les créatures de morts-vivants non réclamés autour de vous devenez vos sbires.</v>
      </c>
      <c r="D204" s="23" t="str">
        <f>IFERROR(__xludf.DUMMYFUNCTION("GOOGLETRANSLATE(B204, ""en"", ""es"")"),"Hacer todas las criaturas no-muertos no reclamados en torno a convertirse en sus subordinados.")</f>
        <v>Hacer todas las criaturas no-muertos no reclamados en torno a convertirse en sus subordinados.</v>
      </c>
      <c r="E204" s="23" t="str">
        <f>IFERROR(__xludf.DUMMYFUNCTION("GOOGLETRANSLATE(B204, ""en"", ""ru"")"),"Сделать все невостребованные нежить вокруг вас станут вашими фаворитами.")</f>
        <v>Сделать все невостребованные нежить вокруг вас станут вашими фаворитами.</v>
      </c>
      <c r="F204" s="23" t="str">
        <f>IFERROR(__xludf.DUMMYFUNCTION("GOOGLETRANSLATE(B204, ""en"", ""tr"")"),"Eğer köleleri haline çevresindeki tüm sahipsiz ölümsüz yaratıklar olun.")</f>
        <v>Eğer köleleri haline çevresindeki tüm sahipsiz ölümsüz yaratıklar olun.</v>
      </c>
      <c r="G204" s="23" t="str">
        <f>IFERROR(__xludf.DUMMYFUNCTION("GOOGLETRANSLATE(B204, ""en"", ""pt"")"),"Faça todas as criaturas mortas-vivas não reclamados em torno de você se tornar seus asseclas.")</f>
        <v>Faça todas as criaturas mortas-vivas não reclamados em torno de você se tornar seus asseclas.</v>
      </c>
      <c r="H204" s="24" t="str">
        <f>IFERROR(__xludf.DUMMYFUNCTION("GOOGLETRANSLATE(B204, ""en"", ""de"")"),"Machen Sie alle nicht beanspruchten untote Kreaturen um Sie Ihre Schergen werden.")</f>
        <v>Machen Sie alle nicht beanspruchten untote Kreaturen um Sie Ihre Schergen werden.</v>
      </c>
      <c r="I204" s="23" t="str">
        <f>IFERROR(__xludf.DUMMYFUNCTION("GOOGLETRANSLATE(B204, ""en"", ""pl"")"),"Uczynić wszystkie nieodebrane istoty nieumarłe wokół stajesz twoi słudzy.")</f>
        <v>Uczynić wszystkie nieodebrane istoty nieumarłe wokół stajesz twoi słudzy.</v>
      </c>
      <c r="J204" s="25" t="str">
        <f>IFERROR(__xludf.DUMMYFUNCTION("GOOGLETRANSLATE(B204, ""en"", ""zh"")"),"使所有无人认领的亡灵生物围绕你成为你的爪牙。")</f>
        <v>使所有无人认领的亡灵生物围绕你成为你的爪牙。</v>
      </c>
      <c r="K204" s="25" t="str">
        <f>IFERROR(__xludf.DUMMYFUNCTION("GOOGLETRANSLATE(B204, ""en"", ""vi"")"),"Làm cho tất cả các sinh vật Undead không có người nhận xung quanh bạn trở thành tay sai của bạn.")</f>
        <v>Làm cho tất cả các sinh vật Undead không có người nhận xung quanh bạn trở thành tay sai của bạn.</v>
      </c>
      <c r="L204" s="26" t="str">
        <f>IFERROR(__xludf.DUMMYFUNCTION("GOOGLETRANSLATE(B204, ""en"", ""hr"")"),"Provjerite sve zatražen undead stvorenja oko vas postanu vaši ruke.")</f>
        <v>Provjerite sve zatražen undead stvorenja oko vas postanu vaši ruke.</v>
      </c>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c r="A247" s="34"/>
      <c r="B247" s="35"/>
      <c r="C247" s="30"/>
      <c r="D247" s="30"/>
      <c r="E247" s="30"/>
      <c r="F247" s="30"/>
      <c r="G247" s="30"/>
      <c r="H247" s="31"/>
      <c r="I247" s="30"/>
      <c r="J247" s="32"/>
      <c r="K247" s="32"/>
      <c r="L247" s="33"/>
      <c r="M247" s="28"/>
      <c r="N247" s="28"/>
      <c r="O247" s="28"/>
      <c r="P247" s="28"/>
      <c r="Q247" s="28"/>
      <c r="R247" s="28"/>
      <c r="S247" s="28"/>
      <c r="T247" s="28"/>
      <c r="U247" s="28"/>
      <c r="V247" s="28"/>
      <c r="W247" s="28"/>
      <c r="X247" s="28"/>
      <c r="Y247" s="28"/>
      <c r="Z247" s="28"/>
      <c r="AA247" s="28"/>
      <c r="AB247" s="28"/>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677</v>
      </c>
      <c r="B9" s="22" t="s">
        <v>678</v>
      </c>
      <c r="C9" s="23" t="str">
        <f>IFERROR(__xludf.DUMMYFUNCTION("GOOGLETRANSLATE(B9, ""en"", ""fr"")"),"Bandit")</f>
        <v>Bandit</v>
      </c>
      <c r="D9" s="23" t="str">
        <f>IFERROR(__xludf.DUMMYFUNCTION("GOOGLETRANSLATE(B9, ""en"", ""es"")"),"Bandido")</f>
        <v>Bandido</v>
      </c>
      <c r="E9" s="23" t="str">
        <f>IFERROR(__xludf.DUMMYFUNCTION("GOOGLETRANSLATE(B9, ""en"", ""ru"")"),"разбойник")</f>
        <v>разбойник</v>
      </c>
      <c r="F9" s="23" t="str">
        <f>IFERROR(__xludf.DUMMYFUNCTION("GOOGLETRANSLATE(B9, ""en"", ""tr"")"),"eşkıya")</f>
        <v>eşkıya</v>
      </c>
      <c r="G9" s="23" t="str">
        <f>IFERROR(__xludf.DUMMYFUNCTION("GOOGLETRANSLATE(B9, ""en"", ""pt"")"),"Bandido")</f>
        <v>Bandido</v>
      </c>
      <c r="H9" s="24" t="str">
        <f>IFERROR(__xludf.DUMMYFUNCTION("GOOGLETRANSLATE(B9, ""en"", ""de"")"),"Bandit")</f>
        <v>Bandit</v>
      </c>
      <c r="I9" s="23" t="str">
        <f>IFERROR(__xludf.DUMMYFUNCTION("GOOGLETRANSLATE(B9, ""en"", ""pl"")"),"Bandyta")</f>
        <v>Bandyta</v>
      </c>
      <c r="J9" s="25" t="str">
        <f>IFERROR(__xludf.DUMMYFUNCTION("GOOGLETRANSLATE(B9, ""en"", ""zh"")"),"土匪")</f>
        <v>土匪</v>
      </c>
      <c r="K9" s="25" t="str">
        <f>IFERROR(__xludf.DUMMYFUNCTION("GOOGLETRANSLATE(B9, ""en"", ""vi"")"),"kẻ cướp")</f>
        <v>kẻ cướp</v>
      </c>
      <c r="L9" s="26" t="str">
        <f>IFERROR(__xludf.DUMMYFUNCTION("GOOGLETRANSLATE(B9, ""en"", ""hr"")"),"Bandit")</f>
        <v>Bandit</v>
      </c>
      <c r="M9" s="28"/>
      <c r="N9" s="28"/>
      <c r="O9" s="28"/>
      <c r="P9" s="28"/>
      <c r="Q9" s="28"/>
      <c r="R9" s="28"/>
      <c r="S9" s="28"/>
      <c r="T9" s="28"/>
      <c r="U9" s="28"/>
      <c r="V9" s="28"/>
      <c r="W9" s="28"/>
      <c r="X9" s="28"/>
      <c r="Y9" s="28"/>
      <c r="Z9" s="28"/>
      <c r="AA9" s="28"/>
      <c r="AB9" s="28"/>
    </row>
    <row r="10">
      <c r="A10" s="21" t="s">
        <v>679</v>
      </c>
      <c r="B10" s="22" t="s">
        <v>680</v>
      </c>
      <c r="C10" s="23" t="str">
        <f>IFERROR(__xludf.DUMMYFUNCTION("GOOGLETRANSLATE(B10, ""en"", ""fr"")"),"Bandit leader")</f>
        <v>Bandit leader</v>
      </c>
      <c r="D10" s="23" t="str">
        <f>IFERROR(__xludf.DUMMYFUNCTION("GOOGLETRANSLATE(B10, ""en"", ""es"")"),"jefe de los bandidos")</f>
        <v>jefe de los bandidos</v>
      </c>
      <c r="E10" s="23" t="str">
        <f>IFERROR(__xludf.DUMMYFUNCTION("GOOGLETRANSLATE(B10, ""en"", ""ru"")"),"лидер Бандит")</f>
        <v>лидер Бандит</v>
      </c>
      <c r="F10" s="23" t="str">
        <f>IFERROR(__xludf.DUMMYFUNCTION("GOOGLETRANSLATE(B10, ""en"", ""tr"")"),"Haydut lideri")</f>
        <v>Haydut lideri</v>
      </c>
      <c r="G10" s="23" t="str">
        <f>IFERROR(__xludf.DUMMYFUNCTION("GOOGLETRANSLATE(B10, ""en"", ""pt"")"),"líder dos bandidos")</f>
        <v>líder dos bandidos</v>
      </c>
      <c r="H10" s="24" t="str">
        <f>IFERROR(__xludf.DUMMYFUNCTION("GOOGLETRANSLATE(B10, ""en"", ""de"")"),"Bandit Führer")</f>
        <v>Bandit Führer</v>
      </c>
      <c r="I10" s="23" t="str">
        <f>IFERROR(__xludf.DUMMYFUNCTION("GOOGLETRANSLATE(B10, ""en"", ""pl"")"),"lider Bandit")</f>
        <v>lider Bandit</v>
      </c>
      <c r="J10" s="25" t="str">
        <f>IFERROR(__xludf.DUMMYFUNCTION("GOOGLETRANSLATE(B10, ""en"", ""zh"")"),"强盗头子")</f>
        <v>强盗头子</v>
      </c>
      <c r="K10" s="25" t="str">
        <f>IFERROR(__xludf.DUMMYFUNCTION("GOOGLETRANSLATE(B10, ""en"", ""vi"")"),"lãnh đạo Bandit")</f>
        <v>lãnh đạo Bandit</v>
      </c>
      <c r="L10" s="26" t="str">
        <f>IFERROR(__xludf.DUMMYFUNCTION("GOOGLETRANSLATE(B10, ""en"", ""hr"")"),"vođa razbojnika")</f>
        <v>vođa razbojnika</v>
      </c>
      <c r="M10" s="28"/>
      <c r="N10" s="28"/>
      <c r="O10" s="28"/>
      <c r="P10" s="28"/>
      <c r="Q10" s="28"/>
      <c r="R10" s="28"/>
      <c r="S10" s="28"/>
      <c r="T10" s="28"/>
      <c r="U10" s="28"/>
      <c r="V10" s="28"/>
      <c r="W10" s="28"/>
      <c r="X10" s="28"/>
      <c r="Y10" s="28"/>
      <c r="Z10" s="28"/>
      <c r="AA10" s="28"/>
      <c r="AB10" s="28"/>
    </row>
    <row r="11">
      <c r="A11" s="21" t="s">
        <v>681</v>
      </c>
      <c r="B11" s="22" t="s">
        <v>682</v>
      </c>
      <c r="C11" s="23" t="str">
        <f>IFERROR(__xludf.DUMMYFUNCTION("GOOGLETRANSLATE(B11, ""en"", ""fr"")"),"Assassin")</f>
        <v>Assassin</v>
      </c>
      <c r="D11" s="23" t="str">
        <f>IFERROR(__xludf.DUMMYFUNCTION("GOOGLETRANSLATE(B11, ""en"", ""es"")"),"Asesino")</f>
        <v>Asesino</v>
      </c>
      <c r="E11" s="23" t="str">
        <f>IFERROR(__xludf.DUMMYFUNCTION("GOOGLETRANSLATE(B11, ""en"", ""ru"")"),"убийца")</f>
        <v>убийца</v>
      </c>
      <c r="F11" s="23" t="str">
        <f>IFERROR(__xludf.DUMMYFUNCTION("GOOGLETRANSLATE(B11, ""en"", ""tr"")"),"katil")</f>
        <v>katil</v>
      </c>
      <c r="G11" s="23" t="str">
        <f>IFERROR(__xludf.DUMMYFUNCTION("GOOGLETRANSLATE(B11, ""en"", ""pt"")"),"Assassino")</f>
        <v>Assassino</v>
      </c>
      <c r="H11" s="24" t="str">
        <f>IFERROR(__xludf.DUMMYFUNCTION("GOOGLETRANSLATE(B11, ""en"", ""de"")"),"Attentäter")</f>
        <v>Attentäter</v>
      </c>
      <c r="I11" s="23" t="str">
        <f>IFERROR(__xludf.DUMMYFUNCTION("GOOGLETRANSLATE(B11, ""en"", ""pl"")"),"Morderca")</f>
        <v>Morderca</v>
      </c>
      <c r="J11" s="25" t="str">
        <f>IFERROR(__xludf.DUMMYFUNCTION("GOOGLETRANSLATE(B11, ""en"", ""zh"")"),"刺客")</f>
        <v>刺客</v>
      </c>
      <c r="K11" s="25" t="str">
        <f>IFERROR(__xludf.DUMMYFUNCTION("GOOGLETRANSLATE(B11, ""en"", ""vi"")"),"Kẻ ám sát")</f>
        <v>Kẻ ám sát</v>
      </c>
      <c r="L11" s="26" t="str">
        <f>IFERROR(__xludf.DUMMYFUNCTION("GOOGLETRANSLATE(B11, ""en"", ""hr"")"),"ubica")</f>
        <v>ubica</v>
      </c>
      <c r="M11" s="28"/>
      <c r="N11" s="28"/>
      <c r="O11" s="28"/>
      <c r="P11" s="28"/>
      <c r="Q11" s="28"/>
      <c r="R11" s="28"/>
      <c r="S11" s="28"/>
      <c r="T11" s="28"/>
      <c r="U11" s="28"/>
      <c r="V11" s="28"/>
      <c r="W11" s="28"/>
      <c r="X11" s="28"/>
      <c r="Y11" s="28"/>
      <c r="Z11" s="28"/>
      <c r="AA11" s="28"/>
      <c r="AB11" s="28"/>
    </row>
    <row r="12">
      <c r="A12" s="21" t="s">
        <v>683</v>
      </c>
      <c r="B12" s="22" t="s">
        <v>684</v>
      </c>
      <c r="C12" s="23" t="str">
        <f>IFERROR(__xludf.DUMMYFUNCTION("GOOGLETRANSLATE(B12, ""en"", ""fr"")"),"maître assassin")</f>
        <v>maître assassin</v>
      </c>
      <c r="D12" s="23" t="str">
        <f>IFERROR(__xludf.DUMMYFUNCTION("GOOGLETRANSLATE(B12, ""en"", ""es"")"),"maestro asesino")</f>
        <v>maestro asesino</v>
      </c>
      <c r="E12" s="23" t="str">
        <f>IFERROR(__xludf.DUMMYFUNCTION("GOOGLETRANSLATE(B12, ""en"", ""ru"")"),"Мастер ассасин")</f>
        <v>Мастер ассасин</v>
      </c>
      <c r="F12" s="23" t="str">
        <f>IFERROR(__xludf.DUMMYFUNCTION("GOOGLETRANSLATE(B12, ""en"", ""tr"")"),"usta suikastçı")</f>
        <v>usta suikastçı</v>
      </c>
      <c r="G12" s="23" t="str">
        <f>IFERROR(__xludf.DUMMYFUNCTION("GOOGLETRANSLATE(B12, ""en"", ""pt"")"),"assassino mestre")</f>
        <v>assassino mestre</v>
      </c>
      <c r="H12" s="24" t="str">
        <f>IFERROR(__xludf.DUMMYFUNCTION("GOOGLETRANSLATE(B12, ""en"", ""de"")"),"Meister-Assassinen")</f>
        <v>Meister-Assassinen</v>
      </c>
      <c r="I12" s="23" t="str">
        <f>IFERROR(__xludf.DUMMYFUNCTION("GOOGLETRANSLATE(B12, ""en"", ""pl"")"),"mistrz zabójca")</f>
        <v>mistrz zabójca</v>
      </c>
      <c r="J12" s="25" t="str">
        <f>IFERROR(__xludf.DUMMYFUNCTION("GOOGLETRANSLATE(B12, ""en"", ""zh"")"),"刺客大师")</f>
        <v>刺客大师</v>
      </c>
      <c r="K12" s="25" t="str">
        <f>IFERROR(__xludf.DUMMYFUNCTION("GOOGLETRANSLATE(B12, ""en"", ""vi"")"),"Thạc sĩ sát thủ")</f>
        <v>Thạc sĩ sát thủ</v>
      </c>
      <c r="L12" s="26" t="str">
        <f>IFERROR(__xludf.DUMMYFUNCTION("GOOGLETRANSLATE(B12, ""en"", ""hr"")"),"Master ubojica")</f>
        <v>Master ubojica</v>
      </c>
      <c r="M12" s="28"/>
      <c r="N12" s="28"/>
      <c r="O12" s="28"/>
      <c r="P12" s="28"/>
      <c r="Q12" s="28"/>
      <c r="R12" s="28"/>
      <c r="S12" s="28"/>
      <c r="T12" s="28"/>
      <c r="U12" s="28"/>
      <c r="V12" s="28"/>
      <c r="W12" s="28"/>
      <c r="X12" s="28"/>
      <c r="Y12" s="28"/>
      <c r="Z12" s="28"/>
      <c r="AA12" s="28"/>
      <c r="AB12" s="28"/>
    </row>
    <row r="13">
      <c r="A13" s="21" t="s">
        <v>685</v>
      </c>
      <c r="B13" s="22" t="s">
        <v>686</v>
      </c>
      <c r="C13" s="23" t="str">
        <f>IFERROR(__xludf.DUMMYFUNCTION("GOOGLETRANSLATE(B13, ""en"", ""fr"")"),"Chauve souris")</f>
        <v>Chauve souris</v>
      </c>
      <c r="D13" s="23" t="str">
        <f>IFERROR(__xludf.DUMMYFUNCTION("GOOGLETRANSLATE(B13, ""en"", ""es"")"),"Murciélago")</f>
        <v>Murciélago</v>
      </c>
      <c r="E13" s="23" t="str">
        <f>IFERROR(__xludf.DUMMYFUNCTION("GOOGLETRANSLATE(B13, ""en"", ""ru"")"),"Летучая мышь")</f>
        <v>Летучая мышь</v>
      </c>
      <c r="F13" s="23" t="str">
        <f>IFERROR(__xludf.DUMMYFUNCTION("GOOGLETRANSLATE(B13, ""en"", ""tr"")"),"yarasa")</f>
        <v>yarasa</v>
      </c>
      <c r="G13" s="23" t="str">
        <f>IFERROR(__xludf.DUMMYFUNCTION("GOOGLETRANSLATE(B13, ""en"", ""pt"")"),"Bastão")</f>
        <v>Bastão</v>
      </c>
      <c r="H13" s="24" t="str">
        <f>IFERROR(__xludf.DUMMYFUNCTION("GOOGLETRANSLATE(B13, ""en"", ""de"")"),"Schläger")</f>
        <v>Schläger</v>
      </c>
      <c r="I13" s="23" t="str">
        <f>IFERROR(__xludf.DUMMYFUNCTION("GOOGLETRANSLATE(B13, ""en"", ""pl"")"),"Nietoperz")</f>
        <v>Nietoperz</v>
      </c>
      <c r="J13" s="25" t="str">
        <f>IFERROR(__xludf.DUMMYFUNCTION("GOOGLETRANSLATE(B13, ""en"", ""zh"")"),"蝙蝠")</f>
        <v>蝙蝠</v>
      </c>
      <c r="K13" s="25" t="str">
        <f>IFERROR(__xludf.DUMMYFUNCTION("GOOGLETRANSLATE(B13, ""en"", ""vi"")"),"Con dơi")</f>
        <v>Con dơi</v>
      </c>
      <c r="L13" s="26" t="str">
        <f>IFERROR(__xludf.DUMMYFUNCTION("GOOGLETRANSLATE(B13, ""en"", ""hr"")"),"Šišmiš")</f>
        <v>Šišmiš</v>
      </c>
      <c r="M13" s="28"/>
      <c r="N13" s="28"/>
      <c r="O13" s="28"/>
      <c r="P13" s="28"/>
      <c r="Q13" s="28"/>
      <c r="R13" s="28"/>
      <c r="S13" s="28"/>
      <c r="T13" s="28"/>
      <c r="U13" s="28"/>
      <c r="V13" s="28"/>
      <c r="W13" s="28"/>
      <c r="X13" s="28"/>
      <c r="Y13" s="28"/>
      <c r="Z13" s="28"/>
      <c r="AA13" s="28"/>
      <c r="AB13" s="28"/>
    </row>
    <row r="14">
      <c r="A14" s="21" t="s">
        <v>687</v>
      </c>
      <c r="B14" s="22" t="s">
        <v>688</v>
      </c>
      <c r="C14" s="23" t="str">
        <f>IFERROR(__xludf.DUMMYFUNCTION("GOOGLETRANSLATE(B14, ""en"", ""fr"")"),"Règle")</f>
        <v>Règle</v>
      </c>
      <c r="D14" s="23" t="str">
        <f>IFERROR(__xludf.DUMMYFUNCTION("GOOGLETRANSLATE(B14, ""en"", ""es"")"),"gobernante")</f>
        <v>gobernante</v>
      </c>
      <c r="E14" s="23" t="str">
        <f>IFERROR(__xludf.DUMMYFUNCTION("GOOGLETRANSLATE(B14, ""en"", ""ru"")"),"Правитель")</f>
        <v>Правитель</v>
      </c>
      <c r="F14" s="23" t="str">
        <f>IFERROR(__xludf.DUMMYFUNCTION("GOOGLETRANSLATE(B14, ""en"", ""tr"")"),"cetvel")</f>
        <v>cetvel</v>
      </c>
      <c r="G14" s="23" t="str">
        <f>IFERROR(__xludf.DUMMYFUNCTION("GOOGLETRANSLATE(B14, ""en"", ""pt"")"),"governante")</f>
        <v>governante</v>
      </c>
      <c r="H14" s="24" t="str">
        <f>IFERROR(__xludf.DUMMYFUNCTION("GOOGLETRANSLATE(B14, ""en"", ""de"")"),"Herrscher")</f>
        <v>Herrscher</v>
      </c>
      <c r="I14" s="23" t="str">
        <f>IFERROR(__xludf.DUMMYFUNCTION("GOOGLETRANSLATE(B14, ""en"", ""pl"")"),"Linijka")</f>
        <v>Linijka</v>
      </c>
      <c r="J14" s="25" t="str">
        <f>IFERROR(__xludf.DUMMYFUNCTION("GOOGLETRANSLATE(B14, ""en"", ""zh"")"),"统治者")</f>
        <v>统治者</v>
      </c>
      <c r="K14" s="25" t="str">
        <f>IFERROR(__xludf.DUMMYFUNCTION("GOOGLETRANSLATE(B14, ""en"", ""vi"")"),"Cái thước")</f>
        <v>Cái thước</v>
      </c>
      <c r="L14" s="26" t="str">
        <f>IFERROR(__xludf.DUMMYFUNCTION("GOOGLETRANSLATE(B14, ""en"", ""hr"")"),"Vladar")</f>
        <v>Vladar</v>
      </c>
      <c r="M14" s="28"/>
      <c r="N14" s="28"/>
      <c r="O14" s="28"/>
      <c r="P14" s="28"/>
      <c r="Q14" s="28"/>
      <c r="R14" s="28"/>
      <c r="S14" s="28"/>
      <c r="T14" s="28"/>
      <c r="U14" s="28"/>
      <c r="V14" s="28"/>
      <c r="W14" s="28"/>
      <c r="X14" s="28"/>
      <c r="Y14" s="28"/>
      <c r="Z14" s="28"/>
      <c r="AA14" s="28"/>
      <c r="AB14" s="28"/>
    </row>
    <row r="15">
      <c r="A15" s="21" t="s">
        <v>689</v>
      </c>
      <c r="B15" s="22" t="s">
        <v>690</v>
      </c>
      <c r="C15" s="23" t="str">
        <f>IFERROR(__xludf.DUMMYFUNCTION("GOOGLETRANSLATE(B15, ""en"", ""fr"")"),"Aubergiste")</f>
        <v>Aubergiste</v>
      </c>
      <c r="D15" s="23" t="str">
        <f>IFERROR(__xludf.DUMMYFUNCTION("GOOGLETRANSLATE(B15, ""en"", ""es"")"),"Posadero")</f>
        <v>Posadero</v>
      </c>
      <c r="E15" s="23" t="str">
        <f>IFERROR(__xludf.DUMMYFUNCTION("GOOGLETRANSLATE(B15, ""en"", ""ru"")"),"трактирщик")</f>
        <v>трактирщик</v>
      </c>
      <c r="F15" s="23" t="str">
        <f>IFERROR(__xludf.DUMMYFUNCTION("GOOGLETRANSLATE(B15, ""en"", ""tr"")"),"hancı")</f>
        <v>hancı</v>
      </c>
      <c r="G15" s="23" t="str">
        <f>IFERROR(__xludf.DUMMYFUNCTION("GOOGLETRANSLATE(B15, ""en"", ""pt"")"),"estalajadeiro")</f>
        <v>estalajadeiro</v>
      </c>
      <c r="H15" s="24" t="str">
        <f>IFERROR(__xludf.DUMMYFUNCTION("GOOGLETRANSLATE(B15, ""en"", ""de"")"),"Gastwirt")</f>
        <v>Gastwirt</v>
      </c>
      <c r="I15" s="23" t="str">
        <f>IFERROR(__xludf.DUMMYFUNCTION("GOOGLETRANSLATE(B15, ""en"", ""pl"")"),"Oberżysta")</f>
        <v>Oberżysta</v>
      </c>
      <c r="J15" s="25" t="str">
        <f>IFERROR(__xludf.DUMMYFUNCTION("GOOGLETRANSLATE(B15, ""en"", ""zh"")"),"旅店老板")</f>
        <v>旅店老板</v>
      </c>
      <c r="K15" s="25" t="str">
        <f>IFERROR(__xludf.DUMMYFUNCTION("GOOGLETRANSLATE(B15, ""en"", ""vi"")"),"chủ quán")</f>
        <v>chủ quán</v>
      </c>
      <c r="L15" s="26" t="str">
        <f>IFERROR(__xludf.DUMMYFUNCTION("GOOGLETRANSLATE(B15, ""en"", ""hr"")"),"Gostioničar")</f>
        <v>Gostioničar</v>
      </c>
      <c r="M15" s="28"/>
      <c r="N15" s="28"/>
      <c r="O15" s="28"/>
      <c r="P15" s="28"/>
      <c r="Q15" s="28"/>
      <c r="R15" s="28"/>
      <c r="S15" s="28"/>
      <c r="T15" s="28"/>
      <c r="U15" s="28"/>
      <c r="V15" s="28"/>
      <c r="W15" s="28"/>
      <c r="X15" s="28"/>
      <c r="Y15" s="28"/>
      <c r="Z15" s="28"/>
      <c r="AA15" s="28"/>
      <c r="AB15" s="28"/>
    </row>
    <row r="16">
      <c r="A16" s="21" t="s">
        <v>691</v>
      </c>
      <c r="B16" s="22" t="s">
        <v>692</v>
      </c>
      <c r="C16" s="23" t="str">
        <f>IFERROR(__xludf.DUMMYFUNCTION("GOOGLETRANSLATE(B16, ""en"", ""fr"")"),"maître Arena")</f>
        <v>maître Arena</v>
      </c>
      <c r="D16" s="23" t="str">
        <f>IFERROR(__xludf.DUMMYFUNCTION("GOOGLETRANSLATE(B16, ""en"", ""es"")"),"maestro Arena")</f>
        <v>maestro Arena</v>
      </c>
      <c r="E16" s="23" t="str">
        <f>IFERROR(__xludf.DUMMYFUNCTION("GOOGLETRANSLATE(B16, ""en"", ""ru"")"),"мастер-Арена")</f>
        <v>мастер-Арена</v>
      </c>
      <c r="F16" s="23" t="str">
        <f>IFERROR(__xludf.DUMMYFUNCTION("GOOGLETRANSLATE(B16, ""en"", ""tr"")"),"Arena ustası")</f>
        <v>Arena ustası</v>
      </c>
      <c r="G16" s="23" t="str">
        <f>IFERROR(__xludf.DUMMYFUNCTION("GOOGLETRANSLATE(B16, ""en"", ""pt"")"),"mestre Arena")</f>
        <v>mestre Arena</v>
      </c>
      <c r="H16" s="24" t="str">
        <f>IFERROR(__xludf.DUMMYFUNCTION("GOOGLETRANSLATE(B16, ""en"", ""de"")"),"Arena Master")</f>
        <v>Arena Master</v>
      </c>
      <c r="I16" s="23" t="str">
        <f>IFERROR(__xludf.DUMMYFUNCTION("GOOGLETRANSLATE(B16, ""en"", ""pl"")"),"Arena mistrz")</f>
        <v>Arena mistrz</v>
      </c>
      <c r="J16" s="25" t="str">
        <f>IFERROR(__xludf.DUMMYFUNCTION("GOOGLETRANSLATE(B16, ""en"", ""zh"")"),"竞技场大师")</f>
        <v>竞技场大师</v>
      </c>
      <c r="K16" s="25" t="str">
        <f>IFERROR(__xludf.DUMMYFUNCTION("GOOGLETRANSLATE(B16, ""en"", ""vi"")"),"Đấu trường tổng thể")</f>
        <v>Đấu trường tổng thể</v>
      </c>
      <c r="L16" s="26" t="str">
        <f>IFERROR(__xludf.DUMMYFUNCTION("GOOGLETRANSLATE(B16, ""en"", ""hr"")"),"Arena majstor")</f>
        <v>Arena majstor</v>
      </c>
      <c r="M16" s="28"/>
      <c r="N16" s="28"/>
      <c r="O16" s="28"/>
      <c r="P16" s="28"/>
      <c r="Q16" s="28"/>
      <c r="R16" s="28"/>
      <c r="S16" s="28"/>
      <c r="T16" s="28"/>
      <c r="U16" s="28"/>
      <c r="V16" s="28"/>
      <c r="W16" s="28"/>
      <c r="X16" s="28"/>
      <c r="Y16" s="28"/>
      <c r="Z16" s="28"/>
      <c r="AA16" s="28"/>
      <c r="AB16" s="28"/>
    </row>
    <row r="17">
      <c r="A17" s="21" t="s">
        <v>693</v>
      </c>
      <c r="B17" s="22" t="s">
        <v>694</v>
      </c>
      <c r="C17" s="23" t="str">
        <f>IFERROR(__xludf.DUMMYFUNCTION("GOOGLETRANSLATE(B17, ""en"", ""fr"")"),"marchande")</f>
        <v>marchande</v>
      </c>
      <c r="D17" s="23" t="str">
        <f>IFERROR(__xludf.DUMMYFUNCTION("GOOGLETRANSLATE(B17, ""en"", ""es"")"),"Comerciante")</f>
        <v>Comerciante</v>
      </c>
      <c r="E17" s="23" t="str">
        <f>IFERROR(__xludf.DUMMYFUNCTION("GOOGLETRANSLATE(B17, ""en"", ""ru"")"),"Торговец")</f>
        <v>Торговец</v>
      </c>
      <c r="F17" s="23" t="str">
        <f>IFERROR(__xludf.DUMMYFUNCTION("GOOGLETRANSLATE(B17, ""en"", ""tr"")"),"tüccar")</f>
        <v>tüccar</v>
      </c>
      <c r="G17" s="23" t="str">
        <f>IFERROR(__xludf.DUMMYFUNCTION("GOOGLETRANSLATE(B17, ""en"", ""pt"")"),"Comerciante")</f>
        <v>Comerciante</v>
      </c>
      <c r="H17" s="24" t="str">
        <f>IFERROR(__xludf.DUMMYFUNCTION("GOOGLETRANSLATE(B17, ""en"", ""de"")"),"Händler")</f>
        <v>Händler</v>
      </c>
      <c r="I17" s="23" t="str">
        <f>IFERROR(__xludf.DUMMYFUNCTION("GOOGLETRANSLATE(B17, ""en"", ""pl"")"),"Kupiec")</f>
        <v>Kupiec</v>
      </c>
      <c r="J17" s="25" t="str">
        <f>IFERROR(__xludf.DUMMYFUNCTION("GOOGLETRANSLATE(B17, ""en"", ""zh"")"),"商人")</f>
        <v>商人</v>
      </c>
      <c r="K17" s="25" t="str">
        <f>IFERROR(__xludf.DUMMYFUNCTION("GOOGLETRANSLATE(B17, ""en"", ""vi"")"),"thương thuyền")</f>
        <v>thương thuyền</v>
      </c>
      <c r="L17" s="26" t="str">
        <f>IFERROR(__xludf.DUMMYFUNCTION("GOOGLETRANSLATE(B17, ""en"", ""hr"")"),"Trgovac")</f>
        <v>Trgovac</v>
      </c>
      <c r="M17" s="28"/>
      <c r="N17" s="28"/>
      <c r="O17" s="28"/>
      <c r="P17" s="28"/>
      <c r="Q17" s="28"/>
      <c r="R17" s="28"/>
      <c r="S17" s="28"/>
      <c r="T17" s="28"/>
      <c r="U17" s="28"/>
      <c r="V17" s="28"/>
      <c r="W17" s="28"/>
      <c r="X17" s="28"/>
      <c r="Y17" s="28"/>
      <c r="Z17" s="28"/>
      <c r="AA17" s="28"/>
      <c r="AB17" s="28"/>
    </row>
    <row r="18">
      <c r="A18" s="21" t="s">
        <v>695</v>
      </c>
      <c r="B18" s="22" t="s">
        <v>696</v>
      </c>
      <c r="C18" s="23" t="str">
        <f>IFERROR(__xludf.DUMMYFUNCTION("GOOGLETRANSLATE(B18, ""en"", ""fr"")"),"marchand Melee")</f>
        <v>marchand Melee</v>
      </c>
      <c r="D18" s="23" t="str">
        <f>IFERROR(__xludf.DUMMYFUNCTION("GOOGLETRANSLATE(B18, ""en"", ""es"")"),"comerciante cuerpo a cuerpo")</f>
        <v>comerciante cuerpo a cuerpo</v>
      </c>
      <c r="E18" s="23" t="str">
        <f>IFERROR(__xludf.DUMMYFUNCTION("GOOGLETRANSLATE(B18, ""en"", ""ru"")"),"Melee торговец")</f>
        <v>Melee торговец</v>
      </c>
      <c r="F18" s="23" t="str">
        <f>IFERROR(__xludf.DUMMYFUNCTION("GOOGLETRANSLATE(B18, ""en"", ""tr"")"),"Melee tüccar")</f>
        <v>Melee tüccar</v>
      </c>
      <c r="G18" s="23" t="str">
        <f>IFERROR(__xludf.DUMMYFUNCTION("GOOGLETRANSLATE(B18, ""en"", ""pt"")"),"comerciante corpo a corpo")</f>
        <v>comerciante corpo a corpo</v>
      </c>
      <c r="H18" s="24" t="str">
        <f>IFERROR(__xludf.DUMMYFUNCTION("GOOGLETRANSLATE(B18, ""en"", ""de"")"),"Melee Händler")</f>
        <v>Melee Händler</v>
      </c>
      <c r="I18" s="23" t="str">
        <f>IFERROR(__xludf.DUMMYFUNCTION("GOOGLETRANSLATE(B18, ""en"", ""pl"")"),"Melee kupiec")</f>
        <v>Melee kupiec</v>
      </c>
      <c r="J18" s="25" t="str">
        <f>IFERROR(__xludf.DUMMYFUNCTION("GOOGLETRANSLATE(B18, ""en"", ""zh"")"),"近战商人")</f>
        <v>近战商人</v>
      </c>
      <c r="K18" s="25" t="str">
        <f>IFERROR(__xludf.DUMMYFUNCTION("GOOGLETRANSLATE(B18, ""en"", ""vi"")"),"melee thương")</f>
        <v>melee thương</v>
      </c>
      <c r="L18" s="26" t="str">
        <f>IFERROR(__xludf.DUMMYFUNCTION("GOOGLETRANSLATE(B18, ""en"", ""hr"")"),"gužva trgovac")</f>
        <v>gužva trgovac</v>
      </c>
      <c r="M18" s="28"/>
      <c r="N18" s="28"/>
      <c r="O18" s="28"/>
      <c r="P18" s="28"/>
      <c r="Q18" s="28"/>
      <c r="R18" s="28"/>
      <c r="S18" s="28"/>
      <c r="T18" s="28"/>
      <c r="U18" s="28"/>
      <c r="V18" s="28"/>
      <c r="W18" s="28"/>
      <c r="X18" s="28"/>
      <c r="Y18" s="28"/>
      <c r="Z18" s="28"/>
      <c r="AA18" s="28"/>
      <c r="AB18" s="28"/>
    </row>
    <row r="19">
      <c r="A19" s="21" t="s">
        <v>697</v>
      </c>
      <c r="B19" s="22" t="s">
        <v>698</v>
      </c>
      <c r="C19" s="23" t="str">
        <f>IFERROR(__xludf.DUMMYFUNCTION("GOOGLETRANSLATE(B19, ""en"", ""fr"")"),"marchand Ranged")</f>
        <v>marchand Ranged</v>
      </c>
      <c r="D19" s="23" t="str">
        <f>IFERROR(__xludf.DUMMYFUNCTION("GOOGLETRANSLATE(B19, ""en"", ""es"")"),"comerciante oscilado")</f>
        <v>comerciante oscilado</v>
      </c>
      <c r="E19" s="23" t="str">
        <f>IFERROR(__xludf.DUMMYFUNCTION("GOOGLETRANSLATE(B19, ""en"", ""ru"")"),"Стрелковое торговец")</f>
        <v>Стрелковое торговец</v>
      </c>
      <c r="F19" s="23" t="str">
        <f>IFERROR(__xludf.DUMMYFUNCTION("GOOGLETRANSLATE(B19, ""en"", ""tr"")"),"Dönüşümlü tüccar")</f>
        <v>Dönüşümlü tüccar</v>
      </c>
      <c r="G19" s="23" t="str">
        <f>IFERROR(__xludf.DUMMYFUNCTION("GOOGLETRANSLATE(B19, ""en"", ""pt"")"),"comerciante variaram")</f>
        <v>comerciante variaram</v>
      </c>
      <c r="H19" s="24" t="str">
        <f>IFERROR(__xludf.DUMMYFUNCTION("GOOGLETRANSLATE(B19, ""en"", ""de"")"),"lag im Bereich Händler")</f>
        <v>lag im Bereich Händler</v>
      </c>
      <c r="I19" s="23" t="str">
        <f>IFERROR(__xludf.DUMMYFUNCTION("GOOGLETRANSLATE(B19, ""en"", ""pl"")"),"wahały się kupiec")</f>
        <v>wahały się kupiec</v>
      </c>
      <c r="J19" s="25" t="str">
        <f>IFERROR(__xludf.DUMMYFUNCTION("GOOGLETRANSLATE(B19, ""en"", ""zh"")"),"远程商户")</f>
        <v>远程商户</v>
      </c>
      <c r="K19" s="25" t="str">
        <f>IFERROR(__xludf.DUMMYFUNCTION("GOOGLETRANSLATE(B19, ""en"", ""vi"")"),"buôn dao động")</f>
        <v>buôn dao động</v>
      </c>
      <c r="L19" s="26" t="str">
        <f>IFERROR(__xludf.DUMMYFUNCTION("GOOGLETRANSLATE(B19, ""en"", ""hr"")"),"kretao se trgovac")</f>
        <v>kretao se trgovac</v>
      </c>
      <c r="M19" s="28"/>
      <c r="N19" s="28"/>
      <c r="O19" s="28"/>
      <c r="P19" s="28"/>
      <c r="Q19" s="28"/>
      <c r="R19" s="28"/>
      <c r="S19" s="28"/>
      <c r="T19" s="28"/>
      <c r="U19" s="28"/>
      <c r="V19" s="28"/>
      <c r="W19" s="28"/>
      <c r="X19" s="28"/>
      <c r="Y19" s="28"/>
      <c r="Z19" s="28"/>
      <c r="AA19" s="28"/>
      <c r="AB19" s="28"/>
    </row>
    <row r="20">
      <c r="A20" s="21" t="s">
        <v>699</v>
      </c>
      <c r="B20" s="22" t="s">
        <v>700</v>
      </c>
      <c r="C20" s="23" t="str">
        <f>IFERROR(__xludf.DUMMYFUNCTION("GOOGLETRANSLATE(B20, ""en"", ""fr"")"),"marchand magique")</f>
        <v>marchand magique</v>
      </c>
      <c r="D20" s="23" t="str">
        <f>IFERROR(__xludf.DUMMYFUNCTION("GOOGLETRANSLATE(B20, ""en"", ""es"")"),"comerciante de la magia")</f>
        <v>comerciante de la magia</v>
      </c>
      <c r="E20" s="23" t="str">
        <f>IFERROR(__xludf.DUMMYFUNCTION("GOOGLETRANSLATE(B20, ""en"", ""ru"")"),"Волшебное торговец")</f>
        <v>Волшебное торговец</v>
      </c>
      <c r="F20" s="23" t="str">
        <f>IFERROR(__xludf.DUMMYFUNCTION("GOOGLETRANSLATE(B20, ""en"", ""tr"")"),"Sihirli tüccar")</f>
        <v>Sihirli tüccar</v>
      </c>
      <c r="G20" s="23" t="str">
        <f>IFERROR(__xludf.DUMMYFUNCTION("GOOGLETRANSLATE(B20, ""en"", ""pt"")"),"comerciante mágica")</f>
        <v>comerciante mágica</v>
      </c>
      <c r="H20" s="24" t="str">
        <f>IFERROR(__xludf.DUMMYFUNCTION("GOOGLETRANSLATE(B20, ""en"", ""de"")"),"Magie Händler")</f>
        <v>Magie Händler</v>
      </c>
      <c r="I20" s="23" t="str">
        <f>IFERROR(__xludf.DUMMYFUNCTION("GOOGLETRANSLATE(B20, ""en"", ""pl"")"),"Magiczny sklep")</f>
        <v>Magiczny sklep</v>
      </c>
      <c r="J20" s="25" t="str">
        <f>IFERROR(__xludf.DUMMYFUNCTION("GOOGLETRANSLATE(B20, ""en"", ""zh"")"),"魔法商人")</f>
        <v>魔法商人</v>
      </c>
      <c r="K20" s="25" t="str">
        <f>IFERROR(__xludf.DUMMYFUNCTION("GOOGLETRANSLATE(B20, ""en"", ""vi"")"),"magic thương")</f>
        <v>magic thương</v>
      </c>
      <c r="L20" s="26" t="str">
        <f>IFERROR(__xludf.DUMMYFUNCTION("GOOGLETRANSLATE(B20, ""en"", ""hr"")"),"Magic trgovac")</f>
        <v>Magic trgovac</v>
      </c>
      <c r="M20" s="28"/>
      <c r="N20" s="28"/>
      <c r="O20" s="28"/>
      <c r="P20" s="28"/>
      <c r="Q20" s="28"/>
      <c r="R20" s="28"/>
      <c r="S20" s="28"/>
      <c r="T20" s="28"/>
      <c r="U20" s="28"/>
      <c r="V20" s="28"/>
      <c r="W20" s="28"/>
      <c r="X20" s="28"/>
      <c r="Y20" s="28"/>
      <c r="Z20" s="28"/>
      <c r="AA20" s="28"/>
      <c r="AB20" s="28"/>
    </row>
    <row r="21">
      <c r="A21" s="21" t="s">
        <v>701</v>
      </c>
      <c r="B21" s="22" t="s">
        <v>702</v>
      </c>
      <c r="C21" s="23" t="str">
        <f>IFERROR(__xludf.DUMMYFUNCTION("GOOGLETRANSLATE(B21, ""en"", ""fr"")"),"marchand outil")</f>
        <v>marchand outil</v>
      </c>
      <c r="D21" s="23" t="str">
        <f>IFERROR(__xludf.DUMMYFUNCTION("GOOGLETRANSLATE(B21, ""en"", ""es"")"),"comerciante de herramientas")</f>
        <v>comerciante de herramientas</v>
      </c>
      <c r="E21" s="23" t="str">
        <f>IFERROR(__xludf.DUMMYFUNCTION("GOOGLETRANSLATE(B21, ""en"", ""ru"")"),"купец инструмент")</f>
        <v>купец инструмент</v>
      </c>
      <c r="F21" s="23" t="str">
        <f>IFERROR(__xludf.DUMMYFUNCTION("GOOGLETRANSLATE(B21, ""en"", ""tr"")"),"Aracı tüccar")</f>
        <v>Aracı tüccar</v>
      </c>
      <c r="G21" s="23" t="str">
        <f>IFERROR(__xludf.DUMMYFUNCTION("GOOGLETRANSLATE(B21, ""en"", ""pt"")"),"comerciante ferramenta")</f>
        <v>comerciante ferramenta</v>
      </c>
      <c r="H21" s="24" t="str">
        <f>IFERROR(__xludf.DUMMYFUNCTION("GOOGLETRANSLATE(B21, ""en"", ""de"")"),"Werkzeug Händler")</f>
        <v>Werkzeug Händler</v>
      </c>
      <c r="I21" s="23" t="str">
        <f>IFERROR(__xludf.DUMMYFUNCTION("GOOGLETRANSLATE(B21, ""en"", ""pl"")"),"narzędzie kupiec")</f>
        <v>narzędzie kupiec</v>
      </c>
      <c r="J21" s="25" t="str">
        <f>IFERROR(__xludf.DUMMYFUNCTION("GOOGLETRANSLATE(B21, ""en"", ""zh"")"),"商家工具")</f>
        <v>商家工具</v>
      </c>
      <c r="K21" s="25" t="str">
        <f>IFERROR(__xludf.DUMMYFUNCTION("GOOGLETRANSLATE(B21, ""en"", ""vi"")"),"Công cụ thương gia")</f>
        <v>Công cụ thương gia</v>
      </c>
      <c r="L21" s="26" t="str">
        <f>IFERROR(__xludf.DUMMYFUNCTION("GOOGLETRANSLATE(B21, ""en"", ""hr"")"),"alat trgovac")</f>
        <v>alat trgovac</v>
      </c>
      <c r="M21" s="28"/>
      <c r="N21" s="28"/>
      <c r="O21" s="28"/>
      <c r="P21" s="28"/>
      <c r="Q21" s="28"/>
      <c r="R21" s="28"/>
      <c r="S21" s="28"/>
      <c r="T21" s="28"/>
      <c r="U21" s="28"/>
      <c r="V21" s="28"/>
      <c r="W21" s="28"/>
      <c r="X21" s="28"/>
      <c r="Y21" s="28"/>
      <c r="Z21" s="28"/>
      <c r="AA21" s="28"/>
      <c r="AB21" s="28"/>
    </row>
    <row r="22">
      <c r="A22" s="21" t="s">
        <v>703</v>
      </c>
      <c r="B22" s="22" t="s">
        <v>704</v>
      </c>
      <c r="C22" s="23" t="str">
        <f>IFERROR(__xludf.DUMMYFUNCTION("GOOGLETRANSLATE(B22, ""en"", ""fr"")"),"marchand nain")</f>
        <v>marchand nain</v>
      </c>
      <c r="D22" s="23" t="str">
        <f>IFERROR(__xludf.DUMMYFUNCTION("GOOGLETRANSLATE(B22, ""en"", ""es"")"),"comerciante enano")</f>
        <v>comerciante enano</v>
      </c>
      <c r="E22" s="23" t="str">
        <f>IFERROR(__xludf.DUMMYFUNCTION("GOOGLETRANSLATE(B22, ""en"", ""ru"")"),"Гном торговец")</f>
        <v>Гном торговец</v>
      </c>
      <c r="F22" s="23" t="str">
        <f>IFERROR(__xludf.DUMMYFUNCTION("GOOGLETRANSLATE(B22, ""en"", ""tr"")"),"Cüce tüccar")</f>
        <v>Cüce tüccar</v>
      </c>
      <c r="G22" s="23" t="str">
        <f>IFERROR(__xludf.DUMMYFUNCTION("GOOGLETRANSLATE(B22, ""en"", ""pt"")"),"comerciante anão")</f>
        <v>comerciante anão</v>
      </c>
      <c r="H22" s="24" t="str">
        <f>IFERROR(__xludf.DUMMYFUNCTION("GOOGLETRANSLATE(B22, ""en"", ""de"")"),"Dwarf Händler")</f>
        <v>Dwarf Händler</v>
      </c>
      <c r="I22" s="23" t="str">
        <f>IFERROR(__xludf.DUMMYFUNCTION("GOOGLETRANSLATE(B22, ""en"", ""pl"")"),"Dwarf kupiec")</f>
        <v>Dwarf kupiec</v>
      </c>
      <c r="J22" s="25" t="str">
        <f>IFERROR(__xludf.DUMMYFUNCTION("GOOGLETRANSLATE(B22, ""en"", ""zh"")"),"矮人商人")</f>
        <v>矮人商人</v>
      </c>
      <c r="K22" s="25" t="str">
        <f>IFERROR(__xludf.DUMMYFUNCTION("GOOGLETRANSLATE(B22, ""en"", ""vi"")"),"thương lùn")</f>
        <v>thương lùn</v>
      </c>
      <c r="L22" s="26" t="str">
        <f>IFERROR(__xludf.DUMMYFUNCTION("GOOGLETRANSLATE(B22, ""en"", ""hr"")"),"patuljak trgovac")</f>
        <v>patuljak trgovac</v>
      </c>
      <c r="M22" s="28"/>
      <c r="N22" s="28"/>
      <c r="O22" s="28"/>
      <c r="P22" s="28"/>
      <c r="Q22" s="28"/>
      <c r="R22" s="28"/>
      <c r="S22" s="28"/>
      <c r="T22" s="28"/>
      <c r="U22" s="28"/>
      <c r="V22" s="28"/>
      <c r="W22" s="28"/>
      <c r="X22" s="28"/>
      <c r="Y22" s="28"/>
      <c r="Z22" s="28"/>
      <c r="AA22" s="28"/>
      <c r="AB22" s="28"/>
    </row>
    <row r="23">
      <c r="A23" s="21" t="s">
        <v>705</v>
      </c>
      <c r="B23" s="22" t="s">
        <v>706</v>
      </c>
      <c r="C23" s="23" t="str">
        <f>IFERROR(__xludf.DUMMYFUNCTION("GOOGLETRANSLATE(B23, ""en"", ""fr"")"),"Bibliothécaire")</f>
        <v>Bibliothécaire</v>
      </c>
      <c r="D23" s="23" t="str">
        <f>IFERROR(__xludf.DUMMYFUNCTION("GOOGLETRANSLATE(B23, ""en"", ""es"")"),"bibliotecario")</f>
        <v>bibliotecario</v>
      </c>
      <c r="E23" s="23" t="str">
        <f>IFERROR(__xludf.DUMMYFUNCTION("GOOGLETRANSLATE(B23, ""en"", ""ru"")"),"библиотекарь")</f>
        <v>библиотекарь</v>
      </c>
      <c r="F23" s="23" t="str">
        <f>IFERROR(__xludf.DUMMYFUNCTION("GOOGLETRANSLATE(B23, ""en"", ""tr"")"),"kütüphaneci")</f>
        <v>kütüphaneci</v>
      </c>
      <c r="G23" s="23" t="str">
        <f>IFERROR(__xludf.DUMMYFUNCTION("GOOGLETRANSLATE(B23, ""en"", ""pt"")"),"Bibliotecário")</f>
        <v>Bibliotecário</v>
      </c>
      <c r="H23" s="24" t="str">
        <f>IFERROR(__xludf.DUMMYFUNCTION("GOOGLETRANSLATE(B23, ""en"", ""de"")"),"Bibliothekar")</f>
        <v>Bibliothekar</v>
      </c>
      <c r="I23" s="23" t="str">
        <f>IFERROR(__xludf.DUMMYFUNCTION("GOOGLETRANSLATE(B23, ""en"", ""pl"")"),"Bibliotekarz")</f>
        <v>Bibliotekarz</v>
      </c>
      <c r="J23" s="25" t="str">
        <f>IFERROR(__xludf.DUMMYFUNCTION("GOOGLETRANSLATE(B23, ""en"", ""zh"")"),"图书管理员")</f>
        <v>图书管理员</v>
      </c>
      <c r="K23" s="25" t="str">
        <f>IFERROR(__xludf.DUMMYFUNCTION("GOOGLETRANSLATE(B23, ""en"", ""vi"")"),"Thủ thư")</f>
        <v>Thủ thư</v>
      </c>
      <c r="L23" s="26" t="str">
        <f>IFERROR(__xludf.DUMMYFUNCTION("GOOGLETRANSLATE(B23, ""en"", ""hr"")"),"bibliotekar")</f>
        <v>bibliotekar</v>
      </c>
      <c r="M23" s="28"/>
      <c r="N23" s="28"/>
      <c r="O23" s="28"/>
      <c r="P23" s="28"/>
      <c r="Q23" s="28"/>
      <c r="R23" s="28"/>
      <c r="S23" s="28"/>
      <c r="T23" s="28"/>
      <c r="U23" s="28"/>
      <c r="V23" s="28"/>
      <c r="W23" s="28"/>
      <c r="X23" s="28"/>
      <c r="Y23" s="28"/>
      <c r="Z23" s="28"/>
      <c r="AA23" s="28"/>
      <c r="AB23" s="28"/>
    </row>
    <row r="24">
      <c r="A24" s="21" t="s">
        <v>707</v>
      </c>
      <c r="B24" s="22" t="s">
        <v>708</v>
      </c>
      <c r="C24" s="23" t="str">
        <f>IFERROR(__xludf.DUMMYFUNCTION("GOOGLETRANSLATE(B24, ""en"", ""fr"")"),"Omni marchand")</f>
        <v>Omni marchand</v>
      </c>
      <c r="D24" s="23" t="str">
        <f>IFERROR(__xludf.DUMMYFUNCTION("GOOGLETRANSLATE(B24, ""en"", ""es"")"),"comerciante Omni")</f>
        <v>comerciante Omni</v>
      </c>
      <c r="E24" s="23" t="str">
        <f>IFERROR(__xludf.DUMMYFUNCTION("GOOGLETRANSLATE(B24, ""en"", ""ru"")"),"Omni торговец")</f>
        <v>Omni торговец</v>
      </c>
      <c r="F24" s="23" t="str">
        <f>IFERROR(__xludf.DUMMYFUNCTION("GOOGLETRANSLATE(B24, ""en"", ""tr"")"),"Omni tüccar")</f>
        <v>Omni tüccar</v>
      </c>
      <c r="G24" s="23" t="str">
        <f>IFERROR(__xludf.DUMMYFUNCTION("GOOGLETRANSLATE(B24, ""en"", ""pt"")"),"comerciante Omni")</f>
        <v>comerciante Omni</v>
      </c>
      <c r="H24" s="24" t="str">
        <f>IFERROR(__xludf.DUMMYFUNCTION("GOOGLETRANSLATE(B24, ""en"", ""de"")"),"Omni Händler")</f>
        <v>Omni Händler</v>
      </c>
      <c r="I24" s="23" t="str">
        <f>IFERROR(__xludf.DUMMYFUNCTION("GOOGLETRANSLATE(B24, ""en"", ""pl"")"),"Omni kupiec")</f>
        <v>Omni kupiec</v>
      </c>
      <c r="J24" s="25" t="str">
        <f>IFERROR(__xludf.DUMMYFUNCTION("GOOGLETRANSLATE(B24, ""en"", ""zh"")"),"全方位商人")</f>
        <v>全方位商人</v>
      </c>
      <c r="K24" s="25" t="str">
        <f>IFERROR(__xludf.DUMMYFUNCTION("GOOGLETRANSLATE(B24, ""en"", ""vi"")"),"Omni thương")</f>
        <v>Omni thương</v>
      </c>
      <c r="L24" s="26" t="str">
        <f>IFERROR(__xludf.DUMMYFUNCTION("GOOGLETRANSLATE(B24, ""en"", ""hr"")"),"Omni trgovac")</f>
        <v>Omni trgovac</v>
      </c>
      <c r="M24" s="28"/>
      <c r="N24" s="28"/>
      <c r="O24" s="28"/>
      <c r="P24" s="28"/>
      <c r="Q24" s="28"/>
      <c r="R24" s="28"/>
      <c r="S24" s="28"/>
      <c r="T24" s="28"/>
      <c r="U24" s="28"/>
      <c r="V24" s="28"/>
      <c r="W24" s="28"/>
      <c r="X24" s="28"/>
      <c r="Y24" s="28"/>
      <c r="Z24" s="28"/>
      <c r="AA24" s="28"/>
      <c r="AB24" s="28"/>
    </row>
    <row r="25">
      <c r="A25" s="21" t="s">
        <v>709</v>
      </c>
      <c r="B25" s="22" t="s">
        <v>710</v>
      </c>
      <c r="C25" s="23" t="str">
        <f>IFERROR(__xludf.DUMMYFUNCTION("GOOGLETRANSLATE(B25, ""en"", ""fr"")"),"Prêtre")</f>
        <v>Prêtre</v>
      </c>
      <c r="D25" s="23" t="str">
        <f>IFERROR(__xludf.DUMMYFUNCTION("GOOGLETRANSLATE(B25, ""en"", ""es"")"),"Sacerdote")</f>
        <v>Sacerdote</v>
      </c>
      <c r="E25" s="23" t="str">
        <f>IFERROR(__xludf.DUMMYFUNCTION("GOOGLETRANSLATE(B25, ""en"", ""ru"")"),"Священник")</f>
        <v>Священник</v>
      </c>
      <c r="F25" s="23" t="str">
        <f>IFERROR(__xludf.DUMMYFUNCTION("GOOGLETRANSLATE(B25, ""en"", ""tr"")"),"rahip")</f>
        <v>rahip</v>
      </c>
      <c r="G25" s="23" t="str">
        <f>IFERROR(__xludf.DUMMYFUNCTION("GOOGLETRANSLATE(B25, ""en"", ""pt"")"),"Padre")</f>
        <v>Padre</v>
      </c>
      <c r="H25" s="24" t="str">
        <f>IFERROR(__xludf.DUMMYFUNCTION("GOOGLETRANSLATE(B25, ""en"", ""de"")"),"Priester")</f>
        <v>Priester</v>
      </c>
      <c r="I25" s="23" t="str">
        <f>IFERROR(__xludf.DUMMYFUNCTION("GOOGLETRANSLATE(B25, ""en"", ""pl"")"),"Kapłan")</f>
        <v>Kapłan</v>
      </c>
      <c r="J25" s="25" t="str">
        <f>IFERROR(__xludf.DUMMYFUNCTION("GOOGLETRANSLATE(B25, ""en"", ""zh"")"),"牧师")</f>
        <v>牧师</v>
      </c>
      <c r="K25" s="25" t="str">
        <f>IFERROR(__xludf.DUMMYFUNCTION("GOOGLETRANSLATE(B25, ""en"", ""vi"")"),"Thầy tu")</f>
        <v>Thầy tu</v>
      </c>
      <c r="L25" s="26" t="str">
        <f>IFERROR(__xludf.DUMMYFUNCTION("GOOGLETRANSLATE(B25, ""en"", ""hr"")"),"Svećenik")</f>
        <v>Svećenik</v>
      </c>
      <c r="M25" s="28"/>
      <c r="N25" s="28"/>
      <c r="O25" s="28"/>
      <c r="P25" s="28"/>
      <c r="Q25" s="28"/>
      <c r="R25" s="28"/>
      <c r="S25" s="28"/>
      <c r="T25" s="28"/>
      <c r="U25" s="28"/>
      <c r="V25" s="28"/>
      <c r="W25" s="28"/>
      <c r="X25" s="28"/>
      <c r="Y25" s="28"/>
      <c r="Z25" s="28"/>
      <c r="AA25" s="28"/>
      <c r="AB25" s="28"/>
    </row>
    <row r="26">
      <c r="A26" s="21" t="s">
        <v>711</v>
      </c>
      <c r="B26" s="22" t="s">
        <v>712</v>
      </c>
      <c r="C26" s="23" t="str">
        <f>IFERROR(__xludf.DUMMYFUNCTION("GOOGLETRANSLATE(B26, ""en"", ""fr"")"),"Citoyenne")</f>
        <v>Citoyenne</v>
      </c>
      <c r="D26" s="23" t="str">
        <f>IFERROR(__xludf.DUMMYFUNCTION("GOOGLETRANSLATE(B26, ""en"", ""es"")"),"Ciudadano")</f>
        <v>Ciudadano</v>
      </c>
      <c r="E26" s="23" t="str">
        <f>IFERROR(__xludf.DUMMYFUNCTION("GOOGLETRANSLATE(B26, ""en"", ""ru"")"),"Гражданин")</f>
        <v>Гражданин</v>
      </c>
      <c r="F26" s="23" t="str">
        <f>IFERROR(__xludf.DUMMYFUNCTION("GOOGLETRANSLATE(B26, ""en"", ""tr"")"),"vatandaş")</f>
        <v>vatandaş</v>
      </c>
      <c r="G26" s="23" t="str">
        <f>IFERROR(__xludf.DUMMYFUNCTION("GOOGLETRANSLATE(B26, ""en"", ""pt"")"),"Cidadão")</f>
        <v>Cidadão</v>
      </c>
      <c r="H26" s="24" t="str">
        <f>IFERROR(__xludf.DUMMYFUNCTION("GOOGLETRANSLATE(B26, ""en"", ""de"")"),"Bürger")</f>
        <v>Bürger</v>
      </c>
      <c r="I26" s="23" t="str">
        <f>IFERROR(__xludf.DUMMYFUNCTION("GOOGLETRANSLATE(B26, ""en"", ""pl"")"),"Obywatel")</f>
        <v>Obywatel</v>
      </c>
      <c r="J26" s="25" t="str">
        <f>IFERROR(__xludf.DUMMYFUNCTION("GOOGLETRANSLATE(B26, ""en"", ""zh"")"),"公民")</f>
        <v>公民</v>
      </c>
      <c r="K26" s="25" t="str">
        <f>IFERROR(__xludf.DUMMYFUNCTION("GOOGLETRANSLATE(B26, ""en"", ""vi"")"),"Công dân")</f>
        <v>Công dân</v>
      </c>
      <c r="L26" s="26" t="str">
        <f>IFERROR(__xludf.DUMMYFUNCTION("GOOGLETRANSLATE(B26, ""en"", ""hr"")"),"Građanin")</f>
        <v>Građanin</v>
      </c>
      <c r="M26" s="28"/>
      <c r="N26" s="28"/>
      <c r="O26" s="28"/>
      <c r="P26" s="28"/>
      <c r="Q26" s="28"/>
      <c r="R26" s="28"/>
      <c r="S26" s="28"/>
      <c r="T26" s="28"/>
      <c r="U26" s="28"/>
      <c r="V26" s="28"/>
      <c r="W26" s="28"/>
      <c r="X26" s="28"/>
      <c r="Y26" s="28"/>
      <c r="Z26" s="28"/>
      <c r="AA26" s="28"/>
      <c r="AB26" s="28"/>
    </row>
    <row r="27">
      <c r="A27" s="21" t="s">
        <v>713</v>
      </c>
      <c r="B27" s="22" t="s">
        <v>714</v>
      </c>
      <c r="C27" s="23" t="str">
        <f>IFERROR(__xludf.DUMMYFUNCTION("GOOGLETRANSLATE(B27, ""en"", ""fr"")"),"Nain")</f>
        <v>Nain</v>
      </c>
      <c r="D27" s="23" t="str">
        <f>IFERROR(__xludf.DUMMYFUNCTION("GOOGLETRANSLATE(B27, ""en"", ""es"")"),"Enano")</f>
        <v>Enano</v>
      </c>
      <c r="E27" s="23" t="str">
        <f>IFERROR(__xludf.DUMMYFUNCTION("GOOGLETRANSLATE(B27, ""en"", ""ru"")"),"карликовый")</f>
        <v>карликовый</v>
      </c>
      <c r="F27" s="23" t="str">
        <f>IFERROR(__xludf.DUMMYFUNCTION("GOOGLETRANSLATE(B27, ""en"", ""tr"")"),"Cüce")</f>
        <v>Cüce</v>
      </c>
      <c r="G27" s="23" t="str">
        <f>IFERROR(__xludf.DUMMYFUNCTION("GOOGLETRANSLATE(B27, ""en"", ""pt"")"),"Anão")</f>
        <v>Anão</v>
      </c>
      <c r="H27" s="24" t="str">
        <f>IFERROR(__xludf.DUMMYFUNCTION("GOOGLETRANSLATE(B27, ""en"", ""de"")"),"Zwerg")</f>
        <v>Zwerg</v>
      </c>
      <c r="I27" s="23" t="str">
        <f>IFERROR(__xludf.DUMMYFUNCTION("GOOGLETRANSLATE(B27, ""en"", ""pl"")"),"Krasnolud")</f>
        <v>Krasnolud</v>
      </c>
      <c r="J27" s="25" t="str">
        <f>IFERROR(__xludf.DUMMYFUNCTION("GOOGLETRANSLATE(B27, ""en"", ""zh"")"),"矮人")</f>
        <v>矮人</v>
      </c>
      <c r="K27" s="25" t="str">
        <f>IFERROR(__xludf.DUMMYFUNCTION("GOOGLETRANSLATE(B27, ""en"", ""vi"")"),"Quỷ lùn")</f>
        <v>Quỷ lùn</v>
      </c>
      <c r="L27" s="26" t="str">
        <f>IFERROR(__xludf.DUMMYFUNCTION("GOOGLETRANSLATE(B27, ""en"", ""hr"")"),"Patuljak")</f>
        <v>Patuljak</v>
      </c>
      <c r="M27" s="28"/>
      <c r="N27" s="28"/>
      <c r="O27" s="28"/>
      <c r="P27" s="28"/>
      <c r="Q27" s="28"/>
      <c r="R27" s="28"/>
      <c r="S27" s="28"/>
      <c r="T27" s="28"/>
      <c r="U27" s="28"/>
      <c r="V27" s="28"/>
      <c r="W27" s="28"/>
      <c r="X27" s="28"/>
      <c r="Y27" s="28"/>
      <c r="Z27" s="28"/>
      <c r="AA27" s="28"/>
      <c r="AB27" s="28"/>
    </row>
    <row r="28">
      <c r="A28" s="21" t="s">
        <v>715</v>
      </c>
      <c r="B28" s="22" t="s">
        <v>716</v>
      </c>
      <c r="C28" s="23" t="str">
        <f>IFERROR(__xludf.DUMMYFUNCTION("GOOGLETRANSLATE(B28, ""en"", ""fr"")"),"guerrier nain")</f>
        <v>guerrier nain</v>
      </c>
      <c r="D28" s="23" t="str">
        <f>IFERROR(__xludf.DUMMYFUNCTION("GOOGLETRANSLATE(B28, ""en"", ""es"")"),"guerrero enano")</f>
        <v>guerrero enano</v>
      </c>
      <c r="E28" s="23" t="str">
        <f>IFERROR(__xludf.DUMMYFUNCTION("GOOGLETRANSLATE(B28, ""en"", ""ru"")"),"Гном воин")</f>
        <v>Гном воин</v>
      </c>
      <c r="F28" s="23" t="str">
        <f>IFERROR(__xludf.DUMMYFUNCTION("GOOGLETRANSLATE(B28, ""en"", ""tr"")"),"Cüce savaşçı")</f>
        <v>Cüce savaşçı</v>
      </c>
      <c r="G28" s="23" t="str">
        <f>IFERROR(__xludf.DUMMYFUNCTION("GOOGLETRANSLATE(B28, ""en"", ""pt"")"),"guerreiro anão")</f>
        <v>guerreiro anão</v>
      </c>
      <c r="H28" s="24" t="str">
        <f>IFERROR(__xludf.DUMMYFUNCTION("GOOGLETRANSLATE(B28, ""en"", ""de"")"),"Dwarf Krieger")</f>
        <v>Dwarf Krieger</v>
      </c>
      <c r="I28" s="23" t="str">
        <f>IFERROR(__xludf.DUMMYFUNCTION("GOOGLETRANSLATE(B28, ""en"", ""pl"")"),"krasnolud wojownik")</f>
        <v>krasnolud wojownik</v>
      </c>
      <c r="J28" s="25" t="str">
        <f>IFERROR(__xludf.DUMMYFUNCTION("GOOGLETRANSLATE(B28, ""en"", ""zh"")"),"矮人战士")</f>
        <v>矮人战士</v>
      </c>
      <c r="K28" s="25" t="str">
        <f>IFERROR(__xludf.DUMMYFUNCTION("GOOGLETRANSLATE(B28, ""en"", ""vi"")"),"chiến binh lùn")</f>
        <v>chiến binh lùn</v>
      </c>
      <c r="L28" s="26" t="str">
        <f>IFERROR(__xludf.DUMMYFUNCTION("GOOGLETRANSLATE(B28, ""en"", ""hr"")"),"patuljak ratnik")</f>
        <v>patuljak ratnik</v>
      </c>
      <c r="M28" s="28"/>
      <c r="N28" s="28"/>
      <c r="O28" s="28"/>
      <c r="P28" s="28"/>
      <c r="Q28" s="28"/>
      <c r="R28" s="28"/>
      <c r="S28" s="28"/>
      <c r="T28" s="28"/>
      <c r="U28" s="28"/>
      <c r="V28" s="28"/>
      <c r="W28" s="28"/>
      <c r="X28" s="28"/>
      <c r="Y28" s="28"/>
      <c r="Z28" s="28"/>
      <c r="AA28" s="28"/>
      <c r="AB28" s="28"/>
    </row>
    <row r="29">
      <c r="A29" s="21" t="s">
        <v>717</v>
      </c>
      <c r="B29" s="22" t="s">
        <v>718</v>
      </c>
      <c r="C29" s="23" t="str">
        <f>IFERROR(__xludf.DUMMYFUNCTION("GOOGLETRANSLATE(B29, ""en"", ""fr"")"),"chevalier")</f>
        <v>chevalier</v>
      </c>
      <c r="D29" s="23" t="str">
        <f>IFERROR(__xludf.DUMMYFUNCTION("GOOGLETRANSLATE(B29, ""en"", ""es"")"),"Caballero")</f>
        <v>Caballero</v>
      </c>
      <c r="E29" s="23" t="str">
        <f>IFERROR(__xludf.DUMMYFUNCTION("GOOGLETRANSLATE(B29, ""en"", ""ru"")"),"рыцарь")</f>
        <v>рыцарь</v>
      </c>
      <c r="F29" s="23" t="str">
        <f>IFERROR(__xludf.DUMMYFUNCTION("GOOGLETRANSLATE(B29, ""en"", ""tr"")"),"Şövalye")</f>
        <v>Şövalye</v>
      </c>
      <c r="G29" s="23" t="str">
        <f>IFERROR(__xludf.DUMMYFUNCTION("GOOGLETRANSLATE(B29, ""en"", ""pt"")"),"Cavaleiro")</f>
        <v>Cavaleiro</v>
      </c>
      <c r="H29" s="24" t="str">
        <f>IFERROR(__xludf.DUMMYFUNCTION("GOOGLETRANSLATE(B29, ""en"", ""de"")"),"Ritter")</f>
        <v>Ritter</v>
      </c>
      <c r="I29" s="23" t="str">
        <f>IFERROR(__xludf.DUMMYFUNCTION("GOOGLETRANSLATE(B29, ""en"", ""pl"")"),"Rycerz")</f>
        <v>Rycerz</v>
      </c>
      <c r="J29" s="25" t="str">
        <f>IFERROR(__xludf.DUMMYFUNCTION("GOOGLETRANSLATE(B29, ""en"", ""zh"")"),"骑士")</f>
        <v>骑士</v>
      </c>
      <c r="K29" s="25" t="str">
        <f>IFERROR(__xludf.DUMMYFUNCTION("GOOGLETRANSLATE(B29, ""en"", ""vi"")"),"Hiệp sỹ")</f>
        <v>Hiệp sỹ</v>
      </c>
      <c r="L29" s="26" t="str">
        <f>IFERROR(__xludf.DUMMYFUNCTION("GOOGLETRANSLATE(B29, ""en"", ""hr"")"),"Vitez")</f>
        <v>Vitez</v>
      </c>
      <c r="M29" s="28"/>
      <c r="N29" s="28"/>
      <c r="O29" s="28"/>
      <c r="P29" s="28"/>
      <c r="Q29" s="28"/>
      <c r="R29" s="28"/>
      <c r="S29" s="28"/>
      <c r="T29" s="28"/>
      <c r="U29" s="28"/>
      <c r="V29" s="28"/>
      <c r="W29" s="28"/>
      <c r="X29" s="28"/>
      <c r="Y29" s="28"/>
      <c r="Z29" s="28"/>
      <c r="AA29" s="28"/>
      <c r="AB29" s="28"/>
    </row>
    <row r="30">
      <c r="A30" s="21" t="s">
        <v>719</v>
      </c>
      <c r="B30" s="22" t="s">
        <v>720</v>
      </c>
      <c r="C30" s="23" t="str">
        <f>IFERROR(__xludf.DUMMYFUNCTION("GOOGLETRANSLATE(B30, ""en"", ""fr"")"),"Le commandant")</f>
        <v>Le commandant</v>
      </c>
      <c r="D30" s="23" t="str">
        <f>IFERROR(__xludf.DUMMYFUNCTION("GOOGLETRANSLATE(B30, ""en"", ""es"")"),"Comandante")</f>
        <v>Comandante</v>
      </c>
      <c r="E30" s="23" t="str">
        <f>IFERROR(__xludf.DUMMYFUNCTION("GOOGLETRANSLATE(B30, ""en"", ""ru"")"),"командующий")</f>
        <v>командующий</v>
      </c>
      <c r="F30" s="23" t="str">
        <f>IFERROR(__xludf.DUMMYFUNCTION("GOOGLETRANSLATE(B30, ""en"", ""tr"")"),"kumandan")</f>
        <v>kumandan</v>
      </c>
      <c r="G30" s="23" t="str">
        <f>IFERROR(__xludf.DUMMYFUNCTION("GOOGLETRANSLATE(B30, ""en"", ""pt"")"),"Comandante")</f>
        <v>Comandante</v>
      </c>
      <c r="H30" s="24" t="str">
        <f>IFERROR(__xludf.DUMMYFUNCTION("GOOGLETRANSLATE(B30, ""en"", ""de"")"),"Kommandant")</f>
        <v>Kommandant</v>
      </c>
      <c r="I30" s="23" t="str">
        <f>IFERROR(__xludf.DUMMYFUNCTION("GOOGLETRANSLATE(B30, ""en"", ""pl"")"),"Dowódca")</f>
        <v>Dowódca</v>
      </c>
      <c r="J30" s="25" t="str">
        <f>IFERROR(__xludf.DUMMYFUNCTION("GOOGLETRANSLATE(B30, ""en"", ""zh"")"),"指挥官")</f>
        <v>指挥官</v>
      </c>
      <c r="K30" s="25" t="str">
        <f>IFERROR(__xludf.DUMMYFUNCTION("GOOGLETRANSLATE(B30, ""en"", ""vi"")"),"Chỉ huy")</f>
        <v>Chỉ huy</v>
      </c>
      <c r="L30" s="26" t="str">
        <f>IFERROR(__xludf.DUMMYFUNCTION("GOOGLETRANSLATE(B30, ""en"", ""hr"")"),"Zapovjednik")</f>
        <v>Zapovjednik</v>
      </c>
      <c r="M30" s="28"/>
      <c r="N30" s="28"/>
      <c r="O30" s="28"/>
      <c r="P30" s="28"/>
      <c r="Q30" s="28"/>
      <c r="R30" s="28"/>
      <c r="S30" s="28"/>
      <c r="T30" s="28"/>
      <c r="U30" s="28"/>
      <c r="V30" s="28"/>
      <c r="W30" s="28"/>
      <c r="X30" s="28"/>
      <c r="Y30" s="28"/>
      <c r="Z30" s="28"/>
      <c r="AA30" s="28"/>
      <c r="AB30" s="28"/>
    </row>
    <row r="31">
      <c r="A31" s="21" t="s">
        <v>721</v>
      </c>
      <c r="B31" s="22" t="s">
        <v>722</v>
      </c>
      <c r="C31" s="23" t="str">
        <f>IFERROR(__xludf.DUMMYFUNCTION("GOOGLETRANSLATE(B31, ""en"", ""fr"")"),"guerrier")</f>
        <v>guerrier</v>
      </c>
      <c r="D31" s="23" t="str">
        <f>IFERROR(__xludf.DUMMYFUNCTION("GOOGLETRANSLATE(B31, ""en"", ""es"")"),"Guerrero")</f>
        <v>Guerrero</v>
      </c>
      <c r="E31" s="23" t="str">
        <f>IFERROR(__xludf.DUMMYFUNCTION("GOOGLETRANSLATE(B31, ""en"", ""ru"")"),"воин")</f>
        <v>воин</v>
      </c>
      <c r="F31" s="23" t="str">
        <f>IFERROR(__xludf.DUMMYFUNCTION("GOOGLETRANSLATE(B31, ""en"", ""tr"")"),"Savaşçı")</f>
        <v>Savaşçı</v>
      </c>
      <c r="G31" s="23" t="str">
        <f>IFERROR(__xludf.DUMMYFUNCTION("GOOGLETRANSLATE(B31, ""en"", ""pt"")"),"Guerreiro")</f>
        <v>Guerreiro</v>
      </c>
      <c r="H31" s="24" t="str">
        <f>IFERROR(__xludf.DUMMYFUNCTION("GOOGLETRANSLATE(B31, ""en"", ""de"")"),"Krieger")</f>
        <v>Krieger</v>
      </c>
      <c r="I31" s="23" t="str">
        <f>IFERROR(__xludf.DUMMYFUNCTION("GOOGLETRANSLATE(B31, ""en"", ""pl"")"),"Wojownik")</f>
        <v>Wojownik</v>
      </c>
      <c r="J31" s="25" t="str">
        <f>IFERROR(__xludf.DUMMYFUNCTION("GOOGLETRANSLATE(B31, ""en"", ""zh"")"),"战士")</f>
        <v>战士</v>
      </c>
      <c r="K31" s="25" t="str">
        <f>IFERROR(__xludf.DUMMYFUNCTION("GOOGLETRANSLATE(B31, ""en"", ""vi"")"),"chiến binh")</f>
        <v>chiến binh</v>
      </c>
      <c r="L31" s="26" t="str">
        <f>IFERROR(__xludf.DUMMYFUNCTION("GOOGLETRANSLATE(B31, ""en"", ""hr"")"),"Ratnik")</f>
        <v>Ratnik</v>
      </c>
      <c r="M31" s="28"/>
      <c r="N31" s="28"/>
      <c r="O31" s="28"/>
      <c r="P31" s="28"/>
      <c r="Q31" s="28"/>
      <c r="R31" s="28"/>
      <c r="S31" s="28"/>
      <c r="T31" s="28"/>
      <c r="U31" s="28"/>
      <c r="V31" s="28"/>
      <c r="W31" s="28"/>
      <c r="X31" s="28"/>
      <c r="Y31" s="28"/>
      <c r="Z31" s="28"/>
      <c r="AA31" s="28"/>
      <c r="AB31" s="28"/>
    </row>
    <row r="32">
      <c r="A32" s="21" t="s">
        <v>723</v>
      </c>
      <c r="B32" s="22" t="s">
        <v>724</v>
      </c>
      <c r="C32" s="23" t="str">
        <f>IFERROR(__xludf.DUMMYFUNCTION("GOOGLETRANSLATE(B32, ""en"", ""fr"")"),"Prisonnier")</f>
        <v>Prisonnier</v>
      </c>
      <c r="D32" s="23" t="str">
        <f>IFERROR(__xludf.DUMMYFUNCTION("GOOGLETRANSLATE(B32, ""en"", ""es"")"),"Prisionero")</f>
        <v>Prisionero</v>
      </c>
      <c r="E32" s="23" t="str">
        <f>IFERROR(__xludf.DUMMYFUNCTION("GOOGLETRANSLATE(B32, ""en"", ""ru"")"),"пленный")</f>
        <v>пленный</v>
      </c>
      <c r="F32" s="23" t="str">
        <f>IFERROR(__xludf.DUMMYFUNCTION("GOOGLETRANSLATE(B32, ""en"", ""tr"")"),"Mahkum")</f>
        <v>Mahkum</v>
      </c>
      <c r="G32" s="23" t="str">
        <f>IFERROR(__xludf.DUMMYFUNCTION("GOOGLETRANSLATE(B32, ""en"", ""pt"")"),"Prisioneiro")</f>
        <v>Prisioneiro</v>
      </c>
      <c r="H32" s="24" t="str">
        <f>IFERROR(__xludf.DUMMYFUNCTION("GOOGLETRANSLATE(B32, ""en"", ""de"")"),"Häftling")</f>
        <v>Häftling</v>
      </c>
      <c r="I32" s="23" t="str">
        <f>IFERROR(__xludf.DUMMYFUNCTION("GOOGLETRANSLATE(B32, ""en"", ""pl"")"),"Więzień")</f>
        <v>Więzień</v>
      </c>
      <c r="J32" s="25" t="str">
        <f>IFERROR(__xludf.DUMMYFUNCTION("GOOGLETRANSLATE(B32, ""en"", ""zh"")"),"囚犯")</f>
        <v>囚犯</v>
      </c>
      <c r="K32" s="25" t="str">
        <f>IFERROR(__xludf.DUMMYFUNCTION("GOOGLETRANSLATE(B32, ""en"", ""vi"")"),"Tù nhân")</f>
        <v>Tù nhân</v>
      </c>
      <c r="L32" s="26" t="str">
        <f>IFERROR(__xludf.DUMMYFUNCTION("GOOGLETRANSLATE(B32, ""en"", ""hr"")"),"Zatvorenik")</f>
        <v>Zatvorenik</v>
      </c>
      <c r="M32" s="28"/>
      <c r="N32" s="28"/>
      <c r="O32" s="28"/>
      <c r="P32" s="28"/>
      <c r="Q32" s="28"/>
      <c r="R32" s="28"/>
      <c r="S32" s="28"/>
      <c r="T32" s="28"/>
      <c r="U32" s="28"/>
      <c r="V32" s="28"/>
      <c r="W32" s="28"/>
      <c r="X32" s="28"/>
      <c r="Y32" s="28"/>
      <c r="Z32" s="28"/>
      <c r="AA32" s="28"/>
      <c r="AB32" s="28"/>
    </row>
    <row r="33">
      <c r="A33" s="21" t="s">
        <v>725</v>
      </c>
      <c r="B33" s="22" t="s">
        <v>726</v>
      </c>
      <c r="C33" s="23" t="str">
        <f>IFERROR(__xludf.DUMMYFUNCTION("GOOGLETRANSLATE(B33, ""en"", ""fr"")"),"Rat")</f>
        <v>Rat</v>
      </c>
      <c r="D33" s="23" t="str">
        <f>IFERROR(__xludf.DUMMYFUNCTION("GOOGLETRANSLATE(B33, ""en"", ""es"")"),"Rata")</f>
        <v>Rata</v>
      </c>
      <c r="E33" s="23" t="str">
        <f>IFERROR(__xludf.DUMMYFUNCTION("GOOGLETRANSLATE(B33, ""en"", ""ru"")"),"Крыса")</f>
        <v>Крыса</v>
      </c>
      <c r="F33" s="23" t="str">
        <f>IFERROR(__xludf.DUMMYFUNCTION("GOOGLETRANSLATE(B33, ""en"", ""tr"")"),"Sıçan")</f>
        <v>Sıçan</v>
      </c>
      <c r="G33" s="23" t="str">
        <f>IFERROR(__xludf.DUMMYFUNCTION("GOOGLETRANSLATE(B33, ""en"", ""pt"")"),"Rato")</f>
        <v>Rato</v>
      </c>
      <c r="H33" s="24" t="str">
        <f>IFERROR(__xludf.DUMMYFUNCTION("GOOGLETRANSLATE(B33, ""en"", ""de"")"),"Ratte")</f>
        <v>Ratte</v>
      </c>
      <c r="I33" s="23" t="str">
        <f>IFERROR(__xludf.DUMMYFUNCTION("GOOGLETRANSLATE(B33, ""en"", ""pl"")"),"Szczur")</f>
        <v>Szczur</v>
      </c>
      <c r="J33" s="25" t="str">
        <f>IFERROR(__xludf.DUMMYFUNCTION("GOOGLETRANSLATE(B33, ""en"", ""zh"")"),"鼠")</f>
        <v>鼠</v>
      </c>
      <c r="K33" s="25" t="str">
        <f>IFERROR(__xludf.DUMMYFUNCTION("GOOGLETRANSLATE(B33, ""en"", ""vi"")"),"Con chuột")</f>
        <v>Con chuột</v>
      </c>
      <c r="L33" s="26" t="str">
        <f>IFERROR(__xludf.DUMMYFUNCTION("GOOGLETRANSLATE(B33, ""en"", ""hr"")"),"Štakor")</f>
        <v>Štakor</v>
      </c>
      <c r="M33" s="28"/>
      <c r="N33" s="28"/>
      <c r="O33" s="28"/>
      <c r="P33" s="28"/>
      <c r="Q33" s="28"/>
      <c r="R33" s="28"/>
      <c r="S33" s="28"/>
      <c r="T33" s="28"/>
      <c r="U33" s="28"/>
      <c r="V33" s="28"/>
      <c r="W33" s="28"/>
      <c r="X33" s="28"/>
      <c r="Y33" s="28"/>
      <c r="Z33" s="28"/>
      <c r="AA33" s="28"/>
      <c r="AB33" s="28"/>
    </row>
    <row r="34">
      <c r="A34" s="21" t="s">
        <v>727</v>
      </c>
      <c r="B34" s="22" t="s">
        <v>728</v>
      </c>
      <c r="C34" s="23" t="str">
        <f>IFERROR(__xludf.DUMMYFUNCTION("GOOGLETRANSLATE(B34, ""en"", ""fr"")"),"faucon")</f>
        <v>faucon</v>
      </c>
      <c r="D34" s="23" t="str">
        <f>IFERROR(__xludf.DUMMYFUNCTION("GOOGLETRANSLATE(B34, ""en"", ""es"")"),"Halcón")</f>
        <v>Halcón</v>
      </c>
      <c r="E34" s="23" t="str">
        <f>IFERROR(__xludf.DUMMYFUNCTION("GOOGLETRANSLATE(B34, ""en"", ""ru"")"),"ястреб")</f>
        <v>ястреб</v>
      </c>
      <c r="F34" s="23" t="str">
        <f>IFERROR(__xludf.DUMMYFUNCTION("GOOGLETRANSLATE(B34, ""en"", ""tr"")"),"şahin")</f>
        <v>şahin</v>
      </c>
      <c r="G34" s="23" t="str">
        <f>IFERROR(__xludf.DUMMYFUNCTION("GOOGLETRANSLATE(B34, ""en"", ""pt"")"),"Falcão")</f>
        <v>Falcão</v>
      </c>
      <c r="H34" s="24" t="str">
        <f>IFERROR(__xludf.DUMMYFUNCTION("GOOGLETRANSLATE(B34, ""en"", ""de"")"),"Falke")</f>
        <v>Falke</v>
      </c>
      <c r="I34" s="23" t="str">
        <f>IFERROR(__xludf.DUMMYFUNCTION("GOOGLETRANSLATE(B34, ""en"", ""pl"")"),"Jastrząb")</f>
        <v>Jastrząb</v>
      </c>
      <c r="J34" s="25" t="str">
        <f>IFERROR(__xludf.DUMMYFUNCTION("GOOGLETRANSLATE(B34, ""en"", ""zh"")"),"鹰")</f>
        <v>鹰</v>
      </c>
      <c r="K34" s="25" t="str">
        <f>IFERROR(__xludf.DUMMYFUNCTION("GOOGLETRANSLATE(B34, ""en"", ""vi"")"),"chim ưng")</f>
        <v>chim ưng</v>
      </c>
      <c r="L34" s="26" t="str">
        <f>IFERROR(__xludf.DUMMYFUNCTION("GOOGLETRANSLATE(B34, ""en"", ""hr"")"),"Sokol")</f>
        <v>Sokol</v>
      </c>
      <c r="M34" s="28"/>
      <c r="N34" s="28"/>
      <c r="O34" s="28"/>
      <c r="P34" s="28"/>
      <c r="Q34" s="28"/>
      <c r="R34" s="28"/>
      <c r="S34" s="28"/>
      <c r="T34" s="28"/>
      <c r="U34" s="28"/>
      <c r="V34" s="28"/>
      <c r="W34" s="28"/>
      <c r="X34" s="28"/>
      <c r="Y34" s="28"/>
      <c r="Z34" s="28"/>
      <c r="AA34" s="28"/>
      <c r="AB34" s="28"/>
    </row>
    <row r="35">
      <c r="A35" s="21" t="s">
        <v>729</v>
      </c>
      <c r="B35" s="22" t="s">
        <v>730</v>
      </c>
      <c r="C35" s="23" t="str">
        <f>IFERROR(__xludf.DUMMYFUNCTION("GOOGLETRANSLATE(B35, ""en"", ""fr"")"),"vaurien de sable")</f>
        <v>vaurien de sable</v>
      </c>
      <c r="D35" s="23" t="str">
        <f>IFERROR(__xludf.DUMMYFUNCTION("GOOGLETRANSLATE(B35, ""en"", ""es"")"),"scamp arena")</f>
        <v>scamp arena</v>
      </c>
      <c r="E35" s="23" t="str">
        <f>IFERROR(__xludf.DUMMYFUNCTION("GOOGLETRANSLATE(B35, ""en"", ""ru"")"),"Песок негодяй")</f>
        <v>Песок негодяй</v>
      </c>
      <c r="F35" s="23" t="str">
        <f>IFERROR(__xludf.DUMMYFUNCTION("GOOGLETRANSLATE(B35, ""en"", ""tr"")"),"Kum bıçkın")</f>
        <v>Kum bıçkın</v>
      </c>
      <c r="G35" s="23" t="str">
        <f>IFERROR(__xludf.DUMMYFUNCTION("GOOGLETRANSLATE(B35, ""en"", ""pt"")"),"scamp areia")</f>
        <v>scamp areia</v>
      </c>
      <c r="H35" s="24" t="str">
        <f>IFERROR(__xludf.DUMMYFUNCTION("GOOGLETRANSLATE(B35, ""en"", ""de"")"),"Sand scamp")</f>
        <v>Sand scamp</v>
      </c>
      <c r="I35" s="23" t="str">
        <f>IFERROR(__xludf.DUMMYFUNCTION("GOOGLETRANSLATE(B35, ""en"", ""pl"")"),"piasek scamp")</f>
        <v>piasek scamp</v>
      </c>
      <c r="J35" s="25" t="str">
        <f>IFERROR(__xludf.DUMMYFUNCTION("GOOGLETRANSLATE(B35, ""en"", ""zh"")"),"沙恶棍")</f>
        <v>沙恶棍</v>
      </c>
      <c r="K35" s="25" t="str">
        <f>IFERROR(__xludf.DUMMYFUNCTION("GOOGLETRANSLATE(B35, ""en"", ""vi"")"),"Sand làm việc cẩu thả")</f>
        <v>Sand làm việc cẩu thả</v>
      </c>
      <c r="L35" s="26" t="str">
        <f>IFERROR(__xludf.DUMMYFUNCTION("GOOGLETRANSLATE(B35, ""en"", ""hr"")"),"pijesak nestaško")</f>
        <v>pijesak nestaško</v>
      </c>
      <c r="M35" s="28"/>
      <c r="N35" s="28"/>
      <c r="O35" s="28"/>
      <c r="P35" s="28"/>
      <c r="Q35" s="28"/>
      <c r="R35" s="28"/>
      <c r="S35" s="28"/>
      <c r="T35" s="28"/>
      <c r="U35" s="28"/>
      <c r="V35" s="28"/>
      <c r="W35" s="28"/>
      <c r="X35" s="28"/>
      <c r="Y35" s="28"/>
      <c r="Z35" s="28"/>
      <c r="AA35" s="28"/>
      <c r="AB35" s="28"/>
    </row>
    <row r="36">
      <c r="A36" s="21" t="s">
        <v>731</v>
      </c>
      <c r="B36" s="22" t="s">
        <v>732</v>
      </c>
      <c r="C36" s="23" t="str">
        <f>IFERROR(__xludf.DUMMYFUNCTION("GOOGLETRANSLATE(B36, ""en"", ""fr"")"),"herbe vaurien")</f>
        <v>herbe vaurien</v>
      </c>
      <c r="D36" s="23" t="str">
        <f>IFERROR(__xludf.DUMMYFUNCTION("GOOGLETRANSLATE(B36, ""en"", ""es"")"),"scamp hierba")</f>
        <v>scamp hierba</v>
      </c>
      <c r="E36" s="23" t="str">
        <f>IFERROR(__xludf.DUMMYFUNCTION("GOOGLETRANSLATE(B36, ""en"", ""ru"")"),"Трава негодяй")</f>
        <v>Трава негодяй</v>
      </c>
      <c r="F36" s="23" t="str">
        <f>IFERROR(__xludf.DUMMYFUNCTION("GOOGLETRANSLATE(B36, ""en"", ""tr"")"),"çim bıçkın")</f>
        <v>çim bıçkın</v>
      </c>
      <c r="G36" s="23" t="str">
        <f>IFERROR(__xludf.DUMMYFUNCTION("GOOGLETRANSLATE(B36, ""en"", ""pt"")"),"grama scamp")</f>
        <v>grama scamp</v>
      </c>
      <c r="H36" s="24" t="str">
        <f>IFERROR(__xludf.DUMMYFUNCTION("GOOGLETRANSLATE(B36, ""en"", ""de"")"),"Grass scamp")</f>
        <v>Grass scamp</v>
      </c>
      <c r="I36" s="23" t="str">
        <f>IFERROR(__xludf.DUMMYFUNCTION("GOOGLETRANSLATE(B36, ""en"", ""pl"")"),"trawa scamp")</f>
        <v>trawa scamp</v>
      </c>
      <c r="J36" s="25" t="str">
        <f>IFERROR(__xludf.DUMMYFUNCTION("GOOGLETRANSLATE(B36, ""en"", ""zh"")"),"草恶棍")</f>
        <v>草恶棍</v>
      </c>
      <c r="K36" s="25" t="str">
        <f>IFERROR(__xludf.DUMMYFUNCTION("GOOGLETRANSLATE(B36, ""en"", ""vi"")"),"cỏ làm việc cẩu thả")</f>
        <v>cỏ làm việc cẩu thả</v>
      </c>
      <c r="L36" s="26" t="str">
        <f>IFERROR(__xludf.DUMMYFUNCTION("GOOGLETRANSLATE(B36, ""en"", ""hr"")"),"trava nestaško")</f>
        <v>trava nestaško</v>
      </c>
      <c r="M36" s="28"/>
      <c r="N36" s="28"/>
      <c r="O36" s="28"/>
      <c r="P36" s="28"/>
      <c r="Q36" s="28"/>
      <c r="R36" s="28"/>
      <c r="S36" s="28"/>
      <c r="T36" s="28"/>
      <c r="U36" s="28"/>
      <c r="V36" s="28"/>
      <c r="W36" s="28"/>
      <c r="X36" s="28"/>
      <c r="Y36" s="28"/>
      <c r="Z36" s="28"/>
      <c r="AA36" s="28"/>
      <c r="AB36" s="28"/>
    </row>
    <row r="37">
      <c r="A37" s="21" t="s">
        <v>733</v>
      </c>
      <c r="B37" s="22" t="s">
        <v>734</v>
      </c>
      <c r="C37" s="23" t="str">
        <f>IFERROR(__xludf.DUMMYFUNCTION("GOOGLETRANSLATE(B37, ""en"", ""fr"")"),"Lutin")</f>
        <v>Lutin</v>
      </c>
      <c r="D37" s="23" t="str">
        <f>IFERROR(__xludf.DUMMYFUNCTION("GOOGLETRANSLATE(B37, ""en"", ""es"")"),"Duende")</f>
        <v>Duende</v>
      </c>
      <c r="E37" s="23" t="str">
        <f>IFERROR(__xludf.DUMMYFUNCTION("GOOGLETRANSLATE(B37, ""en"", ""ru"")"),"гоблин")</f>
        <v>гоблин</v>
      </c>
      <c r="F37" s="23" t="str">
        <f>IFERROR(__xludf.DUMMYFUNCTION("GOOGLETRANSLATE(B37, ""en"", ""tr"")"),"cin")</f>
        <v>cin</v>
      </c>
      <c r="G37" s="23" t="str">
        <f>IFERROR(__xludf.DUMMYFUNCTION("GOOGLETRANSLATE(B37, ""en"", ""pt"")"),"gnomo")</f>
        <v>gnomo</v>
      </c>
      <c r="H37" s="24" t="str">
        <f>IFERROR(__xludf.DUMMYFUNCTION("GOOGLETRANSLATE(B37, ""en"", ""de"")"),"Kobold")</f>
        <v>Kobold</v>
      </c>
      <c r="I37" s="23" t="str">
        <f>IFERROR(__xludf.DUMMYFUNCTION("GOOGLETRANSLATE(B37, ""en"", ""pl"")"),"Chochlik")</f>
        <v>Chochlik</v>
      </c>
      <c r="J37" s="25" t="str">
        <f>IFERROR(__xludf.DUMMYFUNCTION("GOOGLETRANSLATE(B37, ""en"", ""zh"")"),"小妖精")</f>
        <v>小妖精</v>
      </c>
      <c r="K37" s="25" t="str">
        <f>IFERROR(__xludf.DUMMYFUNCTION("GOOGLETRANSLATE(B37, ""en"", ""vi"")"),"Yêu tinh")</f>
        <v>Yêu tinh</v>
      </c>
      <c r="L37" s="26" t="str">
        <f>IFERROR(__xludf.DUMMYFUNCTION("GOOGLETRANSLATE(B37, ""en"", ""hr"")"),"Zao")</f>
        <v>Zao</v>
      </c>
      <c r="M37" s="28"/>
      <c r="N37" s="28"/>
      <c r="O37" s="28"/>
      <c r="P37" s="28"/>
      <c r="Q37" s="28"/>
      <c r="R37" s="28"/>
      <c r="S37" s="28"/>
      <c r="T37" s="28"/>
      <c r="U37" s="28"/>
      <c r="V37" s="28"/>
      <c r="W37" s="28"/>
      <c r="X37" s="28"/>
      <c r="Y37" s="28"/>
      <c r="Z37" s="28"/>
      <c r="AA37" s="28"/>
      <c r="AB37" s="28"/>
    </row>
    <row r="38">
      <c r="A38" s="21" t="s">
        <v>735</v>
      </c>
      <c r="B38" s="22" t="s">
        <v>736</v>
      </c>
      <c r="C38" s="23" t="str">
        <f>IFERROR(__xludf.DUMMYFUNCTION("GOOGLETRANSLATE(B38, ""en"", ""fr"")"),"Druide")</f>
        <v>Druide</v>
      </c>
      <c r="D38" s="23" t="str">
        <f>IFERROR(__xludf.DUMMYFUNCTION("GOOGLETRANSLATE(B38, ""en"", ""es"")"),"druida")</f>
        <v>druida</v>
      </c>
      <c r="E38" s="23" t="str">
        <f>IFERROR(__xludf.DUMMYFUNCTION("GOOGLETRANSLATE(B38, ""en"", ""ru"")"),"друид")</f>
        <v>друид</v>
      </c>
      <c r="F38" s="23" t="str">
        <f>IFERROR(__xludf.DUMMYFUNCTION("GOOGLETRANSLATE(B38, ""en"", ""tr"")"),"Büyücü")</f>
        <v>Büyücü</v>
      </c>
      <c r="G38" s="23" t="str">
        <f>IFERROR(__xludf.DUMMYFUNCTION("GOOGLETRANSLATE(B38, ""en"", ""pt"")"),"druida")</f>
        <v>druida</v>
      </c>
      <c r="H38" s="24" t="str">
        <f>IFERROR(__xludf.DUMMYFUNCTION("GOOGLETRANSLATE(B38, ""en"", ""de"")"),"Druide")</f>
        <v>Druide</v>
      </c>
      <c r="I38" s="23" t="str">
        <f>IFERROR(__xludf.DUMMYFUNCTION("GOOGLETRANSLATE(B38, ""en"", ""pl"")"),"druid")</f>
        <v>druid</v>
      </c>
      <c r="J38" s="25" t="str">
        <f>IFERROR(__xludf.DUMMYFUNCTION("GOOGLETRANSLATE(B38, ""en"", ""zh"")"),"德鲁伊")</f>
        <v>德鲁伊</v>
      </c>
      <c r="K38" s="25" t="str">
        <f>IFERROR(__xludf.DUMMYFUNCTION("GOOGLETRANSLATE(B38, ""en"", ""vi"")"),"Druid")</f>
        <v>Druid</v>
      </c>
      <c r="L38" s="26" t="str">
        <f>IFERROR(__xludf.DUMMYFUNCTION("GOOGLETRANSLATE(B38, ""en"", ""hr"")"),"druid")</f>
        <v>druid</v>
      </c>
      <c r="M38" s="28"/>
      <c r="N38" s="28"/>
      <c r="O38" s="28"/>
      <c r="P38" s="28"/>
      <c r="Q38" s="28"/>
      <c r="R38" s="28"/>
      <c r="S38" s="28"/>
      <c r="T38" s="28"/>
      <c r="U38" s="28"/>
      <c r="V38" s="28"/>
      <c r="W38" s="28"/>
      <c r="X38" s="28"/>
      <c r="Y38" s="28"/>
      <c r="Z38" s="28"/>
      <c r="AA38" s="28"/>
      <c r="AB38" s="28"/>
    </row>
    <row r="39">
      <c r="A39" s="21" t="s">
        <v>737</v>
      </c>
      <c r="B39" s="22" t="s">
        <v>738</v>
      </c>
      <c r="C39" s="23" t="str">
        <f>IFERROR(__xludf.DUMMYFUNCTION("GOOGLETRANSLATE(B39, ""en"", ""fr"")"),"Snoovir")</f>
        <v>Snoovir</v>
      </c>
      <c r="D39" s="23" t="str">
        <f>IFERROR(__xludf.DUMMYFUNCTION("GOOGLETRANSLATE(B39, ""en"", ""es"")"),"Snoovir")</f>
        <v>Snoovir</v>
      </c>
      <c r="E39" s="23" t="str">
        <f>IFERROR(__xludf.DUMMYFUNCTION("GOOGLETRANSLATE(B39, ""en"", ""ru"")"),"Snoovir")</f>
        <v>Snoovir</v>
      </c>
      <c r="F39" s="23" t="str">
        <f>IFERROR(__xludf.DUMMYFUNCTION("GOOGLETRANSLATE(B39, ""en"", ""tr"")"),"Snoovir")</f>
        <v>Snoovir</v>
      </c>
      <c r="G39" s="23" t="str">
        <f>IFERROR(__xludf.DUMMYFUNCTION("GOOGLETRANSLATE(B39, ""en"", ""pt"")"),"Snoovir")</f>
        <v>Snoovir</v>
      </c>
      <c r="H39" s="24" t="str">
        <f>IFERROR(__xludf.DUMMYFUNCTION("GOOGLETRANSLATE(B39, ""en"", ""de"")"),"Snoovir")</f>
        <v>Snoovir</v>
      </c>
      <c r="I39" s="23" t="str">
        <f>IFERROR(__xludf.DUMMYFUNCTION("GOOGLETRANSLATE(B39, ""en"", ""pl"")"),"Snoovir")</f>
        <v>Snoovir</v>
      </c>
      <c r="J39" s="25" t="str">
        <f>IFERROR(__xludf.DUMMYFUNCTION("GOOGLETRANSLATE(B39, ""en"", ""zh"")"),"Snoovir")</f>
        <v>Snoovir</v>
      </c>
      <c r="K39" s="25" t="str">
        <f>IFERROR(__xludf.DUMMYFUNCTION("GOOGLETRANSLATE(B39, ""en"", ""vi"")"),"Snoovir")</f>
        <v>Snoovir</v>
      </c>
      <c r="L39" s="26" t="str">
        <f>IFERROR(__xludf.DUMMYFUNCTION("GOOGLETRANSLATE(B39, ""en"", ""hr"")"),"Snoovir")</f>
        <v>Snoovir</v>
      </c>
      <c r="M39" s="28"/>
      <c r="N39" s="28"/>
      <c r="O39" s="28"/>
      <c r="P39" s="28"/>
      <c r="Q39" s="28"/>
      <c r="R39" s="28"/>
      <c r="S39" s="28"/>
      <c r="T39" s="28"/>
      <c r="U39" s="28"/>
      <c r="V39" s="28"/>
      <c r="W39" s="28"/>
      <c r="X39" s="28"/>
      <c r="Y39" s="28"/>
      <c r="Z39" s="28"/>
      <c r="AA39" s="28"/>
      <c r="AB39" s="28"/>
    </row>
    <row r="40">
      <c r="A40" s="21" t="s">
        <v>739</v>
      </c>
      <c r="B40" s="22" t="s">
        <v>740</v>
      </c>
      <c r="C40" s="23" t="str">
        <f>IFERROR(__xludf.DUMMYFUNCTION("GOOGLETRANSLATE(B40, ""en"", ""fr"")"),"Zombi")</f>
        <v>Zombi</v>
      </c>
      <c r="D40" s="23" t="str">
        <f>IFERROR(__xludf.DUMMYFUNCTION("GOOGLETRANSLATE(B40, ""en"", ""es"")"),"Zombi")</f>
        <v>Zombi</v>
      </c>
      <c r="E40" s="23" t="str">
        <f>IFERROR(__xludf.DUMMYFUNCTION("GOOGLETRANSLATE(B40, ""en"", ""ru"")"),"Зомби")</f>
        <v>Зомби</v>
      </c>
      <c r="F40" s="23" t="str">
        <f>IFERROR(__xludf.DUMMYFUNCTION("GOOGLETRANSLATE(B40, ""en"", ""tr"")"),"Zombi")</f>
        <v>Zombi</v>
      </c>
      <c r="G40" s="23" t="str">
        <f>IFERROR(__xludf.DUMMYFUNCTION("GOOGLETRANSLATE(B40, ""en"", ""pt"")"),"zumbi")</f>
        <v>zumbi</v>
      </c>
      <c r="H40" s="24" t="str">
        <f>IFERROR(__xludf.DUMMYFUNCTION("GOOGLETRANSLATE(B40, ""en"", ""de"")"),"Zombie")</f>
        <v>Zombie</v>
      </c>
      <c r="I40" s="23" t="str">
        <f>IFERROR(__xludf.DUMMYFUNCTION("GOOGLETRANSLATE(B40, ""en"", ""pl"")"),"Zambi")</f>
        <v>Zambi</v>
      </c>
      <c r="J40" s="25" t="str">
        <f>IFERROR(__xludf.DUMMYFUNCTION("GOOGLETRANSLATE(B40, ""en"", ""zh"")"),"僵尸")</f>
        <v>僵尸</v>
      </c>
      <c r="K40" s="25" t="str">
        <f>IFERROR(__xludf.DUMMYFUNCTION("GOOGLETRANSLATE(B40, ""en"", ""vi"")"),"Thây ma")</f>
        <v>Thây ma</v>
      </c>
      <c r="L40" s="26" t="str">
        <f>IFERROR(__xludf.DUMMYFUNCTION("GOOGLETRANSLATE(B40, ""en"", ""hr"")"),"Zombi")</f>
        <v>Zombi</v>
      </c>
      <c r="M40" s="28"/>
      <c r="N40" s="28"/>
      <c r="O40" s="28"/>
      <c r="P40" s="28"/>
      <c r="Q40" s="28"/>
      <c r="R40" s="28"/>
      <c r="S40" s="28"/>
      <c r="T40" s="28"/>
      <c r="U40" s="28"/>
      <c r="V40" s="28"/>
      <c r="W40" s="28"/>
      <c r="X40" s="28"/>
      <c r="Y40" s="28"/>
      <c r="Z40" s="28"/>
      <c r="AA40" s="28"/>
      <c r="AB40" s="28"/>
    </row>
    <row r="41">
      <c r="A41" s="21" t="s">
        <v>741</v>
      </c>
      <c r="B41" s="22" t="s">
        <v>742</v>
      </c>
      <c r="C41" s="23" t="str">
        <f>IFERROR(__xludf.DUMMYFUNCTION("GOOGLETRANSLATE(B41, ""en"", ""fr"")"),"Momie")</f>
        <v>Momie</v>
      </c>
      <c r="D41" s="23" t="str">
        <f>IFERROR(__xludf.DUMMYFUNCTION("GOOGLETRANSLATE(B41, ""en"", ""es"")"),"Momia")</f>
        <v>Momia</v>
      </c>
      <c r="E41" s="23" t="str">
        <f>IFERROR(__xludf.DUMMYFUNCTION("GOOGLETRANSLATE(B41, ""en"", ""ru"")"),"мумия")</f>
        <v>мумия</v>
      </c>
      <c r="F41" s="23" t="str">
        <f>IFERROR(__xludf.DUMMYFUNCTION("GOOGLETRANSLATE(B41, ""en"", ""tr"")"),"Mumya")</f>
        <v>Mumya</v>
      </c>
      <c r="G41" s="23" t="str">
        <f>IFERROR(__xludf.DUMMYFUNCTION("GOOGLETRANSLATE(B41, ""en"", ""pt"")"),"Mamãe")</f>
        <v>Mamãe</v>
      </c>
      <c r="H41" s="24" t="str">
        <f>IFERROR(__xludf.DUMMYFUNCTION("GOOGLETRANSLATE(B41, ""en"", ""de"")"),"Mumie")</f>
        <v>Mumie</v>
      </c>
      <c r="I41" s="23" t="str">
        <f>IFERROR(__xludf.DUMMYFUNCTION("GOOGLETRANSLATE(B41, ""en"", ""pl"")"),"Mumia")</f>
        <v>Mumia</v>
      </c>
      <c r="J41" s="25" t="str">
        <f>IFERROR(__xludf.DUMMYFUNCTION("GOOGLETRANSLATE(B41, ""en"", ""zh"")"),"木乃伊")</f>
        <v>木乃伊</v>
      </c>
      <c r="K41" s="25" t="str">
        <f>IFERROR(__xludf.DUMMYFUNCTION("GOOGLETRANSLATE(B41, ""en"", ""vi"")"),"Xác ướp")</f>
        <v>Xác ướp</v>
      </c>
      <c r="L41" s="26" t="str">
        <f>IFERROR(__xludf.DUMMYFUNCTION("GOOGLETRANSLATE(B41, ""en"", ""hr"")"),"Mumija")</f>
        <v>Mumija</v>
      </c>
      <c r="M41" s="28"/>
      <c r="N41" s="28"/>
      <c r="O41" s="28"/>
      <c r="P41" s="28"/>
      <c r="Q41" s="28"/>
      <c r="R41" s="28"/>
      <c r="S41" s="28"/>
      <c r="T41" s="28"/>
      <c r="U41" s="28"/>
      <c r="V41" s="28"/>
      <c r="W41" s="28"/>
      <c r="X41" s="28"/>
      <c r="Y41" s="28"/>
      <c r="Z41" s="28"/>
      <c r="AA41" s="28"/>
      <c r="AB41" s="28"/>
    </row>
    <row r="42">
      <c r="A42" s="21" t="s">
        <v>743</v>
      </c>
      <c r="B42" s="22" t="s">
        <v>744</v>
      </c>
      <c r="C42" s="23" t="str">
        <f>IFERROR(__xludf.DUMMYFUNCTION("GOOGLETRANSLATE(B42, ""en"", ""fr"")"),"gardien crypte")</f>
        <v>gardien crypte</v>
      </c>
      <c r="D42" s="23" t="str">
        <f>IFERROR(__xludf.DUMMYFUNCTION("GOOGLETRANSLATE(B42, ""en"", ""es"")"),"guardián de la cripta")</f>
        <v>guardián de la cripta</v>
      </c>
      <c r="E42" s="23" t="str">
        <f>IFERROR(__xludf.DUMMYFUNCTION("GOOGLETRANSLATE(B42, ""en"", ""ru"")"),"Crypt смотритель")</f>
        <v>Crypt смотритель</v>
      </c>
      <c r="F42" s="23" t="str">
        <f>IFERROR(__xludf.DUMMYFUNCTION("GOOGLETRANSLATE(B42, ""en"", ""tr"")"),"Crypt müdür")</f>
        <v>Crypt müdür</v>
      </c>
      <c r="G42" s="23" t="str">
        <f>IFERROR(__xludf.DUMMYFUNCTION("GOOGLETRANSLATE(B42, ""en"", ""pt"")"),"guardião da cripta")</f>
        <v>guardião da cripta</v>
      </c>
      <c r="H42" s="24" t="str">
        <f>IFERROR(__xludf.DUMMYFUNCTION("GOOGLETRANSLATE(B42, ""en"", ""de"")"),"Crypt warden")</f>
        <v>Crypt warden</v>
      </c>
      <c r="I42" s="23" t="str">
        <f>IFERROR(__xludf.DUMMYFUNCTION("GOOGLETRANSLATE(B42, ""en"", ""pl"")"),"Crypt Warden")</f>
        <v>Crypt Warden</v>
      </c>
      <c r="J42" s="25" t="str">
        <f>IFERROR(__xludf.DUMMYFUNCTION("GOOGLETRANSLATE(B42, ""en"", ""zh"")"),"地穴区长")</f>
        <v>地穴区长</v>
      </c>
      <c r="K42" s="25" t="str">
        <f>IFERROR(__xludf.DUMMYFUNCTION("GOOGLETRANSLATE(B42, ""en"", ""vi"")"),"cai ngục crypt")</f>
        <v>cai ngục crypt</v>
      </c>
      <c r="L42" s="26" t="str">
        <f>IFERROR(__xludf.DUMMYFUNCTION("GOOGLETRANSLATE(B42, ""en"", ""hr"")"),"Crypt upravitelj")</f>
        <v>Crypt upravitelj</v>
      </c>
      <c r="M42" s="28"/>
      <c r="N42" s="28"/>
      <c r="O42" s="28"/>
      <c r="P42" s="28"/>
      <c r="Q42" s="28"/>
      <c r="R42" s="28"/>
      <c r="S42" s="28"/>
      <c r="T42" s="28"/>
      <c r="U42" s="28"/>
      <c r="V42" s="28"/>
      <c r="W42" s="28"/>
      <c r="X42" s="28"/>
      <c r="Y42" s="28"/>
      <c r="Z42" s="28"/>
      <c r="AA42" s="28"/>
      <c r="AB42" s="28"/>
    </row>
    <row r="43">
      <c r="A43" s="21" t="s">
        <v>745</v>
      </c>
      <c r="B43" s="22" t="s">
        <v>746</v>
      </c>
      <c r="C43" s="23" t="str">
        <f>IFERROR(__xludf.DUMMYFUNCTION("GOOGLETRANSLATE(B43, ""en"", ""fr"")"),"pharaon")</f>
        <v>pharaon</v>
      </c>
      <c r="D43" s="23" t="str">
        <f>IFERROR(__xludf.DUMMYFUNCTION("GOOGLETRANSLATE(B43, ""en"", ""es"")"),"faraón")</f>
        <v>faraón</v>
      </c>
      <c r="E43" s="23" t="str">
        <f>IFERROR(__xludf.DUMMYFUNCTION("GOOGLETRANSLATE(B43, ""en"", ""ru"")"),"фараон")</f>
        <v>фараон</v>
      </c>
      <c r="F43" s="23" t="str">
        <f>IFERROR(__xludf.DUMMYFUNCTION("GOOGLETRANSLATE(B43, ""en"", ""tr"")"),"Firavun")</f>
        <v>Firavun</v>
      </c>
      <c r="G43" s="23" t="str">
        <f>IFERROR(__xludf.DUMMYFUNCTION("GOOGLETRANSLATE(B43, ""en"", ""pt"")"),"faraó")</f>
        <v>faraó</v>
      </c>
      <c r="H43" s="24" t="str">
        <f>IFERROR(__xludf.DUMMYFUNCTION("GOOGLETRANSLATE(B43, ""en"", ""de"")"),"Pharao")</f>
        <v>Pharao</v>
      </c>
      <c r="I43" s="23" t="str">
        <f>IFERROR(__xludf.DUMMYFUNCTION("GOOGLETRANSLATE(B43, ""en"", ""pl"")"),"faraon")</f>
        <v>faraon</v>
      </c>
      <c r="J43" s="25" t="str">
        <f>IFERROR(__xludf.DUMMYFUNCTION("GOOGLETRANSLATE(B43, ""en"", ""zh"")"),"老王")</f>
        <v>老王</v>
      </c>
      <c r="K43" s="25" t="str">
        <f>IFERROR(__xludf.DUMMYFUNCTION("GOOGLETRANSLATE(B43, ""en"", ""vi"")"),"Pharaoh")</f>
        <v>Pharaoh</v>
      </c>
      <c r="L43" s="26" t="str">
        <f>IFERROR(__xludf.DUMMYFUNCTION("GOOGLETRANSLATE(B43, ""en"", ""hr"")"),"faraon")</f>
        <v>faraon</v>
      </c>
      <c r="M43" s="28"/>
      <c r="N43" s="28"/>
      <c r="O43" s="28"/>
      <c r="P43" s="28"/>
      <c r="Q43" s="28"/>
      <c r="R43" s="28"/>
      <c r="S43" s="28"/>
      <c r="T43" s="28"/>
      <c r="U43" s="28"/>
      <c r="V43" s="28"/>
      <c r="W43" s="28"/>
      <c r="X43" s="28"/>
      <c r="Y43" s="28"/>
      <c r="Z43" s="28"/>
      <c r="AA43" s="28"/>
      <c r="AB43" s="28"/>
    </row>
    <row r="44">
      <c r="A44" s="21" t="s">
        <v>747</v>
      </c>
      <c r="B44" s="22" t="s">
        <v>748</v>
      </c>
      <c r="C44" s="23" t="str">
        <f>IFERROR(__xludf.DUMMYFUNCTION("GOOGLETRANSLATE(B44, ""en"", ""fr"")"),"Vampire")</f>
        <v>Vampire</v>
      </c>
      <c r="D44" s="23" t="str">
        <f>IFERROR(__xludf.DUMMYFUNCTION("GOOGLETRANSLATE(B44, ""en"", ""es"")"),"Vampiro")</f>
        <v>Vampiro</v>
      </c>
      <c r="E44" s="23" t="str">
        <f>IFERROR(__xludf.DUMMYFUNCTION("GOOGLETRANSLATE(B44, ""en"", ""ru"")"),"вампир")</f>
        <v>вампир</v>
      </c>
      <c r="F44" s="23" t="str">
        <f>IFERROR(__xludf.DUMMYFUNCTION("GOOGLETRANSLATE(B44, ""en"", ""tr"")"),"Vampir")</f>
        <v>Vampir</v>
      </c>
      <c r="G44" s="23" t="str">
        <f>IFERROR(__xludf.DUMMYFUNCTION("GOOGLETRANSLATE(B44, ""en"", ""pt"")"),"Vampiro")</f>
        <v>Vampiro</v>
      </c>
      <c r="H44" s="24" t="str">
        <f>IFERROR(__xludf.DUMMYFUNCTION("GOOGLETRANSLATE(B44, ""en"", ""de"")"),"Vampir")</f>
        <v>Vampir</v>
      </c>
      <c r="I44" s="23" t="str">
        <f>IFERROR(__xludf.DUMMYFUNCTION("GOOGLETRANSLATE(B44, ""en"", ""pl"")"),"Wampir")</f>
        <v>Wampir</v>
      </c>
      <c r="J44" s="25" t="str">
        <f>IFERROR(__xludf.DUMMYFUNCTION("GOOGLETRANSLATE(B44, ""en"", ""zh"")"),"吸血鬼")</f>
        <v>吸血鬼</v>
      </c>
      <c r="K44" s="25" t="str">
        <f>IFERROR(__xludf.DUMMYFUNCTION("GOOGLETRANSLATE(B44, ""en"", ""vi"")"),"ma cà rồng")</f>
        <v>ma cà rồng</v>
      </c>
      <c r="L44" s="26" t="str">
        <f>IFERROR(__xludf.DUMMYFUNCTION("GOOGLETRANSLATE(B44, ""en"", ""hr"")"),"Vampir")</f>
        <v>Vampir</v>
      </c>
      <c r="M44" s="28"/>
      <c r="N44" s="28"/>
      <c r="O44" s="28"/>
      <c r="P44" s="28"/>
      <c r="Q44" s="28"/>
      <c r="R44" s="28"/>
      <c r="S44" s="28"/>
      <c r="T44" s="28"/>
      <c r="U44" s="28"/>
      <c r="V44" s="28"/>
      <c r="W44" s="28"/>
      <c r="X44" s="28"/>
      <c r="Y44" s="28"/>
      <c r="Z44" s="28"/>
      <c r="AA44" s="28"/>
      <c r="AB44" s="28"/>
    </row>
    <row r="45">
      <c r="A45" s="21" t="s">
        <v>749</v>
      </c>
      <c r="B45" s="22" t="s">
        <v>750</v>
      </c>
      <c r="C45" s="23" t="str">
        <f>IFERROR(__xludf.DUMMYFUNCTION("GOOGLETRANSLATE(B45, ""en"", ""fr"")"),"prêtre de sang")</f>
        <v>prêtre de sang</v>
      </c>
      <c r="D45" s="23" t="str">
        <f>IFERROR(__xludf.DUMMYFUNCTION("GOOGLETRANSLATE(B45, ""en"", ""es"")"),"sacerdote de la sangre")</f>
        <v>sacerdote de la sangre</v>
      </c>
      <c r="E45" s="23" t="str">
        <f>IFERROR(__xludf.DUMMYFUNCTION("GOOGLETRANSLATE(B45, ""en"", ""ru"")"),"Кровь священник")</f>
        <v>Кровь священник</v>
      </c>
      <c r="F45" s="23" t="str">
        <f>IFERROR(__xludf.DUMMYFUNCTION("GOOGLETRANSLATE(B45, ""en"", ""tr"")"),"Kan rahip")</f>
        <v>Kan rahip</v>
      </c>
      <c r="G45" s="23" t="str">
        <f>IFERROR(__xludf.DUMMYFUNCTION("GOOGLETRANSLATE(B45, ""en"", ""pt"")"),"padre sangue")</f>
        <v>padre sangue</v>
      </c>
      <c r="H45" s="24" t="str">
        <f>IFERROR(__xludf.DUMMYFUNCTION("GOOGLETRANSLATE(B45, ""en"", ""de"")"),"Blut Priester")</f>
        <v>Blut Priester</v>
      </c>
      <c r="I45" s="23" t="str">
        <f>IFERROR(__xludf.DUMMYFUNCTION("GOOGLETRANSLATE(B45, ""en"", ""pl"")"),"kapłan krwi")</f>
        <v>kapłan krwi</v>
      </c>
      <c r="J45" s="25" t="str">
        <f>IFERROR(__xludf.DUMMYFUNCTION("GOOGLETRANSLATE(B45, ""en"", ""zh"")"),"血牧师")</f>
        <v>血牧师</v>
      </c>
      <c r="K45" s="25" t="str">
        <f>IFERROR(__xludf.DUMMYFUNCTION("GOOGLETRANSLATE(B45, ""en"", ""vi"")"),"linh mục máu")</f>
        <v>linh mục máu</v>
      </c>
      <c r="L45" s="26" t="str">
        <f>IFERROR(__xludf.DUMMYFUNCTION("GOOGLETRANSLATE(B45, ""en"", ""hr"")"),"krv svećenik")</f>
        <v>krv svećenik</v>
      </c>
      <c r="M45" s="28"/>
      <c r="N45" s="28"/>
      <c r="O45" s="28"/>
      <c r="P45" s="28"/>
      <c r="Q45" s="28"/>
      <c r="R45" s="28"/>
      <c r="S45" s="28"/>
      <c r="T45" s="28"/>
      <c r="U45" s="28"/>
      <c r="V45" s="28"/>
      <c r="W45" s="28"/>
      <c r="X45" s="28"/>
      <c r="Y45" s="28"/>
      <c r="Z45" s="28"/>
      <c r="AA45" s="28"/>
      <c r="AB45" s="28"/>
    </row>
    <row r="46">
      <c r="A46" s="21" t="s">
        <v>751</v>
      </c>
      <c r="B46" s="22" t="s">
        <v>752</v>
      </c>
      <c r="C46" s="23" t="str">
        <f>IFERROR(__xludf.DUMMYFUNCTION("GOOGLETRANSLATE(B46, ""en"", ""fr"")"),"seigneur de sang")</f>
        <v>seigneur de sang</v>
      </c>
      <c r="D46" s="23" t="str">
        <f>IFERROR(__xludf.DUMMYFUNCTION("GOOGLETRANSLATE(B46, ""en"", ""es"")"),"señor de sangre")</f>
        <v>señor de sangre</v>
      </c>
      <c r="E46" s="23" t="str">
        <f>IFERROR(__xludf.DUMMYFUNCTION("GOOGLETRANSLATE(B46, ""en"", ""ru"")"),"лорд крови")</f>
        <v>лорд крови</v>
      </c>
      <c r="F46" s="23" t="str">
        <f>IFERROR(__xludf.DUMMYFUNCTION("GOOGLETRANSLATE(B46, ""en"", ""tr"")"),"Kan efendisi")</f>
        <v>Kan efendisi</v>
      </c>
      <c r="G46" s="23" t="str">
        <f>IFERROR(__xludf.DUMMYFUNCTION("GOOGLETRANSLATE(B46, ""en"", ""pt"")"),"senhor sangue")</f>
        <v>senhor sangue</v>
      </c>
      <c r="H46" s="24" t="str">
        <f>IFERROR(__xludf.DUMMYFUNCTION("GOOGLETRANSLATE(B46, ""en"", ""de"")"),"Blut lord")</f>
        <v>Blut lord</v>
      </c>
      <c r="I46" s="23" t="str">
        <f>IFERROR(__xludf.DUMMYFUNCTION("GOOGLETRANSLATE(B46, ""en"", ""pl"")"),"Pan krew")</f>
        <v>Pan krew</v>
      </c>
      <c r="J46" s="25" t="str">
        <f>IFERROR(__xludf.DUMMYFUNCTION("GOOGLETRANSLATE(B46, ""en"", ""zh"")"),"血领主")</f>
        <v>血领主</v>
      </c>
      <c r="K46" s="25" t="str">
        <f>IFERROR(__xludf.DUMMYFUNCTION("GOOGLETRANSLATE(B46, ""en"", ""vi"")"),"chúa tể máu")</f>
        <v>chúa tể máu</v>
      </c>
      <c r="L46" s="26" t="str">
        <f>IFERROR(__xludf.DUMMYFUNCTION("GOOGLETRANSLATE(B46, ""en"", ""hr"")"),"krv gospodar")</f>
        <v>krv gospodar</v>
      </c>
      <c r="M46" s="28"/>
      <c r="N46" s="28"/>
      <c r="O46" s="28"/>
      <c r="P46" s="28"/>
      <c r="Q46" s="28"/>
      <c r="R46" s="28"/>
      <c r="S46" s="28"/>
      <c r="T46" s="28"/>
      <c r="U46" s="28"/>
      <c r="V46" s="28"/>
      <c r="W46" s="28"/>
      <c r="X46" s="28"/>
      <c r="Y46" s="28"/>
      <c r="Z46" s="28"/>
      <c r="AA46" s="28"/>
      <c r="AB46" s="28"/>
    </row>
    <row r="47">
      <c r="A47" s="21" t="s">
        <v>753</v>
      </c>
      <c r="B47" s="22" t="s">
        <v>754</v>
      </c>
      <c r="C47" s="23" t="str">
        <f>IFERROR(__xludf.DUMMYFUNCTION("GOOGLETRANSLATE(B47, ""en"", ""fr"")"),"Hargne")</f>
        <v>Hargne</v>
      </c>
      <c r="D47" s="23" t="str">
        <f>IFERROR(__xludf.DUMMYFUNCTION("GOOGLETRANSLATE(B47, ""en"", ""es"")"),"Nudo")</f>
        <v>Nudo</v>
      </c>
      <c r="E47" s="23" t="str">
        <f>IFERROR(__xludf.DUMMYFUNCTION("GOOGLETRANSLATE(B47, ""en"", ""ru"")"),"свиль")</f>
        <v>свиль</v>
      </c>
      <c r="F47" s="23" t="str">
        <f>IFERROR(__xludf.DUMMYFUNCTION("GOOGLETRANSLATE(B47, ""en"", ""tr"")"),"gnarl")</f>
        <v>gnarl</v>
      </c>
      <c r="G47" s="23" t="str">
        <f>IFERROR(__xludf.DUMMYFUNCTION("GOOGLETRANSLATE(B47, ""en"", ""pt"")"),"nó de Madeira")</f>
        <v>nó de Madeira</v>
      </c>
      <c r="H47" s="24" t="str">
        <f>IFERROR(__xludf.DUMMYFUNCTION("GOOGLETRANSLATE(B47, ""en"", ""de"")"),"gnarl")</f>
        <v>gnarl</v>
      </c>
      <c r="I47" s="23" t="str">
        <f>IFERROR(__xludf.DUMMYFUNCTION("GOOGLETRANSLATE(B47, ""en"", ""pl"")"),"Narośl")</f>
        <v>Narośl</v>
      </c>
      <c r="J47" s="25" t="str">
        <f>IFERROR(__xludf.DUMMYFUNCTION("GOOGLETRANSLATE(B47, ""en"", ""zh"")"),"纳亚尔")</f>
        <v>纳亚尔</v>
      </c>
      <c r="K47" s="25" t="str">
        <f>IFERROR(__xludf.DUMMYFUNCTION("GOOGLETRANSLATE(B47, ""en"", ""vi"")"),"Gnarl")</f>
        <v>Gnarl</v>
      </c>
      <c r="L47" s="26" t="str">
        <f>IFERROR(__xludf.DUMMYFUNCTION("GOOGLETRANSLATE(B47, ""en"", ""hr"")"),"Gnarl")</f>
        <v>Gnarl</v>
      </c>
      <c r="M47" s="28"/>
      <c r="N47" s="28"/>
      <c r="O47" s="28"/>
      <c r="P47" s="28"/>
      <c r="Q47" s="28"/>
      <c r="R47" s="28"/>
      <c r="S47" s="28"/>
      <c r="T47" s="28"/>
      <c r="U47" s="28"/>
      <c r="V47" s="28"/>
      <c r="W47" s="28"/>
      <c r="X47" s="28"/>
      <c r="Y47" s="28"/>
      <c r="Z47" s="28"/>
      <c r="AA47" s="28"/>
      <c r="AB47" s="28"/>
    </row>
    <row r="48">
      <c r="A48" s="21" t="s">
        <v>755</v>
      </c>
      <c r="B48" s="22" t="s">
        <v>756</v>
      </c>
      <c r="C48" s="23" t="str">
        <f>IFERROR(__xludf.DUMMYFUNCTION("GOOGLETRANSLATE(B48, ""en"", ""fr"")"),"grande gnarl")</f>
        <v>grande gnarl</v>
      </c>
      <c r="D48" s="23" t="str">
        <f>IFERROR(__xludf.DUMMYFUNCTION("GOOGLETRANSLATE(B48, ""en"", ""es"")"),"gran gnarl")</f>
        <v>gran gnarl</v>
      </c>
      <c r="E48" s="23" t="str">
        <f>IFERROR(__xludf.DUMMYFUNCTION("GOOGLETRANSLATE(B48, ""en"", ""ru"")"),"Большая свиль")</f>
        <v>Большая свиль</v>
      </c>
      <c r="F48" s="23" t="str">
        <f>IFERROR(__xludf.DUMMYFUNCTION("GOOGLETRANSLATE(B48, ""en"", ""tr"")"),"Büyük gnarl")</f>
        <v>Büyük gnarl</v>
      </c>
      <c r="G48" s="23" t="str">
        <f>IFERROR(__xludf.DUMMYFUNCTION("GOOGLETRANSLATE(B48, ""en"", ""pt"")"),"grande gnarl")</f>
        <v>grande gnarl</v>
      </c>
      <c r="H48" s="24" t="str">
        <f>IFERROR(__xludf.DUMMYFUNCTION("GOOGLETRANSLATE(B48, ""en"", ""de"")"),"Großer gnarl")</f>
        <v>Großer gnarl</v>
      </c>
      <c r="I48" s="23" t="str">
        <f>IFERROR(__xludf.DUMMYFUNCTION("GOOGLETRANSLATE(B48, ""en"", ""pl"")"),"wielka narośl")</f>
        <v>wielka narośl</v>
      </c>
      <c r="J48" s="25" t="str">
        <f>IFERROR(__xludf.DUMMYFUNCTION("GOOGLETRANSLATE(B48, ""en"", ""zh"")"),"大纳亚尔")</f>
        <v>大纳亚尔</v>
      </c>
      <c r="K48" s="25" t="str">
        <f>IFERROR(__xludf.DUMMYFUNCTION("GOOGLETRANSLATE(B48, ""en"", ""vi"")"),"lớn gnarl")</f>
        <v>lớn gnarl</v>
      </c>
      <c r="L48" s="26" t="str">
        <f>IFERROR(__xludf.DUMMYFUNCTION("GOOGLETRANSLATE(B48, ""en"", ""hr"")"),"veliki gnarl")</f>
        <v>veliki gnarl</v>
      </c>
      <c r="M48" s="28"/>
      <c r="N48" s="28"/>
      <c r="O48" s="28"/>
      <c r="P48" s="28"/>
      <c r="Q48" s="28"/>
      <c r="R48" s="28"/>
      <c r="S48" s="28"/>
      <c r="T48" s="28"/>
      <c r="U48" s="28"/>
      <c r="V48" s="28"/>
      <c r="W48" s="28"/>
      <c r="X48" s="28"/>
      <c r="Y48" s="28"/>
      <c r="Z48" s="28"/>
      <c r="AA48" s="28"/>
      <c r="AB48" s="28"/>
    </row>
    <row r="49">
      <c r="A49" s="21" t="s">
        <v>757</v>
      </c>
      <c r="B49" s="22" t="s">
        <v>758</v>
      </c>
      <c r="C49" s="23" t="str">
        <f>IFERROR(__xludf.DUMMYFUNCTION("GOOGLETRANSLATE(B49, ""en"", ""fr"")"),"mage")</f>
        <v>mage</v>
      </c>
      <c r="D49" s="23" t="str">
        <f>IFERROR(__xludf.DUMMYFUNCTION("GOOGLETRANSLATE(B49, ""en"", ""es"")"),"mago")</f>
        <v>mago</v>
      </c>
      <c r="E49" s="23" t="str">
        <f>IFERROR(__xludf.DUMMYFUNCTION("GOOGLETRANSLATE(B49, ""en"", ""ru"")"),"маг")</f>
        <v>маг</v>
      </c>
      <c r="F49" s="23" t="str">
        <f>IFERROR(__xludf.DUMMYFUNCTION("GOOGLETRANSLATE(B49, ""en"", ""tr"")"),"sihirbaz")</f>
        <v>sihirbaz</v>
      </c>
      <c r="G49" s="23" t="str">
        <f>IFERROR(__xludf.DUMMYFUNCTION("GOOGLETRANSLATE(B49, ""en"", ""pt"")"),"Mago")</f>
        <v>Mago</v>
      </c>
      <c r="H49" s="24" t="str">
        <f>IFERROR(__xludf.DUMMYFUNCTION("GOOGLETRANSLATE(B49, ""en"", ""de"")"),"Mage")</f>
        <v>Mage</v>
      </c>
      <c r="I49" s="23" t="str">
        <f>IFERROR(__xludf.DUMMYFUNCTION("GOOGLETRANSLATE(B49, ""en"", ""pl"")"),"Mage")</f>
        <v>Mage</v>
      </c>
      <c r="J49" s="25" t="str">
        <f>IFERROR(__xludf.DUMMYFUNCTION("GOOGLETRANSLATE(B49, ""en"", ""zh"")"),"魔术师")</f>
        <v>魔术师</v>
      </c>
      <c r="K49" s="25" t="str">
        <f>IFERROR(__xludf.DUMMYFUNCTION("GOOGLETRANSLATE(B49, ""en"", ""vi"")"),"pháp sư")</f>
        <v>pháp sư</v>
      </c>
      <c r="L49" s="26" t="str">
        <f>IFERROR(__xludf.DUMMYFUNCTION("GOOGLETRANSLATE(B49, ""en"", ""hr"")"),"Mag")</f>
        <v>Mag</v>
      </c>
      <c r="M49" s="28"/>
      <c r="N49" s="28"/>
      <c r="O49" s="28"/>
      <c r="P49" s="28"/>
      <c r="Q49" s="28"/>
      <c r="R49" s="28"/>
      <c r="S49" s="28"/>
      <c r="T49" s="28"/>
      <c r="U49" s="28"/>
      <c r="V49" s="28"/>
      <c r="W49" s="28"/>
      <c r="X49" s="28"/>
      <c r="Y49" s="28"/>
      <c r="Z49" s="28"/>
      <c r="AA49" s="28"/>
      <c r="AB49" s="28"/>
    </row>
    <row r="50">
      <c r="A50" s="21" t="s">
        <v>759</v>
      </c>
      <c r="B50" s="22" t="s">
        <v>760</v>
      </c>
      <c r="C50" s="23" t="str">
        <f>IFERROR(__xludf.DUMMYFUNCTION("GOOGLETRANSLATE(B50, ""en"", ""fr"")"),"arc mage")</f>
        <v>arc mage</v>
      </c>
      <c r="D50" s="23" t="str">
        <f>IFERROR(__xludf.DUMMYFUNCTION("GOOGLETRANSLATE(B50, ""en"", ""es"")"),"mago arco")</f>
        <v>mago arco</v>
      </c>
      <c r="E50" s="23" t="str">
        <f>IFERROR(__xludf.DUMMYFUNCTION("GOOGLETRANSLATE(B50, ""en"", ""ru"")"),"Arch маг")</f>
        <v>Arch маг</v>
      </c>
      <c r="F50" s="23" t="str">
        <f>IFERROR(__xludf.DUMMYFUNCTION("GOOGLETRANSLATE(B50, ""en"", ""tr"")"),"Baş büyücü")</f>
        <v>Baş büyücü</v>
      </c>
      <c r="G50" s="23" t="str">
        <f>IFERROR(__xludf.DUMMYFUNCTION("GOOGLETRANSLATE(B50, ""en"", ""pt"")"),"Arch mago")</f>
        <v>Arch mago</v>
      </c>
      <c r="H50" s="24" t="str">
        <f>IFERROR(__xludf.DUMMYFUNCTION("GOOGLETRANSLATE(B50, ""en"", ""de"")"),"Arch mage")</f>
        <v>Arch mage</v>
      </c>
      <c r="I50" s="23" t="str">
        <f>IFERROR(__xludf.DUMMYFUNCTION("GOOGLETRANSLATE(B50, ""en"", ""pl"")"),"Arch mage")</f>
        <v>Arch mage</v>
      </c>
      <c r="J50" s="25" t="str">
        <f>IFERROR(__xludf.DUMMYFUNCTION("GOOGLETRANSLATE(B50, ""en"", ""zh"")"),"大法师")</f>
        <v>大法师</v>
      </c>
      <c r="K50" s="25" t="str">
        <f>IFERROR(__xludf.DUMMYFUNCTION("GOOGLETRANSLATE(B50, ""en"", ""vi"")"),"Arch Mage")</f>
        <v>Arch Mage</v>
      </c>
      <c r="L50" s="26" t="str">
        <f>IFERROR(__xludf.DUMMYFUNCTION("GOOGLETRANSLATE(B50, ""en"", ""hr"")"),"Arch mag")</f>
        <v>Arch mag</v>
      </c>
      <c r="M50" s="28"/>
      <c r="N50" s="28"/>
      <c r="O50" s="28"/>
      <c r="P50" s="28"/>
      <c r="Q50" s="28"/>
      <c r="R50" s="28"/>
      <c r="S50" s="28"/>
      <c r="T50" s="28"/>
      <c r="U50" s="28"/>
      <c r="V50" s="28"/>
      <c r="W50" s="28"/>
      <c r="X50" s="28"/>
      <c r="Y50" s="28"/>
      <c r="Z50" s="28"/>
      <c r="AA50" s="28"/>
      <c r="AB50" s="28"/>
    </row>
    <row r="51">
      <c r="A51" s="21" t="s">
        <v>761</v>
      </c>
      <c r="B51" s="22" t="s">
        <v>762</v>
      </c>
      <c r="C51" s="23" t="str">
        <f>IFERROR(__xludf.DUMMYFUNCTION("GOOGLETRANSLATE(B51, ""en"", ""fr"")"),"adumbral")</f>
        <v>adumbral</v>
      </c>
      <c r="D51" s="23" t="str">
        <f>IFERROR(__xludf.DUMMYFUNCTION("GOOGLETRANSLATE(B51, ""en"", ""es"")"),"adumbral")</f>
        <v>adumbral</v>
      </c>
      <c r="E51" s="23" t="str">
        <f>IFERROR(__xludf.DUMMYFUNCTION("GOOGLETRANSLATE(B51, ""en"", ""ru"")"),"Adumbral")</f>
        <v>Adumbral</v>
      </c>
      <c r="F51" s="23" t="str">
        <f>IFERROR(__xludf.DUMMYFUNCTION("GOOGLETRANSLATE(B51, ""en"", ""tr"")"),"Adumbral")</f>
        <v>Adumbral</v>
      </c>
      <c r="G51" s="23" t="str">
        <f>IFERROR(__xludf.DUMMYFUNCTION("GOOGLETRANSLATE(B51, ""en"", ""pt"")"),"Adumbral")</f>
        <v>Adumbral</v>
      </c>
      <c r="H51" s="24" t="str">
        <f>IFERROR(__xludf.DUMMYFUNCTION("GOOGLETRANSLATE(B51, ""en"", ""de"")"),"adumbral")</f>
        <v>adumbral</v>
      </c>
      <c r="I51" s="23" t="str">
        <f>IFERROR(__xludf.DUMMYFUNCTION("GOOGLETRANSLATE(B51, ""en"", ""pl"")"),"Adumbral")</f>
        <v>Adumbral</v>
      </c>
      <c r="J51" s="25" t="str">
        <f>IFERROR(__xludf.DUMMYFUNCTION("GOOGLETRANSLATE(B51, ""en"", ""zh"")"),"遮阳")</f>
        <v>遮阳</v>
      </c>
      <c r="K51" s="25" t="str">
        <f>IFERROR(__xludf.DUMMYFUNCTION("GOOGLETRANSLATE(B51, ""en"", ""vi"")"),"Adumbral")</f>
        <v>Adumbral</v>
      </c>
      <c r="L51" s="26" t="str">
        <f>IFERROR(__xludf.DUMMYFUNCTION("GOOGLETRANSLATE(B51, ""en"", ""hr"")"),"Adumbral")</f>
        <v>Adumbral</v>
      </c>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763</v>
      </c>
      <c r="B9" s="22" t="s">
        <v>764</v>
      </c>
      <c r="C9" s="23" t="str">
        <f>IFERROR(__xludf.DUMMYFUNCTION("GOOGLETRANSLATE(B9,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9" s="23" t="str">
        <f>IFERROR(__xludf.DUMMYFUNCTION("GOOGLETRANSLATE(B9, ""en"", ""es"")"),"Defensa: Reduce la cantidad de daño que toma. Aumentar sus puntos de defensa mediante el uso de determinadas prendas de vestir, pociones y encantamientos.")</f>
        <v>Defensa: Reduce la cantidad de daño que toma. Aumentar sus puntos de defensa mediante el uso de determinadas prendas de vestir, pociones y encantamientos.</v>
      </c>
      <c r="E9" s="23" t="str">
        <f>IFERROR(__xludf.DUMMYFUNCTION("GOOGLETRANSLATE(B9, ""en"", ""ru"")"),"Защита: Уменьшает количество урона, вы принимаете. Повысьте пункты обороны, используя определенные предметы одежды, микстуры и колдовство.")</f>
        <v>Защита: Уменьшает количество урона, вы принимаете. Повысьте пункты обороны, используя определенные предметы одежды, микстуры и колдовство.</v>
      </c>
      <c r="F9" s="23" t="str">
        <f>IFERROR(__xludf.DUMMYFUNCTION("GOOGLETRANSLATE(B9, ""en"", ""tr"")"),"Savunma: Çektiğiniz hasar miktarını azaltır. Belli giyim öğeleri, iksirler ve tılsımları kullanarak savunma noktaları artırın.")</f>
        <v>Savunma: Çektiğiniz hasar miktarını azaltır. Belli giyim öğeleri, iksirler ve tılsımları kullanarak savunma noktaları artırın.</v>
      </c>
      <c r="G9" s="23" t="str">
        <f>IFERROR(__xludf.DUMMYFUNCTION("GOOGLETRANSLATE(B9, ""en"", ""pt"")"),"Defesa: Reduz a quantidade de dano que você toma. Aumente os seus pontos de defesa usando certos itens de vestuário, poções e encantamentos.")</f>
        <v>Defesa: Reduz a quantidade de dano que você toma. Aumente os seus pontos de defesa usando certos itens de vestuário, poções e encantamentos.</v>
      </c>
      <c r="H9" s="24" t="str">
        <f>IFERROR(__xludf.DUMMYFUNCTION("GOOGLETRANSLATE(B9, ""en"", ""de"")"),"Verteidigung: Verringert die Menge an Schaden, die nehmen. Steigern Sie Ihre Verteidigungspunkte durch die Verwendung bestimmter Kleidungsstücke, Tränke, und Verzauberungen.")</f>
        <v>Verteidigung: Verringert die Menge an Schaden, die nehmen. Steigern Sie Ihre Verteidigungspunkte durch die Verwendung bestimmter Kleidungsstücke, Tränke, und Verzauberungen.</v>
      </c>
      <c r="I9" s="23" t="str">
        <f>IFERROR(__xludf.DUMMYFUNCTION("GOOGLETRANSLATE(B9, ""en"", ""pl"")"),"Obrona: Redukuje uszkodzenia podjąć. Podnieś swoje punkty obronne przy użyciu pewnych elementów odzieży, mikstury i zaklęcia.")</f>
        <v>Obrona: Redukuje uszkodzenia podjąć. Podnieś swoje punkty obronne przy użyciu pewnych elementów odzieży, mikstury i zaklęcia.</v>
      </c>
      <c r="J9" s="25" t="str">
        <f>IFERROR(__xludf.DUMMYFUNCTION("GOOGLETRANSLATE(B9, ""en"", ""zh"")"),"防御：减少伤害你走量。通过使用某些衣物，药水，魔法和增加你的防御点。")</f>
        <v>防御：减少伤害你走量。通过使用某些衣物，药水，魔法和增加你的防御点。</v>
      </c>
      <c r="K9" s="25" t="str">
        <f>IFERROR(__xludf.DUMMYFUNCTION("GOOGLETRANSLATE(B9, ""en"", ""vi"")"),"Quốc phòng: Giảm số tiền thiệt hại mà bạn có. Tăng điểm phòng thủ của bạn bằng cách sử dụng các mục nhất định quần áo, potions, và bùa.")</f>
        <v>Quốc phòng: Giảm số tiền thiệt hại mà bạn có. Tăng điểm phòng thủ của bạn bằng cách sử dụng các mục nhất định quần áo, potions, và bùa.</v>
      </c>
      <c r="L9" s="26" t="str">
        <f>IFERROR(__xludf.DUMMYFUNCTION("GOOGLETRANSLATE(B9, ""en"", ""hr"")"),"Obrana: Smanjuje količinu štete koju uzeti. Povećajte svoje obrambene bodove pomoću određene odjevne predmete, napitaka i vračanjem.")</f>
        <v>Obrana: Smanjuje količinu štete koju uzeti. Povećajte svoje obrambene bodove pomoću određene odjevne predmete, napitaka i vračanjem.</v>
      </c>
      <c r="M9" s="27"/>
      <c r="N9" s="28"/>
      <c r="O9" s="28"/>
      <c r="P9" s="28"/>
      <c r="Q9" s="28"/>
      <c r="R9" s="28"/>
      <c r="S9" s="28"/>
      <c r="T9" s="28"/>
      <c r="U9" s="28"/>
      <c r="V9" s="28"/>
      <c r="W9" s="28"/>
      <c r="X9" s="28"/>
      <c r="Y9" s="28"/>
      <c r="Z9" s="28"/>
      <c r="AA9" s="28"/>
      <c r="AB9" s="28"/>
    </row>
    <row r="10">
      <c r="A10" s="21" t="s">
        <v>765</v>
      </c>
      <c r="B10" s="22" t="s">
        <v>766</v>
      </c>
      <c r="C10" s="23" t="str">
        <f>IFERROR(__xludf.DUMMYFUNCTION("GOOGLETRANSLATE(B10,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10" s="23" t="str">
        <f>IFERROR(__xludf.DUMMYFUNCTION("GOOGLETRANSLATE(B10, ""en"", ""es"")"),"Puntos de vida: ¿Cuánto daño se puede tomar antes de morir. Recuperar puntos de golpe más rápido mediante el uso de ciertas pociones y hechizos.")</f>
        <v>Puntos de vida: ¿Cuánto daño se puede tomar antes de morir. Recuperar puntos de golpe más rápido mediante el uso de ciertas pociones y hechizos.</v>
      </c>
      <c r="E10" s="23" t="str">
        <f>IFERROR(__xludf.DUMMYFUNCTION("GOOGLETRANSLATE(B10, ""en"", ""ru"")"),"Hitpoints: Сколько урона вы можете принять, прежде чем умереть. Восстановление хитпоинтов быстрее, используя определенные зелья и заклинания.")</f>
        <v>Hitpoints: Сколько урона вы можете принять, прежде чем умереть. Восстановление хитпоинтов быстрее, используя определенные зелья и заклинания.</v>
      </c>
      <c r="F10" s="23" t="str">
        <f>IFERROR(__xludf.DUMMYFUNCTION("GOOGLETRANSLATE(B10, ""en"", ""tr"")"),"Hitpoints: ölmeden önce alabilir ne kadar zarar. Belirli iksirler ve büyü kullanarak daha hızlı hitpoints kurtarın.")</f>
        <v>Hitpoints: ölmeden önce alabilir ne kadar zarar. Belirli iksirler ve büyü kullanarak daha hızlı hitpoints kurtarın.</v>
      </c>
      <c r="G10" s="23" t="str">
        <f>IFERROR(__xludf.DUMMYFUNCTION("GOOGLETRANSLATE(B10, ""en"", ""pt"")"),"Hitpoints: quanto dano você pode fazer antes de morrer. Recuperar pontos de vida mais rápido usando certas poções e feitiços.")</f>
        <v>Hitpoints: quanto dano você pode fazer antes de morrer. Recuperar pontos de vida mais rápido usando certas poções e feitiços.</v>
      </c>
      <c r="H10" s="24" t="str">
        <f>IFERROR(__xludf.DUMMYFUNCTION("GOOGLETRANSLATE(B10, ""en"", ""de"")"),"Hitpoints: Wie viel Schaden Sie ergreifen können, bevor Sie sterben. Recover Hitpoints schneller durch die Verwendung bestimmter Tränke und Zauber.")</f>
        <v>Hitpoints: Wie viel Schaden Sie ergreifen können, bevor Sie sterben. Recover Hitpoints schneller durch die Verwendung bestimmter Tränke und Zauber.</v>
      </c>
      <c r="I10" s="23" t="str">
        <f>IFERROR(__xludf.DUMMYFUNCTION("GOOGLETRANSLATE(B10, ""en"", ""pl"")"),"Punkty życia: Ile szkody można zrobić przed śmiercią. Odzyskać punkty życia szybciej za pomocą pewnych mikstur i zaklęć.")</f>
        <v>Punkty życia: Ile szkody można zrobić przed śmiercią. Odzyskać punkty życia szybciej za pomocą pewnych mikstur i zaklęć.</v>
      </c>
      <c r="J10" s="25" t="str">
        <f>IFERROR(__xludf.DUMMYFUNCTION("GOOGLETRANSLATE(B10, ""en"", ""zh"")"),"生命值：造成多大的损害你死之前你可以采取。通过使用特定的药水和魔法恢复生命值更快。")</f>
        <v>生命值：造成多大的损害你死之前你可以采取。通过使用特定的药水和魔法恢复生命值更快。</v>
      </c>
      <c r="K10" s="25" t="str">
        <f>IFERROR(__xludf.DUMMYFUNCTION("GOOGLETRANSLATE(B10, ""en"", ""vi"")"),"Hitpoints: Bao nhiêu thiệt hại bạn có thể chụp trước khi bạn chết. Khôi phục hp nhanh hơn bằng cách sử dụng potions và phép thuật nhất định.")</f>
        <v>Hitpoints: Bao nhiêu thiệt hại bạn có thể chụp trước khi bạn chết. Khôi phục hp nhanh hơn bằng cách sử dụng potions và phép thuật nhất định.</v>
      </c>
      <c r="L10" s="26" t="str">
        <f>IFERROR(__xludf.DUMMYFUNCTION("GOOGLETRANSLATE(B10, ""en"", ""hr"")"),"Udarpoena: koliko štete možete poduzeti prije nego što umre. Obnova udarpoena brži pomoću određenih napitaka i čarolija.")</f>
        <v>Udarpoena: koliko štete možete poduzeti prije nego što umre. Obnova udarpoena brži pomoću određenih napitaka i čarolija.</v>
      </c>
      <c r="M10" s="27"/>
      <c r="N10" s="28"/>
      <c r="O10" s="28"/>
      <c r="P10" s="28"/>
      <c r="Q10" s="28"/>
      <c r="R10" s="28"/>
      <c r="S10" s="28"/>
      <c r="T10" s="28"/>
      <c r="U10" s="28"/>
      <c r="V10" s="28"/>
      <c r="W10" s="28"/>
      <c r="X10" s="28"/>
      <c r="Y10" s="28"/>
      <c r="Z10" s="28"/>
      <c r="AA10" s="28"/>
      <c r="AB10" s="28"/>
    </row>
    <row r="11">
      <c r="A11" s="21" t="s">
        <v>767</v>
      </c>
      <c r="B11" s="22" t="s">
        <v>768</v>
      </c>
      <c r="C11" s="23" t="str">
        <f>IFERROR(__xludf.DUMMYFUNCTION("GOOGLETRANSLATE(B11,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11" s="23" t="str">
        <f>IFERROR(__xludf.DUMMYFUNCTION("GOOGLETRANSLATE(B11, ""en"", ""es"")"),"Energía: Se utiliza para hacer la mayoría de las acciones. Poco a poco se regenera. Recuperar energía más rápido por beber pociones de energía.")</f>
        <v>Energía: Se utiliza para hacer la mayoría de las acciones. Poco a poco se regenera. Recuperar energía más rápido por beber pociones de energía.</v>
      </c>
      <c r="E11" s="23" t="str">
        <f>IFERROR(__xludf.DUMMYFUNCTION("GOOGLETRANSLATE(B11, ""en"", ""ru"")"),"Энергия: Используется, чтобы сделать большинство действий. Медленно регенерирует. Восстановление энергии быстрее, выпив энергии зелий.")</f>
        <v>Энергия: Используется, чтобы сделать большинство действий. Медленно регенерирует. Восстановление энергии быстрее, выпив энергии зелий.</v>
      </c>
      <c r="F11" s="23" t="str">
        <f>IFERROR(__xludf.DUMMYFUNCTION("GOOGLETRANSLATE(B11, ""en"", ""tr"")"),"Enerji: En eylemleri yapmak için kullanılır. Yavaşça yeniden oluşturur. enerji iksirleri içerek daha hızlı enerji kurtarın.")</f>
        <v>Enerji: En eylemleri yapmak için kullanılır. Yavaşça yeniden oluşturur. enerji iksirleri içerek daha hızlı enerji kurtarın.</v>
      </c>
      <c r="G11" s="23" t="str">
        <f>IFERROR(__xludf.DUMMYFUNCTION("GOOGLETRANSLATE(B11, ""en"", ""pt"")"),"Energia: Usado para fazer a maioria das ações. Lentamente regenera. Recuperar energia mais rapidamente por beber poções de energia.")</f>
        <v>Energia: Usado para fazer a maioria das ações. Lentamente regenera. Recuperar energia mais rapidamente por beber poções de energia.</v>
      </c>
      <c r="H11" s="24" t="str">
        <f>IFERROR(__xludf.DUMMYFUNCTION("GOOGLETRANSLATE(B11, ""en"", ""de"")"),"Energie: Gebrauchte meisten Aktionen zu tun. Langsam regeneriert. Recover Energie schneller durch Energie Tränke zu trinken.")</f>
        <v>Energie: Gebrauchte meisten Aktionen zu tun. Langsam regeneriert. Recover Energie schneller durch Energie Tränke zu trinken.</v>
      </c>
      <c r="I11" s="23" t="str">
        <f>IFERROR(__xludf.DUMMYFUNCTION("GOOGLETRANSLATE(B11, ""en"", ""pl"")"),"Energia: Używany zrobić większość czynności. Powoli regeneruje. Odzyskać energię szybciej pijąc eliksiry energii.")</f>
        <v>Energia: Używany zrobić większość czynności. Powoli regeneruje. Odzyskać energię szybciej pijąc eliksiry energii.</v>
      </c>
      <c r="J11" s="25" t="str">
        <f>IFERROR(__xludf.DUMMYFUNCTION("GOOGLETRANSLATE(B11, ""en"", ""zh"")"),"能源：用来做大多数操作。慢慢地再生。饮用能量药水回收能量更快。")</f>
        <v>能源：用来做大多数操作。慢慢地再生。饮用能量药水回收能量更快。</v>
      </c>
      <c r="K11" s="25" t="str">
        <f>IFERROR(__xludf.DUMMYFUNCTION("GOOGLETRANSLATE(B11, ""en"", ""vi"")"),"Năng lượng: Dùng để làm hầu hết các hành động. Dần dần tái sinh. Phục hồi năng lượng nhanh hơn bằng cách uống potions năng lượng.")</f>
        <v>Năng lượng: Dùng để làm hầu hết các hành động. Dần dần tái sinh. Phục hồi năng lượng nhanh hơn bằng cách uống potions năng lượng.</v>
      </c>
      <c r="L11" s="26" t="str">
        <f>IFERROR(__xludf.DUMMYFUNCTION("GOOGLETRANSLATE(B11, ""en"", ""hr"")"),"Energija: Koristi se za to najviše akcije. Polako regenerira. Obnova energije brže pije energetske napitke.")</f>
        <v>Energija: Koristi se za to najviše akcije. Polako regenerira. Obnova energije brže pije energetske napitke.</v>
      </c>
      <c r="M11" s="27"/>
      <c r="N11" s="28"/>
      <c r="O11" s="28"/>
      <c r="P11" s="28"/>
      <c r="Q11" s="28"/>
      <c r="R11" s="28"/>
      <c r="S11" s="28"/>
      <c r="T11" s="28"/>
      <c r="U11" s="28"/>
      <c r="V11" s="28"/>
      <c r="W11" s="28"/>
      <c r="X11" s="28"/>
      <c r="Y11" s="28"/>
      <c r="Z11" s="28"/>
      <c r="AA11" s="28"/>
      <c r="AB11" s="28"/>
    </row>
    <row r="12">
      <c r="A12" s="21" t="s">
        <v>769</v>
      </c>
      <c r="B12" s="22" t="s">
        <v>770</v>
      </c>
      <c r="C12" s="23" t="str">
        <f>IFERROR(__xludf.DUMMYFUNCTION("GOOGLETRANSLATE(B12, ""en"", ""fr"")"),"Combat: Vous perdrez vos articles si vous fermez le jeu en combat.")</f>
        <v>Combat: Vous perdrez vos articles si vous fermez le jeu en combat.</v>
      </c>
      <c r="D12" s="23" t="str">
        <f>IFERROR(__xludf.DUMMYFUNCTION("GOOGLETRANSLATE(B12, ""en"", ""es"")"),"Combate: Usted perderá sus artículos si se cierra el juego, mientras que en combate.")</f>
        <v>Combate: Usted perderá sus artículos si se cierra el juego, mientras que en combate.</v>
      </c>
      <c r="E12" s="23" t="str">
        <f>IFERROR(__xludf.DUMMYFUNCTION("GOOGLETRANSLATE(B12, ""en"", ""ru"")"),"Combat: Вы потеряете ваши вопросы, если вы закроете игру в то время как в бою.")</f>
        <v>Combat: Вы потеряете ваши вопросы, если вы закроете игру в то время как в бою.</v>
      </c>
      <c r="F12" s="23" t="str">
        <f>IFERROR(__xludf.DUMMYFUNCTION("GOOGLETRANSLATE(B12, ""en"", ""tr"")"),"Combat: Bir savaşta iken oyunu kapatmak eğer öğeleri kaybeder.")</f>
        <v>Combat: Bir savaşta iken oyunu kapatmak eğer öğeleri kaybeder.</v>
      </c>
      <c r="G12" s="23" t="str">
        <f>IFERROR(__xludf.DUMMYFUNCTION("GOOGLETRANSLATE(B12, ""en"", ""pt"")"),"Combat: Você vai perder seus itens, se você fechar o jogo, enquanto em combate.")</f>
        <v>Combat: Você vai perder seus itens, se você fechar o jogo, enquanto em combate.</v>
      </c>
      <c r="H12" s="24" t="str">
        <f>IFERROR(__xludf.DUMMYFUNCTION("GOOGLETRANSLATE(B12, ""en"", ""de"")"),"Combat: Sie Ihre Einzelteile verlieren, wenn Sie das Spiel im Kampf schließen.")</f>
        <v>Combat: Sie Ihre Einzelteile verlieren, wenn Sie das Spiel im Kampf schließen.</v>
      </c>
      <c r="I12" s="23" t="str">
        <f>IFERROR(__xludf.DUMMYFUNCTION("GOOGLETRANSLATE(B12, ""en"", ""pl"")"),"Walka: Stracisz swoje pozycje po zamknięciu gry podczas walki.")</f>
        <v>Walka: Stracisz swoje pozycje po zamknięciu gry podczas walki.</v>
      </c>
      <c r="J12" s="25" t="str">
        <f>IFERROR(__xludf.DUMMYFUNCTION("GOOGLETRANSLATE(B12, ""en"", ""zh"")"),"战斗：你会失去你的项目，如果你在战斗中关闭该游戏的同时。")</f>
        <v>战斗：你会失去你的项目，如果你在战斗中关闭该游戏的同时。</v>
      </c>
      <c r="K12" s="25" t="str">
        <f>IFERROR(__xludf.DUMMYFUNCTION("GOOGLETRANSLATE(B12, ""en"", ""vi"")"),"Combat: Bạn sẽ mất các mục của bạn nếu bạn đóng các trò chơi trong khi chiến đấu.")</f>
        <v>Combat: Bạn sẽ mất các mục của bạn nếu bạn đóng các trò chơi trong khi chiến đấu.</v>
      </c>
      <c r="L12" s="26" t="str">
        <f>IFERROR(__xludf.DUMMYFUNCTION("GOOGLETRANSLATE(B12, ""en"", ""hr"")"),"Borilački: Izgubit ćete stavke ako zatvorite igru, dok je u borbi.")</f>
        <v>Borilački: Izgubit ćete stavke ako zatvorite igru, dok je u borbi.</v>
      </c>
      <c r="M12" s="28"/>
      <c r="N12" s="28"/>
      <c r="O12" s="28"/>
      <c r="P12" s="28"/>
      <c r="Q12" s="28"/>
      <c r="R12" s="28"/>
      <c r="S12" s="28"/>
      <c r="T12" s="28"/>
      <c r="U12" s="28"/>
      <c r="V12" s="28"/>
      <c r="W12" s="28"/>
      <c r="X12" s="28"/>
      <c r="Y12" s="28"/>
      <c r="Z12" s="28"/>
      <c r="AA12" s="28"/>
      <c r="AB12" s="28"/>
    </row>
    <row r="13">
      <c r="A13" s="21" t="s">
        <v>771</v>
      </c>
      <c r="B13" s="22" t="s">
        <v>772</v>
      </c>
      <c r="C13" s="23" t="str">
        <f>IFERROR(__xludf.DUMMYFUNCTION("GOOGLETRANSLATE(B13,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13" s="23" t="str">
        <f>IFERROR(__xludf.DUMMYFUNCTION("GOOGLETRANSLATE(B13, ""en"", ""es"")"),"Gloria: Su puntuación, que se utiliza para entrar en mazmorras más difíciles. Se obtiene la gloria de hacer la mayoría de las cosas, como completando misiones, matando monstruos y otros jugadores, la recolección, la elaboración y mazmorras de compensación"&amp;".")</f>
        <v>Gloria: Su puntuación, que se utiliza para entrar en mazmorras más difíciles. Se obtiene la gloria de hacer la mayoría de las cosas, como completando misiones, matando monstruos y otros jugadores, la recolección, la elaboración y mazmorras de compensación.</v>
      </c>
      <c r="E13" s="23" t="str">
        <f>IFERROR(__xludf.DUMMYFUNCTION("GOOGLETRANSLATE(B13, ""en"", ""ru"")"),"Слава: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f>
        <v>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v>
      </c>
      <c r="F13" s="23" t="str">
        <f>IFERROR(__xludf.DUMMYFUNCTION("GOOGLETRANSLATE(B13, ""en"", ""tr"")"),"Glory: sert zindanları girmek için kullanılır Puanınız. Böyle, Görevleri tamamlayarak canavarlar ve diğer oyuncular öldürülmesi, toplama, işçiliği ve takas zindan gibi çoğu şeyi, yapmaktan ünlü olunca.")</f>
        <v>Glory: sert zindanları girmek için kullanılır Puanınız. Böyle, Görevleri tamamlayarak canavarlar ve diğer oyuncular öldürülmesi, toplama, işçiliği ve takas zindan gibi çoğu şeyi, yapmaktan ünlü olunca.</v>
      </c>
      <c r="G13" s="23" t="str">
        <f>IFERROR(__xludf.DUMMYFUNCTION("GOOGLETRANSLATE(B13, ""en"", ""pt"")"),"Glória: Sua pontuação, usado para entrar masmorras mais difíceis. Você começa a glória de fazer a maioria das coisas, como completando missões, matando monstros e outros jogadores, reunindo, artesanato, e masmorras de compensação.")</f>
        <v>Glória: Sua pontuação, usado para entrar masmorras mais difíceis. Você começa a glória de fazer a maioria das coisas, como completando missões, matando monstros e outros jogadores, reunindo, artesanato, e masmorras de compensação.</v>
      </c>
      <c r="H13" s="24" t="str">
        <f>IFERROR(__xludf.DUMMYFUNCTION("GOOGLETRANSLATE(B13, ""en"", ""de"")"),"Ruhm: Ihre Punktzahl, verwendet, um härtere Dungeons zu betreten. Sie erhalten Ruhm von den meisten Dinge zu tun, wie Quests, Monster und andere Spieler, das Sammeln von Töten, Handwerk und Clearing-Dungeons.")</f>
        <v>Ruhm: Ihre Punktzahl, verwendet, um härtere Dungeons zu betreten. Sie erhalten Ruhm von den meisten Dinge zu tun, wie Quests, Monster und andere Spieler, das Sammeln von Töten, Handwerk und Clearing-Dungeons.</v>
      </c>
      <c r="I13" s="23" t="str">
        <f>IFERROR(__xludf.DUMMYFUNCTION("GOOGLETRANSLATE(B13, ""en"", ""pl"")"),"Glory: Twój wynik, służy do wprowadzania twardsze lochy. Otrzymasz chwałę od robi większość rzeczy, takie jak ukończenie zadań, zabijanie potworów i innych graczy, gromadzenie, rzemiosła, a lochy rozliczeniowe.")</f>
        <v>Glory: Twój wynik, służy do wprowadzania twardsze lochy. Otrzymasz chwałę od robi większość rzeczy, takie jak ukończenie zadań, zabijanie potworów i innych graczy, gromadzenie, rzemiosła, a lochy rozliczeniowe.</v>
      </c>
      <c r="J13" s="25" t="str">
        <f>IFERROR(__xludf.DUMMYFUNCTION("GOOGLETRANSLATE(B13, ""en"", ""zh"")"),"荣耀：你的分数，用来输入困难的地牢。你做的大多数事情，比如完成任务，杀死怪物和其他玩家，收集，手工制作，结算地牢得到荣耀。")</f>
        <v>荣耀：你的分数，用来输入困难的地牢。你做的大多数事情，比如完成任务，杀死怪物和其他玩家，收集，手工制作，结算地牢得到荣耀。</v>
      </c>
      <c r="K13" s="25" t="str">
        <f>IFERROR(__xludf.DUMMYFUNCTION("GOOGLETRANSLATE(B13, ""en"", ""vi"")"),"Glory: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f>
        <v>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v>
      </c>
      <c r="L13" s="26" t="str">
        <f>IFERROR(__xludf.DUMMYFUNCTION("GOOGLETRANSLATE(B13, ""en"", ""hr"")"),"Slava: Vaš rezultat, a koristi se za ulazak teže tamnice. Dobivate slava radi većinu stvari, kao što dovršavajući zadatke, ubijajući čudovišta i ostale igrače, prikupljanje, lukavost i prijeboja tamnice.")</f>
        <v>Slava: Vaš rezultat, a koristi se za ulazak teže tamnice. Dobivate slava radi većinu stvari, kao što dovršavajući zadatke, ubijajući čudovišta i ostale igrače, prikupljanje, lukavost i prijeboja tamnice.</v>
      </c>
      <c r="M13" s="28"/>
      <c r="N13" s="28"/>
      <c r="O13" s="28"/>
      <c r="P13" s="28"/>
      <c r="Q13" s="28"/>
      <c r="R13" s="28"/>
      <c r="S13" s="28"/>
      <c r="T13" s="28"/>
      <c r="U13" s="28"/>
      <c r="V13" s="28"/>
      <c r="W13" s="28"/>
      <c r="X13" s="28"/>
      <c r="Y13" s="28"/>
      <c r="Z13" s="28"/>
      <c r="AA13" s="28"/>
      <c r="AB13" s="28"/>
    </row>
    <row r="14">
      <c r="A14" s="21" t="s">
        <v>773</v>
      </c>
      <c r="B14" s="22" t="s">
        <v>774</v>
      </c>
      <c r="C14" s="23" t="str">
        <f>IFERROR(__xludf.DUMMYFUNCTION("GOOGLETRANSLATE(B14, ""en"", ""fr"")"),"Mêlée")</f>
        <v>Mêlée</v>
      </c>
      <c r="D14" s="23" t="str">
        <f>IFERROR(__xludf.DUMMYFUNCTION("GOOGLETRANSLATE(B14, ""en"", ""es"")"),"Pelea confusa")</f>
        <v>Pelea confusa</v>
      </c>
      <c r="E14" s="23" t="str">
        <f>IFERROR(__xludf.DUMMYFUNCTION("GOOGLETRANSLATE(B14, ""en"", ""ru"")"),"рукопашная")</f>
        <v>рукопашная</v>
      </c>
      <c r="F14" s="23" t="str">
        <f>IFERROR(__xludf.DUMMYFUNCTION("GOOGLETRANSLATE(B14, ""en"", ""tr"")"),"meydan kavgası")</f>
        <v>meydan kavgası</v>
      </c>
      <c r="G14" s="23" t="str">
        <f>IFERROR(__xludf.DUMMYFUNCTION("GOOGLETRANSLATE(B14, ""en"", ""pt"")"),"refrega")</f>
        <v>refrega</v>
      </c>
      <c r="H14" s="24" t="str">
        <f>IFERROR(__xludf.DUMMYFUNCTION("GOOGLETRANSLATE(B14, ""en"", ""de"")"),"Handgemenge")</f>
        <v>Handgemenge</v>
      </c>
      <c r="I14" s="23" t="str">
        <f>IFERROR(__xludf.DUMMYFUNCTION("GOOGLETRANSLATE(B14, ""en"", ""pl"")"),"Bijatyka")</f>
        <v>Bijatyka</v>
      </c>
      <c r="J14" s="25" t="str">
        <f>IFERROR(__xludf.DUMMYFUNCTION("GOOGLETRANSLATE(B14, ""en"", ""zh"")"),"乱斗")</f>
        <v>乱斗</v>
      </c>
      <c r="K14" s="25" t="str">
        <f>IFERROR(__xludf.DUMMYFUNCTION("GOOGLETRANSLATE(B14, ""en"", ""vi"")"),"melee")</f>
        <v>melee</v>
      </c>
      <c r="L14" s="26" t="str">
        <f>IFERROR(__xludf.DUMMYFUNCTION("GOOGLETRANSLATE(B14, ""en"", ""hr"")"),"Gužva")</f>
        <v>Gužva</v>
      </c>
      <c r="M14" s="28"/>
      <c r="N14" s="28"/>
      <c r="O14" s="28"/>
      <c r="P14" s="28"/>
      <c r="Q14" s="28"/>
      <c r="R14" s="28"/>
      <c r="S14" s="28"/>
      <c r="T14" s="28"/>
      <c r="U14" s="28"/>
      <c r="V14" s="28"/>
      <c r="W14" s="28"/>
      <c r="X14" s="28"/>
      <c r="Y14" s="28"/>
      <c r="Z14" s="28"/>
      <c r="AA14" s="28"/>
      <c r="AB14" s="28"/>
    </row>
    <row r="15">
      <c r="A15" s="21" t="s">
        <v>775</v>
      </c>
      <c r="B15" s="22" t="s">
        <v>776</v>
      </c>
      <c r="C15" s="23" t="str">
        <f>IFERROR(__xludf.DUMMYFUNCTION("GOOGLETRANSLATE(B15,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15" s="23" t="str">
        <f>IFERROR(__xludf.DUMMYFUNCTION("GOOGLETRANSLATE(B15, ""en"", ""es"")"),"Su eficacia con armas cuerpo a cuerpo. Reduce la cantidad de durabilidad pierden armas cuerpo a cuerpo cuando se utiliza. Mejorar mediante el uso de las armas de alcance cercanos tales como espadas, dagas y martillos.")</f>
        <v>Su eficacia con armas cuerpo a cuerpo. Reduce la cantidad de durabilidad pierden armas cuerpo a cuerpo cuando se utiliza. Mejorar mediante el uso de las armas de alcance cercanos tales como espadas, dagas y martillos.</v>
      </c>
      <c r="E15" s="23" t="str">
        <f>IFERROR(__xludf.DUMMYFUNCTION("GOOGLETRANSLATE(B15, ""en"", ""ru"")"),"Ваша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f>
        <v>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v>
      </c>
      <c r="F15" s="23" t="str">
        <f>IFERROR(__xludf.DUMMYFUNCTION("GOOGLETRANSLATE(B15, ""en"", ""tr"")"),"yakın dövüş silahları ile etkinliği. kullanıldığında yakın dövüş silahları kaybetmek ne kadar dayanıklılık azaltır. Böyle kılıç, kama ve çekiç gibi yakın mesafeden silahlar kullanarak geliştirin.")</f>
        <v>yakın dövüş silahları ile etkinliği. kullanıldığında yakın dövüş silahları kaybetmek ne kadar dayanıklılık azaltır. Böyle kılıç, kama ve çekiç gibi yakın mesafeden silahlar kullanarak geliştirin.</v>
      </c>
      <c r="G15" s="23" t="str">
        <f>IFERROR(__xludf.DUMMYFUNCTION("GOOGLETRANSLATE(B15, ""en"", ""pt"")"),"Sua eficácia com armas brancas. Reduz a quantidade de durabilidade armas brancas perder quando usado. Melhorar usando armas de curta distância, tais como espadas, punhais e martelos.")</f>
        <v>Sua eficácia com armas brancas. Reduz a quantidade de durabilidade armas brancas perder quando usado. Melhorar usando armas de curta distância, tais como espadas, punhais e martelos.</v>
      </c>
      <c r="H15" s="24" t="str">
        <f>IFERROR(__xludf.DUMMYFUNCTION("GOOGLETRANSLATE(B15, ""en"", ""de"")"),"Ihre Wirksamkeit mit Nahkampfwaffen. Verringert wie viel Haltbarkeit Nahkampfwaffen bei der Verwendung verlieren. Verbessere Nahbereich Waffen wie Schwerter, Dolche und Hämmer.")</f>
        <v>Ihre Wirksamkeit mit Nahkampfwaffen. Verringert wie viel Haltbarkeit Nahkampfwaffen bei der Verwendung verlieren. Verbessere Nahbereich Waffen wie Schwerter, Dolche und Hämmer.</v>
      </c>
      <c r="I15" s="23" t="str">
        <f>IFERROR(__xludf.DUMMYFUNCTION("GOOGLETRANSLATE(B15, ""en"", ""pl"")"),"Swoją skuteczność z białej broni. Zmniejsza ile trwałość broni białej stracić podczas eksploatacji. Poprawić stosując bliskie broni zasięgu, takich jak miecze, sztylety i młoty.")</f>
        <v>Swoją skuteczność z białej broni. Zmniejsza ile trwałość broni białej stracić podczas eksploatacji. Poprawić stosując bliskie broni zasięgu, takich jak miecze, sztylety i młoty.</v>
      </c>
      <c r="J15" s="25" t="str">
        <f>IFERROR(__xludf.DUMMYFUNCTION("GOOGLETRANSLATE(B15, ""en"", ""zh"")"),"你的近战武器的有效性。减少使用时的近战武器有多少耐久性损失。通过使用近距离武器，如剑，匕首和锤子改善。")</f>
        <v>你的近战武器的有效性。减少使用时的近战武器有多少耐久性损失。通过使用近距离武器，如剑，匕首和锤子改善。</v>
      </c>
      <c r="K15" s="25" t="str">
        <f>IFERROR(__xludf.DUMMYFUNCTION("GOOGLETRANSLATE(B15, ""en"", ""vi"")"),"hiệu quả của bạn với vũ khí cận chiến. Giảm bao nhiêu độ bền vũ khí melee mất khi sử dụng. Cải thiện bằng cách sử dụng vũ khí tầm gần như kiếm, dao găm và búa.")</f>
        <v>hiệu quả của bạn với vũ khí cận chiến. Giảm bao nhiêu độ bền vũ khí melee mất khi sử dụng. Cải thiện bằng cách sử dụng vũ khí tầm gần như kiếm, dao găm và búa.</v>
      </c>
      <c r="L15" s="26" t="str">
        <f>IFERROR(__xludf.DUMMYFUNCTION("GOOGLETRANSLATE(B15, ""en"", ""hr"")"),"Vaš učinkovitost sa melee oružja. Smanjuje koliko trajnost gužva oružje gube kada se koristi. Poboljšanje pomoću blizine oružja, kao što su mačevi, bodeži i čekićima.")</f>
        <v>Vaš učinkovitost sa melee oružja. Smanjuje koliko trajnost gužva oružje gube kada se koristi. Poboljšanje pomoću blizine oružja, kao što su mačevi, bodeži i čekićima.</v>
      </c>
      <c r="M15" s="28"/>
      <c r="N15" s="28"/>
      <c r="O15" s="28"/>
      <c r="P15" s="28"/>
      <c r="Q15" s="28"/>
      <c r="R15" s="28"/>
      <c r="S15" s="28"/>
      <c r="T15" s="28"/>
      <c r="U15" s="28"/>
      <c r="V15" s="28"/>
      <c r="W15" s="28"/>
      <c r="X15" s="28"/>
      <c r="Y15" s="28"/>
      <c r="Z15" s="28"/>
      <c r="AA15" s="28"/>
      <c r="AB15" s="28"/>
    </row>
    <row r="16">
      <c r="A16" s="21" t="s">
        <v>777</v>
      </c>
      <c r="B16" s="22" t="s">
        <v>778</v>
      </c>
      <c r="C16" s="23" t="str">
        <f>IFERROR(__xludf.DUMMYFUNCTION("GOOGLETRANSLATE(B16, ""en"", ""fr"")"),"Combat à distance")</f>
        <v>Combat à distance</v>
      </c>
      <c r="D16" s="23" t="str">
        <f>IFERROR(__xludf.DUMMYFUNCTION("GOOGLETRANSLATE(B16, ""en"", ""es"")"),"A distancia")</f>
        <v>A distancia</v>
      </c>
      <c r="E16" s="23" t="str">
        <f>IFERROR(__xludf.DUMMYFUNCTION("GOOGLETRANSLATE(B16, ""en"", ""ru"")"),"Дальний бой")</f>
        <v>Дальний бой</v>
      </c>
      <c r="F16" s="23" t="str">
        <f>IFERROR(__xludf.DUMMYFUNCTION("GOOGLETRANSLATE(B16, ""en"", ""tr"")"),"Dönüşümlü")</f>
        <v>Dönüşümlü</v>
      </c>
      <c r="G16" s="23" t="str">
        <f>IFERROR(__xludf.DUMMYFUNCTION("GOOGLETRANSLATE(B16, ""en"", ""pt"")"),"variaram")</f>
        <v>variaram</v>
      </c>
      <c r="H16" s="24" t="str">
        <f>IFERROR(__xludf.DUMMYFUNCTION("GOOGLETRANSLATE(B16, ""en"", ""de"")"),"Ranged")</f>
        <v>Ranged</v>
      </c>
      <c r="I16" s="23" t="str">
        <f>IFERROR(__xludf.DUMMYFUNCTION("GOOGLETRANSLATE(B16, ""en"", ""pl"")"),"wahały")</f>
        <v>wahały</v>
      </c>
      <c r="J16" s="25" t="str">
        <f>IFERROR(__xludf.DUMMYFUNCTION("GOOGLETRANSLATE(B16, ""en"", ""zh"")"),"远程")</f>
        <v>远程</v>
      </c>
      <c r="K16" s="25" t="str">
        <f>IFERROR(__xludf.DUMMYFUNCTION("GOOGLETRANSLATE(B16, ""en"", ""vi"")"),"dao động")</f>
        <v>dao động</v>
      </c>
      <c r="L16" s="26" t="str">
        <f>IFERROR(__xludf.DUMMYFUNCTION("GOOGLETRANSLATE(B16, ""en"", ""hr"")"),"Višednevni")</f>
        <v>Višednevni</v>
      </c>
      <c r="M16" s="28"/>
      <c r="N16" s="28"/>
      <c r="O16" s="28"/>
      <c r="P16" s="28"/>
      <c r="Q16" s="28"/>
      <c r="R16" s="28"/>
      <c r="S16" s="28"/>
      <c r="T16" s="28"/>
      <c r="U16" s="28"/>
      <c r="V16" s="28"/>
      <c r="W16" s="28"/>
      <c r="X16" s="28"/>
      <c r="Y16" s="28"/>
      <c r="Z16" s="28"/>
      <c r="AA16" s="28"/>
      <c r="AB16" s="28"/>
    </row>
    <row r="17">
      <c r="A17" s="21" t="s">
        <v>779</v>
      </c>
      <c r="B17" s="22" t="s">
        <v>780</v>
      </c>
      <c r="C17" s="23" t="str">
        <f>IFERROR(__xludf.DUMMYFUNCTION("GOOGLETRANSLATE(B17,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17" s="23" t="str">
        <f>IFERROR(__xludf.DUMMYFUNCTION("GOOGLETRANSLATE(B17, ""en"", ""es"")"),"Su eficacia con armas a distancia. Reduce la cantidad de durabilidad armas a distancia pierden cuando se utiliza. Mejorar mediante el uso de armas de largo alcance, tales como arcos y shurikens.")</f>
        <v>Su eficacia con armas a distancia. Reduce la cantidad de durabilidad armas a distancia pierden cuando se utiliza. Mejorar mediante el uso de armas de largo alcance, tales como arcos y shurikens.</v>
      </c>
      <c r="E17" s="23" t="str">
        <f>IFERROR(__xludf.DUMMYFUNCTION("GOOGLETRANSLATE(B17, ""en"", ""ru"")"),"Ваша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f>
        <v>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v>
      </c>
      <c r="F17" s="23" t="str">
        <f>IFERROR(__xludf.DUMMYFUNCTION("GOOGLETRANSLATE(B17, ""en"", ""tr"")"),"menzilli silahlar ile olan etkinliği. çok dayanıklılık kullanıldığında silahlar kaybetmek değişmekteydi nasıl azaltır. Böyle yay ve shurikens olarak uzun menzilli silahlar kullanarak geliştirin.")</f>
        <v>menzilli silahlar ile olan etkinliği. çok dayanıklılık kullanıldığında silahlar kaybetmek değişmekteydi nasıl azaltır. Böyle yay ve shurikens olarak uzun menzilli silahlar kullanarak geliştirin.</v>
      </c>
      <c r="G17" s="23" t="str">
        <f>IFERROR(__xludf.DUMMYFUNCTION("GOOGLETRANSLATE(B17, ""en"", ""pt"")"),"Sua eficácia com armas de longo alcance. Reduz a quantidade de durabilidade variou armas perder quando usado. Melhorar usando armas de longo alcance, como arcos e shurikens.")</f>
        <v>Sua eficácia com armas de longo alcance. Reduz a quantidade de durabilidade variou armas perder quando usado. Melhorar usando armas de longo alcance, como arcos e shurikens.</v>
      </c>
      <c r="H17" s="24" t="str">
        <f>IFERROR(__xludf.DUMMYFUNCTION("GOOGLETRANSLATE(B17, ""en"", ""de"")"),"Ihre Wirksamkeit mit Distanzwaffen. Verringert wie viel Haltbarkeit Distanzwaffen bei der Verwendung verlieren. Verbesserung von Langstreckenwaffen wie Bögen und Shuriken verwenden.")</f>
        <v>Ihre Wirksamkeit mit Distanzwaffen. Verringert wie viel Haltbarkeit Distanzwaffen bei der Verwendung verlieren. Verbesserung von Langstreckenwaffen wie Bögen und Shuriken verwenden.</v>
      </c>
      <c r="I17" s="23" t="str">
        <f>IFERROR(__xludf.DUMMYFUNCTION("GOOGLETRANSLATE(B17, ""en"", ""pl"")"),"Swoją skuteczność z broni dystansowej. Zmniejsza ile trwałość broni dystansowych stracić podczas eksploatacji. Poprawić stosując długie bronie zasięgu, takie jak łuki i shurikens.")</f>
        <v>Swoją skuteczność z broni dystansowej. Zmniejsza ile trwałość broni dystansowych stracić podczas eksploatacji. Poprawić stosując długie bronie zasięgu, takie jak łuki i shurikens.</v>
      </c>
      <c r="J17" s="25" t="str">
        <f>IFERROR(__xludf.DUMMYFUNCTION("GOOGLETRANSLATE(B17, ""en"", ""zh"")"),"你用远程武器的有效性。减少多少耐久性如何使用远程武器时丢失。通过使用远程武器如弓箭和shurikens改善。")</f>
        <v>你用远程武器的有效性。减少多少耐久性如何使用远程武器时丢失。通过使用远程武器如弓箭和shurikens改善。</v>
      </c>
      <c r="K17" s="25" t="str">
        <f>IFERROR(__xludf.DUMMYFUNCTION("GOOGLETRANSLATE(B17, ""en"", ""vi"")"),"hiệu quả của bạn với vũ khí tầm xa. Giảm bao nhiêu độ bền dao động vũ khí bị mất khi sử dụng. Cải thiện bằng cách sử dụng vũ khí tầm xa như cung và shurikens.")</f>
        <v>hiệu quả của bạn với vũ khí tầm xa. Giảm bao nhiêu độ bền dao động vũ khí bị mất khi sử dụng. Cải thiện bằng cách sử dụng vũ khí tầm xa như cung và shurikens.</v>
      </c>
      <c r="L17" s="26" t="str">
        <f>IFERROR(__xludf.DUMMYFUNCTION("GOOGLETRANSLATE(B17, ""en"", ""hr"")"),"Vaš učinkovitost s streljačko oružje. Smanjuje koliko trajnost kretala oružja izgubiti ako se koristi. Poboljšanje pomoću dalekometni oružja kao što su mašne i shurikens.")</f>
        <v>Vaš učinkovitost s streljačko oružje. Smanjuje koliko trajnost kretala oružja izgubiti ako se koristi. Poboljšanje pomoću dalekometni oružja kao što su mašne i shurikens.</v>
      </c>
      <c r="M17" s="28"/>
      <c r="N17" s="28"/>
      <c r="O17" s="28"/>
      <c r="P17" s="28"/>
      <c r="Q17" s="28"/>
      <c r="R17" s="28"/>
      <c r="S17" s="28"/>
      <c r="T17" s="28"/>
      <c r="U17" s="28"/>
      <c r="V17" s="28"/>
      <c r="W17" s="28"/>
      <c r="X17" s="28"/>
      <c r="Y17" s="28"/>
      <c r="Z17" s="28"/>
      <c r="AA17" s="28"/>
      <c r="AB17" s="28"/>
    </row>
    <row r="18">
      <c r="A18" s="21" t="s">
        <v>781</v>
      </c>
      <c r="B18" s="22" t="s">
        <v>782</v>
      </c>
      <c r="C18" s="23" t="str">
        <f>IFERROR(__xludf.DUMMYFUNCTION("GOOGLETRANSLATE(B18, ""en"", ""fr"")"),"la magie")</f>
        <v>la magie</v>
      </c>
      <c r="D18" s="23" t="str">
        <f>IFERROR(__xludf.DUMMYFUNCTION("GOOGLETRANSLATE(B18, ""en"", ""es"")"),"magia")</f>
        <v>magia</v>
      </c>
      <c r="E18" s="23" t="str">
        <f>IFERROR(__xludf.DUMMYFUNCTION("GOOGLETRANSLATE(B18, ""en"", ""ru"")"),"магия")</f>
        <v>магия</v>
      </c>
      <c r="F18" s="23" t="str">
        <f>IFERROR(__xludf.DUMMYFUNCTION("GOOGLETRANSLATE(B18, ""en"", ""tr"")"),"sihirli")</f>
        <v>sihirli</v>
      </c>
      <c r="G18" s="23" t="str">
        <f>IFERROR(__xludf.DUMMYFUNCTION("GOOGLETRANSLATE(B18, ""en"", ""pt"")"),"Magia")</f>
        <v>Magia</v>
      </c>
      <c r="H18" s="24" t="str">
        <f>IFERROR(__xludf.DUMMYFUNCTION("GOOGLETRANSLATE(B18, ""en"", ""de"")"),"Magie")</f>
        <v>Magie</v>
      </c>
      <c r="I18" s="23" t="str">
        <f>IFERROR(__xludf.DUMMYFUNCTION("GOOGLETRANSLATE(B18, ""en"", ""pl"")"),"magia")</f>
        <v>magia</v>
      </c>
      <c r="J18" s="25" t="str">
        <f>IFERROR(__xludf.DUMMYFUNCTION("GOOGLETRANSLATE(B18, ""en"", ""zh"")"),"魔法")</f>
        <v>魔法</v>
      </c>
      <c r="K18" s="25" t="str">
        <f>IFERROR(__xludf.DUMMYFUNCTION("GOOGLETRANSLATE(B18, ""en"", ""vi"")"),"ma thuật")</f>
        <v>ma thuật</v>
      </c>
      <c r="L18" s="26" t="str">
        <f>IFERROR(__xludf.DUMMYFUNCTION("GOOGLETRANSLATE(B18, ""en"", ""hr"")"),"magija")</f>
        <v>magija</v>
      </c>
      <c r="M18" s="28"/>
      <c r="N18" s="28"/>
      <c r="O18" s="28"/>
      <c r="P18" s="28"/>
      <c r="Q18" s="28"/>
      <c r="R18" s="28"/>
      <c r="S18" s="28"/>
      <c r="T18" s="28"/>
      <c r="U18" s="28"/>
      <c r="V18" s="28"/>
      <c r="W18" s="28"/>
      <c r="X18" s="28"/>
      <c r="Y18" s="28"/>
      <c r="Z18" s="28"/>
      <c r="AA18" s="28"/>
      <c r="AB18" s="28"/>
    </row>
    <row r="19">
      <c r="A19" s="21" t="s">
        <v>783</v>
      </c>
      <c r="B19" s="22" t="s">
        <v>784</v>
      </c>
      <c r="C19" s="23" t="str">
        <f>IFERROR(__xludf.DUMMYFUNCTION("GOOGLETRANSLATE(B19,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9" s="23" t="str">
        <f>IFERROR(__xludf.DUMMYFUNCTION("GOOGLETRANSLATE(B19, ""en"", ""es"")"),"Su eficacia con armas mágicas. Reduce la cantidad de durabilidad pierden armas mágicas cuando se utiliza. Mejorar mediante el uso de objetos mágicos, tales como bastones y libros de hechizos.")</f>
        <v>Su eficacia con armas mágicas. Reduce la cantidad de durabilidad pierden armas mágicas cuando se utiliza. Mejorar mediante el uso de objetos mágicos, tales como bastones y libros de hechizos.</v>
      </c>
      <c r="E19" s="23" t="str">
        <f>IFERROR(__xludf.DUMMYFUNCTION("GOOGLETRANSLATE(B19, ""en"", ""ru"")"),"Ваша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f>
        <v>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v>
      </c>
      <c r="F19" s="23" t="str">
        <f>IFERROR(__xludf.DUMMYFUNCTION("GOOGLETRANSLATE(B19, ""en"", ""tr"")"),"Sihirli silahlarla Kişisel etkinliği. kullanıldığında sihirli silahlar kaybetmek ne kadar dayanıklılık azaltır. Böyle elemanları ve büyü kitapları gibi büyülü öğeleri kullanarak geliştirin.")</f>
        <v>Sihirli silahlarla Kişisel etkinliği. kullanıldığında sihirli silahlar kaybetmek ne kadar dayanıklılık azaltır. Böyle elemanları ve büyü kitapları gibi büyülü öğeleri kullanarak geliştirin.</v>
      </c>
      <c r="G19" s="23" t="str">
        <f>IFERROR(__xludf.DUMMYFUNCTION("GOOGLETRANSLATE(B19, ""en"", ""pt"")"),"Sua eficácia com armas mágicas. Reduz a quantidade de durabilidade armas mágicas perder quando usado. Melhorar usando itens mágicos, como funcionários e livros de magia.")</f>
        <v>Sua eficácia com armas mágicas. Reduz a quantidade de durabilidade armas mágicas perder quando usado. Melhorar usando itens mágicos, como funcionários e livros de magia.</v>
      </c>
      <c r="H19" s="24" t="str">
        <f>IFERROR(__xludf.DUMMYFUNCTION("GOOGLETRANSLATE(B19, ""en"", ""de"")"),"Ihre Wirksamkeit mit magischen Waffen. Verringert wie viel Haltbarkeit magische Waffen, wenn verwendet verlieren. Verbessere magische Gegenstände wie Stäbe und Zauber Bücher verwenden.")</f>
        <v>Ihre Wirksamkeit mit magischen Waffen. Verringert wie viel Haltbarkeit magische Waffen, wenn verwendet verlieren. Verbessere magische Gegenstände wie Stäbe und Zauber Bücher verwenden.</v>
      </c>
      <c r="I19" s="23" t="str">
        <f>IFERROR(__xludf.DUMMYFUNCTION("GOOGLETRANSLATE(B19, ""en"", ""pl"")"),"Twoja skuteczność magicznych broni. Zmniejsza ile trwałość bronie magiczne stracić podczas eksploatacji. Poprawić za pomocą magicznych przedmiotów, takich jak sztaby i książek czar.")</f>
        <v>Twoja skuteczność magicznych broni. Zmniejsza ile trwałość bronie magiczne stracić podczas eksploatacji. Poprawić za pomocą magicznych przedmiotów, takich jak sztaby i książek czar.</v>
      </c>
      <c r="J19" s="25" t="str">
        <f>IFERROR(__xludf.DUMMYFUNCTION("GOOGLETRANSLATE(B19, ""en"", ""zh"")"),"你有法宝功效。减少使用时的法宝多少耐久性损失。通过使用魔法物品，如员工和咒语书提高。")</f>
        <v>你有法宝功效。减少使用时的法宝多少耐久性损失。通过使用魔法物品，如员工和咒语书提高。</v>
      </c>
      <c r="K19" s="25" t="str">
        <f>IFERROR(__xludf.DUMMYFUNCTION("GOOGLETRANSLATE(B19, ""en"", ""vi"")"),"hiệu quả của bạn với vũ khí kỳ diệu. Giảm bao nhiêu độ bền vũ khí kỳ diệu mất khi sử dụng. Cải thiện bằng cách sử dụng mục huyền diệu như đội ngũ nhân viên và những cuốn sách chính tả.")</f>
        <v>hiệu quả của bạn với vũ khí kỳ diệu. Giảm bao nhiêu độ bền vũ khí kỳ diệu mất khi sử dụng. Cải thiện bằng cách sử dụng mục huyền diệu như đội ngũ nhân viên và những cuốn sách chính tả.</v>
      </c>
      <c r="L19" s="26" t="str">
        <f>IFERROR(__xludf.DUMMYFUNCTION("GOOGLETRANSLATE(B19, ""en"", ""hr"")"),"Vaš učinkovitost magijskim oružjem. Smanjuje koliko trajnost magija oružje gube kada se koristi. Poboljšanje pomoću magične predmete kao što su osoblje i čarolija knjiga.")</f>
        <v>Vaš učinkovitost magijskim oružjem. Smanjuje koliko trajnost magija oružje gube kada se koristi. Poboljšanje pomoću magične predmete kao što su osoblje i čarolija knjiga.</v>
      </c>
      <c r="M19" s="28"/>
      <c r="N19" s="28"/>
      <c r="O19" s="28"/>
      <c r="P19" s="28"/>
      <c r="Q19" s="28"/>
      <c r="R19" s="28"/>
      <c r="S19" s="28"/>
      <c r="T19" s="28"/>
      <c r="U19" s="28"/>
      <c r="V19" s="28"/>
      <c r="W19" s="28"/>
      <c r="X19" s="28"/>
      <c r="Y19" s="28"/>
      <c r="Z19" s="28"/>
      <c r="AA19" s="28"/>
      <c r="AB19" s="28"/>
    </row>
    <row r="20">
      <c r="A20" s="21" t="s">
        <v>785</v>
      </c>
      <c r="B20" s="22" t="s">
        <v>165</v>
      </c>
      <c r="C20" s="23" t="str">
        <f>IFERROR(__xludf.DUMMYFUNCTION("GOOGLETRANSLATE(B20, ""en"", ""fr"")"),"La cueillette")</f>
        <v>La cueillette</v>
      </c>
      <c r="D20" s="23" t="str">
        <f>IFERROR(__xludf.DUMMYFUNCTION("GOOGLETRANSLATE(B20, ""en"", ""es"")"),"Reunión")</f>
        <v>Reunión</v>
      </c>
      <c r="E20" s="23" t="str">
        <f>IFERROR(__xludf.DUMMYFUNCTION("GOOGLETRANSLATE(B20, ""en"", ""ru"")"),"Встреча")</f>
        <v>Встреча</v>
      </c>
      <c r="F20" s="23" t="str">
        <f>IFERROR(__xludf.DUMMYFUNCTION("GOOGLETRANSLATE(B20, ""en"", ""tr"")"),"toplanma")</f>
        <v>toplanma</v>
      </c>
      <c r="G20" s="23" t="str">
        <f>IFERROR(__xludf.DUMMYFUNCTION("GOOGLETRANSLATE(B20, ""en"", ""pt"")"),"Reunião")</f>
        <v>Reunião</v>
      </c>
      <c r="H20" s="24" t="str">
        <f>IFERROR(__xludf.DUMMYFUNCTION("GOOGLETRANSLATE(B20, ""en"", ""de"")"),"Versammlung")</f>
        <v>Versammlung</v>
      </c>
      <c r="I20" s="23" t="str">
        <f>IFERROR(__xludf.DUMMYFUNCTION("GOOGLETRANSLATE(B20, ""en"", ""pl"")"),"Zebranie")</f>
        <v>Zebranie</v>
      </c>
      <c r="J20" s="25" t="str">
        <f>IFERROR(__xludf.DUMMYFUNCTION("GOOGLETRANSLATE(B20, ""en"", ""zh"")"),"搜集")</f>
        <v>搜集</v>
      </c>
      <c r="K20" s="25" t="str">
        <f>IFERROR(__xludf.DUMMYFUNCTION("GOOGLETRANSLATE(B20, ""en"", ""vi"")"),"Thu thập")</f>
        <v>Thu thập</v>
      </c>
      <c r="L20" s="26" t="str">
        <f>IFERROR(__xludf.DUMMYFUNCTION("GOOGLETRANSLATE(B20, ""en"", ""hr"")"),"Prikupljanje")</f>
        <v>Prikupljanje</v>
      </c>
      <c r="M20" s="28"/>
      <c r="N20" s="28"/>
      <c r="O20" s="28"/>
      <c r="P20" s="28"/>
      <c r="Q20" s="28"/>
      <c r="R20" s="28"/>
      <c r="S20" s="28"/>
      <c r="T20" s="28"/>
      <c r="U20" s="28"/>
      <c r="V20" s="28"/>
      <c r="W20" s="28"/>
      <c r="X20" s="28"/>
      <c r="Y20" s="28"/>
      <c r="Z20" s="28"/>
      <c r="AA20" s="28"/>
      <c r="AB20" s="28"/>
    </row>
    <row r="21">
      <c r="A21" s="21" t="s">
        <v>786</v>
      </c>
      <c r="B21" s="22" t="s">
        <v>787</v>
      </c>
      <c r="C21" s="23" t="str">
        <f>IFERROR(__xludf.DUMMYFUNCTION("GOOGLETRANSLATE(B21,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21" s="23" t="str">
        <f>IFERROR(__xludf.DUMMYFUNCTION("GOOGLETRANSLATE(B21, ""en"", ""es"")"),"Su eficacia con herramientas de recolección. ¿Cuánto durabilidad herramientas de recolección pierden cuando se utiliza. Mejorar mediante el uso de hachas, picos y hoces.")</f>
        <v>Su eficacia con herramientas de recolección. ¿Cuánto durabilidad herramientas de recolección pierden cuando se utiliza. Mejorar mediante el uso de hachas, picos y hoces.</v>
      </c>
      <c r="E21" s="23" t="str">
        <f>IFERROR(__xludf.DUMMYFUNCTION("GOOGLETRANSLATE(B21, ""en"", ""ru"")"),"Ваша эффективность с инструментами сбора. Сколько долговечность сбора инструменты теряют при использовании. Улучшение с помощью топоры, кирки и серпы.")</f>
        <v>Ваша эффективность с инструментами сбора. Сколько долговечность сбора инструменты теряют при использовании. Улучшение с помощью топоры, кирки и серпы.</v>
      </c>
      <c r="F21" s="23" t="str">
        <f>IFERROR(__xludf.DUMMYFUNCTION("GOOGLETRANSLATE(B21, ""en"", ""tr"")"),"toplama araçları ile etkinliği. Ne kadar dayanıklılık kullanıldığında toplama araçları kaybederler. nacak, kazma ve orak kullanarak geliştirin.")</f>
        <v>toplama araçları ile etkinliği. Ne kadar dayanıklılık kullanıldığında toplama araçları kaybederler. nacak, kazma ve orak kullanarak geliştirin.</v>
      </c>
      <c r="G21" s="23" t="str">
        <f>IFERROR(__xludf.DUMMYFUNCTION("GOOGLETRANSLATE(B21, ""en"", ""pt"")"),"Sua eficácia com ferramentas de coleta. Quanto durabilidade ferramentas de coleta de perder quando usado. Melhorar usando machados, picaretas, e foices.")</f>
        <v>Sua eficácia com ferramentas de coleta. Quanto durabilidade ferramentas de coleta de perder quando usado. Melhorar usando machados, picaretas, e foices.</v>
      </c>
      <c r="H21" s="24" t="str">
        <f>IFERROR(__xludf.DUMMYFUNCTION("GOOGLETRANSLATE(B21, ""en"", ""de"")"),"Ihre Wirksamkeit mit Sammeln von Werkzeugen. Wie viel Haltbarkeit Sammeln Tools verlieren, wenn verwendet. Verbessern Sie durch die Verwendung Beile, Hacken und Sicheln.")</f>
        <v>Ihre Wirksamkeit mit Sammeln von Werkzeugen. Wie viel Haltbarkeit Sammeln Tools verlieren, wenn verwendet. Verbessern Sie durch die Verwendung Beile, Hacken und Sicheln.</v>
      </c>
      <c r="I21" s="23" t="str">
        <f>IFERROR(__xludf.DUMMYFUNCTION("GOOGLETRANSLATE(B21, ""en"", ""pl"")"),"Swoją skuteczność z gromadzących narzędzi. Ile trwałość narzędzia gromadzenia stracić podczas eksploatacji. Poprawić za pomocą siekiery, kilofy i sierpy.")</f>
        <v>Swoją skuteczność z gromadzących narzędzi. Ile trwałość narzędzia gromadzenia stracić podczas eksploatacji. Poprawić za pomocą siekiery, kilofy i sierpy.</v>
      </c>
      <c r="J21" s="25" t="str">
        <f>IFERROR(__xludf.DUMMYFUNCTION("GOOGLETRANSLATE(B21, ""en"", ""zh"")"),"你有收集工具的有效性。多少耐久性使用时收集工具丢失。通过使用斧头，镐，镰刀和改进。")</f>
        <v>你有收集工具的有效性。多少耐久性使用时收集工具丢失。通过使用斧头，镐，镰刀和改进。</v>
      </c>
      <c r="K21" s="25" t="str">
        <f>IFERROR(__xludf.DUMMYFUNCTION("GOOGLETRANSLATE(B21, ""en"", ""vi"")"),"hiệu quả của bạn với các công cụ thu thập. Bao nhiêu độ bền công cụ thu thập mất khi sử dụng. Cải thiện bằng cách sử dụng rìu, pickaxes, và liềm.")</f>
        <v>hiệu quả của bạn với các công cụ thu thập. Bao nhiêu độ bền công cụ thu thập mất khi sử dụng. Cải thiện bằng cách sử dụng rìu, pickaxes, và liềm.</v>
      </c>
      <c r="L21" s="26" t="str">
        <f>IFERROR(__xludf.DUMMYFUNCTION("GOOGLETRANSLATE(B21, ""en"", ""hr"")"),"Vaš učinkovitost uz prikupljanje alata. Koliko trajnost prikupljanje alati izgubiti ako se koristi. Poboljšanje pomoću sjekire, pickaxes i srpova.")</f>
        <v>Vaš učinkovitost uz prikupljanje alata. Koliko trajnost prikupljanje alati izgubiti ako se koristi. Poboljšanje pomoću sjekire, pickaxes i srpova.</v>
      </c>
      <c r="M21" s="28"/>
      <c r="N21" s="28"/>
      <c r="O21" s="28"/>
      <c r="P21" s="28"/>
      <c r="Q21" s="28"/>
      <c r="R21" s="28"/>
      <c r="S21" s="28"/>
      <c r="T21" s="28"/>
      <c r="U21" s="28"/>
      <c r="V21" s="28"/>
      <c r="W21" s="28"/>
      <c r="X21" s="28"/>
      <c r="Y21" s="28"/>
      <c r="Z21" s="28"/>
      <c r="AA21" s="28"/>
      <c r="AB21" s="28"/>
    </row>
    <row r="22">
      <c r="A22" s="21" t="s">
        <v>788</v>
      </c>
      <c r="B22" s="22" t="s">
        <v>789</v>
      </c>
      <c r="C22" s="23" t="str">
        <f>IFERROR(__xludf.DUMMYFUNCTION("GOOGLETRANSLATE(B22, ""en"", ""fr"")"),"Armes")</f>
        <v>Armes</v>
      </c>
      <c r="D22" s="23" t="str">
        <f>IFERROR(__xludf.DUMMYFUNCTION("GOOGLETRANSLATE(B22, ""en"", ""es"")"),"Arsenal")</f>
        <v>Arsenal</v>
      </c>
      <c r="E22" s="23" t="str">
        <f>IFERROR(__xludf.DUMMYFUNCTION("GOOGLETRANSLATE(B22, ""en"", ""ru"")"),"оружие")</f>
        <v>оружие</v>
      </c>
      <c r="F22" s="23" t="str">
        <f>IFERROR(__xludf.DUMMYFUNCTION("GOOGLETRANSLATE(B22, ""en"", ""tr"")"),"silâhlar")</f>
        <v>silâhlar</v>
      </c>
      <c r="G22" s="23" t="str">
        <f>IFERROR(__xludf.DUMMYFUNCTION("GOOGLETRANSLATE(B22, ""en"", ""pt"")"),"armamento")</f>
        <v>armamento</v>
      </c>
      <c r="H22" s="24" t="str">
        <f>IFERROR(__xludf.DUMMYFUNCTION("GOOGLETRANSLATE(B22, ""en"", ""de"")"),"Waffen")</f>
        <v>Waffen</v>
      </c>
      <c r="I22" s="23" t="str">
        <f>IFERROR(__xludf.DUMMYFUNCTION("GOOGLETRANSLATE(B22, ""en"", ""pl"")"),"broń")</f>
        <v>broń</v>
      </c>
      <c r="J22" s="25" t="str">
        <f>IFERROR(__xludf.DUMMYFUNCTION("GOOGLETRANSLATE(B22, ""en"", ""zh"")"),"武器")</f>
        <v>武器</v>
      </c>
      <c r="K22" s="25" t="str">
        <f>IFERROR(__xludf.DUMMYFUNCTION("GOOGLETRANSLATE(B22, ""en"", ""vi"")"),"vũ khí")</f>
        <v>vũ khí</v>
      </c>
      <c r="L22" s="26" t="str">
        <f>IFERROR(__xludf.DUMMYFUNCTION("GOOGLETRANSLATE(B22, ""en"", ""hr"")"),"Oružje")</f>
        <v>Oružje</v>
      </c>
      <c r="M22" s="28"/>
      <c r="N22" s="28"/>
      <c r="O22" s="28"/>
      <c r="P22" s="28"/>
      <c r="Q22" s="28"/>
      <c r="R22" s="28"/>
      <c r="S22" s="28"/>
      <c r="T22" s="28"/>
      <c r="U22" s="28"/>
      <c r="V22" s="28"/>
      <c r="W22" s="28"/>
      <c r="X22" s="28"/>
      <c r="Y22" s="28"/>
      <c r="Z22" s="28"/>
      <c r="AA22" s="28"/>
      <c r="AB22" s="28"/>
    </row>
    <row r="23">
      <c r="A23" s="29" t="s">
        <v>790</v>
      </c>
      <c r="B23" s="22" t="s">
        <v>791</v>
      </c>
      <c r="C23" s="23" t="str">
        <f>IFERROR(__xludf.DUMMYFUNCTION("GOOGLETRANSLATE(B23,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23" s="23" t="str">
        <f>IFERROR(__xludf.DUMMYFUNCTION("GOOGLETRANSLATE(B23, ""en"", ""es"")"),"La cantidad de la durabilidad de las armas que tiene Craft. Mejorar por la elaboración de elementos dañinos, tales como espadas, arcos, y el personal.")</f>
        <v>La cantidad de la durabilidad de las armas que tiene Craft. Mejorar por la elaboración de elementos dañinos, tales como espadas, arcos, y el personal.</v>
      </c>
      <c r="E23" s="23" t="str">
        <f>IFERROR(__xludf.DUMMYFUNCTION("GOOGLETRANSLATE(B23, ""en"", ""ru"")"),"Сколько прочность оружие, которое вы ремесленных есть. Улучшение путем крафта повреждающих предметов, такие как мечи, луки и штабы.")</f>
        <v>Сколько прочность оружие, которое вы ремесленных есть. Улучшение путем крафта повреждающих предметов, такие как мечи, луки и штабы.</v>
      </c>
      <c r="F23" s="23" t="str">
        <f>IFERROR(__xludf.DUMMYFUNCTION("GOOGLETRANSLATE(B23, ""en"", ""tr"")"),"Ne kadar dayanıklılık silahlar var zanaat olduğunu. kılıç, yay ve değnek olarak zarar öğeleri işçiliği ile geliştirin.")</f>
        <v>Ne kadar dayanıklılık silahlar var zanaat olduğunu. kılıç, yay ve değnek olarak zarar öğeleri işçiliği ile geliştirin.</v>
      </c>
      <c r="G23" s="23" t="str">
        <f>IFERROR(__xludf.DUMMYFUNCTION("GOOGLETRANSLATE(B23, ""en"", ""pt"")"),"Quanto a durabilidade das armas que você ofício têm. Melhorar por elaborar itens prejudiciais, tais como espadas, arcos, e equipes.")</f>
        <v>Quanto a durabilidade das armas que você ofício têm. Melhorar por elaborar itens prejudiciais, tais como espadas, arcos, e equipes.</v>
      </c>
      <c r="H23" s="24" t="str">
        <f>IFERROR(__xludf.DUMMYFUNCTION("GOOGLETRANSLATE(B23, ""en"", ""de"")"),"Wie viel Haltbarkeit der Waffen, die Sie haben Handwerk. Verbessern, indem sie zu beschädigen Artikel Handwerk, wie Schwerter, Bögen und Stäbe.")</f>
        <v>Wie viel Haltbarkeit der Waffen, die Sie haben Handwerk. Verbessern, indem sie zu beschädigen Artikel Handwerk, wie Schwerter, Bögen und Stäbe.</v>
      </c>
      <c r="I23" s="23" t="str">
        <f>IFERROR(__xludf.DUMMYFUNCTION("GOOGLETRANSLATE(B23, ""en"", ""pl"")"),"Ile trwałość broń że spreparować mieć. Poprawić poprzez umacnianie szkodliwych elementów, takich jak miecze, łuki, i sztabów.")</f>
        <v>Ile trwałość broń że spreparować mieć. Poprawić poprzez umacnianie szkodliwych elementów, takich jak miecze, łuki, i sztabów.</v>
      </c>
      <c r="J23" s="25" t="str">
        <f>IFERROR(__xludf.DUMMYFUNCTION("GOOGLETRANSLATE(B23, ""en"", ""zh"")"),"多少耐用性武器，你的工艺有。通过制定损坏的物品，如剑，弓，法杖改善。")</f>
        <v>多少耐用性武器，你的工艺有。通过制定损坏的物品，如剑，弓，法杖改善。</v>
      </c>
      <c r="K23" s="25" t="str">
        <f>IFERROR(__xludf.DUMMYFUNCTION("GOOGLETRANSLATE(B23, ""en"", ""vi"")"),"Bao nhiêu độ bền vũ khí mà bạn Craft có. Cải thiện bởi crafting mục gây tổn hại, chẳng hạn như kiếm, cung, và đội ngũ nhân viên.")</f>
        <v>Bao nhiêu độ bền vũ khí mà bạn Craft có. Cải thiện bởi crafting mục gây tổn hại, chẳng hạn như kiếm, cung, và đội ngũ nhân viên.</v>
      </c>
      <c r="L23" s="26" t="str">
        <f>IFERROR(__xludf.DUMMYFUNCTION("GOOGLETRANSLATE(B23, ""en"", ""hr"")"),"Koliko trajnost oružja koje obrt ima. Poboljšat lukavost štetne stavke, kao što su mačevi, mašne i osoblja.")</f>
        <v>Koliko trajnost oružja koje obrt ima. Poboljšat lukavost štetne stavke, kao što su mačevi, mašne i osoblja.</v>
      </c>
      <c r="M23" s="28"/>
      <c r="N23" s="28"/>
      <c r="O23" s="28"/>
      <c r="P23" s="28"/>
      <c r="Q23" s="28"/>
      <c r="R23" s="28"/>
      <c r="S23" s="28"/>
      <c r="T23" s="28"/>
      <c r="U23" s="28"/>
      <c r="V23" s="28"/>
      <c r="W23" s="28"/>
      <c r="X23" s="28"/>
      <c r="Y23" s="28"/>
      <c r="Z23" s="28"/>
      <c r="AA23" s="28"/>
      <c r="AB23" s="28"/>
    </row>
    <row r="24">
      <c r="A24" s="21" t="s">
        <v>792</v>
      </c>
      <c r="B24" s="22" t="s">
        <v>793</v>
      </c>
      <c r="C24" s="23" t="str">
        <f>IFERROR(__xludf.DUMMYFUNCTION("GOOGLETRANSLATE(B24, ""en"", ""fr"")"),"Arsenal")</f>
        <v>Arsenal</v>
      </c>
      <c r="D24" s="23" t="str">
        <f>IFERROR(__xludf.DUMMYFUNCTION("GOOGLETRANSLATE(B24, ""en"", ""es"")"),"Arsenal")</f>
        <v>Arsenal</v>
      </c>
      <c r="E24" s="23" t="str">
        <f>IFERROR(__xludf.DUMMYFUNCTION("GOOGLETRANSLATE(B24, ""en"", ""ru"")"),"оружейный")</f>
        <v>оружейный</v>
      </c>
      <c r="F24" s="23" t="str">
        <f>IFERROR(__xludf.DUMMYFUNCTION("GOOGLETRANSLATE(B24, ""en"", ""tr"")"),"cephanelik")</f>
        <v>cephanelik</v>
      </c>
      <c r="G24" s="23" t="str">
        <f>IFERROR(__xludf.DUMMYFUNCTION("GOOGLETRANSLATE(B24, ""en"", ""pt"")"),"Arsenal")</f>
        <v>Arsenal</v>
      </c>
      <c r="H24" s="24" t="str">
        <f>IFERROR(__xludf.DUMMYFUNCTION("GOOGLETRANSLATE(B24, ""en"", ""de"")"),"Waffenkammer")</f>
        <v>Waffenkammer</v>
      </c>
      <c r="I24" s="23" t="str">
        <f>IFERROR(__xludf.DUMMYFUNCTION("GOOGLETRANSLATE(B24, ""en"", ""pl"")"),"Zbrojownia")</f>
        <v>Zbrojownia</v>
      </c>
      <c r="J24" s="25" t="str">
        <f>IFERROR(__xludf.DUMMYFUNCTION("GOOGLETRANSLATE(B24, ""en"", ""zh"")"),"军械库")</f>
        <v>军械库</v>
      </c>
      <c r="K24" s="25" t="str">
        <f>IFERROR(__xludf.DUMMYFUNCTION("GOOGLETRANSLATE(B24, ""en"", ""vi"")"),"huy chương học")</f>
        <v>huy chương học</v>
      </c>
      <c r="L24" s="26" t="str">
        <f>IFERROR(__xludf.DUMMYFUNCTION("GOOGLETRANSLATE(B24, ""en"", ""hr"")"),"skladište oružja")</f>
        <v>skladište oružja</v>
      </c>
      <c r="M24" s="28"/>
      <c r="N24" s="28"/>
      <c r="O24" s="28"/>
      <c r="P24" s="28"/>
      <c r="Q24" s="28"/>
      <c r="R24" s="28"/>
      <c r="S24" s="28"/>
      <c r="T24" s="28"/>
      <c r="U24" s="28"/>
      <c r="V24" s="28"/>
      <c r="W24" s="28"/>
      <c r="X24" s="28"/>
      <c r="Y24" s="28"/>
      <c r="Z24" s="28"/>
      <c r="AA24" s="28"/>
      <c r="AB24" s="28"/>
    </row>
    <row r="25">
      <c r="A25" s="29" t="s">
        <v>794</v>
      </c>
      <c r="B25" s="22" t="s">
        <v>795</v>
      </c>
      <c r="C25" s="23" t="str">
        <f>IFERROR(__xludf.DUMMYFUNCTION("GOOGLETRANSLATE(B25,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25" s="23" t="str">
        <f>IFERROR(__xludf.DUMMYFUNCTION("GOOGLETRANSLATE(B25, ""en"", ""es"")"),"¿Cuánto durabilidad las armaduras y ropa que tienen Craft. Mejorado por la elaboración de artículos portátiles, tales como armaduras, capas y túnicas.")</f>
        <v>¿Cuánto durabilidad las armaduras y ropa que tienen Craft. Mejorado por la elaboración de artículos portátiles, tales como armaduras, capas y túnicas.</v>
      </c>
      <c r="E25" s="23" t="str">
        <f>IFERROR(__xludf.DUMMYFUNCTION("GOOGLETRANSLATE(B25, ""en"", ""ru"")"),"Сколько прочности доспехи и одежда, которые вы ремесленная есть. Улучшение по разработке носимых предметов, таких как броневых, накидки и мантии.")</f>
        <v>Сколько прочности доспехи и одежда, которые вы ремесленная есть. Улучшение по разработке носимых предметов, таких как броневых, накидки и мантии.</v>
      </c>
      <c r="F25" s="23" t="str">
        <f>IFERROR(__xludf.DUMMYFUNCTION("GOOGLETRANSLATE(B25, ""en"", ""tr"")"),"zırhlar ve giysiler var Craft Ne kadar dayanıklılık. Böyle zırh, pelerin ve elbiseler gibi giyilebilir öğeleri işçiliği ile geliştirildi.")</f>
        <v>zırhlar ve giysiler var Craft Ne kadar dayanıklılık. Böyle zırh, pelerin ve elbiseler gibi giyilebilir öğeleri işçiliği ile geliştirildi.</v>
      </c>
      <c r="G25" s="23" t="str">
        <f>IFERROR(__xludf.DUMMYFUNCTION("GOOGLETRANSLATE(B25, ""en"", ""pt"")"),"Quanto a durabilidade das armaduras e roupas que você ofício têm. Melhorada pela elaboração de itens usáveis, como armaduras, mantos e túnicas.")</f>
        <v>Quanto a durabilidade das armaduras e roupas que você ofício têm. Melhorada pela elaboração de itens usáveis, como armaduras, mantos e túnicas.</v>
      </c>
      <c r="H25" s="24" t="str">
        <f>IFERROR(__xludf.DUMMYFUNCTION("GOOGLETRANSLATE(B25, ""en"", ""de"")"),"Wie viel Haltbarkeit die Panzerungen und Kleidung, die Sie haben Handwerk. Verbesserte sich um tragbare Gegenstände Handwerk, wie Rüstungen, Umhänge und Gewänder.")</f>
        <v>Wie viel Haltbarkeit die Panzerungen und Kleidung, die Sie haben Handwerk. Verbesserte sich um tragbare Gegenstände Handwerk, wie Rüstungen, Umhänge und Gewänder.</v>
      </c>
      <c r="I25" s="23" t="str">
        <f>IFERROR(__xludf.DUMMYFUNCTION("GOOGLETRANSLATE(B25, ""en"", ""pl"")"),"Ile Trwałość zbroje i ubrania, które mają spreparować. Poprawione przez umacnianie do noszenia elementów, takich jak zbroje, płaszcze i szaty.")</f>
        <v>Ile Trwałość zbroje i ubrania, które mają spreparować. Poprawione przez umacnianie do noszenia elementów, takich jak zbroje, płaszcze i szaty.</v>
      </c>
      <c r="J25" s="25" t="str">
        <f>IFERROR(__xludf.DUMMYFUNCTION("GOOGLETRANSLATE(B25, ""en"", ""zh"")"),"多少耐用的盔甲和衣服，你有手艺。通过制定可穿戴的物品，如铠甲，披风和长袍改善。")</f>
        <v>多少耐用的盔甲和衣服，你有手艺。通过制定可穿戴的物品，如铠甲，披风和长袍改善。</v>
      </c>
      <c r="K25" s="25" t="str">
        <f>IFERROR(__xludf.DUMMYFUNCTION("GOOGLETRANSLATE(B25, ""en"", ""vi"")"),"Bao nhiêu độ bền armours và quần áo mà bạn Craft có. Cải thiện bằng việc tạo mục mặc, chẳng hạn như áo giáp, áo choàng không tay và áo choàng.")</f>
        <v>Bao nhiêu độ bền armours và quần áo mà bạn Craft có. Cải thiện bằng việc tạo mục mặc, chẳng hạn như áo giáp, áo choàng không tay và áo choàng.</v>
      </c>
      <c r="L25" s="26" t="str">
        <f>IFERROR(__xludf.DUMMYFUNCTION("GOOGLETRANSLATE(B25, ""en"", ""hr"")"),"Koliko Trajnost oklopa i odjeće koje obrt ima. Poboljšati lukavost nosive predmete, kao što su oklop, ogrtačima i haljinama.")</f>
        <v>Koliko Trajnost oklopa i odjeće koje obrt ima. Poboljšati lukavost nosive predmete, kao što su oklop, ogrtačima i haljinama.</v>
      </c>
      <c r="M25" s="28"/>
      <c r="N25" s="28"/>
      <c r="O25" s="28"/>
      <c r="P25" s="28"/>
      <c r="Q25" s="28"/>
      <c r="R25" s="28"/>
      <c r="S25" s="28"/>
      <c r="T25" s="28"/>
      <c r="U25" s="28"/>
      <c r="V25" s="28"/>
      <c r="W25" s="28"/>
      <c r="X25" s="28"/>
      <c r="Y25" s="28"/>
      <c r="Z25" s="28"/>
      <c r="AA25" s="28"/>
      <c r="AB25" s="28"/>
    </row>
    <row r="26">
      <c r="A26" s="21" t="s">
        <v>796</v>
      </c>
      <c r="B26" s="22" t="s">
        <v>797</v>
      </c>
      <c r="C26" s="23" t="str">
        <f>IFERROR(__xludf.DUMMYFUNCTION("GOOGLETRANSLATE(B26, ""en"", ""fr"")"),"Toolery")</f>
        <v>Toolery</v>
      </c>
      <c r="D26" s="23" t="str">
        <f>IFERROR(__xludf.DUMMYFUNCTION("GOOGLETRANSLATE(B26, ""en"", ""es"")"),"Toolery")</f>
        <v>Toolery</v>
      </c>
      <c r="E26" s="23" t="str">
        <f>IFERROR(__xludf.DUMMYFUNCTION("GOOGLETRANSLATE(B26, ""en"", ""ru"")"),"Toolery")</f>
        <v>Toolery</v>
      </c>
      <c r="F26" s="23" t="str">
        <f>IFERROR(__xludf.DUMMYFUNCTION("GOOGLETRANSLATE(B26, ""en"", ""tr"")"),"Toolery")</f>
        <v>Toolery</v>
      </c>
      <c r="G26" s="23" t="str">
        <f>IFERROR(__xludf.DUMMYFUNCTION("GOOGLETRANSLATE(B26, ""en"", ""pt"")"),"Toolery")</f>
        <v>Toolery</v>
      </c>
      <c r="H26" s="24" t="str">
        <f>IFERROR(__xludf.DUMMYFUNCTION("GOOGLETRANSLATE(B26, ""en"", ""de"")"),"Toolery")</f>
        <v>Toolery</v>
      </c>
      <c r="I26" s="23" t="str">
        <f>IFERROR(__xludf.DUMMYFUNCTION("GOOGLETRANSLATE(B26, ""en"", ""pl"")"),"Toolery")</f>
        <v>Toolery</v>
      </c>
      <c r="J26" s="25" t="str">
        <f>IFERROR(__xludf.DUMMYFUNCTION("GOOGLETRANSLATE(B26, ""en"", ""zh"")"),"Toolery")</f>
        <v>Toolery</v>
      </c>
      <c r="K26" s="25" t="str">
        <f>IFERROR(__xludf.DUMMYFUNCTION("GOOGLETRANSLATE(B26, ""en"", ""vi"")"),"Toolery")</f>
        <v>Toolery</v>
      </c>
      <c r="L26" s="26" t="str">
        <f>IFERROR(__xludf.DUMMYFUNCTION("GOOGLETRANSLATE(B26, ""en"", ""hr"")"),"Toolery")</f>
        <v>Toolery</v>
      </c>
      <c r="M26" s="28"/>
      <c r="N26" s="28"/>
      <c r="O26" s="28"/>
      <c r="P26" s="28"/>
      <c r="Q26" s="28"/>
      <c r="R26" s="28"/>
      <c r="S26" s="28"/>
      <c r="T26" s="28"/>
      <c r="U26" s="28"/>
      <c r="V26" s="28"/>
      <c r="W26" s="28"/>
      <c r="X26" s="28"/>
      <c r="Y26" s="28"/>
      <c r="Z26" s="28"/>
      <c r="AA26" s="28"/>
      <c r="AB26" s="28"/>
    </row>
    <row r="27">
      <c r="A27" s="29" t="s">
        <v>798</v>
      </c>
      <c r="B27" s="22" t="s">
        <v>799</v>
      </c>
      <c r="C27" s="23" t="str">
        <f>IFERROR(__xludf.DUMMYFUNCTION("GOOGLETRANSLATE(B27,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27" s="23" t="str">
        <f>IFERROR(__xludf.DUMMYFUNCTION("GOOGLETRANSLATE(B27, ""en"", ""es"")"),"La cantidad de la durabilidad de los elementos de utilidad que tiene Craft. Mejorar por herramientas y materiales, tales como hachas, picos, cerraduras, barras de metal y tejidos de la elaboración.")</f>
        <v>La cantidad de la durabilidad de los elementos de utilidad que tiene Craft. Mejorar por herramientas y materiales, tales como hachas, picos, cerraduras, barras de metal y tejidos de la elaboración.</v>
      </c>
      <c r="E27" s="23" t="str">
        <f>IFERROR(__xludf.DUMMYFUNCTION("GOOGLETRANSLATE(B27, ""en"", ""ru"")"),"Сколько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f>
        <v>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v>
      </c>
      <c r="F27" s="23" t="str">
        <f>IFERROR(__xludf.DUMMYFUNCTION("GOOGLETRANSLATE(B27, ""en"", ""tr"")"),"Sahip Craft Ne kadar dayanıklılık yarar öğeler. örneğin satırlar, kazma, kilitler, metal çubuklar ve kumaşlar gibi araç ve gereçleri, işçiliği ile geliştirin.")</f>
        <v>Sahip Craft Ne kadar dayanıklılık yarar öğeler. örneğin satırlar, kazma, kilitler, metal çubuklar ve kumaşlar gibi araç ve gereçleri, işçiliği ile geliştirin.</v>
      </c>
      <c r="G27" s="23" t="str">
        <f>IFERROR(__xludf.DUMMYFUNCTION("GOOGLETRANSLATE(B27, ""en"", ""pt"")"),"Quanto durabilidade os itens de utilidade você ofício têm. Melhorar por ferramentas e materiais, tais como machados, picaretas, fechaduras, barras de metal e tecidos elaboração.")</f>
        <v>Quanto durabilidade os itens de utilidade você ofício têm. Melhorar por ferramentas e materiais, tais como machados, picaretas, fechaduras, barras de metal e tecidos elaboração.</v>
      </c>
      <c r="H27" s="24" t="str">
        <f>IFERROR(__xludf.DUMMYFUNCTION("GOOGLETRANSLATE(B27, ""en"", ""de"")"),"Wie viel Haltbarkeit der Gebrauchsgegenstände haben Sie Handwerk. Verbesserung von Werkzeugen und Materialien, wie Beile, Hacken, Schlösser, Metallstangen und Stoffen anfertigt.")</f>
        <v>Wie viel Haltbarkeit der Gebrauchsgegenstände haben Sie Handwerk. Verbesserung von Werkzeugen und Materialien, wie Beile, Hacken, Schlösser, Metallstangen und Stoffen anfertigt.</v>
      </c>
      <c r="I27" s="23" t="str">
        <f>IFERROR(__xludf.DUMMYFUNCTION("GOOGLETRANSLATE(B27, ""en"", ""pl"")"),"Ile trwałość przedmioty użytkowe spreparować mieć. Poprawić poprzez umacnianie narzędzia i materiały, takie jak siekiery, kilofy, zamki, metalowe pręty i tkanin.")</f>
        <v>Ile trwałość przedmioty użytkowe spreparować mieć. Poprawić poprzez umacnianie narzędzia i materiały, takie jak siekiery, kilofy, zamki, metalowe pręty i tkanin.</v>
      </c>
      <c r="J27" s="25" t="str">
        <f>IFERROR(__xludf.DUMMYFUNCTION("GOOGLETRANSLATE(B27, ""en"", ""zh"")"),"你手艺多少耐久性公用事业项目有。通过制定工具和材料，如斧头，镐，锁具，金属条和织物改善。")</f>
        <v>你手艺多少耐久性公用事业项目有。通过制定工具和材料，如斧头，镐，锁具，金属条和织物改善。</v>
      </c>
      <c r="K27" s="25" t="str">
        <f>IFERROR(__xludf.DUMMYFUNCTION("GOOGLETRANSLATE(B27, ""en"", ""vi"")"),"Bao nhiêu độ bền các mục tiện ích bạn Craft có. Cải thiện bởi các công cụ và vật liệu, chẳng hạn như rìu, pickaxes, ổ khóa, thanh kim loại và vải crafting.")</f>
        <v>Bao nhiêu độ bền các mục tiện ích bạn Craft có. Cải thiện bởi các công cụ và vật liệu, chẳng hạn như rìu, pickaxes, ổ khóa, thanh kim loại và vải crafting.</v>
      </c>
      <c r="L27" s="26" t="str">
        <f>IFERROR(__xludf.DUMMYFUNCTION("GOOGLETRANSLATE(B27, ""en"", ""hr"")"),"Koliko trajnost komunalne stavke koje obrt ima. Poboljšat lukavost alata i materijala, kao što su sjekire, pickaxes, brave, metalnim šipkama i tkanine.")</f>
        <v>Koliko trajnost komunalne stavke koje obrt ima. Poboljšat lukavost alata i materijala, kao što su sjekire, pickaxes, brave, metalnim šipkama i tkanine.</v>
      </c>
      <c r="M27" s="28"/>
      <c r="N27" s="28"/>
      <c r="O27" s="28"/>
      <c r="P27" s="28"/>
      <c r="Q27" s="28"/>
      <c r="R27" s="28"/>
      <c r="S27" s="28"/>
      <c r="T27" s="28"/>
      <c r="U27" s="28"/>
      <c r="V27" s="28"/>
      <c r="W27" s="28"/>
      <c r="X27" s="28"/>
      <c r="Y27" s="28"/>
      <c r="Z27" s="28"/>
      <c r="AA27" s="28"/>
      <c r="AB27" s="28"/>
    </row>
    <row r="28">
      <c r="A28" s="21" t="s">
        <v>800</v>
      </c>
      <c r="B28" s="22" t="s">
        <v>801</v>
      </c>
      <c r="C28" s="23" t="str">
        <f>IFERROR(__xludf.DUMMYFUNCTION("GOOGLETRANSLATE(B28, ""en"", ""fr"")"),"Potionry")</f>
        <v>Potionry</v>
      </c>
      <c r="D28" s="23" t="str">
        <f>IFERROR(__xludf.DUMMYFUNCTION("GOOGLETRANSLATE(B28, ""en"", ""es"")"),"Potionry")</f>
        <v>Potionry</v>
      </c>
      <c r="E28" s="23" t="str">
        <f>IFERROR(__xludf.DUMMYFUNCTION("GOOGLETRANSLATE(B28, ""en"", ""ru"")"),"Potionry")</f>
        <v>Potionry</v>
      </c>
      <c r="F28" s="23" t="str">
        <f>IFERROR(__xludf.DUMMYFUNCTION("GOOGLETRANSLATE(B28, ""en"", ""tr"")"),"Potionry")</f>
        <v>Potionry</v>
      </c>
      <c r="G28" s="23" t="str">
        <f>IFERROR(__xludf.DUMMYFUNCTION("GOOGLETRANSLATE(B28, ""en"", ""pt"")"),"Potionry")</f>
        <v>Potionry</v>
      </c>
      <c r="H28" s="24" t="str">
        <f>IFERROR(__xludf.DUMMYFUNCTION("GOOGLETRANSLATE(B28, ""en"", ""de"")"),"Potionry")</f>
        <v>Potionry</v>
      </c>
      <c r="I28" s="23" t="str">
        <f>IFERROR(__xludf.DUMMYFUNCTION("GOOGLETRANSLATE(B28, ""en"", ""pl"")"),"Potionry")</f>
        <v>Potionry</v>
      </c>
      <c r="J28" s="25" t="str">
        <f>IFERROR(__xludf.DUMMYFUNCTION("GOOGLETRANSLATE(B28, ""en"", ""zh"")"),"Potionry")</f>
        <v>Potionry</v>
      </c>
      <c r="K28" s="25" t="str">
        <f>IFERROR(__xludf.DUMMYFUNCTION("GOOGLETRANSLATE(B28, ""en"", ""vi"")"),"Potionry")</f>
        <v>Potionry</v>
      </c>
      <c r="L28" s="26" t="str">
        <f>IFERROR(__xludf.DUMMYFUNCTION("GOOGLETRANSLATE(B28, ""en"", ""hr"")"),"Potionry")</f>
        <v>Potionry</v>
      </c>
      <c r="M28" s="28"/>
      <c r="N28" s="28"/>
      <c r="O28" s="28"/>
      <c r="P28" s="28"/>
      <c r="Q28" s="28"/>
      <c r="R28" s="28"/>
      <c r="S28" s="28"/>
      <c r="T28" s="28"/>
      <c r="U28" s="28"/>
      <c r="V28" s="28"/>
      <c r="W28" s="28"/>
      <c r="X28" s="28"/>
      <c r="Y28" s="28"/>
      <c r="Z28" s="28"/>
      <c r="AA28" s="28"/>
      <c r="AB28" s="28"/>
    </row>
    <row r="29">
      <c r="A29" s="29" t="s">
        <v>802</v>
      </c>
      <c r="B29" s="22" t="s">
        <v>803</v>
      </c>
      <c r="C29" s="23" t="str">
        <f>IFERROR(__xludf.DUMMYFUNCTION("GOOGLETRANSLATE(B29, ""en"", ""fr"")"),"Combien d'utilisations les potions que vous avez CRAFT. Améliorer en élaborant des potions et de manger des ingrédients de potions.")</f>
        <v>Combien d'utilisations les potions que vous avez CRAFT. Améliorer en élaborant des potions et de manger des ingrédients de potions.</v>
      </c>
      <c r="D29" s="23" t="str">
        <f>IFERROR(__xludf.DUMMYFUNCTION("GOOGLETRANSLATE(B29, ""en"", ""es"")"),"Como muchos usos las pociones que tiene Craft. Mejorar por la elaboración de pociones y comer ingredientes de pociones.")</f>
        <v>Como muchos usos las pociones que tiene Craft. Mejorar por la elaboración de pociones y comer ingredientes de pociones.</v>
      </c>
      <c r="E29" s="23" t="str">
        <f>IFERROR(__xludf.DUMMYFUNCTION("GOOGLETRANSLATE(B29, ""en"", ""ru"")"),"Как много применений зелья, которые вы ремесленных есть. Улучшение с помощью крафта зелий и есть зелье ингредиенты.")</f>
        <v>Как много применений зелья, которые вы ремесленных есть. Улучшение с помощью крафта зелий и есть зелье ингредиенты.</v>
      </c>
      <c r="F29" s="23" t="str">
        <f>IFERROR(__xludf.DUMMYFUNCTION("GOOGLETRANSLATE(B29, ""en"", ""tr"")"),"Kaç kullandýnýz iksir var zanaat olduğunu. iksir işçiliği ve iksir maddeler yiyerek geliştirin.")</f>
        <v>Kaç kullandýnýz iksir var zanaat olduğunu. iksir işçiliği ve iksir maddeler yiyerek geliştirin.</v>
      </c>
      <c r="G29" s="23" t="str">
        <f>IFERROR(__xludf.DUMMYFUNCTION("GOOGLETRANSLATE(B29, ""en"", ""pt"")"),"Como muitos usos as poções que você ofício têm. Melhorar por elaborar poções e comer ingredientes de poções.")</f>
        <v>Como muitos usos as poções que você ofício têm. Melhorar por elaborar poções e comer ingredientes de poções.</v>
      </c>
      <c r="H29" s="24" t="str">
        <f>IFERROR(__xludf.DUMMYFUNCTION("GOOGLETRANSLATE(B29, ""en"", ""de"")"),"Wie viele Anwendungen die Tränke, dass Sie Handwerk. Verbessern von Tränken und Essen Trinken Zutaten anfertigt.")</f>
        <v>Wie viele Anwendungen die Tränke, dass Sie Handwerk. Verbessern von Tränken und Essen Trinken Zutaten anfertigt.</v>
      </c>
      <c r="I29" s="23" t="str">
        <f>IFERROR(__xludf.DUMMYFUNCTION("GOOGLETRANSLATE(B29, ""en"", ""pl"")"),"Ile używa eliksirów że spreparować mieć. Poprawić poprzez umacnianie eliksiry i jedzenie składniki eliksiru.")</f>
        <v>Ile używa eliksirów że spreparować mieć. Poprawić poprzez umacnianie eliksiry i jedzenie składniki eliksiru.</v>
      </c>
      <c r="J29" s="25" t="str">
        <f>IFERROR(__xludf.DUMMYFUNCTION("GOOGLETRANSLATE(B29, ""en"", ""zh"")"),"有多少用途的药水，你舰已。通过制定药水和吃药水成分提高。")</f>
        <v>有多少用途的药水，你舰已。通过制定药水和吃药水成分提高。</v>
      </c>
      <c r="K29" s="25" t="str">
        <f>IFERROR(__xludf.DUMMYFUNCTION("GOOGLETRANSLATE(B29, ""en"", ""vi"")"),"Có bao nhiêu sử dụng các potions mà bạn Craft có. Cải thiện bởi crafting potions và ăn thành phần thuốc.")</f>
        <v>Có bao nhiêu sử dụng các potions mà bạn Craft có. Cải thiện bởi crafting potions và ăn thành phần thuốc.</v>
      </c>
      <c r="L29" s="26" t="str">
        <f>IFERROR(__xludf.DUMMYFUNCTION("GOOGLETRANSLATE(B29, ""en"", ""hr"")"),"Koliko koristi napitaka koje obrt ima. Poboljšat lukavost napitaka i prehrane napitak sastojke.")</f>
        <v>Koliko koristi napitaka koje obrt ima. Poboljšat lukavost napitaka i prehrane napitak sastojke.</v>
      </c>
      <c r="M29" s="28"/>
      <c r="N29" s="28"/>
      <c r="O29" s="28"/>
      <c r="P29" s="28"/>
      <c r="Q29" s="28"/>
      <c r="R29" s="28"/>
      <c r="S29" s="28"/>
      <c r="T29" s="28"/>
      <c r="U29" s="28"/>
      <c r="V29" s="28"/>
      <c r="W29" s="28"/>
      <c r="X29" s="28"/>
      <c r="Y29" s="28"/>
      <c r="Z29" s="28"/>
      <c r="AA29" s="28"/>
      <c r="AB29" s="28"/>
    </row>
    <row r="30">
      <c r="A30" s="29" t="s">
        <v>804</v>
      </c>
      <c r="B30" s="22" t="s">
        <v>805</v>
      </c>
      <c r="C30" s="23" t="str">
        <f>IFERROR(__xludf.DUMMYFUNCTION("GOOGLETRANSLATE(B30, ""en"", ""fr"")"),"Clanship")</f>
        <v>Clanship</v>
      </c>
      <c r="D30" s="23" t="str">
        <f>IFERROR(__xludf.DUMMYFUNCTION("GOOGLETRANSLATE(B30, ""en"", ""es"")"),"Comunidad")</f>
        <v>Comunidad</v>
      </c>
      <c r="E30" s="23" t="str">
        <f>IFERROR(__xludf.DUMMYFUNCTION("GOOGLETRANSLATE(B30, ""en"", ""ru"")"),"обособленность")</f>
        <v>обособленность</v>
      </c>
      <c r="F30" s="23" t="str">
        <f>IFERROR(__xludf.DUMMYFUNCTION("GOOGLETRANSLATE(B30, ""en"", ""tr"")"),"klancılık")</f>
        <v>klancılık</v>
      </c>
      <c r="G30" s="23" t="str">
        <f>IFERROR(__xludf.DUMMYFUNCTION("GOOGLETRANSLATE(B30, ""en"", ""pt"")"),"ligação entre membros de uma tribo")</f>
        <v>ligação entre membros de uma tribo</v>
      </c>
      <c r="H30" s="24" t="str">
        <f>IFERROR(__xludf.DUMMYFUNCTION("GOOGLETRANSLATE(B30, ""en"", ""de"")"),"Clanship")</f>
        <v>Clanship</v>
      </c>
      <c r="I30" s="23" t="str">
        <f>IFERROR(__xludf.DUMMYFUNCTION("GOOGLETRANSLATE(B30, ""en"", ""pl"")"),"Clanship")</f>
        <v>Clanship</v>
      </c>
      <c r="J30" s="25" t="str">
        <f>IFERROR(__xludf.DUMMYFUNCTION("GOOGLETRANSLATE(B30, ""en"", ""zh"")"),"氏族社会")</f>
        <v>氏族社会</v>
      </c>
      <c r="K30" s="25" t="str">
        <f>IFERROR(__xludf.DUMMYFUNCTION("GOOGLETRANSLATE(B30, ""en"", ""vi"")"),"tinh thần gia tộc")</f>
        <v>tinh thần gia tộc</v>
      </c>
      <c r="L30" s="26" t="str">
        <f>IFERROR(__xludf.DUMMYFUNCTION("GOOGLETRANSLATE(B30, ""en"", ""hr"")"),"Clanship")</f>
        <v>Clanship</v>
      </c>
      <c r="M30" s="28"/>
      <c r="N30" s="28"/>
      <c r="O30" s="28"/>
      <c r="P30" s="28"/>
      <c r="Q30" s="28"/>
      <c r="R30" s="28"/>
      <c r="S30" s="28"/>
      <c r="T30" s="28"/>
      <c r="U30" s="28"/>
      <c r="V30" s="28"/>
      <c r="W30" s="28"/>
      <c r="X30" s="28"/>
      <c r="Y30" s="28"/>
      <c r="Z30" s="28"/>
      <c r="AA30" s="28"/>
      <c r="AB30" s="28"/>
    </row>
    <row r="31">
      <c r="A31" s="29" t="s">
        <v>806</v>
      </c>
      <c r="B31" s="22" t="s">
        <v>807</v>
      </c>
      <c r="C31" s="23" t="str">
        <f>IFERROR(__xludf.DUMMYFUNCTION("GOOGLETRANSLATE(B31,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31" s="23" t="str">
        <f>IFERROR(__xludf.DUMMYFUNCTION("GOOGLETRANSLATE(B31, ""en"", ""es"")"),"¿Qué tan útil está a un clan. Afecta la cantidad de puntos de golpe las estructuras que tienen las embarcaciones, y cómo poder mucho se crea cuando se dona gloria. Mejorar por la elaboración de estructuras de base y hacer funcionar los generadores.")</f>
        <v>¿Qué tan útil está a un clan. Afecta la cantidad de puntos de golpe las estructuras que tienen las embarcaciones, y cómo poder mucho se crea cuando se dona gloria. Mejorar por la elaboración de estructuras de base y hacer funcionar los generadores.</v>
      </c>
      <c r="E31" s="23" t="str">
        <f>IFERROR(__xludf.DUMMYFUNCTION("GOOGLETRANSLATE(B31, ""en"", ""ru"")"),"Как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f>
        <v>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v>
      </c>
      <c r="F31" s="23" t="str">
        <f>IFERROR(__xludf.DUMMYFUNCTION("GOOGLETRANSLATE(B31, ""en"", ""tr"")"),"Size ne kadar yardımcı bir klan için vardır. Sahip zanaat ve ne kadar güç size zafer bağış oluşturulan kaç hitpoints yapıları etkiler. Baz yapılarını işçiliği ve jeneratörler güç tarafından geliştirin.")</f>
        <v>Size ne kadar yardımcı bir klan için vardır. Sahip zanaat ve ne kadar güç size zafer bağış oluşturulan kaç hitpoints yapıları etkiler. Baz yapılarını işçiliği ve jeneratörler güç tarafından geliştirin.</v>
      </c>
      <c r="G31" s="23" t="str">
        <f>IFERROR(__xludf.DUMMYFUNCTION("GOOGLETRANSLATE(B31, ""en"", ""pt"")"),"Quão útil você está a um clã. Afeta quantos pontos de vida das estruturas você ofício tem, e quanto de energia é criado quando você doar glória. Melhorar por elaborar estruturas de base e ligar geradores.")</f>
        <v>Quão útil você está a um clã. Afeta quantos pontos de vida das estruturas você ofício tem, e quanto de energia é criado quando você doar glória. Melhorar por elaborar estruturas de base e ligar geradores.</v>
      </c>
      <c r="H31" s="24" t="str">
        <f>IFERROR(__xludf.DUMMYFUNCTION("GOOGLETRANSLATE(B31, ""en"", ""de"")"),"Wie hilfreich sind Sie zu einem Clan. Beeinflusst, wie viele Hitpoints die Strukturen Sie Handwerk haben, und wie viel Strom erzeugt, wenn Sie Ruhm spenden. Verbesserung von Basisstrukturen Crafting und Versorgung Generatoren.")</f>
        <v>Wie hilfreich sind Sie zu einem Clan. Beeinflusst, wie viele Hitpoints die Strukturen Sie Handwerk haben, und wie viel Strom erzeugt, wenn Sie Ruhm spenden. Verbesserung von Basisstrukturen Crafting und Versorgung Generatoren.</v>
      </c>
      <c r="I31" s="23" t="str">
        <f>IFERROR(__xludf.DUMMYFUNCTION("GOOGLETRANSLATE(B31, ""en"", ""pl"")"),"Jak pomocny jesteś do klanu. Wpływa na ile hitpoints struktury spreparować mieć i ile energii jest tworzony podczas oddawania chwały. Poprawić poprzez umacnianie struktur bazowych i zasilania generatorów.")</f>
        <v>Jak pomocny jesteś do klanu. Wpływa na ile hitpoints struktury spreparować mieć i ile energii jest tworzony podczas oddawania chwały. Poprawić poprzez umacnianie struktur bazowych i zasilania generatorów.</v>
      </c>
      <c r="J31" s="25" t="str">
        <f>IFERROR(__xludf.DUMMYFUNCTION("GOOGLETRANSLATE(B31, ""en"", ""zh"")"),"你多大的帮助是一个家族。影响到你的生命值多的结构有手艺，有多少权力，当你捐的荣耀被创建。通过制定基部结构和供电的发电机改善。")</f>
        <v>你多大的帮助是一个家族。影响到你的生命值多的结构有手艺，有多少权力，当你捐的荣耀被创建。通过制定基部结构和供电的发电机改善。</v>
      </c>
      <c r="K31" s="25" t="str">
        <f>IFERROR(__xludf.DUMMYFUNCTION("GOOGLETRANSLATE(B31, ""en"", ""vi"")"),"Làm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f>
        <v>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v>
      </c>
      <c r="L31" s="26" t="str">
        <f>IFERROR(__xludf.DUMMYFUNCTION("GOOGLETRANSLATE(B31, ""en"", ""hr"")"),"Kako korisno da ste klanu. Utječe koliko udarpoena strukture uobličiti imate, i koliko energije se stvara kada se donirati slavu. Poboljšat lukavost bazne strukture i napajanje generatora.")</f>
        <v>Kako korisno da ste klanu. Utječe koliko udarpoena strukture uobličiti imate, i koliko energije se stvara kada se donirati slavu. Poboljšat lukavost bazne strukture i napajanje generatora.</v>
      </c>
      <c r="M31" s="28"/>
      <c r="N31" s="28"/>
      <c r="O31" s="28"/>
      <c r="P31" s="28"/>
      <c r="Q31" s="28"/>
      <c r="R31" s="28"/>
      <c r="S31" s="28"/>
      <c r="T31" s="28"/>
      <c r="U31" s="28"/>
      <c r="V31" s="28"/>
      <c r="W31" s="28"/>
      <c r="X31" s="28"/>
      <c r="Y31" s="28"/>
      <c r="Z31" s="28"/>
      <c r="AA31" s="28"/>
      <c r="AB31" s="28"/>
    </row>
    <row r="32">
      <c r="A32" s="34"/>
      <c r="B32" s="35"/>
      <c r="C32" s="30"/>
      <c r="D32" s="30"/>
      <c r="E32" s="30"/>
      <c r="F32" s="30"/>
      <c r="G32" s="30"/>
      <c r="H32" s="31"/>
      <c r="I32" s="30"/>
      <c r="J32" s="32"/>
      <c r="K32" s="32"/>
      <c r="L32" s="33"/>
      <c r="M32" s="28"/>
      <c r="N32" s="28"/>
      <c r="O32" s="28"/>
      <c r="P32" s="28"/>
      <c r="Q32" s="28"/>
      <c r="R32" s="28"/>
      <c r="S32" s="28"/>
      <c r="T32" s="28"/>
      <c r="U32" s="28"/>
      <c r="V32" s="28"/>
      <c r="W32" s="28"/>
      <c r="X32" s="28"/>
      <c r="Y32" s="28"/>
      <c r="Z32" s="28"/>
      <c r="AA32" s="28"/>
      <c r="AB32" s="28"/>
    </row>
    <row r="33">
      <c r="A33" s="34"/>
      <c r="B33" s="35"/>
      <c r="C33" s="30"/>
      <c r="D33" s="30"/>
      <c r="E33" s="30"/>
      <c r="F33" s="30"/>
      <c r="G33" s="30"/>
      <c r="H33" s="31"/>
      <c r="I33" s="30"/>
      <c r="J33" s="32"/>
      <c r="K33" s="32"/>
      <c r="L33" s="33"/>
      <c r="M33" s="28"/>
      <c r="N33" s="28"/>
      <c r="O33" s="28"/>
      <c r="P33" s="28"/>
      <c r="Q33" s="28"/>
      <c r="R33" s="28"/>
      <c r="S33" s="28"/>
      <c r="T33" s="28"/>
      <c r="U33" s="28"/>
      <c r="V33" s="28"/>
      <c r="W33" s="28"/>
      <c r="X33" s="28"/>
      <c r="Y33" s="28"/>
      <c r="Z33" s="28"/>
      <c r="AA33" s="28"/>
      <c r="AB33" s="28"/>
    </row>
    <row r="34">
      <c r="A34" s="34"/>
      <c r="B34" s="35"/>
      <c r="C34" s="30"/>
      <c r="D34" s="30"/>
      <c r="E34" s="30"/>
      <c r="F34" s="30"/>
      <c r="G34" s="30"/>
      <c r="H34" s="31"/>
      <c r="I34" s="30"/>
      <c r="J34" s="32"/>
      <c r="K34" s="32"/>
      <c r="L34" s="33"/>
      <c r="M34" s="28"/>
      <c r="N34" s="28"/>
      <c r="O34" s="28"/>
      <c r="P34" s="28"/>
      <c r="Q34" s="28"/>
      <c r="R34" s="28"/>
      <c r="S34" s="28"/>
      <c r="T34" s="28"/>
      <c r="U34" s="28"/>
      <c r="V34" s="28"/>
      <c r="W34" s="28"/>
      <c r="X34" s="28"/>
      <c r="Y34" s="28"/>
      <c r="Z34" s="28"/>
      <c r="AA34" s="28"/>
      <c r="AB34" s="28"/>
    </row>
    <row r="35">
      <c r="A35" s="34"/>
      <c r="B35" s="35"/>
      <c r="C35" s="30"/>
      <c r="D35" s="30"/>
      <c r="E35" s="30"/>
      <c r="F35" s="30"/>
      <c r="G35" s="30"/>
      <c r="H35" s="31"/>
      <c r="I35" s="30"/>
      <c r="J35" s="32"/>
      <c r="K35" s="32"/>
      <c r="L35" s="33"/>
      <c r="M35" s="28"/>
      <c r="N35" s="28"/>
      <c r="O35" s="28"/>
      <c r="P35" s="28"/>
      <c r="Q35" s="28"/>
      <c r="R35" s="28"/>
      <c r="S35" s="28"/>
      <c r="T35" s="28"/>
      <c r="U35" s="28"/>
      <c r="V35" s="28"/>
      <c r="W35" s="28"/>
      <c r="X35" s="28"/>
      <c r="Y35" s="28"/>
      <c r="Z35" s="28"/>
      <c r="AA35" s="28"/>
      <c r="AB35" s="28"/>
    </row>
    <row r="36">
      <c r="A36" s="34"/>
      <c r="B36" s="35"/>
      <c r="C36" s="30"/>
      <c r="D36" s="30"/>
      <c r="E36" s="30"/>
      <c r="F36" s="30"/>
      <c r="G36" s="30"/>
      <c r="H36" s="31"/>
      <c r="I36" s="30"/>
      <c r="J36" s="32"/>
      <c r="K36" s="32"/>
      <c r="L36" s="33"/>
      <c r="M36" s="28"/>
      <c r="N36" s="28"/>
      <c r="O36" s="28"/>
      <c r="P36" s="28"/>
      <c r="Q36" s="28"/>
      <c r="R36" s="28"/>
      <c r="S36" s="28"/>
      <c r="T36" s="28"/>
      <c r="U36" s="28"/>
      <c r="V36" s="28"/>
      <c r="W36" s="28"/>
      <c r="X36" s="28"/>
      <c r="Y36" s="28"/>
      <c r="Z36" s="28"/>
      <c r="AA36" s="28"/>
      <c r="AB36" s="28"/>
    </row>
    <row r="37">
      <c r="A37" s="34"/>
      <c r="B37" s="35"/>
      <c r="C37" s="30"/>
      <c r="D37" s="30"/>
      <c r="E37" s="30"/>
      <c r="F37" s="30"/>
      <c r="G37" s="30"/>
      <c r="H37" s="31"/>
      <c r="I37" s="30"/>
      <c r="J37" s="32"/>
      <c r="K37" s="32"/>
      <c r="L37" s="33"/>
      <c r="M37" s="28"/>
      <c r="N37" s="28"/>
      <c r="O37" s="28"/>
      <c r="P37" s="28"/>
      <c r="Q37" s="28"/>
      <c r="R37" s="28"/>
      <c r="S37" s="28"/>
      <c r="T37" s="28"/>
      <c r="U37" s="28"/>
      <c r="V37" s="28"/>
      <c r="W37" s="28"/>
      <c r="X37" s="28"/>
      <c r="Y37" s="28"/>
      <c r="Z37" s="28"/>
      <c r="AA37" s="28"/>
      <c r="AB37" s="28"/>
    </row>
    <row r="38">
      <c r="A38" s="34"/>
      <c r="B38" s="35"/>
      <c r="C38" s="30"/>
      <c r="D38" s="30"/>
      <c r="E38" s="30"/>
      <c r="F38" s="30"/>
      <c r="G38" s="30"/>
      <c r="H38" s="31"/>
      <c r="I38" s="30"/>
      <c r="J38" s="32"/>
      <c r="K38" s="32"/>
      <c r="L38" s="33"/>
      <c r="M38" s="28"/>
      <c r="N38" s="28"/>
      <c r="O38" s="28"/>
      <c r="P38" s="28"/>
      <c r="Q38" s="28"/>
      <c r="R38" s="28"/>
      <c r="S38" s="28"/>
      <c r="T38" s="28"/>
      <c r="U38" s="28"/>
      <c r="V38" s="28"/>
      <c r="W38" s="28"/>
      <c r="X38" s="28"/>
      <c r="Y38" s="28"/>
      <c r="Z38" s="28"/>
      <c r="AA38" s="28"/>
      <c r="AB38" s="28"/>
    </row>
    <row r="39">
      <c r="A39" s="34"/>
      <c r="B39" s="35"/>
      <c r="C39" s="30"/>
      <c r="D39" s="30"/>
      <c r="E39" s="30"/>
      <c r="F39" s="30"/>
      <c r="G39" s="30"/>
      <c r="H39" s="31"/>
      <c r="I39" s="30"/>
      <c r="J39" s="32"/>
      <c r="K39" s="32"/>
      <c r="L39" s="33"/>
      <c r="M39" s="28"/>
      <c r="N39" s="28"/>
      <c r="O39" s="28"/>
      <c r="P39" s="28"/>
      <c r="Q39" s="28"/>
      <c r="R39" s="28"/>
      <c r="S39" s="28"/>
      <c r="T39" s="28"/>
      <c r="U39" s="28"/>
      <c r="V39" s="28"/>
      <c r="W39" s="28"/>
      <c r="X39" s="28"/>
      <c r="Y39" s="28"/>
      <c r="Z39" s="28"/>
      <c r="AA39" s="28"/>
      <c r="AB39" s="28"/>
    </row>
    <row r="40">
      <c r="A40" s="34"/>
      <c r="B40" s="35"/>
      <c r="C40" s="30"/>
      <c r="D40" s="30"/>
      <c r="E40" s="30"/>
      <c r="F40" s="30"/>
      <c r="G40" s="30"/>
      <c r="H40" s="31"/>
      <c r="I40" s="30"/>
      <c r="J40" s="32"/>
      <c r="K40" s="32"/>
      <c r="L40" s="33"/>
      <c r="M40" s="28"/>
      <c r="N40" s="28"/>
      <c r="O40" s="28"/>
      <c r="P40" s="28"/>
      <c r="Q40" s="28"/>
      <c r="R40" s="28"/>
      <c r="S40" s="28"/>
      <c r="T40" s="28"/>
      <c r="U40" s="28"/>
      <c r="V40" s="28"/>
      <c r="W40" s="28"/>
      <c r="X40" s="28"/>
      <c r="Y40" s="28"/>
      <c r="Z40" s="28"/>
      <c r="AA40" s="28"/>
      <c r="AB40" s="28"/>
    </row>
    <row r="41">
      <c r="A41" s="34"/>
      <c r="B41" s="35"/>
      <c r="C41" s="30"/>
      <c r="D41" s="30"/>
      <c r="E41" s="30"/>
      <c r="F41" s="30"/>
      <c r="G41" s="30"/>
      <c r="H41" s="31"/>
      <c r="I41" s="30"/>
      <c r="J41" s="32"/>
      <c r="K41" s="32"/>
      <c r="L41" s="33"/>
      <c r="M41" s="28"/>
      <c r="N41" s="28"/>
      <c r="O41" s="28"/>
      <c r="P41" s="28"/>
      <c r="Q41" s="28"/>
      <c r="R41" s="28"/>
      <c r="S41" s="28"/>
      <c r="T41" s="28"/>
      <c r="U41" s="28"/>
      <c r="V41" s="28"/>
      <c r="W41" s="28"/>
      <c r="X41" s="28"/>
      <c r="Y41" s="28"/>
      <c r="Z41" s="28"/>
      <c r="AA41" s="28"/>
      <c r="AB41" s="28"/>
    </row>
    <row r="42">
      <c r="A42" s="34"/>
      <c r="B42" s="35"/>
      <c r="C42" s="30"/>
      <c r="D42" s="30"/>
      <c r="E42" s="30"/>
      <c r="F42" s="30"/>
      <c r="G42" s="30"/>
      <c r="H42" s="31"/>
      <c r="I42" s="30"/>
      <c r="J42" s="32"/>
      <c r="K42" s="32"/>
      <c r="L42" s="33"/>
      <c r="M42" s="28"/>
      <c r="N42" s="28"/>
      <c r="O42" s="28"/>
      <c r="P42" s="28"/>
      <c r="Q42" s="28"/>
      <c r="R42" s="28"/>
      <c r="S42" s="28"/>
      <c r="T42" s="28"/>
      <c r="U42" s="28"/>
      <c r="V42" s="28"/>
      <c r="W42" s="28"/>
      <c r="X42" s="28"/>
      <c r="Y42" s="28"/>
      <c r="Z42" s="28"/>
      <c r="AA42" s="28"/>
      <c r="AB42" s="28"/>
    </row>
    <row r="43">
      <c r="A43" s="34"/>
      <c r="B43" s="35"/>
      <c r="C43" s="30"/>
      <c r="D43" s="30"/>
      <c r="E43" s="30"/>
      <c r="F43" s="30"/>
      <c r="G43" s="30"/>
      <c r="H43" s="31"/>
      <c r="I43" s="30"/>
      <c r="J43" s="32"/>
      <c r="K43" s="32"/>
      <c r="L43" s="33"/>
      <c r="M43" s="28"/>
      <c r="N43" s="28"/>
      <c r="O43" s="28"/>
      <c r="P43" s="28"/>
      <c r="Q43" s="28"/>
      <c r="R43" s="28"/>
      <c r="S43" s="28"/>
      <c r="T43" s="28"/>
      <c r="U43" s="28"/>
      <c r="V43" s="28"/>
      <c r="W43" s="28"/>
      <c r="X43" s="28"/>
      <c r="Y43" s="28"/>
      <c r="Z43" s="28"/>
      <c r="AA43" s="28"/>
      <c r="AB43" s="28"/>
    </row>
    <row r="44">
      <c r="A44" s="34"/>
      <c r="B44" s="35"/>
      <c r="C44" s="30"/>
      <c r="D44" s="30"/>
      <c r="E44" s="30"/>
      <c r="F44" s="30"/>
      <c r="G44" s="30"/>
      <c r="H44" s="31"/>
      <c r="I44" s="30"/>
      <c r="J44" s="32"/>
      <c r="K44" s="32"/>
      <c r="L44" s="33"/>
      <c r="M44" s="28"/>
      <c r="N44" s="28"/>
      <c r="O44" s="28"/>
      <c r="P44" s="28"/>
      <c r="Q44" s="28"/>
      <c r="R44" s="28"/>
      <c r="S44" s="28"/>
      <c r="T44" s="28"/>
      <c r="U44" s="28"/>
      <c r="V44" s="28"/>
      <c r="W44" s="28"/>
      <c r="X44" s="28"/>
      <c r="Y44" s="28"/>
      <c r="Z44" s="28"/>
      <c r="AA44" s="28"/>
      <c r="AB44" s="28"/>
    </row>
    <row r="45">
      <c r="A45" s="34"/>
      <c r="B45" s="35"/>
      <c r="C45" s="30"/>
      <c r="D45" s="30"/>
      <c r="E45" s="30"/>
      <c r="F45" s="30"/>
      <c r="G45" s="30"/>
      <c r="H45" s="31"/>
      <c r="I45" s="30"/>
      <c r="J45" s="32"/>
      <c r="K45" s="32"/>
      <c r="L45" s="33"/>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1"/>
      <c r="B91" s="36"/>
      <c r="C91" s="36"/>
      <c r="D91" s="36"/>
      <c r="E91" s="36"/>
      <c r="F91" s="36"/>
      <c r="G91" s="36"/>
      <c r="H91" s="37"/>
      <c r="I91" s="36"/>
      <c r="J91" s="38"/>
      <c r="K91" s="38"/>
      <c r="L91" s="39"/>
      <c r="M91" s="39"/>
      <c r="N91" s="39"/>
      <c r="O91" s="39"/>
      <c r="P91" s="39"/>
      <c r="Q91" s="39"/>
      <c r="R91" s="39"/>
      <c r="S91" s="39"/>
      <c r="T91" s="39"/>
      <c r="U91" s="39"/>
      <c r="V91" s="39"/>
      <c r="W91" s="39"/>
      <c r="X91" s="39"/>
      <c r="Y91" s="39"/>
      <c r="Z91" s="39"/>
      <c r="AA91" s="39"/>
      <c r="AB91" s="39"/>
    </row>
    <row r="92">
      <c r="A92" s="1"/>
      <c r="B92" s="36"/>
      <c r="C92" s="36"/>
      <c r="D92" s="36"/>
      <c r="E92" s="36"/>
      <c r="F92" s="36"/>
      <c r="G92" s="36"/>
      <c r="H92" s="37"/>
      <c r="I92" s="36"/>
      <c r="J92" s="38"/>
      <c r="K92" s="38"/>
      <c r="L92" s="39"/>
      <c r="M92" s="39"/>
      <c r="N92" s="39"/>
      <c r="O92" s="39"/>
      <c r="P92" s="39"/>
      <c r="Q92" s="39"/>
      <c r="R92" s="39"/>
      <c r="S92" s="39"/>
      <c r="T92" s="39"/>
      <c r="U92" s="39"/>
      <c r="V92" s="39"/>
      <c r="W92" s="39"/>
      <c r="X92" s="39"/>
      <c r="Y92" s="39"/>
      <c r="Z92" s="39"/>
      <c r="AA92" s="39"/>
      <c r="AB92" s="39"/>
    </row>
    <row r="93">
      <c r="A93" s="1"/>
      <c r="B93" s="36"/>
      <c r="C93" s="36"/>
      <c r="D93" s="36"/>
      <c r="E93" s="36"/>
      <c r="F93" s="36"/>
      <c r="G93" s="36"/>
      <c r="H93" s="37"/>
      <c r="I93" s="36"/>
      <c r="J93" s="38"/>
      <c r="K93" s="38"/>
      <c r="L93" s="39"/>
      <c r="M93" s="39"/>
      <c r="N93" s="39"/>
      <c r="O93" s="39"/>
      <c r="P93" s="39"/>
      <c r="Q93" s="39"/>
      <c r="R93" s="39"/>
      <c r="S93" s="39"/>
      <c r="T93" s="39"/>
      <c r="U93" s="39"/>
      <c r="V93" s="39"/>
      <c r="W93" s="39"/>
      <c r="X93" s="39"/>
      <c r="Y93" s="39"/>
      <c r="Z93" s="39"/>
      <c r="AA93" s="39"/>
      <c r="AB93" s="39"/>
    </row>
    <row r="94">
      <c r="A94" s="1"/>
      <c r="B94" s="36"/>
      <c r="C94" s="36"/>
      <c r="D94" s="36"/>
      <c r="E94" s="36"/>
      <c r="F94" s="36"/>
      <c r="G94" s="36"/>
      <c r="H94" s="37"/>
      <c r="I94" s="36"/>
      <c r="J94" s="38"/>
      <c r="K94" s="38"/>
      <c r="L94" s="39"/>
      <c r="M94" s="39"/>
      <c r="N94" s="39"/>
      <c r="O94" s="39"/>
      <c r="P94" s="39"/>
      <c r="Q94" s="39"/>
      <c r="R94" s="39"/>
      <c r="S94" s="39"/>
      <c r="T94" s="39"/>
      <c r="U94" s="39"/>
      <c r="V94" s="39"/>
      <c r="W94" s="39"/>
      <c r="X94" s="39"/>
      <c r="Y94" s="39"/>
      <c r="Z94" s="39"/>
      <c r="AA94" s="39"/>
      <c r="AB94" s="39"/>
    </row>
    <row r="95">
      <c r="A95" s="1"/>
      <c r="B95" s="36"/>
      <c r="C95" s="36"/>
      <c r="D95" s="36"/>
      <c r="E95" s="36"/>
      <c r="F95" s="36"/>
      <c r="G95" s="36"/>
      <c r="H95" s="37"/>
      <c r="I95" s="36"/>
      <c r="J95" s="38"/>
      <c r="K95" s="38"/>
      <c r="L95" s="39"/>
      <c r="M95" s="39"/>
      <c r="N95" s="39"/>
      <c r="O95" s="39"/>
      <c r="P95" s="39"/>
      <c r="Q95" s="39"/>
      <c r="R95" s="39"/>
      <c r="S95" s="39"/>
      <c r="T95" s="39"/>
      <c r="U95" s="39"/>
      <c r="V95" s="39"/>
      <c r="W95" s="39"/>
      <c r="X95" s="39"/>
      <c r="Y95" s="39"/>
      <c r="Z95" s="39"/>
      <c r="AA95" s="39"/>
      <c r="AB95" s="39"/>
    </row>
    <row r="96">
      <c r="A96" s="1"/>
      <c r="B96" s="36"/>
      <c r="C96" s="36"/>
      <c r="D96" s="36"/>
      <c r="E96" s="36"/>
      <c r="F96" s="36"/>
      <c r="G96" s="36"/>
      <c r="H96" s="37"/>
      <c r="I96" s="36"/>
      <c r="J96" s="38"/>
      <c r="K96" s="38"/>
      <c r="L96" s="39"/>
      <c r="M96" s="39"/>
      <c r="N96" s="39"/>
      <c r="O96" s="39"/>
      <c r="P96" s="39"/>
      <c r="Q96" s="39"/>
      <c r="R96" s="39"/>
      <c r="S96" s="39"/>
      <c r="T96" s="39"/>
      <c r="U96" s="39"/>
      <c r="V96" s="39"/>
      <c r="W96" s="39"/>
      <c r="X96" s="39"/>
      <c r="Y96" s="39"/>
      <c r="Z96" s="39"/>
      <c r="AA96" s="39"/>
      <c r="AB96" s="39"/>
    </row>
    <row r="97">
      <c r="A97" s="1"/>
      <c r="B97" s="36"/>
      <c r="C97" s="36"/>
      <c r="D97" s="36"/>
      <c r="E97" s="36"/>
      <c r="F97" s="36"/>
      <c r="G97" s="36"/>
      <c r="H97" s="37"/>
      <c r="I97" s="36"/>
      <c r="J97" s="38"/>
      <c r="K97" s="38"/>
      <c r="L97" s="39"/>
      <c r="M97" s="39"/>
      <c r="N97" s="39"/>
      <c r="O97" s="39"/>
      <c r="P97" s="39"/>
      <c r="Q97" s="39"/>
      <c r="R97" s="39"/>
      <c r="S97" s="39"/>
      <c r="T97" s="39"/>
      <c r="U97" s="39"/>
      <c r="V97" s="39"/>
      <c r="W97" s="39"/>
      <c r="X97" s="39"/>
      <c r="Y97" s="39"/>
      <c r="Z97" s="39"/>
      <c r="AA97" s="39"/>
      <c r="AB97" s="39"/>
    </row>
    <row r="98">
      <c r="A98" s="1"/>
      <c r="B98" s="36"/>
      <c r="C98" s="36"/>
      <c r="D98" s="36"/>
      <c r="E98" s="36"/>
      <c r="F98" s="36"/>
      <c r="G98" s="36"/>
      <c r="H98" s="37"/>
      <c r="I98" s="36"/>
      <c r="J98" s="38"/>
      <c r="K98" s="38"/>
      <c r="L98" s="39"/>
      <c r="M98" s="39"/>
      <c r="N98" s="39"/>
      <c r="O98" s="39"/>
      <c r="P98" s="39"/>
      <c r="Q98" s="39"/>
      <c r="R98" s="39"/>
      <c r="S98" s="39"/>
      <c r="T98" s="39"/>
      <c r="U98" s="39"/>
      <c r="V98" s="39"/>
      <c r="W98" s="39"/>
      <c r="X98" s="39"/>
      <c r="Y98" s="39"/>
      <c r="Z98" s="39"/>
      <c r="AA98" s="39"/>
      <c r="AB98" s="39"/>
    </row>
    <row r="99">
      <c r="A99" s="1"/>
      <c r="B99" s="36"/>
      <c r="C99" s="36"/>
      <c r="D99" s="36"/>
      <c r="E99" s="36"/>
      <c r="F99" s="36"/>
      <c r="G99" s="36"/>
      <c r="H99" s="37"/>
      <c r="I99" s="36"/>
      <c r="J99" s="38"/>
      <c r="K99" s="38"/>
      <c r="L99" s="39"/>
      <c r="M99" s="39"/>
      <c r="N99" s="39"/>
      <c r="O99" s="39"/>
      <c r="P99" s="39"/>
      <c r="Q99" s="39"/>
      <c r="R99" s="39"/>
      <c r="S99" s="39"/>
      <c r="T99" s="39"/>
      <c r="U99" s="39"/>
      <c r="V99" s="39"/>
      <c r="W99" s="39"/>
      <c r="X99" s="39"/>
      <c r="Y99" s="39"/>
      <c r="Z99" s="39"/>
      <c r="AA99" s="39"/>
      <c r="AB99" s="39"/>
    </row>
    <row r="100">
      <c r="A100" s="1"/>
      <c r="B100" s="36"/>
      <c r="C100" s="36"/>
      <c r="D100" s="36"/>
      <c r="E100" s="36"/>
      <c r="F100" s="36"/>
      <c r="G100" s="36"/>
      <c r="H100" s="37"/>
      <c r="I100" s="36"/>
      <c r="J100" s="38"/>
      <c r="K100" s="38"/>
      <c r="L100" s="39"/>
      <c r="M100" s="39"/>
      <c r="N100" s="39"/>
      <c r="O100" s="39"/>
      <c r="P100" s="39"/>
      <c r="Q100" s="39"/>
      <c r="R100" s="39"/>
      <c r="S100" s="39"/>
      <c r="T100" s="39"/>
      <c r="U100" s="39"/>
      <c r="V100" s="39"/>
      <c r="W100" s="39"/>
      <c r="X100" s="39"/>
      <c r="Y100" s="39"/>
      <c r="Z100" s="39"/>
      <c r="AA100" s="39"/>
      <c r="AB100" s="39"/>
    </row>
    <row r="101">
      <c r="A101" s="1"/>
      <c r="B101" s="36"/>
      <c r="C101" s="36"/>
      <c r="D101" s="36"/>
      <c r="E101" s="36"/>
      <c r="F101" s="36"/>
      <c r="G101" s="36"/>
      <c r="H101" s="37"/>
      <c r="I101" s="36"/>
      <c r="J101" s="38"/>
      <c r="K101" s="38"/>
      <c r="L101" s="39"/>
      <c r="M101" s="39"/>
      <c r="N101" s="39"/>
      <c r="O101" s="39"/>
      <c r="P101" s="39"/>
      <c r="Q101" s="39"/>
      <c r="R101" s="39"/>
      <c r="S101" s="39"/>
      <c r="T101" s="39"/>
      <c r="U101" s="39"/>
      <c r="V101" s="39"/>
      <c r="W101" s="39"/>
      <c r="X101" s="39"/>
      <c r="Y101" s="39"/>
      <c r="Z101" s="39"/>
      <c r="AA101" s="39"/>
      <c r="AB101" s="39"/>
    </row>
    <row r="102">
      <c r="A102" s="1"/>
      <c r="B102" s="36"/>
      <c r="C102" s="36"/>
      <c r="D102" s="36"/>
      <c r="E102" s="36"/>
      <c r="F102" s="36"/>
      <c r="G102" s="36"/>
      <c r="H102" s="37"/>
      <c r="I102" s="36"/>
      <c r="J102" s="38"/>
      <c r="K102" s="38"/>
      <c r="L102" s="39"/>
      <c r="M102" s="39"/>
      <c r="N102" s="39"/>
      <c r="O102" s="39"/>
      <c r="P102" s="39"/>
      <c r="Q102" s="39"/>
      <c r="R102" s="39"/>
      <c r="S102" s="39"/>
      <c r="T102" s="39"/>
      <c r="U102" s="39"/>
      <c r="V102" s="39"/>
      <c r="W102" s="39"/>
      <c r="X102" s="39"/>
      <c r="Y102" s="39"/>
      <c r="Z102" s="39"/>
      <c r="AA102" s="39"/>
      <c r="AB102" s="39"/>
    </row>
    <row r="103">
      <c r="A103" s="1"/>
      <c r="B103" s="36"/>
      <c r="C103" s="36"/>
      <c r="D103" s="36"/>
      <c r="E103" s="36"/>
      <c r="F103" s="36"/>
      <c r="G103" s="36"/>
      <c r="H103" s="37"/>
      <c r="I103" s="36"/>
      <c r="J103" s="38"/>
      <c r="K103" s="38"/>
      <c r="L103" s="39"/>
      <c r="M103" s="39"/>
      <c r="N103" s="39"/>
      <c r="O103" s="39"/>
      <c r="P103" s="39"/>
      <c r="Q103" s="39"/>
      <c r="R103" s="39"/>
      <c r="S103" s="39"/>
      <c r="T103" s="39"/>
      <c r="U103" s="39"/>
      <c r="V103" s="39"/>
      <c r="W103" s="39"/>
      <c r="X103" s="39"/>
      <c r="Y103" s="39"/>
      <c r="Z103" s="39"/>
      <c r="AA103" s="39"/>
      <c r="AB103" s="39"/>
    </row>
    <row r="104">
      <c r="A104" s="1"/>
      <c r="B104" s="36"/>
      <c r="C104" s="36"/>
      <c r="D104" s="36"/>
      <c r="E104" s="36"/>
      <c r="F104" s="36"/>
      <c r="G104" s="36"/>
      <c r="H104" s="37"/>
      <c r="I104" s="36"/>
      <c r="J104" s="38"/>
      <c r="K104" s="38"/>
      <c r="L104" s="39"/>
      <c r="M104" s="39"/>
      <c r="N104" s="39"/>
      <c r="O104" s="39"/>
      <c r="P104" s="39"/>
      <c r="Q104" s="39"/>
      <c r="R104" s="39"/>
      <c r="S104" s="39"/>
      <c r="T104" s="39"/>
      <c r="U104" s="39"/>
      <c r="V104" s="39"/>
      <c r="W104" s="39"/>
      <c r="X104" s="39"/>
      <c r="Y104" s="39"/>
      <c r="Z104" s="39"/>
      <c r="AA104" s="39"/>
      <c r="AB104" s="39"/>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808</v>
      </c>
      <c r="B9" s="22" t="s">
        <v>809</v>
      </c>
      <c r="C9" s="23" t="str">
        <f>IFERROR(__xludf.DUMMYFUNCTION("GOOGLETRANSLATE(B9, ""en"", ""fr"")"),"rats tuer")</f>
        <v>rats tuer</v>
      </c>
      <c r="D9" s="23" t="str">
        <f>IFERROR(__xludf.DUMMYFUNCTION("GOOGLETRANSLATE(B9, ""en"", ""es"")"),"ratas Kill")</f>
        <v>ratas Kill</v>
      </c>
      <c r="E9" s="23" t="str">
        <f>IFERROR(__xludf.DUMMYFUNCTION("GOOGLETRANSLATE(B9, ""en"", ""ru"")"),"крысы убийств")</f>
        <v>крысы убийств</v>
      </c>
      <c r="F9" s="23" t="str">
        <f>IFERROR(__xludf.DUMMYFUNCTION("GOOGLETRANSLATE(B9, ""en"", ""tr"")"),"öldür sıçanlar")</f>
        <v>öldür sıçanlar</v>
      </c>
      <c r="G9" s="23" t="str">
        <f>IFERROR(__xludf.DUMMYFUNCTION("GOOGLETRANSLATE(B9, ""en"", ""pt"")"),"ratos Matar")</f>
        <v>ratos Matar</v>
      </c>
      <c r="H9" s="24" t="str">
        <f>IFERROR(__xludf.DUMMYFUNCTION("GOOGLETRANSLATE(B9, ""en"", ""de"")"),"Kill-Ratten")</f>
        <v>Kill-Ratten</v>
      </c>
      <c r="I9" s="23" t="str">
        <f>IFERROR(__xludf.DUMMYFUNCTION("GOOGLETRANSLATE(B9, ""en"", ""pl"")"),"Zabij szczury")</f>
        <v>Zabij szczury</v>
      </c>
      <c r="J9" s="25" t="str">
        <f>IFERROR(__xludf.DUMMYFUNCTION("GOOGLETRANSLATE(B9, ""en"", ""zh"")"),"杀老鼠")</f>
        <v>杀老鼠</v>
      </c>
      <c r="K9" s="25" t="str">
        <f>IFERROR(__xludf.DUMMYFUNCTION("GOOGLETRANSLATE(B9, ""en"", ""vi"")"),"chuột Kill")</f>
        <v>chuột Kill</v>
      </c>
      <c r="L9" s="26" t="str">
        <f>IFERROR(__xludf.DUMMYFUNCTION("GOOGLETRANSLATE(B9, ""en"", ""hr"")"),"ubiti štakori")</f>
        <v>ubiti štakori</v>
      </c>
      <c r="M9" s="28"/>
      <c r="N9" s="28"/>
      <c r="O9" s="28"/>
      <c r="P9" s="28"/>
      <c r="Q9" s="28"/>
      <c r="R9" s="28"/>
      <c r="S9" s="28"/>
      <c r="T9" s="28"/>
      <c r="U9" s="28"/>
      <c r="V9" s="28"/>
      <c r="W9" s="28"/>
      <c r="X9" s="28"/>
      <c r="Y9" s="28"/>
      <c r="Z9" s="28"/>
      <c r="AA9" s="28"/>
      <c r="AB9" s="28"/>
    </row>
    <row r="10">
      <c r="A10" s="21" t="s">
        <v>810</v>
      </c>
      <c r="B10" s="22" t="s">
        <v>811</v>
      </c>
      <c r="C10" s="23" t="str">
        <f>IFERROR(__xludf.DUMMYFUNCTION("GOOGLETRANSLATE(B10, ""en"", ""fr"")"),"chauves-souris Tuez")</f>
        <v>chauves-souris Tuez</v>
      </c>
      <c r="D10" s="23" t="str">
        <f>IFERROR(__xludf.DUMMYFUNCTION("GOOGLETRANSLATE(B10, ""en"", ""es"")"),"murciélagos Kill")</f>
        <v>murciélagos Kill</v>
      </c>
      <c r="E10" s="23" t="str">
        <f>IFERROR(__xludf.DUMMYFUNCTION("GOOGLETRANSLATE(B10, ""en"", ""ru"")"),"Убить летучих мышей")</f>
        <v>Убить летучих мышей</v>
      </c>
      <c r="F10" s="23" t="str">
        <f>IFERROR(__xludf.DUMMYFUNCTION("GOOGLETRANSLATE(B10, ""en"", ""tr"")"),"öldür yarasalar")</f>
        <v>öldür yarasalar</v>
      </c>
      <c r="G10" s="23" t="str">
        <f>IFERROR(__xludf.DUMMYFUNCTION("GOOGLETRANSLATE(B10, ""en"", ""pt"")"),"morcegos Matar")</f>
        <v>morcegos Matar</v>
      </c>
      <c r="H10" s="24" t="str">
        <f>IFERROR(__xludf.DUMMYFUNCTION("GOOGLETRANSLATE(B10, ""en"", ""de"")"),"Kill Fledermäuse")</f>
        <v>Kill Fledermäuse</v>
      </c>
      <c r="I10" s="23" t="str">
        <f>IFERROR(__xludf.DUMMYFUNCTION("GOOGLETRANSLATE(B10, ""en"", ""pl"")"),"Zabij nietoperze")</f>
        <v>Zabij nietoperze</v>
      </c>
      <c r="J10" s="25" t="str">
        <f>IFERROR(__xludf.DUMMYFUNCTION("GOOGLETRANSLATE(B10, ""en"", ""zh"")"),"杀死蝙蝠")</f>
        <v>杀死蝙蝠</v>
      </c>
      <c r="K10" s="25" t="str">
        <f>IFERROR(__xludf.DUMMYFUNCTION("GOOGLETRANSLATE(B10, ""en"", ""vi"")"),"dơi Kill")</f>
        <v>dơi Kill</v>
      </c>
      <c r="L10" s="26" t="str">
        <f>IFERROR(__xludf.DUMMYFUNCTION("GOOGLETRANSLATE(B10, ""en"", ""hr"")"),"ubiti šišmiši")</f>
        <v>ubiti šišmiši</v>
      </c>
      <c r="M10" s="28"/>
      <c r="N10" s="28"/>
      <c r="O10" s="28"/>
      <c r="P10" s="28"/>
      <c r="Q10" s="28"/>
      <c r="R10" s="28"/>
      <c r="S10" s="28"/>
      <c r="T10" s="28"/>
      <c r="U10" s="28"/>
      <c r="V10" s="28"/>
      <c r="W10" s="28"/>
      <c r="X10" s="28"/>
      <c r="Y10" s="28"/>
      <c r="Z10" s="28"/>
      <c r="AA10" s="28"/>
      <c r="AB10" s="28"/>
    </row>
    <row r="11">
      <c r="A11" s="21" t="s">
        <v>812</v>
      </c>
      <c r="B11" s="22" t="s">
        <v>813</v>
      </c>
      <c r="C11" s="23" t="str">
        <f>IFERROR(__xludf.DUMMYFUNCTION("GOOGLETRANSLATE(B11, ""en"", ""fr"")"),"Tuer des éperviers")</f>
        <v>Tuer des éperviers</v>
      </c>
      <c r="D11" s="23" t="str">
        <f>IFERROR(__xludf.DUMMYFUNCTION("GOOGLETRANSLATE(B11, ""en"", ""es"")"),"halcones Kill")</f>
        <v>halcones Kill</v>
      </c>
      <c r="E11" s="23" t="str">
        <f>IFERROR(__xludf.DUMMYFUNCTION("GOOGLETRANSLATE(B11, ""en"", ""ru"")"),"Убить ястребы")</f>
        <v>Убить ястребы</v>
      </c>
      <c r="F11" s="23" t="str">
        <f>IFERROR(__xludf.DUMMYFUNCTION("GOOGLETRANSLATE(B11, ""en"", ""tr"")"),"öldür şahinler")</f>
        <v>öldür şahinler</v>
      </c>
      <c r="G11" s="23" t="str">
        <f>IFERROR(__xludf.DUMMYFUNCTION("GOOGLETRANSLATE(B11, ""en"", ""pt"")"),"falcões Matar")</f>
        <v>falcões Matar</v>
      </c>
      <c r="H11" s="24" t="str">
        <f>IFERROR(__xludf.DUMMYFUNCTION("GOOGLETRANSLATE(B11, ""en"", ""de"")"),"Kill-Falken")</f>
        <v>Kill-Falken</v>
      </c>
      <c r="I11" s="23" t="str">
        <f>IFERROR(__xludf.DUMMYFUNCTION("GOOGLETRANSLATE(B11, ""en"", ""pl"")"),"jastrzębie kill")</f>
        <v>jastrzębie kill</v>
      </c>
      <c r="J11" s="25" t="str">
        <f>IFERROR(__xludf.DUMMYFUNCTION("GOOGLETRANSLATE(B11, ""en"", ""zh"")"),"杀老鹰")</f>
        <v>杀老鹰</v>
      </c>
      <c r="K11" s="25" t="str">
        <f>IFERROR(__xludf.DUMMYFUNCTION("GOOGLETRANSLATE(B11, ""en"", ""vi"")"),"diều hâu Kill")</f>
        <v>diều hâu Kill</v>
      </c>
      <c r="L11" s="26" t="str">
        <f>IFERROR(__xludf.DUMMYFUNCTION("GOOGLETRANSLATE(B11, ""en"", ""hr"")"),"ubiti jastrebovi")</f>
        <v>ubiti jastrebovi</v>
      </c>
      <c r="M11" s="28"/>
      <c r="N11" s="28"/>
      <c r="O11" s="28"/>
      <c r="P11" s="28"/>
      <c r="Q11" s="28"/>
      <c r="R11" s="28"/>
      <c r="S11" s="28"/>
      <c r="T11" s="28"/>
      <c r="U11" s="28"/>
      <c r="V11" s="28"/>
      <c r="W11" s="28"/>
      <c r="X11" s="28"/>
      <c r="Y11" s="28"/>
      <c r="Z11" s="28"/>
      <c r="AA11" s="28"/>
      <c r="AB11" s="28"/>
    </row>
    <row r="12">
      <c r="A12" s="21" t="s">
        <v>814</v>
      </c>
      <c r="B12" s="22" t="s">
        <v>815</v>
      </c>
      <c r="C12" s="23" t="str">
        <f>IFERROR(__xludf.DUMMYFUNCTION("GOOGLETRANSLATE(B12, ""en"", ""fr"")"),"Tuer snoovirs")</f>
        <v>Tuer snoovirs</v>
      </c>
      <c r="D12" s="23" t="str">
        <f>IFERROR(__xludf.DUMMYFUNCTION("GOOGLETRANSLATE(B12, ""en"", ""es"")"),"snoovirs Kill")</f>
        <v>snoovirs Kill</v>
      </c>
      <c r="E12" s="23" t="str">
        <f>IFERROR(__xludf.DUMMYFUNCTION("GOOGLETRANSLATE(B12, ""en"", ""ru"")"),"Убить snoovirs")</f>
        <v>Убить snoovirs</v>
      </c>
      <c r="F12" s="23" t="str">
        <f>IFERROR(__xludf.DUMMYFUNCTION("GOOGLETRANSLATE(B12, ""en"", ""tr"")"),"öldür snoovirs")</f>
        <v>öldür snoovirs</v>
      </c>
      <c r="G12" s="23" t="str">
        <f>IFERROR(__xludf.DUMMYFUNCTION("GOOGLETRANSLATE(B12, ""en"", ""pt"")"),"snoovirs Matar")</f>
        <v>snoovirs Matar</v>
      </c>
      <c r="H12" s="24" t="str">
        <f>IFERROR(__xludf.DUMMYFUNCTION("GOOGLETRANSLATE(B12, ""en"", ""de"")"),"Kill snoovirs")</f>
        <v>Kill snoovirs</v>
      </c>
      <c r="I12" s="23" t="str">
        <f>IFERROR(__xludf.DUMMYFUNCTION("GOOGLETRANSLATE(B12, ""en"", ""pl"")"),"snoovirs kill")</f>
        <v>snoovirs kill</v>
      </c>
      <c r="J12" s="25" t="str">
        <f>IFERROR(__xludf.DUMMYFUNCTION("GOOGLETRANSLATE(B12, ""en"", ""zh"")"),"杀snoovirs")</f>
        <v>杀snoovirs</v>
      </c>
      <c r="K12" s="25" t="str">
        <f>IFERROR(__xludf.DUMMYFUNCTION("GOOGLETRANSLATE(B12, ""en"", ""vi"")"),"snoovirs Kill")</f>
        <v>snoovirs Kill</v>
      </c>
      <c r="L12" s="26" t="str">
        <f>IFERROR(__xludf.DUMMYFUNCTION("GOOGLETRANSLATE(B12, ""en"", ""hr"")"),"ubiti snoovirs")</f>
        <v>ubiti snoovirs</v>
      </c>
      <c r="M12" s="28"/>
      <c r="N12" s="28"/>
      <c r="O12" s="28"/>
      <c r="P12" s="28"/>
      <c r="Q12" s="28"/>
      <c r="R12" s="28"/>
      <c r="S12" s="28"/>
      <c r="T12" s="28"/>
      <c r="U12" s="28"/>
      <c r="V12" s="28"/>
      <c r="W12" s="28"/>
      <c r="X12" s="28"/>
      <c r="Y12" s="28"/>
      <c r="Z12" s="28"/>
      <c r="AA12" s="28"/>
      <c r="AB12" s="28"/>
    </row>
    <row r="13">
      <c r="A13" s="21" t="s">
        <v>816</v>
      </c>
      <c r="B13" s="22" t="s">
        <v>817</v>
      </c>
      <c r="C13" s="23" t="str">
        <f>IFERROR(__xludf.DUMMYFUNCTION("GOOGLETRANSLATE(B13, ""en"", ""fr"")"),"Tuer garnements")</f>
        <v>Tuer garnements</v>
      </c>
      <c r="D13" s="23" t="str">
        <f>IFERROR(__xludf.DUMMYFUNCTION("GOOGLETRANSLATE(B13, ""en"", ""es"")"),"scamps Kill")</f>
        <v>scamps Kill</v>
      </c>
      <c r="E13" s="23" t="str">
        <f>IFERROR(__xludf.DUMMYFUNCTION("GOOGLETRANSLATE(B13, ""en"", ""ru"")"),"Убить проходимцы")</f>
        <v>Убить проходимцы</v>
      </c>
      <c r="F13" s="23" t="str">
        <f>IFERROR(__xludf.DUMMYFUNCTION("GOOGLETRANSLATE(B13, ""en"", ""tr"")"),"öldür Scamp")</f>
        <v>öldür Scamp</v>
      </c>
      <c r="G13" s="23" t="str">
        <f>IFERROR(__xludf.DUMMYFUNCTION("GOOGLETRANSLATE(B13, ""en"", ""pt"")"),"scamps Matar")</f>
        <v>scamps Matar</v>
      </c>
      <c r="H13" s="24" t="str">
        <f>IFERROR(__xludf.DUMMYFUNCTION("GOOGLETRANSLATE(B13, ""en"", ""de"")"),"Kill scamps")</f>
        <v>Kill scamps</v>
      </c>
      <c r="I13" s="23" t="str">
        <f>IFERROR(__xludf.DUMMYFUNCTION("GOOGLETRANSLATE(B13, ""en"", ""pl"")"),"scamps kill")</f>
        <v>scamps kill</v>
      </c>
      <c r="J13" s="25" t="str">
        <f>IFERROR(__xludf.DUMMYFUNCTION("GOOGLETRANSLATE(B13, ""en"", ""zh"")"),"杀scamps")</f>
        <v>杀scamps</v>
      </c>
      <c r="K13" s="25" t="str">
        <f>IFERROR(__xludf.DUMMYFUNCTION("GOOGLETRANSLATE(B13, ""en"", ""vi"")"),"scamps Kill")</f>
        <v>scamps Kill</v>
      </c>
      <c r="L13" s="26" t="str">
        <f>IFERROR(__xludf.DUMMYFUNCTION("GOOGLETRANSLATE(B13, ""en"", ""hr"")"),"ubiti scamps")</f>
        <v>ubiti scamps</v>
      </c>
      <c r="M13" s="28"/>
      <c r="N13" s="28"/>
      <c r="O13" s="28"/>
      <c r="P13" s="28"/>
      <c r="Q13" s="28"/>
      <c r="R13" s="28"/>
      <c r="S13" s="28"/>
      <c r="T13" s="28"/>
      <c r="U13" s="28"/>
      <c r="V13" s="28"/>
      <c r="W13" s="28"/>
      <c r="X13" s="28"/>
      <c r="Y13" s="28"/>
      <c r="Z13" s="28"/>
      <c r="AA13" s="28"/>
      <c r="AB13" s="28"/>
    </row>
    <row r="14">
      <c r="A14" s="21" t="s">
        <v>818</v>
      </c>
      <c r="B14" s="22" t="s">
        <v>819</v>
      </c>
      <c r="C14" s="23" t="str">
        <f>IFERROR(__xludf.DUMMYFUNCTION("GOOGLETRANSLATE(B14, ""en"", ""fr"")"),"Tuer des zombies")</f>
        <v>Tuer des zombies</v>
      </c>
      <c r="D14" s="23" t="str">
        <f>IFERROR(__xludf.DUMMYFUNCTION("GOOGLETRANSLATE(B14, ""en"", ""es"")"),"Matar zombis")</f>
        <v>Matar zombis</v>
      </c>
      <c r="E14" s="23" t="str">
        <f>IFERROR(__xludf.DUMMYFUNCTION("GOOGLETRANSLATE(B14, ""en"", ""ru"")"),"Убить зомби")</f>
        <v>Убить зомби</v>
      </c>
      <c r="F14" s="23" t="str">
        <f>IFERROR(__xludf.DUMMYFUNCTION("GOOGLETRANSLATE(B14, ""en"", ""tr"")"),"Zombileri öldür")</f>
        <v>Zombileri öldür</v>
      </c>
      <c r="G14" s="23" t="str">
        <f>IFERROR(__xludf.DUMMYFUNCTION("GOOGLETRANSLATE(B14, ""en"", ""pt"")"),"Matar zumbis")</f>
        <v>Matar zumbis</v>
      </c>
      <c r="H14" s="24" t="str">
        <f>IFERROR(__xludf.DUMMYFUNCTION("GOOGLETRANSLATE(B14, ""en"", ""de"")"),"Kill Zombies")</f>
        <v>Kill Zombies</v>
      </c>
      <c r="I14" s="23" t="str">
        <f>IFERROR(__xludf.DUMMYFUNCTION("GOOGLETRANSLATE(B14, ""en"", ""pl"")"),"Zabić zombie")</f>
        <v>Zabić zombie</v>
      </c>
      <c r="J14" s="25" t="str">
        <f>IFERROR(__xludf.DUMMYFUNCTION("GOOGLETRANSLATE(B14, ""en"", ""zh"")"),"杀僵尸")</f>
        <v>杀僵尸</v>
      </c>
      <c r="K14" s="25" t="str">
        <f>IFERROR(__xludf.DUMMYFUNCTION("GOOGLETRANSLATE(B14, ""en"", ""vi"")"),"zombie giết")</f>
        <v>zombie giết</v>
      </c>
      <c r="L14" s="26" t="str">
        <f>IFERROR(__xludf.DUMMYFUNCTION("GOOGLETRANSLATE(B14, ""en"", ""hr"")"),"ubiti zombija")</f>
        <v>ubiti zombija</v>
      </c>
      <c r="M14" s="28"/>
      <c r="N14" s="28"/>
      <c r="O14" s="28"/>
      <c r="P14" s="28"/>
      <c r="Q14" s="28"/>
      <c r="R14" s="28"/>
      <c r="S14" s="28"/>
      <c r="T14" s="28"/>
      <c r="U14" s="28"/>
      <c r="V14" s="28"/>
      <c r="W14" s="28"/>
      <c r="X14" s="28"/>
      <c r="Y14" s="28"/>
      <c r="Z14" s="28"/>
      <c r="AA14" s="28"/>
      <c r="AB14" s="28"/>
    </row>
    <row r="15">
      <c r="A15" s="21" t="s">
        <v>820</v>
      </c>
      <c r="B15" s="22" t="s">
        <v>821</v>
      </c>
      <c r="C15" s="23" t="str">
        <f>IFERROR(__xludf.DUMMYFUNCTION("GOOGLETRANSLATE(B15, ""en"", ""fr"")"),"vampires tuer")</f>
        <v>vampires tuer</v>
      </c>
      <c r="D15" s="23" t="str">
        <f>IFERROR(__xludf.DUMMYFUNCTION("GOOGLETRANSLATE(B15, ""en"", ""es"")"),"vampiros Kill")</f>
        <v>vampiros Kill</v>
      </c>
      <c r="E15" s="23" t="str">
        <f>IFERROR(__xludf.DUMMYFUNCTION("GOOGLETRANSLATE(B15, ""en"", ""ru"")"),"Убить вампира")</f>
        <v>Убить вампира</v>
      </c>
      <c r="F15" s="23" t="str">
        <f>IFERROR(__xludf.DUMMYFUNCTION("GOOGLETRANSLATE(B15, ""en"", ""tr"")"),"öldür vampirler")</f>
        <v>öldür vampirler</v>
      </c>
      <c r="G15" s="23" t="str">
        <f>IFERROR(__xludf.DUMMYFUNCTION("GOOGLETRANSLATE(B15, ""en"", ""pt"")"),"vampiros Matar")</f>
        <v>vampiros Matar</v>
      </c>
      <c r="H15" s="24" t="str">
        <f>IFERROR(__xludf.DUMMYFUNCTION("GOOGLETRANSLATE(B15, ""en"", ""de"")"),"Kill-Vampir")</f>
        <v>Kill-Vampir</v>
      </c>
      <c r="I15" s="23" t="str">
        <f>IFERROR(__xludf.DUMMYFUNCTION("GOOGLETRANSLATE(B15, ""en"", ""pl"")"),"wampiry kill")</f>
        <v>wampiry kill</v>
      </c>
      <c r="J15" s="25" t="str">
        <f>IFERROR(__xludf.DUMMYFUNCTION("GOOGLETRANSLATE(B15, ""en"", ""zh"")"),"杀死吸血鬼")</f>
        <v>杀死吸血鬼</v>
      </c>
      <c r="K15" s="25" t="str">
        <f>IFERROR(__xludf.DUMMYFUNCTION("GOOGLETRANSLATE(B15, ""en"", ""vi"")"),"ma cà rồng giết")</f>
        <v>ma cà rồng giết</v>
      </c>
      <c r="L15" s="26" t="str">
        <f>IFERROR(__xludf.DUMMYFUNCTION("GOOGLETRANSLATE(B15, ""en"", ""hr"")"),"ubiti vampira")</f>
        <v>ubiti vampira</v>
      </c>
      <c r="M15" s="28"/>
      <c r="N15" s="28"/>
      <c r="O15" s="28"/>
      <c r="P15" s="28"/>
      <c r="Q15" s="28"/>
      <c r="R15" s="28"/>
      <c r="S15" s="28"/>
      <c r="T15" s="28"/>
      <c r="U15" s="28"/>
      <c r="V15" s="28"/>
      <c r="W15" s="28"/>
      <c r="X15" s="28"/>
      <c r="Y15" s="28"/>
      <c r="Z15" s="28"/>
      <c r="AA15" s="28"/>
      <c r="AB15" s="28"/>
    </row>
    <row r="16">
      <c r="A16" s="21" t="s">
        <v>822</v>
      </c>
      <c r="B16" s="22" t="s">
        <v>823</v>
      </c>
      <c r="C16" s="23" t="str">
        <f>IFERROR(__xludf.DUMMYFUNCTION("GOOGLETRANSLATE(B16, ""en"", ""fr"")"),"Outlaws tuer")</f>
        <v>Outlaws tuer</v>
      </c>
      <c r="D16" s="23" t="str">
        <f>IFERROR(__xludf.DUMMYFUNCTION("GOOGLETRANSLATE(B16, ""en"", ""es"")"),"fuera de la ley Kill")</f>
        <v>fuera de la ley Kill</v>
      </c>
      <c r="E16" s="23" t="str">
        <f>IFERROR(__xludf.DUMMYFUNCTION("GOOGLETRANSLATE(B16, ""en"", ""ru"")"),"Убить разбойники")</f>
        <v>Убить разбойники</v>
      </c>
      <c r="F16" s="23" t="str">
        <f>IFERROR(__xludf.DUMMYFUNCTION("GOOGLETRANSLATE(B16, ""en"", ""tr"")"),"öldür haydutlar")</f>
        <v>öldür haydutlar</v>
      </c>
      <c r="G16" s="23" t="str">
        <f>IFERROR(__xludf.DUMMYFUNCTION("GOOGLETRANSLATE(B16, ""en"", ""pt"")"),"bandidos Matar")</f>
        <v>bandidos Matar</v>
      </c>
      <c r="H16" s="24" t="str">
        <f>IFERROR(__xludf.DUMMYFUNCTION("GOOGLETRANSLATE(B16, ""en"", ""de"")"),"Kill Geächteten")</f>
        <v>Kill Geächteten</v>
      </c>
      <c r="I16" s="23" t="str">
        <f>IFERROR(__xludf.DUMMYFUNCTION("GOOGLETRANSLATE(B16, ""en"", ""pl"")"),"banici kill")</f>
        <v>banici kill</v>
      </c>
      <c r="J16" s="25" t="str">
        <f>IFERROR(__xludf.DUMMYFUNCTION("GOOGLETRANSLATE(B16, ""en"", ""zh"")"),"歹徒杀死")</f>
        <v>歹徒杀死</v>
      </c>
      <c r="K16" s="25" t="str">
        <f>IFERROR(__xludf.DUMMYFUNCTION("GOOGLETRANSLATE(B16, ""en"", ""vi"")"),"ngoài vòng pháp luật Kill")</f>
        <v>ngoài vòng pháp luật Kill</v>
      </c>
      <c r="L16" s="26" t="str">
        <f>IFERROR(__xludf.DUMMYFUNCTION("GOOGLETRANSLATE(B16, ""en"", ""hr"")"),"ubiti odmetnicima")</f>
        <v>ubiti odmetnicima</v>
      </c>
      <c r="M16" s="28"/>
      <c r="N16" s="28"/>
      <c r="O16" s="28"/>
      <c r="P16" s="28"/>
      <c r="Q16" s="28"/>
      <c r="R16" s="28"/>
      <c r="S16" s="28"/>
      <c r="T16" s="28"/>
      <c r="U16" s="28"/>
      <c r="V16" s="28"/>
      <c r="W16" s="28"/>
      <c r="X16" s="28"/>
      <c r="Y16" s="28"/>
      <c r="Z16" s="28"/>
      <c r="AA16" s="28"/>
      <c r="AB16" s="28"/>
    </row>
    <row r="17">
      <c r="A17" s="21" t="s">
        <v>824</v>
      </c>
      <c r="B17" s="22" t="s">
        <v>825</v>
      </c>
      <c r="C17" s="23" t="str">
        <f>IFERROR(__xludf.DUMMYFUNCTION("GOOGLETRANSLATE(B17, ""en"", ""fr"")"),"guerriers tuer")</f>
        <v>guerriers tuer</v>
      </c>
      <c r="D17" s="23" t="str">
        <f>IFERROR(__xludf.DUMMYFUNCTION("GOOGLETRANSLATE(B17, ""en"", ""es"")"),"guerreros Kill")</f>
        <v>guerreros Kill</v>
      </c>
      <c r="E17" s="23" t="str">
        <f>IFERROR(__xludf.DUMMYFUNCTION("GOOGLETRANSLATE(B17, ""en"", ""ru"")"),"Убейте воинов")</f>
        <v>Убейте воинов</v>
      </c>
      <c r="F17" s="23" t="str">
        <f>IFERROR(__xludf.DUMMYFUNCTION("GOOGLETRANSLATE(B17, ""en"", ""tr"")"),"öldür savaşçılar")</f>
        <v>öldür savaşçılar</v>
      </c>
      <c r="G17" s="23" t="str">
        <f>IFERROR(__xludf.DUMMYFUNCTION("GOOGLETRANSLATE(B17, ""en"", ""pt"")"),"guerreiros Matar")</f>
        <v>guerreiros Matar</v>
      </c>
      <c r="H17" s="24" t="str">
        <f>IFERROR(__xludf.DUMMYFUNCTION("GOOGLETRANSLATE(B17, ""en"", ""de"")"),"Kill-Krieger")</f>
        <v>Kill-Krieger</v>
      </c>
      <c r="I17" s="23" t="str">
        <f>IFERROR(__xludf.DUMMYFUNCTION("GOOGLETRANSLATE(B17, ""en"", ""pl"")"),"wojownicy kill")</f>
        <v>wojownicy kill</v>
      </c>
      <c r="J17" s="25" t="str">
        <f>IFERROR(__xludf.DUMMYFUNCTION("GOOGLETRANSLATE(B17, ""en"", ""zh"")"),"杀战士")</f>
        <v>杀战士</v>
      </c>
      <c r="K17" s="25" t="str">
        <f>IFERROR(__xludf.DUMMYFUNCTION("GOOGLETRANSLATE(B17, ""en"", ""vi"")"),"chiến binh giết")</f>
        <v>chiến binh giết</v>
      </c>
      <c r="L17" s="26" t="str">
        <f>IFERROR(__xludf.DUMMYFUNCTION("GOOGLETRANSLATE(B17, ""en"", ""hr"")"),"ubiti ratnici")</f>
        <v>ubiti ratnici</v>
      </c>
      <c r="M17" s="28"/>
      <c r="N17" s="28"/>
      <c r="O17" s="28"/>
      <c r="P17" s="28"/>
      <c r="Q17" s="28"/>
      <c r="R17" s="28"/>
      <c r="S17" s="28"/>
      <c r="T17" s="28"/>
      <c r="U17" s="28"/>
      <c r="V17" s="28"/>
      <c r="W17" s="28"/>
      <c r="X17" s="28"/>
      <c r="Y17" s="28"/>
      <c r="Z17" s="28"/>
      <c r="AA17" s="28"/>
      <c r="AB17" s="28"/>
    </row>
    <row r="18">
      <c r="A18" s="21" t="s">
        <v>826</v>
      </c>
      <c r="B18" s="22" t="s">
        <v>827</v>
      </c>
      <c r="C18" s="23" t="str">
        <f>IFERROR(__xludf.DUMMYFUNCTION("GOOGLETRANSLATE(B18, ""en"", ""fr"")"),"Tuez les gobelins")</f>
        <v>Tuez les gobelins</v>
      </c>
      <c r="D18" s="23" t="str">
        <f>IFERROR(__xludf.DUMMYFUNCTION("GOOGLETRANSLATE(B18, ""en"", ""es"")"),"duendes Kill")</f>
        <v>duendes Kill</v>
      </c>
      <c r="E18" s="23" t="str">
        <f>IFERROR(__xludf.DUMMYFUNCTION("GOOGLETRANSLATE(B18, ""en"", ""ru"")"),"Убейте гоблинов")</f>
        <v>Убейте гоблинов</v>
      </c>
      <c r="F18" s="23" t="str">
        <f>IFERROR(__xludf.DUMMYFUNCTION("GOOGLETRANSLATE(B18, ""en"", ""tr"")"),"öldür goblinler")</f>
        <v>öldür goblinler</v>
      </c>
      <c r="G18" s="23" t="str">
        <f>IFERROR(__xludf.DUMMYFUNCTION("GOOGLETRANSLATE(B18, ""en"", ""pt"")"),"goblins Matar")</f>
        <v>goblins Matar</v>
      </c>
      <c r="H18" s="24" t="str">
        <f>IFERROR(__xludf.DUMMYFUNCTION("GOOGLETRANSLATE(B18, ""en"", ""de"")"),"Kill-Kobolde")</f>
        <v>Kill-Kobolde</v>
      </c>
      <c r="I18" s="23" t="str">
        <f>IFERROR(__xludf.DUMMYFUNCTION("GOOGLETRANSLATE(B18, ""en"", ""pl"")"),"gobliny kill")</f>
        <v>gobliny kill</v>
      </c>
      <c r="J18" s="25" t="str">
        <f>IFERROR(__xludf.DUMMYFUNCTION("GOOGLETRANSLATE(B18, ""en"", ""zh"")"),"杀哥布林")</f>
        <v>杀哥布林</v>
      </c>
      <c r="K18" s="25" t="str">
        <f>IFERROR(__xludf.DUMMYFUNCTION("GOOGLETRANSLATE(B18, ""en"", ""vi"")"),"yêu tinh giết")</f>
        <v>yêu tinh giết</v>
      </c>
      <c r="L18" s="26" t="str">
        <f>IFERROR(__xludf.DUMMYFUNCTION("GOOGLETRANSLATE(B18, ""en"", ""hr"")"),"ubiti goblini")</f>
        <v>ubiti goblini</v>
      </c>
      <c r="M18" s="28"/>
      <c r="N18" s="28"/>
      <c r="O18" s="28"/>
      <c r="P18" s="28"/>
      <c r="Q18" s="28"/>
      <c r="R18" s="28"/>
      <c r="S18" s="28"/>
      <c r="T18" s="28"/>
      <c r="U18" s="28"/>
      <c r="V18" s="28"/>
      <c r="W18" s="28"/>
      <c r="X18" s="28"/>
      <c r="Y18" s="28"/>
      <c r="Z18" s="28"/>
      <c r="AA18" s="28"/>
      <c r="AB18" s="28"/>
    </row>
    <row r="19">
      <c r="A19" s="21" t="s">
        <v>828</v>
      </c>
      <c r="B19" s="22" t="s">
        <v>829</v>
      </c>
      <c r="C19" s="23" t="str">
        <f>IFERROR(__xludf.DUMMYFUNCTION("GOOGLETRANSLATE(B19, ""en"", ""fr"")"),"Tuer Gnarls")</f>
        <v>Tuer Gnarls</v>
      </c>
      <c r="D19" s="23" t="str">
        <f>IFERROR(__xludf.DUMMYFUNCTION("GOOGLETRANSLATE(B19, ""en"", ""es"")"),"Gnarls Kill")</f>
        <v>Gnarls Kill</v>
      </c>
      <c r="E19" s="23" t="str">
        <f>IFERROR(__xludf.DUMMYFUNCTION("GOOGLETRANSLATE(B19, ""en"", ""ru"")"),"Убить Gnarls")</f>
        <v>Убить Gnarls</v>
      </c>
      <c r="F19" s="23" t="str">
        <f>IFERROR(__xludf.DUMMYFUNCTION("GOOGLETRANSLATE(B19, ""en"", ""tr"")"),"öldür gnarls")</f>
        <v>öldür gnarls</v>
      </c>
      <c r="G19" s="23" t="str">
        <f>IFERROR(__xludf.DUMMYFUNCTION("GOOGLETRANSLATE(B19, ""en"", ""pt"")"),"gnarls Matar")</f>
        <v>gnarls Matar</v>
      </c>
      <c r="H19" s="24" t="str">
        <f>IFERROR(__xludf.DUMMYFUNCTION("GOOGLETRANSLATE(B19, ""en"", ""de"")"),"Kill gnarls")</f>
        <v>Kill gnarls</v>
      </c>
      <c r="I19" s="23" t="str">
        <f>IFERROR(__xludf.DUMMYFUNCTION("GOOGLETRANSLATE(B19, ""en"", ""pl"")"),"Gnarls kill")</f>
        <v>Gnarls kill</v>
      </c>
      <c r="J19" s="25" t="str">
        <f>IFERROR(__xludf.DUMMYFUNCTION("GOOGLETRANSLATE(B19, ""en"", ""zh"")"),"杀纳尔斯")</f>
        <v>杀纳尔斯</v>
      </c>
      <c r="K19" s="25" t="str">
        <f>IFERROR(__xludf.DUMMYFUNCTION("GOOGLETRANSLATE(B19, ""en"", ""vi"")"),"Gnarls Kill")</f>
        <v>Gnarls Kill</v>
      </c>
      <c r="L19" s="26" t="str">
        <f>IFERROR(__xludf.DUMMYFUNCTION("GOOGLETRANSLATE(B19, ""en"", ""hr"")"),"ubiti čvorovi")</f>
        <v>ubiti čvorovi</v>
      </c>
      <c r="M19" s="28"/>
      <c r="N19" s="28"/>
      <c r="O19" s="28"/>
      <c r="P19" s="28"/>
      <c r="Q19" s="28"/>
      <c r="R19" s="28"/>
      <c r="S19" s="28"/>
      <c r="T19" s="28"/>
      <c r="U19" s="28"/>
      <c r="V19" s="28"/>
      <c r="W19" s="28"/>
      <c r="X19" s="28"/>
      <c r="Y19" s="28"/>
      <c r="Z19" s="28"/>
      <c r="AA19" s="28"/>
      <c r="AB19" s="28"/>
    </row>
    <row r="20">
      <c r="A20" s="21" t="s">
        <v>830</v>
      </c>
      <c r="B20" s="22" t="s">
        <v>831</v>
      </c>
      <c r="C20" s="23" t="str">
        <f>IFERROR(__xludf.DUMMYFUNCTION("GOOGLETRANSLATE(B20, ""en"", ""fr"")"),"Tuer adumbrals")</f>
        <v>Tuer adumbrals</v>
      </c>
      <c r="D20" s="23" t="str">
        <f>IFERROR(__xludf.DUMMYFUNCTION("GOOGLETRANSLATE(B20, ""en"", ""es"")"),"adumbrals Kill")</f>
        <v>adumbrals Kill</v>
      </c>
      <c r="E20" s="23" t="str">
        <f>IFERROR(__xludf.DUMMYFUNCTION("GOOGLETRANSLATE(B20, ""en"", ""ru"")"),"Убить adumbrals")</f>
        <v>Убить adumbrals</v>
      </c>
      <c r="F20" s="23" t="str">
        <f>IFERROR(__xludf.DUMMYFUNCTION("GOOGLETRANSLATE(B20, ""en"", ""tr"")"),"öldür adumbrals")</f>
        <v>öldür adumbrals</v>
      </c>
      <c r="G20" s="23" t="str">
        <f>IFERROR(__xludf.DUMMYFUNCTION("GOOGLETRANSLATE(B20, ""en"", ""pt"")"),"adumbrals Matar")</f>
        <v>adumbrals Matar</v>
      </c>
      <c r="H20" s="24" t="str">
        <f>IFERROR(__xludf.DUMMYFUNCTION("GOOGLETRANSLATE(B20, ""en"", ""de"")"),"Kill adumbrals")</f>
        <v>Kill adumbrals</v>
      </c>
      <c r="I20" s="23" t="str">
        <f>IFERROR(__xludf.DUMMYFUNCTION("GOOGLETRANSLATE(B20, ""en"", ""pl"")"),"adumbrals kill")</f>
        <v>adumbrals kill</v>
      </c>
      <c r="J20" s="25" t="str">
        <f>IFERROR(__xludf.DUMMYFUNCTION("GOOGLETRANSLATE(B20, ""en"", ""zh"")"),"杀adumbrals")</f>
        <v>杀adumbrals</v>
      </c>
      <c r="K20" s="25" t="str">
        <f>IFERROR(__xludf.DUMMYFUNCTION("GOOGLETRANSLATE(B20, ""en"", ""vi"")"),"adumbrals Kill")</f>
        <v>adumbrals Kill</v>
      </c>
      <c r="L20" s="26" t="str">
        <f>IFERROR(__xludf.DUMMYFUNCTION("GOOGLETRANSLATE(B20, ""en"", ""hr"")"),"ubiti adumbrals")</f>
        <v>ubiti adumbrals</v>
      </c>
      <c r="M20" s="28"/>
      <c r="N20" s="28"/>
      <c r="O20" s="28"/>
      <c r="P20" s="28"/>
      <c r="Q20" s="28"/>
      <c r="R20" s="28"/>
      <c r="S20" s="28"/>
      <c r="T20" s="28"/>
      <c r="U20" s="28"/>
      <c r="V20" s="28"/>
      <c r="W20" s="28"/>
      <c r="X20" s="28"/>
      <c r="Y20" s="28"/>
      <c r="Z20" s="28"/>
      <c r="AA20" s="28"/>
      <c r="AB20" s="28"/>
    </row>
    <row r="21">
      <c r="A21" s="21" t="s">
        <v>832</v>
      </c>
      <c r="B21" s="22" t="s">
        <v>833</v>
      </c>
      <c r="C21" s="23" t="str">
        <f>IFERROR(__xludf.DUMMYFUNCTION("GOOGLETRANSLATE(B21, ""en"", ""fr"")"),"coton récolte")</f>
        <v>coton récolte</v>
      </c>
      <c r="D21" s="23" t="str">
        <f>IFERROR(__xludf.DUMMYFUNCTION("GOOGLETRANSLATE(B21, ""en"", ""es"")"),"la cosecha de algodón")</f>
        <v>la cosecha de algodón</v>
      </c>
      <c r="E21" s="23" t="str">
        <f>IFERROR(__xludf.DUMMYFUNCTION("GOOGLETRANSLATE(B21, ""en"", ""ru"")"),"Урожай хлопка")</f>
        <v>Урожай хлопка</v>
      </c>
      <c r="F21" s="23" t="str">
        <f>IFERROR(__xludf.DUMMYFUNCTION("GOOGLETRANSLATE(B21, ""en"", ""tr"")"),"Hasat pamuk")</f>
        <v>Hasat pamuk</v>
      </c>
      <c r="G21" s="23" t="str">
        <f>IFERROR(__xludf.DUMMYFUNCTION("GOOGLETRANSLATE(B21, ""en"", ""pt"")"),"algodão colheita")</f>
        <v>algodão colheita</v>
      </c>
      <c r="H21" s="24" t="str">
        <f>IFERROR(__xludf.DUMMYFUNCTION("GOOGLETRANSLATE(B21, ""en"", ""de"")"),"Ernte-Baumwolle")</f>
        <v>Ernte-Baumwolle</v>
      </c>
      <c r="I21" s="23" t="str">
        <f>IFERROR(__xludf.DUMMYFUNCTION("GOOGLETRANSLATE(B21, ""en"", ""pl"")"),"żniwa bawełna")</f>
        <v>żniwa bawełna</v>
      </c>
      <c r="J21" s="25" t="str">
        <f>IFERROR(__xludf.DUMMYFUNCTION("GOOGLETRANSLATE(B21, ""en"", ""zh"")"),"棉花丰收")</f>
        <v>棉花丰收</v>
      </c>
      <c r="K21" s="25" t="str">
        <f>IFERROR(__xludf.DUMMYFUNCTION("GOOGLETRANSLATE(B21, ""en"", ""vi"")"),"Harvest bông")</f>
        <v>Harvest bông</v>
      </c>
      <c r="L21" s="26" t="str">
        <f>IFERROR(__xludf.DUMMYFUNCTION("GOOGLETRANSLATE(B21, ""en"", ""hr"")"),"žetva pamuk")</f>
        <v>žetva pamuk</v>
      </c>
      <c r="M21" s="28"/>
      <c r="N21" s="28"/>
      <c r="O21" s="28"/>
      <c r="P21" s="28"/>
      <c r="Q21" s="28"/>
      <c r="R21" s="28"/>
      <c r="S21" s="28"/>
      <c r="T21" s="28"/>
      <c r="U21" s="28"/>
      <c r="V21" s="28"/>
      <c r="W21" s="28"/>
      <c r="X21" s="28"/>
      <c r="Y21" s="28"/>
      <c r="Z21" s="28"/>
      <c r="AA21" s="28"/>
      <c r="AB21" s="28"/>
    </row>
    <row r="22">
      <c r="A22" s="21" t="s">
        <v>834</v>
      </c>
      <c r="B22" s="22" t="s">
        <v>835</v>
      </c>
      <c r="C22" s="23" t="str">
        <f>IFERROR(__xludf.DUMMYFUNCTION("GOOGLETRANSLATE(B22, ""en"", ""fr"")"),"champignons rouge récolte")</f>
        <v>champignons rouge récolte</v>
      </c>
      <c r="D22" s="23" t="str">
        <f>IFERROR(__xludf.DUMMYFUNCTION("GOOGLETRANSLATE(B22, ""en"", ""es"")"),"Cosecha rojo setas")</f>
        <v>Cosecha rojo setas</v>
      </c>
      <c r="E22" s="23" t="str">
        <f>IFERROR(__xludf.DUMMYFUNCTION("GOOGLETRANSLATE(B22, ""en"", ""ru"")"),"Урожай красных грибов")</f>
        <v>Урожай красных грибов</v>
      </c>
      <c r="F22" s="23" t="str">
        <f>IFERROR(__xludf.DUMMYFUNCTION("GOOGLETRANSLATE(B22, ""en"", ""tr"")"),"Hasat mantar kırmızı")</f>
        <v>Hasat mantar kırmızı</v>
      </c>
      <c r="G22" s="23" t="str">
        <f>IFERROR(__xludf.DUMMYFUNCTION("GOOGLETRANSLATE(B22, ""en"", ""pt"")"),"Colheita vermelho cogumelos")</f>
        <v>Colheita vermelho cogumelos</v>
      </c>
      <c r="H22" s="24" t="str">
        <f>IFERROR(__xludf.DUMMYFUNCTION("GOOGLETRANSLATE(B22, ""en"", ""de"")"),"Ernte-rote Pilze")</f>
        <v>Ernte-rote Pilze</v>
      </c>
      <c r="I22" s="23" t="str">
        <f>IFERROR(__xludf.DUMMYFUNCTION("GOOGLETRANSLATE(B22, ""en"", ""pl"")"),"Żniwa czerwony grzyby")</f>
        <v>Żniwa czerwony grzyby</v>
      </c>
      <c r="J22" s="25" t="str">
        <f>IFERROR(__xludf.DUMMYFUNCTION("GOOGLETRANSLATE(B22, ""en"", ""zh"")"),"嘉实红菇")</f>
        <v>嘉实红菇</v>
      </c>
      <c r="K22" s="25" t="str">
        <f>IFERROR(__xludf.DUMMYFUNCTION("GOOGLETRANSLATE(B22, ""en"", ""vi"")"),"Harvest đỏ nấm")</f>
        <v>Harvest đỏ nấm</v>
      </c>
      <c r="L22" s="26" t="str">
        <f>IFERROR(__xludf.DUMMYFUNCTION("GOOGLETRANSLATE(B22, ""en"", ""hr"")"),"Žetva crvena gljiva")</f>
        <v>Žetva crvena gljiva</v>
      </c>
      <c r="M22" s="28"/>
      <c r="N22" s="28"/>
      <c r="O22" s="28"/>
      <c r="P22" s="28"/>
      <c r="Q22" s="28"/>
      <c r="R22" s="28"/>
      <c r="S22" s="28"/>
      <c r="T22" s="28"/>
      <c r="U22" s="28"/>
      <c r="V22" s="28"/>
      <c r="W22" s="28"/>
      <c r="X22" s="28"/>
      <c r="Y22" s="28"/>
      <c r="Z22" s="28"/>
      <c r="AA22" s="28"/>
      <c r="AB22" s="28"/>
    </row>
    <row r="23">
      <c r="A23" s="21" t="s">
        <v>836</v>
      </c>
      <c r="B23" s="22" t="s">
        <v>837</v>
      </c>
      <c r="C23" s="23" t="str">
        <f>IFERROR(__xludf.DUMMYFUNCTION("GOOGLETRANSLATE(B23, ""en"", ""fr"")"),"champignons verts récolte")</f>
        <v>champignons verts récolte</v>
      </c>
      <c r="D23" s="23" t="str">
        <f>IFERROR(__xludf.DUMMYFUNCTION("GOOGLETRANSLATE(B23, ""en"", ""es"")"),"Cosecha de setas verdes")</f>
        <v>Cosecha de setas verdes</v>
      </c>
      <c r="E23" s="23" t="str">
        <f>IFERROR(__xludf.DUMMYFUNCTION("GOOGLETRANSLATE(B23, ""en"", ""ru"")"),"Урожай зеленые грибы")</f>
        <v>Урожай зеленые грибы</v>
      </c>
      <c r="F23" s="23" t="str">
        <f>IFERROR(__xludf.DUMMYFUNCTION("GOOGLETRANSLATE(B23, ""en"", ""tr"")"),"Hasat yeşil mantar")</f>
        <v>Hasat yeşil mantar</v>
      </c>
      <c r="G23" s="23" t="str">
        <f>IFERROR(__xludf.DUMMYFUNCTION("GOOGLETRANSLATE(B23, ""en"", ""pt"")"),"Colheita cogumelos verdes")</f>
        <v>Colheita cogumelos verdes</v>
      </c>
      <c r="H23" s="24" t="str">
        <f>IFERROR(__xludf.DUMMYFUNCTION("GOOGLETRANSLATE(B23, ""en"", ""de"")"),"Ernte-grüne Pilze")</f>
        <v>Ernte-grüne Pilze</v>
      </c>
      <c r="I23" s="23" t="str">
        <f>IFERROR(__xludf.DUMMYFUNCTION("GOOGLETRANSLATE(B23, ""en"", ""pl"")"),"Zbiorów zielone grzyby")</f>
        <v>Zbiorów zielone grzyby</v>
      </c>
      <c r="J23" s="25" t="str">
        <f>IFERROR(__xludf.DUMMYFUNCTION("GOOGLETRANSLATE(B23, ""en"", ""zh"")"),"嘉实绿色蘑菇")</f>
        <v>嘉实绿色蘑菇</v>
      </c>
      <c r="K23" s="25" t="str">
        <f>IFERROR(__xludf.DUMMYFUNCTION("GOOGLETRANSLATE(B23, ""en"", ""vi"")"),"Harvest nấm xanh")</f>
        <v>Harvest nấm xanh</v>
      </c>
      <c r="L23" s="26" t="str">
        <f>IFERROR(__xludf.DUMMYFUNCTION("GOOGLETRANSLATE(B23, ""en"", ""hr"")"),"Žetva zelene gljive")</f>
        <v>Žetva zelene gljive</v>
      </c>
      <c r="M23" s="28"/>
      <c r="N23" s="28"/>
      <c r="O23" s="28"/>
      <c r="P23" s="28"/>
      <c r="Q23" s="28"/>
      <c r="R23" s="28"/>
      <c r="S23" s="28"/>
      <c r="T23" s="28"/>
      <c r="U23" s="28"/>
      <c r="V23" s="28"/>
      <c r="W23" s="28"/>
      <c r="X23" s="28"/>
      <c r="Y23" s="28"/>
      <c r="Z23" s="28"/>
      <c r="AA23" s="28"/>
      <c r="AB23" s="28"/>
    </row>
    <row r="24">
      <c r="A24" s="21" t="s">
        <v>838</v>
      </c>
      <c r="B24" s="22" t="s">
        <v>839</v>
      </c>
      <c r="C24" s="23" t="str">
        <f>IFERROR(__xludf.DUMMYFUNCTION("GOOGLETRANSLATE(B24, ""en"", ""fr"")"),"champignons bleus récolte")</f>
        <v>champignons bleus récolte</v>
      </c>
      <c r="D24" s="23" t="str">
        <f>IFERROR(__xludf.DUMMYFUNCTION("GOOGLETRANSLATE(B24, ""en"", ""es"")"),"Cosecha de setas azules")</f>
        <v>Cosecha de setas azules</v>
      </c>
      <c r="E24" s="23" t="str">
        <f>IFERROR(__xludf.DUMMYFUNCTION("GOOGLETRANSLATE(B24, ""en"", ""ru"")"),"Урожай синие грибы")</f>
        <v>Урожай синие грибы</v>
      </c>
      <c r="F24" s="23" t="str">
        <f>IFERROR(__xludf.DUMMYFUNCTION("GOOGLETRANSLATE(B24, ""en"", ""tr"")"),"Hasat mavi mantar")</f>
        <v>Hasat mavi mantar</v>
      </c>
      <c r="G24" s="23" t="str">
        <f>IFERROR(__xludf.DUMMYFUNCTION("GOOGLETRANSLATE(B24, ""en"", ""pt"")"),"Colheita cogumelos azuis")</f>
        <v>Colheita cogumelos azuis</v>
      </c>
      <c r="H24" s="24" t="str">
        <f>IFERROR(__xludf.DUMMYFUNCTION("GOOGLETRANSLATE(B24, ""en"", ""de"")"),"Ernte blau Pilze")</f>
        <v>Ernte blau Pilze</v>
      </c>
      <c r="I24" s="23" t="str">
        <f>IFERROR(__xludf.DUMMYFUNCTION("GOOGLETRANSLATE(B24, ""en"", ""pl"")"),"Zbierające niebieskie grzyby")</f>
        <v>Zbierające niebieskie grzyby</v>
      </c>
      <c r="J24" s="25" t="str">
        <f>IFERROR(__xludf.DUMMYFUNCTION("GOOGLETRANSLATE(B24, ""en"", ""zh"")"),"嘉实蓝蘑菇")</f>
        <v>嘉实蓝蘑菇</v>
      </c>
      <c r="K24" s="25" t="str">
        <f>IFERROR(__xludf.DUMMYFUNCTION("GOOGLETRANSLATE(B24, ""en"", ""vi"")"),"Harvest nấm xanh")</f>
        <v>Harvest nấm xanh</v>
      </c>
      <c r="L24" s="26" t="str">
        <f>IFERROR(__xludf.DUMMYFUNCTION("GOOGLETRANSLATE(B24, ""en"", ""hr"")"),"Žetva plave gljive")</f>
        <v>Žetva plave gljive</v>
      </c>
      <c r="M24" s="28"/>
      <c r="N24" s="28"/>
      <c r="O24" s="28"/>
      <c r="P24" s="28"/>
      <c r="Q24" s="28"/>
      <c r="R24" s="28"/>
      <c r="S24" s="28"/>
      <c r="T24" s="28"/>
      <c r="U24" s="28"/>
      <c r="V24" s="28"/>
      <c r="W24" s="28"/>
      <c r="X24" s="28"/>
      <c r="Y24" s="28"/>
      <c r="Z24" s="28"/>
      <c r="AA24" s="28"/>
      <c r="AB24" s="28"/>
    </row>
    <row r="25">
      <c r="A25" s="21" t="s">
        <v>840</v>
      </c>
      <c r="B25" s="22" t="s">
        <v>841</v>
      </c>
      <c r="C25" s="23" t="str">
        <f>IFERROR(__xludf.DUMMYFUNCTION("GOOGLETRANSLATE(B25, ""en"", ""fr"")"),"Chop chênes")</f>
        <v>Chop chênes</v>
      </c>
      <c r="D25" s="23" t="str">
        <f>IFERROR(__xludf.DUMMYFUNCTION("GOOGLETRANSLATE(B25, ""en"", ""es"")"),"robles chop")</f>
        <v>robles chop</v>
      </c>
      <c r="E25" s="23" t="str">
        <f>IFERROR(__xludf.DUMMYFUNCTION("GOOGLETRANSLATE(B25, ""en"", ""ru"")"),"Чоп дубы")</f>
        <v>Чоп дубы</v>
      </c>
      <c r="F25" s="23" t="str">
        <f>IFERROR(__xludf.DUMMYFUNCTION("GOOGLETRANSLATE(B25, ""en"", ""tr"")"),"Pirzola meşe ağacı")</f>
        <v>Pirzola meşe ağacı</v>
      </c>
      <c r="G25" s="23" t="str">
        <f>IFERROR(__xludf.DUMMYFUNCTION("GOOGLETRANSLATE(B25, ""en"", ""pt"")"),"carvalhos costeleta")</f>
        <v>carvalhos costeleta</v>
      </c>
      <c r="H25" s="24" t="str">
        <f>IFERROR(__xludf.DUMMYFUNCTION("GOOGLETRANSLATE(B25, ""en"", ""de"")"),"Chop Eichen")</f>
        <v>Chop Eichen</v>
      </c>
      <c r="I25" s="23" t="str">
        <f>IFERROR(__xludf.DUMMYFUNCTION("GOOGLETRANSLATE(B25, ""en"", ""pl"")"),"Chop dęby")</f>
        <v>Chop dęby</v>
      </c>
      <c r="J25" s="25" t="str">
        <f>IFERROR(__xludf.DUMMYFUNCTION("GOOGLETRANSLATE(B25, ""en"", ""zh"")"),"印章橡树")</f>
        <v>印章橡树</v>
      </c>
      <c r="K25" s="25" t="str">
        <f>IFERROR(__xludf.DUMMYFUNCTION("GOOGLETRANSLATE(B25, ""en"", ""vi"")"),"cây sồi Chop")</f>
        <v>cây sồi Chop</v>
      </c>
      <c r="L25" s="26" t="str">
        <f>IFERROR(__xludf.DUMMYFUNCTION("GOOGLETRANSLATE(B25, ""en"", ""hr"")"),"Nasjeckajte hrastovi")</f>
        <v>Nasjeckajte hrastovi</v>
      </c>
      <c r="M25" s="28"/>
      <c r="N25" s="28"/>
      <c r="O25" s="28"/>
      <c r="P25" s="28"/>
      <c r="Q25" s="28"/>
      <c r="R25" s="28"/>
      <c r="S25" s="28"/>
      <c r="T25" s="28"/>
      <c r="U25" s="28"/>
      <c r="V25" s="28"/>
      <c r="W25" s="28"/>
      <c r="X25" s="28"/>
      <c r="Y25" s="28"/>
      <c r="Z25" s="28"/>
      <c r="AA25" s="28"/>
      <c r="AB25" s="28"/>
    </row>
    <row r="26">
      <c r="A26" s="21" t="s">
        <v>842</v>
      </c>
      <c r="B26" s="22" t="s">
        <v>843</v>
      </c>
      <c r="C26" s="23" t="str">
        <f>IFERROR(__xludf.DUMMYFUNCTION("GOOGLETRANSLATE(B26, ""en"", ""fr"")"),"le minerai de fer")</f>
        <v>le minerai de fer</v>
      </c>
      <c r="D26" s="23" t="str">
        <f>IFERROR(__xludf.DUMMYFUNCTION("GOOGLETRANSLATE(B26, ""en"", ""es"")"),"extraer mineral de hierro")</f>
        <v>extraer mineral de hierro</v>
      </c>
      <c r="E26" s="23" t="str">
        <f>IFERROR(__xludf.DUMMYFUNCTION("GOOGLETRANSLATE(B26, ""en"", ""ru"")"),"Шахта железной руды")</f>
        <v>Шахта железной руды</v>
      </c>
      <c r="F26" s="23" t="str">
        <f>IFERROR(__xludf.DUMMYFUNCTION("GOOGLETRANSLATE(B26, ""en"", ""tr"")"),"Maden demir cevheri")</f>
        <v>Maden demir cevheri</v>
      </c>
      <c r="G26" s="23" t="str">
        <f>IFERROR(__xludf.DUMMYFUNCTION("GOOGLETRANSLATE(B26, ""en"", ""pt"")"),"minério de ferro da mina")</f>
        <v>minério de ferro da mina</v>
      </c>
      <c r="H26" s="24" t="str">
        <f>IFERROR(__xludf.DUMMYFUNCTION("GOOGLETRANSLATE(B26, ""en"", ""de"")"),"Mine Eisenerz")</f>
        <v>Mine Eisenerz</v>
      </c>
      <c r="I26" s="23" t="str">
        <f>IFERROR(__xludf.DUMMYFUNCTION("GOOGLETRANSLATE(B26, ""en"", ""pl"")"),"kopalni rudy żelaza")</f>
        <v>kopalni rudy żelaza</v>
      </c>
      <c r="J26" s="25" t="str">
        <f>IFERROR(__xludf.DUMMYFUNCTION("GOOGLETRANSLATE(B26, ""en"", ""zh"")"),"矿山铁矿石")</f>
        <v>矿山铁矿石</v>
      </c>
      <c r="K26" s="25" t="str">
        <f>IFERROR(__xludf.DUMMYFUNCTION("GOOGLETRANSLATE(B26, ""en"", ""vi"")"),"quặng sắt mỏ")</f>
        <v>quặng sắt mỏ</v>
      </c>
      <c r="L26" s="26" t="str">
        <f>IFERROR(__xludf.DUMMYFUNCTION("GOOGLETRANSLATE(B26, ""en"", ""hr"")"),"željezne rude mina")</f>
        <v>željezne rude mina</v>
      </c>
      <c r="M26" s="28"/>
      <c r="N26" s="28"/>
      <c r="O26" s="28"/>
      <c r="P26" s="28"/>
      <c r="Q26" s="28"/>
      <c r="R26" s="28"/>
      <c r="S26" s="28"/>
      <c r="T26" s="28"/>
      <c r="U26" s="28"/>
      <c r="V26" s="28"/>
      <c r="W26" s="28"/>
      <c r="X26" s="28"/>
      <c r="Y26" s="28"/>
      <c r="Z26" s="28"/>
      <c r="AA26" s="28"/>
      <c r="AB26" s="28"/>
    </row>
    <row r="27">
      <c r="A27" s="21" t="s">
        <v>844</v>
      </c>
      <c r="B27" s="22" t="s">
        <v>845</v>
      </c>
      <c r="C27" s="23" t="str">
        <f>IFERROR(__xludf.DUMMYFUNCTION("GOOGLETRANSLATE(B27, ""en"", ""fr"")"),"Mine de minerai dungium")</f>
        <v>Mine de minerai dungium</v>
      </c>
      <c r="D27" s="23" t="str">
        <f>IFERROR(__xludf.DUMMYFUNCTION("GOOGLETRANSLATE(B27, ""en"", ""es"")"),"Mina de mineral de dungium")</f>
        <v>Mina de mineral de dungium</v>
      </c>
      <c r="E27" s="23" t="str">
        <f>IFERROR(__xludf.DUMMYFUNCTION("GOOGLETRANSLATE(B27, ""en"", ""ru"")"),"Шахта dungium руда")</f>
        <v>Шахта dungium руда</v>
      </c>
      <c r="F27" s="23" t="str">
        <f>IFERROR(__xludf.DUMMYFUNCTION("GOOGLETRANSLATE(B27, ""en"", ""tr"")"),"Mayın dungium cevheri")</f>
        <v>Mayın dungium cevheri</v>
      </c>
      <c r="G27" s="23" t="str">
        <f>IFERROR(__xludf.DUMMYFUNCTION("GOOGLETRANSLATE(B27, ""en"", ""pt"")"),"Mina de minério de dungium")</f>
        <v>Mina de minério de dungium</v>
      </c>
      <c r="H27" s="24" t="str">
        <f>IFERROR(__xludf.DUMMYFUNCTION("GOOGLETRANSLATE(B27, ""en"", ""de"")"),"Mine dungium Erz")</f>
        <v>Mine dungium Erz</v>
      </c>
      <c r="I27" s="23" t="str">
        <f>IFERROR(__xludf.DUMMYFUNCTION("GOOGLETRANSLATE(B27, ""en"", ""pl"")"),"Kopalnia rudy dungium")</f>
        <v>Kopalnia rudy dungium</v>
      </c>
      <c r="J27" s="25" t="str">
        <f>IFERROR(__xludf.DUMMYFUNCTION("GOOGLETRANSLATE(B27, ""en"", ""zh"")"),"矿矿石dungium")</f>
        <v>矿矿石dungium</v>
      </c>
      <c r="K27" s="25" t="str">
        <f>IFERROR(__xludf.DUMMYFUNCTION("GOOGLETRANSLATE(B27, ""en"", ""vi"")"),"Mỏ quặng dungium")</f>
        <v>Mỏ quặng dungium</v>
      </c>
      <c r="L27" s="26" t="str">
        <f>IFERROR(__xludf.DUMMYFUNCTION("GOOGLETRANSLATE(B27, ""en"", ""hr"")"),"Rudnik dungium rude")</f>
        <v>Rudnik dungium rude</v>
      </c>
      <c r="M27" s="28"/>
      <c r="N27" s="28"/>
      <c r="O27" s="28"/>
      <c r="P27" s="28"/>
      <c r="Q27" s="28"/>
      <c r="R27" s="28"/>
      <c r="S27" s="28"/>
      <c r="T27" s="28"/>
      <c r="U27" s="28"/>
      <c r="V27" s="28"/>
      <c r="W27" s="28"/>
      <c r="X27" s="28"/>
      <c r="Y27" s="28"/>
      <c r="Z27" s="28"/>
      <c r="AA27" s="28"/>
      <c r="AB27" s="28"/>
    </row>
    <row r="28">
      <c r="A28" s="21" t="s">
        <v>846</v>
      </c>
      <c r="B28" s="22" t="s">
        <v>847</v>
      </c>
      <c r="C28" s="23" t="str">
        <f>IFERROR(__xludf.DUMMYFUNCTION("GOOGLETRANSLATE(B28, ""en"", ""fr"")"),"Le minerai de la mine")</f>
        <v>Le minerai de la mine</v>
      </c>
      <c r="D28" s="23" t="str">
        <f>IFERROR(__xludf.DUMMYFUNCTION("GOOGLETRANSLATE(B28, ""en"", ""es"")"),"mineral de la mina noctis")</f>
        <v>mineral de la mina noctis</v>
      </c>
      <c r="E28" s="23" t="str">
        <f>IFERROR(__xludf.DUMMYFUNCTION("GOOGLETRANSLATE(B28, ""en"", ""ru"")"),"Mine NOCTIS руда")</f>
        <v>Mine NOCTIS руда</v>
      </c>
      <c r="F28" s="23" t="str">
        <f>IFERROR(__xludf.DUMMYFUNCTION("GOOGLETRANSLATE(B28, ""en"", ""tr"")"),"Benimki noctis cevher")</f>
        <v>Benimki noctis cevher</v>
      </c>
      <c r="G28" s="23" t="str">
        <f>IFERROR(__xludf.DUMMYFUNCTION("GOOGLETRANSLATE(B28, ""en"", ""pt"")"),"minério mina de noctis")</f>
        <v>minério mina de noctis</v>
      </c>
      <c r="H28" s="24" t="str">
        <f>IFERROR(__xludf.DUMMYFUNCTION("GOOGLETRANSLATE(B28, ""en"", ""de"")"),"Mine noctis Erz")</f>
        <v>Mine noctis Erz</v>
      </c>
      <c r="I28" s="23" t="str">
        <f>IFERROR(__xludf.DUMMYFUNCTION("GOOGLETRANSLATE(B28, ""en"", ""pl"")"),"kopalni rudy Noctis")</f>
        <v>kopalni rudy Noctis</v>
      </c>
      <c r="J28" s="25" t="str">
        <f>IFERROR(__xludf.DUMMYFUNCTION("GOOGLETRANSLATE(B28, ""en"", ""zh"")"),"矿矿石noctis")</f>
        <v>矿矿石noctis</v>
      </c>
      <c r="K28" s="25" t="str">
        <f>IFERROR(__xludf.DUMMYFUNCTION("GOOGLETRANSLATE(B28, ""en"", ""vi"")"),"quặng mỏ Noctis")</f>
        <v>quặng mỏ Noctis</v>
      </c>
      <c r="L28" s="26" t="str">
        <f>IFERROR(__xludf.DUMMYFUNCTION("GOOGLETRANSLATE(B28, ""en"", ""hr"")"),"Rudnika noctis rude")</f>
        <v>Rudnika noctis rude</v>
      </c>
      <c r="M28" s="28"/>
      <c r="N28" s="28"/>
      <c r="O28" s="28"/>
      <c r="P28" s="28"/>
      <c r="Q28" s="28"/>
      <c r="R28" s="28"/>
      <c r="S28" s="28"/>
      <c r="T28" s="28"/>
      <c r="U28" s="28"/>
      <c r="V28" s="28"/>
      <c r="W28" s="28"/>
      <c r="X28" s="28"/>
      <c r="Y28" s="28"/>
      <c r="Z28" s="28"/>
      <c r="AA28" s="28"/>
      <c r="AB28" s="28"/>
    </row>
    <row r="29">
      <c r="A29" s="21" t="s">
        <v>848</v>
      </c>
      <c r="B29" s="22" t="s">
        <v>849</v>
      </c>
      <c r="C29" s="23" t="str">
        <f>IFERROR(__xludf.DUMMYFUNCTION("GOOGLETRANSLATE(B29, ""en"", ""fr"")"),"flèches Craft")</f>
        <v>flèches Craft</v>
      </c>
      <c r="D29" s="23" t="str">
        <f>IFERROR(__xludf.DUMMYFUNCTION("GOOGLETRANSLATE(B29, ""en"", ""es"")"),"flechas de artesanía")</f>
        <v>flechas de artesanía</v>
      </c>
      <c r="E29" s="23" t="str">
        <f>IFERROR(__xludf.DUMMYFUNCTION("GOOGLETRANSLATE(B29, ""en"", ""ru"")"),"Ремесло стрелки")</f>
        <v>Ремесло стрелки</v>
      </c>
      <c r="F29" s="23" t="str">
        <f>IFERROR(__xludf.DUMMYFUNCTION("GOOGLETRANSLATE(B29, ""en"", ""tr"")"),"zanaat oklar")</f>
        <v>zanaat oklar</v>
      </c>
      <c r="G29" s="23" t="str">
        <f>IFERROR(__xludf.DUMMYFUNCTION("GOOGLETRANSLATE(B29, ""en"", ""pt"")"),"flechas de artesanato")</f>
        <v>flechas de artesanato</v>
      </c>
      <c r="H29" s="24" t="str">
        <f>IFERROR(__xludf.DUMMYFUNCTION("GOOGLETRANSLATE(B29, ""en"", ""de"")"),"Craft Pfeile")</f>
        <v>Craft Pfeile</v>
      </c>
      <c r="I29" s="23" t="str">
        <f>IFERROR(__xludf.DUMMYFUNCTION("GOOGLETRANSLATE(B29, ""en"", ""pl"")"),"strzałki Craft")</f>
        <v>strzałki Craft</v>
      </c>
      <c r="J29" s="25" t="str">
        <f>IFERROR(__xludf.DUMMYFUNCTION("GOOGLETRANSLATE(B29, ""en"", ""zh"")"),"工艺箭头")</f>
        <v>工艺箭头</v>
      </c>
      <c r="K29" s="25" t="str">
        <f>IFERROR(__xludf.DUMMYFUNCTION("GOOGLETRANSLATE(B29, ""en"", ""vi"")"),"mũi tên Craft")</f>
        <v>mũi tên Craft</v>
      </c>
      <c r="L29" s="26" t="str">
        <f>IFERROR(__xludf.DUMMYFUNCTION("GOOGLETRANSLATE(B29, ""en"", ""hr"")"),"Obrtni strelice")</f>
        <v>Obrtni strelice</v>
      </c>
      <c r="M29" s="28"/>
      <c r="N29" s="28"/>
      <c r="O29" s="28"/>
      <c r="P29" s="28"/>
      <c r="Q29" s="28"/>
      <c r="R29" s="28"/>
      <c r="S29" s="28"/>
      <c r="T29" s="28"/>
      <c r="U29" s="28"/>
      <c r="V29" s="28"/>
      <c r="W29" s="28"/>
      <c r="X29" s="28"/>
      <c r="Y29" s="28"/>
      <c r="Z29" s="28"/>
      <c r="AA29" s="28"/>
      <c r="AB29" s="28"/>
    </row>
    <row r="30">
      <c r="A30" s="21" t="s">
        <v>850</v>
      </c>
      <c r="B30" s="22" t="s">
        <v>851</v>
      </c>
      <c r="C30" s="23" t="str">
        <f>IFERROR(__xludf.DUMMYFUNCTION("GOOGLETRANSLATE(B30, ""en"", ""fr"")"),"poignards Craft")</f>
        <v>poignards Craft</v>
      </c>
      <c r="D30" s="23" t="str">
        <f>IFERROR(__xludf.DUMMYFUNCTION("GOOGLETRANSLATE(B30, ""en"", ""es"")"),"dagas de artesanía")</f>
        <v>dagas de artesanía</v>
      </c>
      <c r="E30" s="23" t="str">
        <f>IFERROR(__xludf.DUMMYFUNCTION("GOOGLETRANSLATE(B30, ""en"", ""ru"")"),"Craft кинжалы")</f>
        <v>Craft кинжалы</v>
      </c>
      <c r="F30" s="23" t="str">
        <f>IFERROR(__xludf.DUMMYFUNCTION("GOOGLETRANSLATE(B30, ""en"", ""tr"")"),"zanaat hançerler")</f>
        <v>zanaat hançerler</v>
      </c>
      <c r="G30" s="23" t="str">
        <f>IFERROR(__xludf.DUMMYFUNCTION("GOOGLETRANSLATE(B30, ""en"", ""pt"")"),"punhais artesanais")</f>
        <v>punhais artesanais</v>
      </c>
      <c r="H30" s="24" t="str">
        <f>IFERROR(__xludf.DUMMYFUNCTION("GOOGLETRANSLATE(B30, ""en"", ""de"")"),"Craft Dolche")</f>
        <v>Craft Dolche</v>
      </c>
      <c r="I30" s="23" t="str">
        <f>IFERROR(__xludf.DUMMYFUNCTION("GOOGLETRANSLATE(B30, ""en"", ""pl"")"),"sztylety Craft")</f>
        <v>sztylety Craft</v>
      </c>
      <c r="J30" s="25" t="str">
        <f>IFERROR(__xludf.DUMMYFUNCTION("GOOGLETRANSLATE(B30, ""en"", ""zh"")"),"工艺匕首")</f>
        <v>工艺匕首</v>
      </c>
      <c r="K30" s="25" t="str">
        <f>IFERROR(__xludf.DUMMYFUNCTION("GOOGLETRANSLATE(B30, ""en"", ""vi"")"),"dao găm Craft")</f>
        <v>dao găm Craft</v>
      </c>
      <c r="L30" s="26" t="str">
        <f>IFERROR(__xludf.DUMMYFUNCTION("GOOGLETRANSLATE(B30, ""en"", ""hr"")"),"Obrtni bodeži")</f>
        <v>Obrtni bodeži</v>
      </c>
      <c r="M30" s="28"/>
      <c r="N30" s="28"/>
      <c r="O30" s="28"/>
      <c r="P30" s="28"/>
      <c r="Q30" s="28"/>
      <c r="R30" s="28"/>
      <c r="S30" s="28"/>
      <c r="T30" s="28"/>
      <c r="U30" s="28"/>
      <c r="V30" s="28"/>
      <c r="W30" s="28"/>
      <c r="X30" s="28"/>
      <c r="Y30" s="28"/>
      <c r="Z30" s="28"/>
      <c r="AA30" s="28"/>
      <c r="AB30" s="28"/>
    </row>
    <row r="31">
      <c r="A31" s="21" t="s">
        <v>852</v>
      </c>
      <c r="B31" s="22" t="s">
        <v>853</v>
      </c>
      <c r="C31" s="23" t="str">
        <f>IFERROR(__xludf.DUMMYFUNCTION("GOOGLETRANSLATE(B31, ""en"", ""fr"")"),"épées Craft")</f>
        <v>épées Craft</v>
      </c>
      <c r="D31" s="23" t="str">
        <f>IFERROR(__xludf.DUMMYFUNCTION("GOOGLETRANSLATE(B31, ""en"", ""es"")"),"espadas artesanales")</f>
        <v>espadas artesanales</v>
      </c>
      <c r="E31" s="23" t="str">
        <f>IFERROR(__xludf.DUMMYFUNCTION("GOOGLETRANSLATE(B31, ""en"", ""ru"")"),"Ремесло мечи")</f>
        <v>Ремесло мечи</v>
      </c>
      <c r="F31" s="23" t="str">
        <f>IFERROR(__xludf.DUMMYFUNCTION("GOOGLETRANSLATE(B31, ""en"", ""tr"")"),"zanaat kılıçlar")</f>
        <v>zanaat kılıçlar</v>
      </c>
      <c r="G31" s="23" t="str">
        <f>IFERROR(__xludf.DUMMYFUNCTION("GOOGLETRANSLATE(B31, ""en"", ""pt"")"),"espadas artesanais")</f>
        <v>espadas artesanais</v>
      </c>
      <c r="H31" s="24" t="str">
        <f>IFERROR(__xludf.DUMMYFUNCTION("GOOGLETRANSLATE(B31, ""en"", ""de"")"),"Craft Schwerter")</f>
        <v>Craft Schwerter</v>
      </c>
      <c r="I31" s="23" t="str">
        <f>IFERROR(__xludf.DUMMYFUNCTION("GOOGLETRANSLATE(B31, ""en"", ""pl"")"),"miecze Craft")</f>
        <v>miecze Craft</v>
      </c>
      <c r="J31" s="25" t="str">
        <f>IFERROR(__xludf.DUMMYFUNCTION("GOOGLETRANSLATE(B31, ""en"", ""zh"")"),"工艺剑")</f>
        <v>工艺剑</v>
      </c>
      <c r="K31" s="25" t="str">
        <f>IFERROR(__xludf.DUMMYFUNCTION("GOOGLETRANSLATE(B31, ""en"", ""vi"")"),"thanh kiếm Craft")</f>
        <v>thanh kiếm Craft</v>
      </c>
      <c r="L31" s="26" t="str">
        <f>IFERROR(__xludf.DUMMYFUNCTION("GOOGLETRANSLATE(B31, ""en"", ""hr"")"),"Obrtni mačevi")</f>
        <v>Obrtni mačevi</v>
      </c>
      <c r="M31" s="28"/>
      <c r="N31" s="28"/>
      <c r="O31" s="28"/>
      <c r="P31" s="28"/>
      <c r="Q31" s="28"/>
      <c r="R31" s="28"/>
      <c r="S31" s="28"/>
      <c r="T31" s="28"/>
      <c r="U31" s="28"/>
      <c r="V31" s="28"/>
      <c r="W31" s="28"/>
      <c r="X31" s="28"/>
      <c r="Y31" s="28"/>
      <c r="Z31" s="28"/>
      <c r="AA31" s="28"/>
      <c r="AB31" s="28"/>
    </row>
    <row r="32">
      <c r="A32" s="21" t="s">
        <v>854</v>
      </c>
      <c r="B32" s="22" t="s">
        <v>855</v>
      </c>
      <c r="C32" s="23" t="str">
        <f>IFERROR(__xludf.DUMMYFUNCTION("GOOGLETRANSLATE(B32, ""en"", ""fr"")"),"marteaux Craft")</f>
        <v>marteaux Craft</v>
      </c>
      <c r="D32" s="23" t="str">
        <f>IFERROR(__xludf.DUMMYFUNCTION("GOOGLETRANSLATE(B32, ""en"", ""es"")"),"martillos de artesanía")</f>
        <v>martillos de artesanía</v>
      </c>
      <c r="E32" s="23" t="str">
        <f>IFERROR(__xludf.DUMMYFUNCTION("GOOGLETRANSLATE(B32, ""en"", ""ru"")"),"Craft молотки")</f>
        <v>Craft молотки</v>
      </c>
      <c r="F32" s="23" t="str">
        <f>IFERROR(__xludf.DUMMYFUNCTION("GOOGLETRANSLATE(B32, ""en"", ""tr"")"),"zanaat çekiç")</f>
        <v>zanaat çekiç</v>
      </c>
      <c r="G32" s="23" t="str">
        <f>IFERROR(__xludf.DUMMYFUNCTION("GOOGLETRANSLATE(B32, ""en"", ""pt"")"),"martelos artesanais")</f>
        <v>martelos artesanais</v>
      </c>
      <c r="H32" s="24" t="str">
        <f>IFERROR(__xludf.DUMMYFUNCTION("GOOGLETRANSLATE(B32, ""en"", ""de"")"),"Craft Hämmer")</f>
        <v>Craft Hämmer</v>
      </c>
      <c r="I32" s="23" t="str">
        <f>IFERROR(__xludf.DUMMYFUNCTION("GOOGLETRANSLATE(B32, ""en"", ""pl"")"),"młoty Craft")</f>
        <v>młoty Craft</v>
      </c>
      <c r="J32" s="25" t="str">
        <f>IFERROR(__xludf.DUMMYFUNCTION("GOOGLETRANSLATE(B32, ""en"", ""zh"")"),"工艺锤")</f>
        <v>工艺锤</v>
      </c>
      <c r="K32" s="25" t="str">
        <f>IFERROR(__xludf.DUMMYFUNCTION("GOOGLETRANSLATE(B32, ""en"", ""vi"")"),"búa Craft")</f>
        <v>búa Craft</v>
      </c>
      <c r="L32" s="26" t="str">
        <f>IFERROR(__xludf.DUMMYFUNCTION("GOOGLETRANSLATE(B32, ""en"", ""hr"")"),"Obrtni čekići")</f>
        <v>Obrtni čekići</v>
      </c>
      <c r="M32" s="28"/>
      <c r="N32" s="28"/>
      <c r="O32" s="28"/>
      <c r="P32" s="28"/>
      <c r="Q32" s="28"/>
      <c r="R32" s="28"/>
      <c r="S32" s="28"/>
      <c r="T32" s="28"/>
      <c r="U32" s="28"/>
      <c r="V32" s="28"/>
      <c r="W32" s="28"/>
      <c r="X32" s="28"/>
      <c r="Y32" s="28"/>
      <c r="Z32" s="28"/>
      <c r="AA32" s="28"/>
      <c r="AB32" s="28"/>
    </row>
    <row r="33">
      <c r="A33" s="21" t="s">
        <v>856</v>
      </c>
      <c r="B33" s="22" t="s">
        <v>857</v>
      </c>
      <c r="C33" s="23" t="str">
        <f>IFERROR(__xludf.DUMMYFUNCTION("GOOGLETRANSLATE(B33, ""en"", ""fr"")"),"Craft shurikens")</f>
        <v>Craft shurikens</v>
      </c>
      <c r="D33" s="23" t="str">
        <f>IFERROR(__xludf.DUMMYFUNCTION("GOOGLETRANSLATE(B33, ""en"", ""es"")"),"shurikens de artesanía")</f>
        <v>shurikens de artesanía</v>
      </c>
      <c r="E33" s="23" t="str">
        <f>IFERROR(__xludf.DUMMYFUNCTION("GOOGLETRANSLATE(B33, ""en"", ""ru"")"),"Craft сюрикены")</f>
        <v>Craft сюрикены</v>
      </c>
      <c r="F33" s="23" t="str">
        <f>IFERROR(__xludf.DUMMYFUNCTION("GOOGLETRANSLATE(B33, ""en"", ""tr"")"),"zanaat shurikens")</f>
        <v>zanaat shurikens</v>
      </c>
      <c r="G33" s="23" t="str">
        <f>IFERROR(__xludf.DUMMYFUNCTION("GOOGLETRANSLATE(B33, ""en"", ""pt"")"),"shurikens de artesanato")</f>
        <v>shurikens de artesanato</v>
      </c>
      <c r="H33" s="24" t="str">
        <f>IFERROR(__xludf.DUMMYFUNCTION("GOOGLETRANSLATE(B33, ""en"", ""de"")"),"Craft shurikens")</f>
        <v>Craft shurikens</v>
      </c>
      <c r="I33" s="23" t="str">
        <f>IFERROR(__xludf.DUMMYFUNCTION("GOOGLETRANSLATE(B33, ""en"", ""pl"")"),"shurikens Craft")</f>
        <v>shurikens Craft</v>
      </c>
      <c r="J33" s="25" t="str">
        <f>IFERROR(__xludf.DUMMYFUNCTION("GOOGLETRANSLATE(B33, ""en"", ""zh"")"),"工艺shurikens")</f>
        <v>工艺shurikens</v>
      </c>
      <c r="K33" s="25" t="str">
        <f>IFERROR(__xludf.DUMMYFUNCTION("GOOGLETRANSLATE(B33, ""en"", ""vi"")"),"shurikens Craft")</f>
        <v>shurikens Craft</v>
      </c>
      <c r="L33" s="26" t="str">
        <f>IFERROR(__xludf.DUMMYFUNCTION("GOOGLETRANSLATE(B33, ""en"", ""hr"")"),"Obrtni shurikens")</f>
        <v>Obrtni shurikens</v>
      </c>
      <c r="M33" s="28"/>
      <c r="N33" s="28"/>
      <c r="O33" s="28"/>
      <c r="P33" s="28"/>
      <c r="Q33" s="28"/>
      <c r="R33" s="28"/>
      <c r="S33" s="28"/>
      <c r="T33" s="28"/>
      <c r="U33" s="28"/>
      <c r="V33" s="28"/>
      <c r="W33" s="28"/>
      <c r="X33" s="28"/>
      <c r="Y33" s="28"/>
      <c r="Z33" s="28"/>
      <c r="AA33" s="28"/>
      <c r="AB33" s="28"/>
    </row>
    <row r="34">
      <c r="A34" s="21" t="s">
        <v>858</v>
      </c>
      <c r="B34" s="22" t="s">
        <v>859</v>
      </c>
      <c r="C34" s="23" t="str">
        <f>IFERROR(__xludf.DUMMYFUNCTION("GOOGLETRANSLATE(B34, ""en"", ""fr"")"),"arcs Craft")</f>
        <v>arcs Craft</v>
      </c>
      <c r="D34" s="23" t="str">
        <f>IFERROR(__xludf.DUMMYFUNCTION("GOOGLETRANSLATE(B34, ""en"", ""es"")"),"arcos de artesanía")</f>
        <v>arcos de artesanía</v>
      </c>
      <c r="E34" s="23" t="str">
        <f>IFERROR(__xludf.DUMMYFUNCTION("GOOGLETRANSLATE(B34, ""en"", ""ru"")"),"Craft луки")</f>
        <v>Craft луки</v>
      </c>
      <c r="F34" s="23" t="str">
        <f>IFERROR(__xludf.DUMMYFUNCTION("GOOGLETRANSLATE(B34, ""en"", ""tr"")"),"zanaat yay")</f>
        <v>zanaat yay</v>
      </c>
      <c r="G34" s="23" t="str">
        <f>IFERROR(__xludf.DUMMYFUNCTION("GOOGLETRANSLATE(B34, ""en"", ""pt"")"),"arcos artesanais")</f>
        <v>arcos artesanais</v>
      </c>
      <c r="H34" s="24" t="str">
        <f>IFERROR(__xludf.DUMMYFUNCTION("GOOGLETRANSLATE(B34, ""en"", ""de"")"),"Craft Bögen")</f>
        <v>Craft Bögen</v>
      </c>
      <c r="I34" s="23" t="str">
        <f>IFERROR(__xludf.DUMMYFUNCTION("GOOGLETRANSLATE(B34, ""en"", ""pl"")"),"łuki Craft")</f>
        <v>łuki Craft</v>
      </c>
      <c r="J34" s="25" t="str">
        <f>IFERROR(__xludf.DUMMYFUNCTION("GOOGLETRANSLATE(B34, ""en"", ""zh"")"),"工艺蝴蝶结")</f>
        <v>工艺蝴蝶结</v>
      </c>
      <c r="K34" s="25" t="str">
        <f>IFERROR(__xludf.DUMMYFUNCTION("GOOGLETRANSLATE(B34, ""en"", ""vi"")"),"cung Craft")</f>
        <v>cung Craft</v>
      </c>
      <c r="L34" s="26" t="str">
        <f>IFERROR(__xludf.DUMMYFUNCTION("GOOGLETRANSLATE(B34, ""en"", ""hr"")"),"Obrtni lukove")</f>
        <v>Obrtni lukove</v>
      </c>
      <c r="M34" s="28"/>
      <c r="N34" s="28"/>
      <c r="O34" s="28"/>
      <c r="P34" s="28"/>
      <c r="Q34" s="28"/>
      <c r="R34" s="28"/>
      <c r="S34" s="28"/>
      <c r="T34" s="28"/>
      <c r="U34" s="28"/>
      <c r="V34" s="28"/>
      <c r="W34" s="28"/>
      <c r="X34" s="28"/>
      <c r="Y34" s="28"/>
      <c r="Z34" s="28"/>
      <c r="AA34" s="28"/>
      <c r="AB34" s="28"/>
    </row>
    <row r="35">
      <c r="A35" s="21" t="s">
        <v>860</v>
      </c>
      <c r="B35" s="22" t="s">
        <v>861</v>
      </c>
      <c r="C35" s="23" t="str">
        <f>IFERROR(__xludf.DUMMYFUNCTION("GOOGLETRANSLATE(B35, ""en"", ""fr"")"),"états-majors Craft")</f>
        <v>états-majors Craft</v>
      </c>
      <c r="D35" s="23" t="str">
        <f>IFERROR(__xludf.DUMMYFUNCTION("GOOGLETRANSLATE(B35, ""en"", ""es"")"),"personal de artesanía")</f>
        <v>personal de artesanía</v>
      </c>
      <c r="E35" s="23" t="str">
        <f>IFERROR(__xludf.DUMMYFUNCTION("GOOGLETRANSLATE(B35, ""en"", ""ru"")"),"Craft персонал")</f>
        <v>Craft персонал</v>
      </c>
      <c r="F35" s="23" t="str">
        <f>IFERROR(__xludf.DUMMYFUNCTION("GOOGLETRANSLATE(B35, ""en"", ""tr"")"),"zanaat kurmayları")</f>
        <v>zanaat kurmayları</v>
      </c>
      <c r="G35" s="23" t="str">
        <f>IFERROR(__xludf.DUMMYFUNCTION("GOOGLETRANSLATE(B35, ""en"", ""pt"")"),"equipes de artesanato")</f>
        <v>equipes de artesanato</v>
      </c>
      <c r="H35" s="24" t="str">
        <f>IFERROR(__xludf.DUMMYFUNCTION("GOOGLETRANSLATE(B35, ""en"", ""de"")"),"Craft Mitarbeiter")</f>
        <v>Craft Mitarbeiter</v>
      </c>
      <c r="I35" s="23" t="str">
        <f>IFERROR(__xludf.DUMMYFUNCTION("GOOGLETRANSLATE(B35, ""en"", ""pl"")"),"sztaby Craft")</f>
        <v>sztaby Craft</v>
      </c>
      <c r="J35" s="25" t="str">
        <f>IFERROR(__xludf.DUMMYFUNCTION("GOOGLETRANSLATE(B35, ""en"", ""zh"")"),"工艺人员")</f>
        <v>工艺人员</v>
      </c>
      <c r="K35" s="25" t="str">
        <f>IFERROR(__xludf.DUMMYFUNCTION("GOOGLETRANSLATE(B35, ""en"", ""vi"")"),"đội ngũ nhân viên Craft")</f>
        <v>đội ngũ nhân viên Craft</v>
      </c>
      <c r="L35" s="26" t="str">
        <f>IFERROR(__xludf.DUMMYFUNCTION("GOOGLETRANSLATE(B35, ""en"", ""hr"")"),"Obrtni osoblje")</f>
        <v>Obrtni osoblje</v>
      </c>
      <c r="M35" s="28"/>
      <c r="N35" s="28"/>
      <c r="O35" s="28"/>
      <c r="P35" s="28"/>
      <c r="Q35" s="28"/>
      <c r="R35" s="28"/>
      <c r="S35" s="28"/>
      <c r="T35" s="28"/>
      <c r="U35" s="28"/>
      <c r="V35" s="28"/>
      <c r="W35" s="28"/>
      <c r="X35" s="28"/>
      <c r="Y35" s="28"/>
      <c r="Z35" s="28"/>
      <c r="AA35" s="28"/>
      <c r="AB35" s="28"/>
    </row>
    <row r="36">
      <c r="A36" s="21" t="s">
        <v>862</v>
      </c>
      <c r="B36" s="22" t="s">
        <v>863</v>
      </c>
      <c r="C36" s="23" t="str">
        <f>IFERROR(__xludf.DUMMYFUNCTION("GOOGLETRANSLATE(B36, ""en"", ""fr"")"),"Craft hachettes")</f>
        <v>Craft hachettes</v>
      </c>
      <c r="D36" s="23" t="str">
        <f>IFERROR(__xludf.DUMMYFUNCTION("GOOGLETRANSLATE(B36, ""en"", ""es"")"),"hachas de artesanía")</f>
        <v>hachas de artesanía</v>
      </c>
      <c r="E36" s="23" t="str">
        <f>IFERROR(__xludf.DUMMYFUNCTION("GOOGLETRANSLATE(B36, ""en"", ""ru"")"),"Craft топорики")</f>
        <v>Craft топорики</v>
      </c>
      <c r="F36" s="23" t="str">
        <f>IFERROR(__xludf.DUMMYFUNCTION("GOOGLETRANSLATE(B36, ""en"", ""tr"")"),"zanaat nacak")</f>
        <v>zanaat nacak</v>
      </c>
      <c r="G36" s="23" t="str">
        <f>IFERROR(__xludf.DUMMYFUNCTION("GOOGLETRANSLATE(B36, ""en"", ""pt"")"),"machados de artesanato")</f>
        <v>machados de artesanato</v>
      </c>
      <c r="H36" s="24" t="str">
        <f>IFERROR(__xludf.DUMMYFUNCTION("GOOGLETRANSLATE(B36, ""en"", ""de"")"),"Craft Beile")</f>
        <v>Craft Beile</v>
      </c>
      <c r="I36" s="23" t="str">
        <f>IFERROR(__xludf.DUMMYFUNCTION("GOOGLETRANSLATE(B36, ""en"", ""pl"")"),"toporki Craft")</f>
        <v>toporki Craft</v>
      </c>
      <c r="J36" s="25" t="str">
        <f>IFERROR(__xludf.DUMMYFUNCTION("GOOGLETRANSLATE(B36, ""en"", ""zh"")"),"工艺斧头")</f>
        <v>工艺斧头</v>
      </c>
      <c r="K36" s="25" t="str">
        <f>IFERROR(__xludf.DUMMYFUNCTION("GOOGLETRANSLATE(B36, ""en"", ""vi"")"),"rìu Craft")</f>
        <v>rìu Craft</v>
      </c>
      <c r="L36" s="26" t="str">
        <f>IFERROR(__xludf.DUMMYFUNCTION("GOOGLETRANSLATE(B36, ""en"", ""hr"")"),"Obrtni sjekire")</f>
        <v>Obrtni sjekire</v>
      </c>
      <c r="M36" s="28"/>
      <c r="N36" s="28"/>
      <c r="O36" s="28"/>
      <c r="P36" s="28"/>
      <c r="Q36" s="28"/>
      <c r="R36" s="28"/>
      <c r="S36" s="28"/>
      <c r="T36" s="28"/>
      <c r="U36" s="28"/>
      <c r="V36" s="28"/>
      <c r="W36" s="28"/>
      <c r="X36" s="28"/>
      <c r="Y36" s="28"/>
      <c r="Z36" s="28"/>
      <c r="AA36" s="28"/>
      <c r="AB36" s="28"/>
    </row>
    <row r="37">
      <c r="A37" s="21" t="s">
        <v>864</v>
      </c>
      <c r="B37" s="22" t="s">
        <v>865</v>
      </c>
      <c r="C37" s="23" t="str">
        <f>IFERROR(__xludf.DUMMYFUNCTION("GOOGLETRANSLATE(B37, ""en"", ""fr"")"),"Craft pioches")</f>
        <v>Craft pioches</v>
      </c>
      <c r="D37" s="23" t="str">
        <f>IFERROR(__xludf.DUMMYFUNCTION("GOOGLETRANSLATE(B37, ""en"", ""es"")"),"picos de artesanía")</f>
        <v>picos de artesanía</v>
      </c>
      <c r="E37" s="23" t="str">
        <f>IFERROR(__xludf.DUMMYFUNCTION("GOOGLETRANSLATE(B37, ""en"", ""ru"")"),"Craft кирки")</f>
        <v>Craft кирки</v>
      </c>
      <c r="F37" s="23" t="str">
        <f>IFERROR(__xludf.DUMMYFUNCTION("GOOGLETRANSLATE(B37, ""en"", ""tr"")"),"zanaat kazma")</f>
        <v>zanaat kazma</v>
      </c>
      <c r="G37" s="23" t="str">
        <f>IFERROR(__xludf.DUMMYFUNCTION("GOOGLETRANSLATE(B37, ""en"", ""pt"")"),"picaretas de artesanato")</f>
        <v>picaretas de artesanato</v>
      </c>
      <c r="H37" s="24" t="str">
        <f>IFERROR(__xludf.DUMMYFUNCTION("GOOGLETRANSLATE(B37, ""en"", ""de"")"),"Craft pickaxes")</f>
        <v>Craft pickaxes</v>
      </c>
      <c r="I37" s="23" t="str">
        <f>IFERROR(__xludf.DUMMYFUNCTION("GOOGLETRANSLATE(B37, ""en"", ""pl"")"),"kilofy Craft")</f>
        <v>kilofy Craft</v>
      </c>
      <c r="J37" s="25" t="str">
        <f>IFERROR(__xludf.DUMMYFUNCTION("GOOGLETRANSLATE(B37, ""en"", ""zh"")"),"工艺镐")</f>
        <v>工艺镐</v>
      </c>
      <c r="K37" s="25" t="str">
        <f>IFERROR(__xludf.DUMMYFUNCTION("GOOGLETRANSLATE(B37, ""en"", ""vi"")"),"pickaxes Craft")</f>
        <v>pickaxes Craft</v>
      </c>
      <c r="L37" s="26" t="str">
        <f>IFERROR(__xludf.DUMMYFUNCTION("GOOGLETRANSLATE(B37, ""en"", ""hr"")"),"Obrtni pickaxes")</f>
        <v>Obrtni pickaxes</v>
      </c>
      <c r="M37" s="28"/>
      <c r="N37" s="28"/>
      <c r="O37" s="28"/>
      <c r="P37" s="28"/>
      <c r="Q37" s="28"/>
      <c r="R37" s="28"/>
      <c r="S37" s="28"/>
      <c r="T37" s="28"/>
      <c r="U37" s="28"/>
      <c r="V37" s="28"/>
      <c r="W37" s="28"/>
      <c r="X37" s="28"/>
      <c r="Y37" s="28"/>
      <c r="Z37" s="28"/>
      <c r="AA37" s="28"/>
      <c r="AB37" s="28"/>
    </row>
    <row r="38">
      <c r="A38" s="21" t="s">
        <v>866</v>
      </c>
      <c r="B38" s="22" t="s">
        <v>867</v>
      </c>
      <c r="C38" s="23" t="str">
        <f>IFERROR(__xludf.DUMMYFUNCTION("GOOGLETRANSLATE(B38, ""en"", ""fr"")"),"Artisanat armure métallique")</f>
        <v>Artisanat armure métallique</v>
      </c>
      <c r="D38" s="23" t="str">
        <f>IFERROR(__xludf.DUMMYFUNCTION("GOOGLETRANSLATE(B38, ""en"", ""es"")"),"armadura de metal Craft")</f>
        <v>armadura de metal Craft</v>
      </c>
      <c r="E38" s="23" t="str">
        <f>IFERROR(__xludf.DUMMYFUNCTION("GOOGLETRANSLATE(B38, ""en"", ""ru"")"),"Craft металлические доспехи")</f>
        <v>Craft металлические доспехи</v>
      </c>
      <c r="F38" s="23" t="str">
        <f>IFERROR(__xludf.DUMMYFUNCTION("GOOGLETRANSLATE(B38, ""en"", ""tr"")"),"Tekne metal zırh")</f>
        <v>Tekne metal zırh</v>
      </c>
      <c r="G38" s="23" t="str">
        <f>IFERROR(__xludf.DUMMYFUNCTION("GOOGLETRANSLATE(B38, ""en"", ""pt"")"),"armadura de metal Artesanato")</f>
        <v>armadura de metal Artesanato</v>
      </c>
      <c r="H38" s="24" t="str">
        <f>IFERROR(__xludf.DUMMYFUNCTION("GOOGLETRANSLATE(B38, ""en"", ""de"")"),"Craft Metallrüstung")</f>
        <v>Craft Metallrüstung</v>
      </c>
      <c r="I38" s="23" t="str">
        <f>IFERROR(__xludf.DUMMYFUNCTION("GOOGLETRANSLATE(B38, ""en"", ""pl"")"),"Craft metalowy pancerz")</f>
        <v>Craft metalowy pancerz</v>
      </c>
      <c r="J38" s="25" t="str">
        <f>IFERROR(__xludf.DUMMYFUNCTION("GOOGLETRANSLATE(B38, ""en"", ""zh"")"),"工艺金属盔甲")</f>
        <v>工艺金属盔甲</v>
      </c>
      <c r="K38" s="25" t="str">
        <f>IFERROR(__xludf.DUMMYFUNCTION("GOOGLETRANSLATE(B38, ""en"", ""vi"")"),"Craft giáp kim loại")</f>
        <v>Craft giáp kim loại</v>
      </c>
      <c r="L38" s="26" t="str">
        <f>IFERROR(__xludf.DUMMYFUNCTION("GOOGLETRANSLATE(B38, ""en"", ""hr"")"),"Obrtni metalni oklop")</f>
        <v>Obrtni metalni oklop</v>
      </c>
      <c r="M38" s="28"/>
      <c r="N38" s="28"/>
      <c r="O38" s="28"/>
      <c r="P38" s="28"/>
      <c r="Q38" s="28"/>
      <c r="R38" s="28"/>
      <c r="S38" s="28"/>
      <c r="T38" s="28"/>
      <c r="U38" s="28"/>
      <c r="V38" s="28"/>
      <c r="W38" s="28"/>
      <c r="X38" s="28"/>
      <c r="Y38" s="28"/>
      <c r="Z38" s="28"/>
      <c r="AA38" s="28"/>
      <c r="AB38" s="28"/>
    </row>
    <row r="39">
      <c r="A39" s="21" t="s">
        <v>868</v>
      </c>
      <c r="B39" s="22" t="s">
        <v>869</v>
      </c>
      <c r="C39" s="23" t="str">
        <f>IFERROR(__xludf.DUMMYFUNCTION("GOOGLETRANSLATE(B39, ""en"", ""fr"")"),"capes Craft")</f>
        <v>capes Craft</v>
      </c>
      <c r="D39" s="23" t="str">
        <f>IFERROR(__xludf.DUMMYFUNCTION("GOOGLETRANSLATE(B39, ""en"", ""es"")"),"mantos de artesanía")</f>
        <v>mantos de artesanía</v>
      </c>
      <c r="E39" s="23" t="str">
        <f>IFERROR(__xludf.DUMMYFUNCTION("GOOGLETRANSLATE(B39, ""en"", ""ru"")"),"Craft накидки")</f>
        <v>Craft накидки</v>
      </c>
      <c r="F39" s="23" t="str">
        <f>IFERROR(__xludf.DUMMYFUNCTION("GOOGLETRANSLATE(B39, ""en"", ""tr"")"),"zanaat pelerinler")</f>
        <v>zanaat pelerinler</v>
      </c>
      <c r="G39" s="23" t="str">
        <f>IFERROR(__xludf.DUMMYFUNCTION("GOOGLETRANSLATE(B39, ""en"", ""pt"")"),"mantos de artesanato")</f>
        <v>mantos de artesanato</v>
      </c>
      <c r="H39" s="24" t="str">
        <f>IFERROR(__xludf.DUMMYFUNCTION("GOOGLETRANSLATE(B39, ""en"", ""de"")"),"Craft Umhänge")</f>
        <v>Craft Umhänge</v>
      </c>
      <c r="I39" s="23" t="str">
        <f>IFERROR(__xludf.DUMMYFUNCTION("GOOGLETRANSLATE(B39, ""en"", ""pl"")"),"peleryny Craft")</f>
        <v>peleryny Craft</v>
      </c>
      <c r="J39" s="25" t="str">
        <f>IFERROR(__xludf.DUMMYFUNCTION("GOOGLETRANSLATE(B39, ""en"", ""zh"")"),"工艺斗篷")</f>
        <v>工艺斗篷</v>
      </c>
      <c r="K39" s="25" t="str">
        <f>IFERROR(__xludf.DUMMYFUNCTION("GOOGLETRANSLATE(B39, ""en"", ""vi"")"),"áo choàng không tay nghề")</f>
        <v>áo choàng không tay nghề</v>
      </c>
      <c r="L39" s="26" t="str">
        <f>IFERROR(__xludf.DUMMYFUNCTION("GOOGLETRANSLATE(B39, ""en"", ""hr"")"),"Obrtni plaštevi")</f>
        <v>Obrtni plaštevi</v>
      </c>
      <c r="M39" s="28"/>
      <c r="N39" s="28"/>
      <c r="O39" s="28"/>
      <c r="P39" s="28"/>
      <c r="Q39" s="28"/>
      <c r="R39" s="28"/>
      <c r="S39" s="28"/>
      <c r="T39" s="28"/>
      <c r="U39" s="28"/>
      <c r="V39" s="28"/>
      <c r="W39" s="28"/>
      <c r="X39" s="28"/>
      <c r="Y39" s="28"/>
      <c r="Z39" s="28"/>
      <c r="AA39" s="28"/>
      <c r="AB39" s="28"/>
    </row>
    <row r="40">
      <c r="A40" s="21" t="s">
        <v>870</v>
      </c>
      <c r="B40" s="22" t="s">
        <v>871</v>
      </c>
      <c r="C40" s="23" t="str">
        <f>IFERROR(__xludf.DUMMYFUNCTION("GOOGLETRANSLATE(B40, ""en"", ""fr"")"),"robes artisanales")</f>
        <v>robes artisanales</v>
      </c>
      <c r="D40" s="23" t="str">
        <f>IFERROR(__xludf.DUMMYFUNCTION("GOOGLETRANSLATE(B40, ""en"", ""es"")"),"batas de artesanía")</f>
        <v>batas de artesanía</v>
      </c>
      <c r="E40" s="23" t="str">
        <f>IFERROR(__xludf.DUMMYFUNCTION("GOOGLETRANSLATE(B40, ""en"", ""ru"")"),"Ремесло одежды")</f>
        <v>Ремесло одежды</v>
      </c>
      <c r="F40" s="23" t="str">
        <f>IFERROR(__xludf.DUMMYFUNCTION("GOOGLETRANSLATE(B40, ""en"", ""tr"")"),"zanaat elbiseler")</f>
        <v>zanaat elbiseler</v>
      </c>
      <c r="G40" s="23" t="str">
        <f>IFERROR(__xludf.DUMMYFUNCTION("GOOGLETRANSLATE(B40, ""en"", ""pt"")"),"robes de artesanato")</f>
        <v>robes de artesanato</v>
      </c>
      <c r="H40" s="24" t="str">
        <f>IFERROR(__xludf.DUMMYFUNCTION("GOOGLETRANSLATE(B40, ""en"", ""de"")"),"Craft Roben")</f>
        <v>Craft Roben</v>
      </c>
      <c r="I40" s="23" t="str">
        <f>IFERROR(__xludf.DUMMYFUNCTION("GOOGLETRANSLATE(B40, ""en"", ""pl"")"),"szaty Craft")</f>
        <v>szaty Craft</v>
      </c>
      <c r="J40" s="25" t="str">
        <f>IFERROR(__xludf.DUMMYFUNCTION("GOOGLETRANSLATE(B40, ""en"", ""zh"")"),"工艺长袍")</f>
        <v>工艺长袍</v>
      </c>
      <c r="K40" s="25" t="str">
        <f>IFERROR(__xludf.DUMMYFUNCTION("GOOGLETRANSLATE(B40, ""en"", ""vi"")"),"áo choàng Craft")</f>
        <v>áo choàng Craft</v>
      </c>
      <c r="L40" s="26" t="str">
        <f>IFERROR(__xludf.DUMMYFUNCTION("GOOGLETRANSLATE(B40, ""en"", ""hr"")"),"Obrtni haljinama")</f>
        <v>Obrtni haljinama</v>
      </c>
      <c r="M40" s="28"/>
      <c r="N40" s="28"/>
      <c r="O40" s="28"/>
      <c r="P40" s="28"/>
      <c r="Q40" s="28"/>
      <c r="R40" s="28"/>
      <c r="S40" s="28"/>
      <c r="T40" s="28"/>
      <c r="U40" s="28"/>
      <c r="V40" s="28"/>
      <c r="W40" s="28"/>
      <c r="X40" s="28"/>
      <c r="Y40" s="28"/>
      <c r="Z40" s="28"/>
      <c r="AA40" s="28"/>
      <c r="AB40" s="28"/>
    </row>
    <row r="41">
      <c r="A41" s="21" t="s">
        <v>872</v>
      </c>
      <c r="B41" s="22" t="s">
        <v>873</v>
      </c>
      <c r="C41" s="23" t="str">
        <f>IFERROR(__xludf.DUMMYFUNCTION("GOOGLETRANSLATE(B41, ""en"", ""fr"")"),"Artisanat engins de fer")</f>
        <v>Artisanat engins de fer</v>
      </c>
      <c r="D41" s="23" t="str">
        <f>IFERROR(__xludf.DUMMYFUNCTION("GOOGLETRANSLATE(B41, ""en"", ""es"")"),"artes del arte del hierro")</f>
        <v>artes del arte del hierro</v>
      </c>
      <c r="E41" s="23" t="str">
        <f>IFERROR(__xludf.DUMMYFUNCTION("GOOGLETRANSLATE(B41, ""en"", ""ru"")"),"Ремесло железо передач")</f>
        <v>Ремесло железо передач</v>
      </c>
      <c r="F41" s="23" t="str">
        <f>IFERROR(__xludf.DUMMYFUNCTION("GOOGLETRANSLATE(B41, ""en"", ""tr"")"),"Craft demir dişli")</f>
        <v>Craft demir dişli</v>
      </c>
      <c r="G41" s="23" t="str">
        <f>IFERROR(__xludf.DUMMYFUNCTION("GOOGLETRANSLATE(B41, ""en"", ""pt"")"),"engrenagem ferro Artesanato")</f>
        <v>engrenagem ferro Artesanato</v>
      </c>
      <c r="H41" s="24" t="str">
        <f>IFERROR(__xludf.DUMMYFUNCTION("GOOGLETRANSLATE(B41, ""en"", ""de"")"),"Craft Eisen Getriebe")</f>
        <v>Craft Eisen Getriebe</v>
      </c>
      <c r="I41" s="23" t="str">
        <f>IFERROR(__xludf.DUMMYFUNCTION("GOOGLETRANSLATE(B41, ""en"", ""pl"")"),"Craft bieg żelaza")</f>
        <v>Craft bieg żelaza</v>
      </c>
      <c r="J41" s="25" t="str">
        <f>IFERROR(__xludf.DUMMYFUNCTION("GOOGLETRANSLATE(B41, ""en"", ""zh"")"),"工艺铁齿轮")</f>
        <v>工艺铁齿轮</v>
      </c>
      <c r="K41" s="25" t="str">
        <f>IFERROR(__xludf.DUMMYFUNCTION("GOOGLETRANSLATE(B41, ""en"", ""vi"")"),"thiết bị sắt Craft")</f>
        <v>thiết bị sắt Craft</v>
      </c>
      <c r="L41" s="26" t="str">
        <f>IFERROR(__xludf.DUMMYFUNCTION("GOOGLETRANSLATE(B41, ""en"", ""hr"")"),"Obrtni željeza prijenosnika")</f>
        <v>Obrtni željeza prijenosnika</v>
      </c>
      <c r="M41" s="28"/>
      <c r="N41" s="28"/>
      <c r="O41" s="28"/>
      <c r="P41" s="28"/>
      <c r="Q41" s="28"/>
      <c r="R41" s="28"/>
      <c r="S41" s="28"/>
      <c r="T41" s="28"/>
      <c r="U41" s="28"/>
      <c r="V41" s="28"/>
      <c r="W41" s="28"/>
      <c r="X41" s="28"/>
      <c r="Y41" s="28"/>
      <c r="Z41" s="28"/>
      <c r="AA41" s="28"/>
      <c r="AB41" s="28"/>
    </row>
    <row r="42">
      <c r="A42" s="21" t="s">
        <v>874</v>
      </c>
      <c r="B42" s="22" t="s">
        <v>875</v>
      </c>
      <c r="C42" s="23" t="str">
        <f>IFERROR(__xludf.DUMMYFUNCTION("GOOGLETRANSLATE(B42, ""en"", ""fr"")"),"Artisanat engins de dungium")</f>
        <v>Artisanat engins de dungium</v>
      </c>
      <c r="D42" s="23" t="str">
        <f>IFERROR(__xludf.DUMMYFUNCTION("GOOGLETRANSLATE(B42, ""en"", ""es"")"),"engranajes dungium Craft")</f>
        <v>engranajes dungium Craft</v>
      </c>
      <c r="E42" s="23" t="str">
        <f>IFERROR(__xludf.DUMMYFUNCTION("GOOGLETRANSLATE(B42, ""en"", ""ru"")"),"Craft dungium передач")</f>
        <v>Craft dungium передач</v>
      </c>
      <c r="F42" s="23" t="str">
        <f>IFERROR(__xludf.DUMMYFUNCTION("GOOGLETRANSLATE(B42, ""en"", ""tr"")"),"Craft dungium dişli")</f>
        <v>Craft dungium dişli</v>
      </c>
      <c r="G42" s="23" t="str">
        <f>IFERROR(__xludf.DUMMYFUNCTION("GOOGLETRANSLATE(B42, ""en"", ""pt"")"),"engrenagem dungium Craft")</f>
        <v>engrenagem dungium Craft</v>
      </c>
      <c r="H42" s="24" t="str">
        <f>IFERROR(__xludf.DUMMYFUNCTION("GOOGLETRANSLATE(B42, ""en"", ""de"")"),"Craft dungium Gang")</f>
        <v>Craft dungium Gang</v>
      </c>
      <c r="I42" s="23" t="str">
        <f>IFERROR(__xludf.DUMMYFUNCTION("GOOGLETRANSLATE(B42, ""en"", ""pl"")"),"Craft bieg dungium")</f>
        <v>Craft bieg dungium</v>
      </c>
      <c r="J42" s="25" t="str">
        <f>IFERROR(__xludf.DUMMYFUNCTION("GOOGLETRANSLATE(B42, ""en"", ""zh"")"),"工艺dungium齿轮")</f>
        <v>工艺dungium齿轮</v>
      </c>
      <c r="K42" s="25" t="str">
        <f>IFERROR(__xludf.DUMMYFUNCTION("GOOGLETRANSLATE(B42, ""en"", ""vi"")"),"thiết bị dungium Craft")</f>
        <v>thiết bị dungium Craft</v>
      </c>
      <c r="L42" s="26" t="str">
        <f>IFERROR(__xludf.DUMMYFUNCTION("GOOGLETRANSLATE(B42, ""en"", ""hr"")"),"Obrtni dungium prijenosnika")</f>
        <v>Obrtni dungium prijenosnika</v>
      </c>
      <c r="M42" s="28"/>
      <c r="N42" s="28"/>
      <c r="O42" s="28"/>
      <c r="P42" s="28"/>
      <c r="Q42" s="28"/>
      <c r="R42" s="28"/>
      <c r="S42" s="28"/>
      <c r="T42" s="28"/>
      <c r="U42" s="28"/>
      <c r="V42" s="28"/>
      <c r="W42" s="28"/>
      <c r="X42" s="28"/>
      <c r="Y42" s="28"/>
      <c r="Z42" s="28"/>
      <c r="AA42" s="28"/>
      <c r="AB42" s="28"/>
    </row>
    <row r="43">
      <c r="A43" s="21" t="s">
        <v>876</v>
      </c>
      <c r="B43" s="22" t="s">
        <v>877</v>
      </c>
      <c r="C43" s="23" t="str">
        <f>IFERROR(__xludf.DUMMYFUNCTION("GOOGLETRANSLATE(B43, ""en"", ""fr"")"),"La vitesse de Craft")</f>
        <v>La vitesse de Craft</v>
      </c>
      <c r="D43" s="23" t="str">
        <f>IFERROR(__xludf.DUMMYFUNCTION("GOOGLETRANSLATE(B43, ""en"", ""es"")"),"artes artesanía noctis")</f>
        <v>artes artesanía noctis</v>
      </c>
      <c r="E43" s="23" t="str">
        <f>IFERROR(__xludf.DUMMYFUNCTION("GOOGLETRANSLATE(B43, ""en"", ""ru"")"),"Craft NOCTIS передач")</f>
        <v>Craft NOCTIS передач</v>
      </c>
      <c r="F43" s="23" t="str">
        <f>IFERROR(__xludf.DUMMYFUNCTION("GOOGLETRANSLATE(B43, ""en"", ""tr"")"),"Craft noctis vites")</f>
        <v>Craft noctis vites</v>
      </c>
      <c r="G43" s="23" t="str">
        <f>IFERROR(__xludf.DUMMYFUNCTION("GOOGLETRANSLATE(B43, ""en"", ""pt"")"),"engrenagem Craft noctis")</f>
        <v>engrenagem Craft noctis</v>
      </c>
      <c r="H43" s="24" t="str">
        <f>IFERROR(__xludf.DUMMYFUNCTION("GOOGLETRANSLATE(B43, ""en"", ""de"")"),"Craft noctis Gang")</f>
        <v>Craft noctis Gang</v>
      </c>
      <c r="I43" s="23" t="str">
        <f>IFERROR(__xludf.DUMMYFUNCTION("GOOGLETRANSLATE(B43, ""en"", ""pl"")"),"bieg Craft Noctis")</f>
        <v>bieg Craft Noctis</v>
      </c>
      <c r="J43" s="25" t="str">
        <f>IFERROR(__xludf.DUMMYFUNCTION("GOOGLETRANSLATE(B43, ""en"", ""zh"")"),"工艺noctis齿轮")</f>
        <v>工艺noctis齿轮</v>
      </c>
      <c r="K43" s="25" t="str">
        <f>IFERROR(__xludf.DUMMYFUNCTION("GOOGLETRANSLATE(B43, ""en"", ""vi"")"),"Craft Noctis thiết bị")</f>
        <v>Craft Noctis thiết bị</v>
      </c>
      <c r="L43" s="26" t="str">
        <f>IFERROR(__xludf.DUMMYFUNCTION("GOOGLETRANSLATE(B43, ""en"", ""hr"")"),"Obrtni noctis prijenosnika")</f>
        <v>Obrtni noctis prijenosnika</v>
      </c>
      <c r="M43" s="28"/>
      <c r="N43" s="28"/>
      <c r="O43" s="28"/>
      <c r="P43" s="28"/>
      <c r="Q43" s="28"/>
      <c r="R43" s="28"/>
      <c r="S43" s="28"/>
      <c r="T43" s="28"/>
      <c r="U43" s="28"/>
      <c r="V43" s="28"/>
      <c r="W43" s="28"/>
      <c r="X43" s="28"/>
      <c r="Y43" s="28"/>
      <c r="Z43" s="28"/>
      <c r="AA43" s="28"/>
      <c r="AB43" s="28"/>
    </row>
    <row r="44">
      <c r="A44" s="21" t="s">
        <v>878</v>
      </c>
      <c r="B44" s="22" t="s">
        <v>879</v>
      </c>
      <c r="C44" s="23" t="str">
        <f>IFERROR(__xludf.DUMMYFUNCTION("GOOGLETRANSLATE(B44, ""en"", ""fr"")"),"engins de tissu Craft")</f>
        <v>engins de tissu Craft</v>
      </c>
      <c r="D44" s="23" t="str">
        <f>IFERROR(__xludf.DUMMYFUNCTION("GOOGLETRANSLATE(B44, ""en"", ""es"")"),"engranajes arte de la tela")</f>
        <v>engranajes arte de la tela</v>
      </c>
      <c r="E44" s="23" t="str">
        <f>IFERROR(__xludf.DUMMYFUNCTION("GOOGLETRANSLATE(B44, ""en"", ""ru"")"),"Craft ткани передач")</f>
        <v>Craft ткани передач</v>
      </c>
      <c r="F44" s="23" t="str">
        <f>IFERROR(__xludf.DUMMYFUNCTION("GOOGLETRANSLATE(B44, ""en"", ""tr"")"),"Craft kumaş dişlisi")</f>
        <v>Craft kumaş dişlisi</v>
      </c>
      <c r="G44" s="23" t="str">
        <f>IFERROR(__xludf.DUMMYFUNCTION("GOOGLETRANSLATE(B44, ""en"", ""pt"")"),"engrenagem tecido Artesanato")</f>
        <v>engrenagem tecido Artesanato</v>
      </c>
      <c r="H44" s="24" t="str">
        <f>IFERROR(__xludf.DUMMYFUNCTION("GOOGLETRANSLATE(B44, ""en"", ""de"")"),"Craft Stoffzahnrad")</f>
        <v>Craft Stoffzahnrad</v>
      </c>
      <c r="I44" s="23" t="str">
        <f>IFERROR(__xludf.DUMMYFUNCTION("GOOGLETRANSLATE(B44, ""en"", ""pl"")"),"Craft bieg tkaniny")</f>
        <v>Craft bieg tkaniny</v>
      </c>
      <c r="J44" s="25" t="str">
        <f>IFERROR(__xludf.DUMMYFUNCTION("GOOGLETRANSLATE(B44, ""en"", ""zh"")"),"工艺面料齿轮")</f>
        <v>工艺面料齿轮</v>
      </c>
      <c r="K44" s="25" t="str">
        <f>IFERROR(__xludf.DUMMYFUNCTION("GOOGLETRANSLATE(B44, ""en"", ""vi"")"),"thiết bị vải Craft")</f>
        <v>thiết bị vải Craft</v>
      </c>
      <c r="L44" s="26" t="str">
        <f>IFERROR(__xludf.DUMMYFUNCTION("GOOGLETRANSLATE(B44, ""en"", ""hr"")"),"Obrtni tkanina prijenosnika")</f>
        <v>Obrtni tkanina prijenosnika</v>
      </c>
      <c r="M44" s="28"/>
      <c r="N44" s="28"/>
      <c r="O44" s="28"/>
      <c r="P44" s="28"/>
      <c r="Q44" s="28"/>
      <c r="R44" s="28"/>
      <c r="S44" s="28"/>
      <c r="T44" s="28"/>
      <c r="U44" s="28"/>
      <c r="V44" s="28"/>
      <c r="W44" s="28"/>
      <c r="X44" s="28"/>
      <c r="Y44" s="28"/>
      <c r="Z44" s="28"/>
      <c r="AA44" s="28"/>
      <c r="AB44" s="28"/>
    </row>
    <row r="45">
      <c r="A45" s="21" t="s">
        <v>880</v>
      </c>
      <c r="B45" s="22" t="s">
        <v>881</v>
      </c>
      <c r="C45" s="23" t="str">
        <f>IFERROR(__xludf.DUMMYFUNCTION("GOOGLETRANSLATE(B45, ""en"", ""fr"")"),"potions Craft")</f>
        <v>potions Craft</v>
      </c>
      <c r="D45" s="23" t="str">
        <f>IFERROR(__xludf.DUMMYFUNCTION("GOOGLETRANSLATE(B45, ""en"", ""es"")"),"pociones de artesanía")</f>
        <v>pociones de artesanía</v>
      </c>
      <c r="E45" s="23" t="str">
        <f>IFERROR(__xludf.DUMMYFUNCTION("GOOGLETRANSLATE(B45, ""en"", ""ru"")"),"Craft зелий")</f>
        <v>Craft зелий</v>
      </c>
      <c r="F45" s="23" t="str">
        <f>IFERROR(__xludf.DUMMYFUNCTION("GOOGLETRANSLATE(B45, ""en"", ""tr"")"),"zanaat iksirleri")</f>
        <v>zanaat iksirleri</v>
      </c>
      <c r="G45" s="23" t="str">
        <f>IFERROR(__xludf.DUMMYFUNCTION("GOOGLETRANSLATE(B45, ""en"", ""pt"")"),"poções de artesanato")</f>
        <v>poções de artesanato</v>
      </c>
      <c r="H45" s="24" t="str">
        <f>IFERROR(__xludf.DUMMYFUNCTION("GOOGLETRANSLATE(B45, ""en"", ""de"")"),"Craft Tränke")</f>
        <v>Craft Tränke</v>
      </c>
      <c r="I45" s="23" t="str">
        <f>IFERROR(__xludf.DUMMYFUNCTION("GOOGLETRANSLATE(B45, ""en"", ""pl"")"),"mikstury Craft")</f>
        <v>mikstury Craft</v>
      </c>
      <c r="J45" s="25" t="str">
        <f>IFERROR(__xludf.DUMMYFUNCTION("GOOGLETRANSLATE(B45, ""en"", ""zh"")"),"工艺药水")</f>
        <v>工艺药水</v>
      </c>
      <c r="K45" s="25" t="str">
        <f>IFERROR(__xludf.DUMMYFUNCTION("GOOGLETRANSLATE(B45, ""en"", ""vi"")"),"potions Craft")</f>
        <v>potions Craft</v>
      </c>
      <c r="L45" s="26" t="str">
        <f>IFERROR(__xludf.DUMMYFUNCTION("GOOGLETRANSLATE(B45, ""en"", ""hr"")"),"Obrtni napitaka")</f>
        <v>Obrtni napitaka</v>
      </c>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sheetData>
  <drawing r:id="rId1"/>
</worksheet>
</file>