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<sst xmlns="http://schemas.openxmlformats.org/spreadsheetml/2006/main" count="1164" uniqueCount="961">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</sst>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wskazówka")</f>
        <v>Następna wskazówka</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""fr"")"),"Mode chat: Appuyez sur pour définir si la zone de chat doit rester ouvert après l'envoi d'un message.")</f>
        <v>Mode chat: Appuyez sur pour définir si la zone de chat doit rester ouvert après l'envoi d'un message.</v>
      </c>
      <c r="D55" s="23" t="str">
        <f>IFERROR(__xludf.DUMMYFUNCTION("GOOGLETRANSLATE(B55, ""en"", ""es"")"),"modo de chat: Pulse para establecer si la ventana de chat debe permanecer abierta después de enviar un mensaje.")</f>
        <v>modo de chat: Pulse para establecer si la ventana de chat debe permanecer abierta después de enviar un mensaje.</v>
      </c>
      <c r="E55" s="23" t="str">
        <f>IFERROR(__xludf.DUMMYFUNCTION("GOOGLETRANSLATE(B55, ""en"", ""ru"")"),"Чат режим: Нажмите, чтобы установить, следует ли окно чата оставаться открытым после отправки сообщения.")</f>
        <v>Чат режим: Нажмите, чтобы установить, следует ли окно чата оставаться открытым после отправки сообщения.</v>
      </c>
      <c r="F55" s="23" t="str">
        <f>IFERROR(__xludf.DUMMYFUNCTION("GOOGLETRANSLATE(B55, ""en"", ""tr"")"),"Sohbet modu: Basın setine sohbet kutusu mesaj gönderdikten sonra açık kalmalı mı.")</f>
        <v>Sohbet modu: Basın setine sohbet kutusu mesaj gönderdikten sonra açık kalmalı mı.</v>
      </c>
      <c r="G55" s="23" t="str">
        <f>IFERROR(__xludf.DUMMYFUNCTION("GOOGLETRANSLATE(B55, ""en"", ""pt"")"),"modo de bate-papo: Prima para definir se a caixa de bate-papo deve permanecer aberto após o envio de uma mensagem.")</f>
        <v>modo de bate-papo: Prima para definir se a caixa de bate-papo deve permanecer aberto após o envio de uma mensagem.</v>
      </c>
      <c r="H55" s="24" t="str">
        <f>IFERROR(__xludf.DUMMYFUNCTION("GOOGLETRANSLATE(B55, ""en"", ""de"")"),"Chat-Modus: Drücken Sie einstellen, ob die Chat-Box nach dem Senden einer Nachricht geöffnet bleiben soll.")</f>
        <v>Chat-Modus: Drücken Sie einstellen, ob die Chat-Box nach dem Senden einer Nachricht geöffnet bleiben soll.</v>
      </c>
      <c r="I55" s="23" t="str">
        <f>IFERROR(__xludf.DUMMYFUNCTION("GOOGLETRANSLATE(B55, ""en"", ""pl"")"),"Tryb rozmowy: Naciśnij, aby określić, czy okno czatu powinien pozostać otwarty po wysłaniu wiadomości.")</f>
        <v>Tryb rozmowy: Naciśnij, aby określić, czy okno czatu powinien pozostać otwarty po wysłaniu wiadomości.</v>
      </c>
      <c r="J55" s="25" t="str">
        <f>IFERROR(__xludf.DUMMYFUNCTION("GOOGLETRANSLATE(B55, ""en"", ""zh"")"),"聊天模式：按设置聊天框是否应在发送消息后继续开放。")</f>
        <v>聊天模式：按设置聊天框是否应在发送消息后继续开放。</v>
      </c>
      <c r="K55" s="25" t="str">
        <f>IFERROR(__xludf.DUMMYFUNCTION("GOOGLETRANSLATE(B55, ""en"", ""vi"")"),"chế độ trò chuyện: Bấm để thiết lập cho dù cái hộp lớn nên ở lại mở sau khi gửi tin nhắn.")</f>
        <v>chế độ trò chuyện: Bấm để thiết lập cho dù cái hộp lớn nên ở lại mở sau khi gửi tin nhắn.</v>
      </c>
      <c r="L55" s="26" t="str">
        <f>IFERROR(__xludf.DUMMYFUNCTION("GOOGLETRANSLATE(B55, ""en"", ""hr"")"),"Chat mod: Pritisnite za podešavanje li chat box treba ostati otvoren nakon slanja poruke.")</f>
        <v>Chat mod: Pritisnite za podešavanje li chat box treba ostati otvoren nakon slanja poruke.</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персонаж, так что вы можете войти позже.")</f>
        <v>Выберите имя пользователя и пароль, чтобы сохранить этот персонаж,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""fr"")"),"Entrez un message")</f>
        <v>Entrez un message</v>
      </c>
      <c r="D99" s="23" t="str">
        <f>IFERROR(__xludf.DUMMYFUNCTION("GOOGLETRANSLATE(B99, ""en"", ""es"")"),"Introducir un mensaje")</f>
        <v>Introducir un mensaje</v>
      </c>
      <c r="E99" s="23" t="str">
        <f>IFERROR(__xludf.DUMMYFUNCTION("GOOGLETRANSLATE(B99, ""en"", ""ru"")"),"Введите сообщение")</f>
        <v>Введите сообщение</v>
      </c>
      <c r="F99" s="23" t="str">
        <f>IFERROR(__xludf.DUMMYFUNCTION("GOOGLETRANSLATE(B99, ""en"", ""tr"")"),"Bir ileti girin")</f>
        <v>Bir ileti girin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""zh"")"),"输入消息")</f>
        <v>输入消息</v>
      </c>
      <c r="K99" s="25" t="str">
        <f>IFERROR(__xludf.DUMMYFUNCTION("GOOGLETRANSLATE(B99, ""en"", ""vi"")"),"Nhập tin nhắn")</f>
        <v>Nhập tin nhắn</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101</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103</v>
      </c>
      <c r="B131" s="22" t="s">
        <v>103</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nhiều exp stat vũ khí khi được sử dụng.")</f>
        <v>Cung cấp cho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""zh"")"),"中等战利品箱")</f>
        <v>中等战利品箱</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""fr"")"),"minerai Agonite")</f>
        <v>minerai Agonite</v>
      </c>
      <c r="D43" s="23" t="str">
        <f>IFERROR(__xludf.DUMMYFUNCTION("GOOGLETRANSLATE(B43, ""en"", ""es"")"),"mineral de Agonite")</f>
        <v>mineral de Agonite</v>
      </c>
      <c r="E43" s="23" t="str">
        <f>IFERROR(__xludf.DUMMYFUNCTION("GOOGLETRANSLATE(B43, ""en"", ""ru"")"),"Agonite руда")</f>
        <v>Agonite руда</v>
      </c>
      <c r="F43" s="23" t="str">
        <f>IFERROR(__xludf.DUMMYFUNCTION("GOOGLETRANSLATE(B43, ""en"", ""tr"")"),"Agonite cevher")</f>
        <v>Agonite cevher</v>
      </c>
      <c r="G43" s="23" t="str">
        <f>IFERROR(__xludf.DUMMYFUNCTION("GOOGLETRANSLATE(B43, ""en"", ""pt"")"),"minério de Agonite")</f>
        <v>minério de Agonite</v>
      </c>
      <c r="H43" s="24" t="str">
        <f>IFERROR(__xludf.DUMMYFUNCTION("GOOGLETRANSLATE(B43, ""en"", ""de"")"),"Agonite Erz")</f>
        <v>Agonite Erz</v>
      </c>
      <c r="I43" s="23" t="str">
        <f>IFERROR(__xludf.DUMMYFUNCTION("GOOGLETRANSLATE(B43, ""en"", ""pl"")"),"ruda Agonite")</f>
        <v>ruda Agonite</v>
      </c>
      <c r="J43" s="25" t="str">
        <f>IFERROR(__xludf.DUMMYFUNCTION("GOOGLETRANSLATE(B43, ""en"", ""zh"")"),"Agonite矿")</f>
        <v>Agonite矿</v>
      </c>
      <c r="K43" s="25" t="str">
        <f>IFERROR(__xludf.DUMMYFUNCTION("GOOGLETRANSLATE(B43, ""en"", ""vi"")"),"quặng Agonite")</f>
        <v>quặng Agonite</v>
      </c>
      <c r="L43" s="26" t="str">
        <f>IFERROR(__xludf.DUMMYFUNCTION("GOOGLETRANSLATE(B43, ""en"", ""hr"")"),"Agonite rude")</f>
        <v>Agonite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agonite à un four.")</f>
        <v>Peut être conçu dans une barre de agonite à un four.</v>
      </c>
      <c r="D44" s="23" t="str">
        <f>IFERROR(__xludf.DUMMYFUNCTION("GOOGLETRANSLATE(B44, ""en"", ""es"")"),"Puede ser elaborado en un bar agonite en un horno.")</f>
        <v>Puede ser elaborado en un bar agonite en un horno.</v>
      </c>
      <c r="E44" s="23" t="str">
        <f>IFERROR(__xludf.DUMMYFUNCTION("GOOGLETRANSLATE(B44, ""en"", ""ru"")"),"Может быть сделан в бар agonite в печи.")</f>
        <v>Может быть сделан в бар agonite в печи.</v>
      </c>
      <c r="F44" s="23" t="str">
        <f>IFERROR(__xludf.DUMMYFUNCTION("GOOGLETRANSLATE(B44, ""en"", ""tr"")"),"Bir fırın bir agonite çubuğuna hazırlanmış olabilir.")</f>
        <v>Bir fırın bir agonite çubuğuna hazırlanmış olabilir.</v>
      </c>
      <c r="G44" s="23" t="str">
        <f>IFERROR(__xludf.DUMMYFUNCTION("GOOGLETRANSLATE(B44, ""en"", ""pt"")"),"Pode ser trabalhada em um bar agonite em um forno.")</f>
        <v>Pode ser trabalhada em um bar agonite em um forno.</v>
      </c>
      <c r="H44" s="24" t="str">
        <f>IFERROR(__xludf.DUMMYFUNCTION("GOOGLETRANSLATE(B44, ""en"", ""de"")"),"Kann in einem Ofen in eine agonite bar gefertigt werden.")</f>
        <v>Kann in einem Ofen in eine agonite bar gefertigt werden.</v>
      </c>
      <c r="I44" s="23" t="str">
        <f>IFERROR(__xludf.DUMMYFUNCTION("GOOGLETRANSLATE(B44, ""en"", ""pl"")"),"Może być wykonane do baru agonite w piecu.")</f>
        <v>Może być wykonane do baru agonite w piecu.</v>
      </c>
      <c r="J44" s="25" t="str">
        <f>IFERROR(__xludf.DUMMYFUNCTION("GOOGLETRANSLATE(B44, ""en"", ""zh"")"),"可以制作成一炉agonite吧。")</f>
        <v>可以制作成一炉agonite吧。</v>
      </c>
      <c r="K44" s="25" t="str">
        <f>IFERROR(__xludf.DUMMYFUNCTION("GOOGLETRANSLATE(B44, ""en"", ""vi"")"),"Có thể được chế tác thành một thanh agonite tại một lò.")</f>
        <v>Có thể được chế tác thành một thanh agonite tại một lò.</v>
      </c>
      <c r="L44" s="26" t="str">
        <f>IFERROR(__xludf.DUMMYFUNCTION("GOOGLETRANSLATE(B44, ""en"", ""hr"")"),"Mogu biti izrađeni u bar agonite na peći.")</f>
        <v>Mogu biti izrađeni u bar agonite na peći.</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""fr"")"),"bar Agonite")</f>
        <v>bar Agonite</v>
      </c>
      <c r="D45" s="23" t="str">
        <f>IFERROR(__xludf.DUMMYFUNCTION("GOOGLETRANSLATE(B45, ""en"", ""es"")"),"barra de Agonite")</f>
        <v>barra de Agonite</v>
      </c>
      <c r="E45" s="23" t="str">
        <f>IFERROR(__xludf.DUMMYFUNCTION("GOOGLETRANSLATE(B45, ""en"", ""ru"")"),"Agonite бар")</f>
        <v>Agonite бар</v>
      </c>
      <c r="F45" s="23" t="str">
        <f>IFERROR(__xludf.DUMMYFUNCTION("GOOGLETRANSLATE(B45, ""en"", ""tr"")"),"Agonite çubuğu")</f>
        <v>Agonite çubuğu</v>
      </c>
      <c r="G45" s="23" t="str">
        <f>IFERROR(__xludf.DUMMYFUNCTION("GOOGLETRANSLATE(B45, ""en"", ""pt"")"),"bar Agonite")</f>
        <v>bar Agonite</v>
      </c>
      <c r="H45" s="24" t="str">
        <f>IFERROR(__xludf.DUMMYFUNCTION("GOOGLETRANSLATE(B45, ""en"", ""de"")"),"Agonite bar")</f>
        <v>Agonite bar</v>
      </c>
      <c r="I45" s="23" t="str">
        <f>IFERROR(__xludf.DUMMYFUNCTION("GOOGLETRANSLATE(B45, ""en"", ""pl"")"),"Agonite bar")</f>
        <v>Agonite bar</v>
      </c>
      <c r="J45" s="25" t="str">
        <f>IFERROR(__xludf.DUMMYFUNCTION("GOOGLETRANSLATE(B45, ""en"", ""zh"")"),"Agonite酒吧")</f>
        <v>Agonite酒吧</v>
      </c>
      <c r="K45" s="25" t="str">
        <f>IFERROR(__xludf.DUMMYFUNCTION("GOOGLETRANSLATE(B45, ""en"", ""vi"")"),"thanh Agonite")</f>
        <v>thanh Agonite</v>
      </c>
      <c r="L45" s="26" t="str">
        <f>IFERROR(__xludf.DUMMYFUNCTION("GOOGLETRANSLATE(B45, ""en"", ""hr"")"),"Agonite bar")</f>
        <v>Agonite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agonite.")</f>
        <v>Peut être conçu dans l'équipement agonite.</v>
      </c>
      <c r="D46" s="23" t="str">
        <f>IFERROR(__xludf.DUMMYFUNCTION("GOOGLETRANSLATE(B46, ""en"", ""es"")"),"Puede ser elaborado en el equipo agonite.")</f>
        <v>Puede ser elaborado en el equipo agonite.</v>
      </c>
      <c r="E46" s="23" t="str">
        <f>IFERROR(__xludf.DUMMYFUNCTION("GOOGLETRANSLATE(B46, ""en"", ""ru"")"),"Может быть изготовлен в agonite оборудования.")</f>
        <v>Может быть изготовлен в agonite оборудования.</v>
      </c>
      <c r="F46" s="23" t="str">
        <f>IFERROR(__xludf.DUMMYFUNCTION("GOOGLETRANSLATE(B46, ""en"", ""tr"")"),"agonite ekipman içine hazırlanmış olabilir.")</f>
        <v>agonite ekipman içine hazırlanmış olabilir.</v>
      </c>
      <c r="G46" s="23" t="str">
        <f>IFERROR(__xludf.DUMMYFUNCTION("GOOGLETRANSLATE(B46, ""en"", ""pt"")"),"Pode ser trabalhada em equipamentos agonite.")</f>
        <v>Pode ser trabalhada em equipamentos agonite.</v>
      </c>
      <c r="H46" s="24" t="str">
        <f>IFERROR(__xludf.DUMMYFUNCTION("GOOGLETRANSLATE(B46, ""en"", ""de"")"),"Kann in agonite Geräte gefertigt werden.")</f>
        <v>Kann in agonite Geräte gefertigt werden.</v>
      </c>
      <c r="I46" s="23" t="str">
        <f>IFERROR(__xludf.DUMMYFUNCTION("GOOGLETRANSLATE(B46, ""en"", ""pl"")"),"Może być wykonane do sprzętu agonite.")</f>
        <v>Może być wykonane do sprzętu agonite.</v>
      </c>
      <c r="J46" s="25" t="str">
        <f>IFERROR(__xludf.DUMMYFUNCTION("GOOGLETRANSLATE(B46, ""en"", ""zh"")"),"可制作成agonite设备。")</f>
        <v>可制作成agonite设备。</v>
      </c>
      <c r="K46" s="25" t="str">
        <f>IFERROR(__xludf.DUMMYFUNCTION("GOOGLETRANSLATE(B46, ""en"", ""vi"")"),"Có thể được chế tác vào thiết bị agonite.")</f>
        <v>Có thể được chế tác vào thiết bị agonite.</v>
      </c>
      <c r="L46" s="26" t="str">
        <f>IFERROR(__xludf.DUMMYFUNCTION("GOOGLETRANSLATE(B46, ""en"", ""hr"")"),"Mogu biti izrađeni u agonite opreme.")</f>
        <v>Mogu biti izrađeni u agonite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de vie")</f>
        <v>Potion de vie</v>
      </c>
      <c r="D71" s="23" t="str">
        <f>IFERROR(__xludf.DUMMYFUNCTION("GOOGLETRANSLATE(B71, ""en"", ""es"")"),"Poción de salud")</f>
        <v>Poción de salud</v>
      </c>
      <c r="E71" s="23" t="str">
        <f>IFERROR(__xludf.DUMMYFUNCTION("GOOGLETRANSLATE(B71, ""en"", ""ru"")"),"зелье здоровья")</f>
        <v>зелье здоровья</v>
      </c>
      <c r="F71" s="23" t="str">
        <f>IFERROR(__xludf.DUMMYFUNCTION("GOOGLETRANSLATE(B71, ""en"", ""tr"")"),"Can iksiri")</f>
        <v>Can iksiri</v>
      </c>
      <c r="G71" s="23" t="str">
        <f>IFERROR(__xludf.DUMMYFUNCTION("GOOGLETRANSLATE(B71, ""en"", ""pt"")"),"Poção de saúde")</f>
        <v>Poção de saúde</v>
      </c>
      <c r="H71" s="24" t="str">
        <f>IFERROR(__xludf.DUMMYFUNCTION("GOOGLETRANSLATE(B71, ""en"", ""de"")"),"Gesundheitstrank")</f>
        <v>Gesundheitstrank</v>
      </c>
      <c r="I71" s="23" t="str">
        <f>IFERROR(__xludf.DUMMYFUNCTION("GOOGLETRANSLATE(B71, ""en"", ""pl"")"),"Mikstura zdrowia")</f>
        <v>Mikstura zdrowia</v>
      </c>
      <c r="J71" s="25" t="str">
        <f>IFERROR(__xludf.DUMMYFUNCTION("GOOGLETRANSLATE(B71, ""en"", ""zh"")"),"健康药水")</f>
        <v>健康药水</v>
      </c>
      <c r="K71" s="25" t="str">
        <f>IFERROR(__xludf.DUMMYFUNCTION("GOOGLETRANSLATE(B71, ""en"", ""vi"")"),"Bình máu")</f>
        <v>Bình máu</v>
      </c>
      <c r="L71" s="26" t="str">
        <f>IFERROR(__xludf.DUMMYFUNCTION("GOOGLETRANSLATE(B71, ""en"", ""hr"")"),"Napitak za zdravlje")</f>
        <v>Napitak za zdravlje</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""fr"")"),"Restaure quelques points de vie au fil du temps quand il est utilisé.")</f>
        <v>Restaure quelques points de vie au fil du temps quand il est utilisé.</v>
      </c>
      <c r="D72" s="23" t="str">
        <f>IFERROR(__xludf.DUMMYFUNCTION("GOOGLETRANSLATE(B72, ""en"", ""es"")"),"Restaura algunos puntos de resistencia con el tiempo cuando se utiliza.")</f>
        <v>Restaura algunos puntos de resistencia con el tiempo cuando se utiliza.</v>
      </c>
      <c r="E72" s="23" t="str">
        <f>IFERROR(__xludf.DUMMYFUNCTION("GOOGLETRANSLATE(B72,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2" s="23" t="str">
        <f>IFERROR(__xludf.DUMMYFUNCTION("GOOGLETRANSLATE(B72, ""en"", ""tr"")"),"kullanıldığında zamanla bazı hitpoints geri yükler.")</f>
        <v>kullanıldığında zamanla bazı hitpoints geri yükler.</v>
      </c>
      <c r="G72" s="23" t="str">
        <f>IFERROR(__xludf.DUMMYFUNCTION("GOOGLETRANSLATE(B72, ""en"", ""pt"")"),"Restaura alguns pontos de vida ao longo do tempo, quando utilizado.")</f>
        <v>Restaura alguns pontos de vida ao longo do tempo, quando utilizado.</v>
      </c>
      <c r="H72" s="24" t="str">
        <f>IFERROR(__xludf.DUMMYFUNCTION("GOOGLETRANSLATE(B72, ""en"", ""de"")"),"Stellt einige Hitpoints im Laufe der Zeit, wenn verwendet.")</f>
        <v>Stellt einige Hitpoints im Laufe der Zeit, wenn verwendet.</v>
      </c>
      <c r="I72" s="23" t="str">
        <f>IFERROR(__xludf.DUMMYFUNCTION("GOOGLETRANSLATE(B72, ""en"", ""pl"")"),"Przywraca niektóre punkty życia w miarę upływu czasu, gdy stosowane.")</f>
        <v>Przywraca niektóre punkty życia w miarę upływu czasu, gdy stosowane.</v>
      </c>
      <c r="J72" s="25" t="str">
        <f>IFERROR(__xludf.DUMMYFUNCTION("GOOGLETRANSLATE(B72, ""en"", ""zh"")"),"使用时，随着时间的推移恢复生命值一些。")</f>
        <v>使用时，随着时间的推移恢复生命值一些。</v>
      </c>
      <c r="K72" s="25" t="str">
        <f>IFERROR(__xludf.DUMMYFUNCTION("GOOGLETRANSLATE(B72, ""en"", ""vi"")"),"Phục hồi một số hp theo thời gian khi sử dụng.")</f>
        <v>Phục hồi một số hp theo thời gian khi sử dụng.</v>
      </c>
      <c r="L72" s="26" t="str">
        <f>IFERROR(__xludf.DUMMYFUNCTION("GOOGLETRANSLATE(B72, ""en"", ""hr"")"),"Vraća neke udarpoena s vremenom kada se koristi.")</f>
        <v>Vraća neke udarpoena s vremenom kada se koristi.</v>
      </c>
      <c r="M72" s="28"/>
      <c r="N72" s="28"/>
      <c r="O72" s="28"/>
      <c r="P72" s="28"/>
      <c r="Q72" s="28"/>
      <c r="R72" s="28"/>
      <c r="S72" s="28"/>
      <c r="T72" s="28"/>
      <c r="U72" s="28"/>
      <c r="V72" s="28"/>
      <c r="W72" s="28"/>
      <c r="X72" s="28"/>
      <c r="Y72" s="28"/>
      <c r="Z72" s="28"/>
      <c r="AA72" s="28"/>
      <c r="AB72" s="28"/>
    </row>
    <row r="73">
      <c r="A73" s="40" t="s">
        <v>431</v>
      </c>
      <c r="B73" s="22" t="s">
        <v>432</v>
      </c>
      <c r="C73" s="23" t="str">
        <f>IFERROR(__xludf.DUMMYFUNCTION("GOOGLETRANSLATE(B73, ""en"", ""fr"")"),"potion d'énergie")</f>
        <v>potion d'énergie</v>
      </c>
      <c r="D73" s="23" t="str">
        <f>IFERROR(__xludf.DUMMYFUNCTION("GOOGLETRANSLATE(B73, ""en"", ""es"")"),"poción de energía")</f>
        <v>poción de energía</v>
      </c>
      <c r="E73" s="23" t="str">
        <f>IFERROR(__xludf.DUMMYFUNCTION("GOOGLETRANSLATE(B73, ""en"", ""ru"")"),"микстура Energy")</f>
        <v>микстура Energy</v>
      </c>
      <c r="F73" s="23" t="str">
        <f>IFERROR(__xludf.DUMMYFUNCTION("GOOGLETRANSLATE(B73, ""en"", ""tr"")"),"Enerji iksir")</f>
        <v>Enerji iksir</v>
      </c>
      <c r="G73" s="23" t="str">
        <f>IFERROR(__xludf.DUMMYFUNCTION("GOOGLETRANSLATE(B73, ""en"", ""pt"")"),"poção da energia")</f>
        <v>poção da energia</v>
      </c>
      <c r="H73" s="24" t="str">
        <f>IFERROR(__xludf.DUMMYFUNCTION("GOOGLETRANSLATE(B73, ""en"", ""de"")"),"Energietrank")</f>
        <v>Energietrank</v>
      </c>
      <c r="I73" s="23" t="str">
        <f>IFERROR(__xludf.DUMMYFUNCTION("GOOGLETRANSLATE(B73, ""en"", ""pl"")"),"eliksir energii")</f>
        <v>eliksir energii</v>
      </c>
      <c r="J73" s="25" t="str">
        <f>IFERROR(__xludf.DUMMYFUNCTION("GOOGLETRANSLATE(B73, ""en"", ""zh"")"),"能量药水")</f>
        <v>能量药水</v>
      </c>
      <c r="K73" s="25" t="str">
        <f>IFERROR(__xludf.DUMMYFUNCTION("GOOGLETRANSLATE(B73, ""en"", ""vi"")"),"potion năng lượng")</f>
        <v>potion năng lượng</v>
      </c>
      <c r="L73" s="26" t="str">
        <f>IFERROR(__xludf.DUMMYFUNCTION("GOOGLETRANSLATE(B73, ""en"", ""hr"")"),"Energetski napitak")</f>
        <v>Energetski napitak</v>
      </c>
      <c r="M73" s="28"/>
      <c r="N73" s="28"/>
      <c r="O73" s="28"/>
      <c r="P73" s="28"/>
      <c r="Q73" s="28"/>
      <c r="R73" s="28"/>
      <c r="S73" s="28"/>
      <c r="T73" s="28"/>
      <c r="U73" s="28"/>
      <c r="V73" s="28"/>
      <c r="W73" s="28"/>
      <c r="X73" s="28"/>
      <c r="Y73" s="28"/>
      <c r="Z73" s="28"/>
      <c r="AA73" s="28"/>
      <c r="AB73" s="28"/>
    </row>
    <row r="74">
      <c r="A74" s="40" t="s">
        <v>433</v>
      </c>
      <c r="B74" s="22" t="s">
        <v>434</v>
      </c>
      <c r="C74" s="23" t="str">
        <f>IFERROR(__xludf.DUMMYFUNCTION("GOOGLETRANSLATE(B74, ""en"", ""fr"")"),"Restaure un peu d'énergie au fil du temps en cas d'utilisation.")</f>
        <v>Restaure un peu d'énergie au fil du temps en cas d'utilisation.</v>
      </c>
      <c r="D74" s="23" t="str">
        <f>IFERROR(__xludf.DUMMYFUNCTION("GOOGLETRANSLATE(B74, ""en"", ""es"")"),"Restaura un poco de energía a través del tiempo cuando se usa.")</f>
        <v>Restaura un poco de energía a través del tiempo cuando se usa.</v>
      </c>
      <c r="E74" s="23" t="str">
        <f>IFERROR(__xludf.DUMMYFUNCTION("GOOGLETRANSLATE(B74, ""en"", ""ru"")"),"Восстанавливает немного энергии с течением времени при использовании.")</f>
        <v>Восстанавливает немного энергии с течением времени при использовании.</v>
      </c>
      <c r="F74" s="23" t="str">
        <f>IFERROR(__xludf.DUMMYFUNCTION("GOOGLETRANSLATE(B74, ""en"", ""tr"")"),"kullanıldığında zamanla bazı enerji geri yükler.")</f>
        <v>kullanıldığında zamanla bazı enerji geri yükler.</v>
      </c>
      <c r="G74" s="23" t="str">
        <f>IFERROR(__xludf.DUMMYFUNCTION("GOOGLETRANSLATE(B74, ""en"", ""pt"")"),"Restaura um pouco de energia ao longo do tempo, quando utilizado.")</f>
        <v>Restaura um pouco de energia ao longo do tempo, quando utilizado.</v>
      </c>
      <c r="H74" s="24" t="str">
        <f>IFERROR(__xludf.DUMMYFUNCTION("GOOGLETRANSLATE(B74, ""en"", ""de"")"),"Stellt einige Energie im Laufe der Zeit, wenn verwendet.")</f>
        <v>Stellt einige Energie im Laufe der Zeit, wenn verwendet.</v>
      </c>
      <c r="I74" s="23" t="str">
        <f>IFERROR(__xludf.DUMMYFUNCTION("GOOGLETRANSLATE(B74, ""en"", ""pl"")"),"Przywraca trochę energii w miarę upływu czasu, gdy stosowane.")</f>
        <v>Przywraca trochę energii w miarę upływu czasu, gdy stosowane.</v>
      </c>
      <c r="J74" s="25" t="str">
        <f>IFERROR(__xludf.DUMMYFUNCTION("GOOGLETRANSLATE(B74, ""en"", ""zh"")"),"使用时，随着时间的推移恢复一定的能量。")</f>
        <v>使用时，随着时间的推移恢复一定的能量。</v>
      </c>
      <c r="K74" s="25" t="str">
        <f>IFERROR(__xludf.DUMMYFUNCTION("GOOGLETRANSLATE(B74, ""en"", ""vi"")"),"Phục hồi một số năng lượng theo thời gian khi sử dụng.")</f>
        <v>Phục hồi một số năng lượng theo thời gian khi sử dụng.</v>
      </c>
      <c r="L74" s="26" t="str">
        <f>IFERROR(__xludf.DUMMYFUNCTION("GOOGLETRANSLATE(B74, ""en"", ""hr"")"),"Vraća neke energije tijekom vremena kada se koristi.")</f>
        <v>Vraća neke energije tijekom vremena kada se koristi.</v>
      </c>
      <c r="M74" s="28"/>
      <c r="N74" s="28"/>
      <c r="O74" s="28"/>
      <c r="P74" s="28"/>
      <c r="Q74" s="28"/>
      <c r="R74" s="28"/>
      <c r="S74" s="28"/>
      <c r="T74" s="28"/>
      <c r="U74" s="28"/>
      <c r="V74" s="28"/>
      <c r="W74" s="28"/>
      <c r="X74" s="28"/>
      <c r="Y74" s="28"/>
      <c r="Z74" s="28"/>
      <c r="AA74" s="28"/>
      <c r="AB74" s="28"/>
    </row>
    <row r="75">
      <c r="A75" s="40" t="s">
        <v>435</v>
      </c>
      <c r="B75" s="22" t="s">
        <v>436</v>
      </c>
      <c r="C75" s="23" t="str">
        <f>IFERROR(__xludf.DUMMYFUNCTION("GOOGLETRANSLATE(B75, ""en"", ""fr"")"),"potion Cure")</f>
        <v>potion Cure</v>
      </c>
      <c r="D75" s="23" t="str">
        <f>IFERROR(__xludf.DUMMYFUNCTION("GOOGLETRANSLATE(B75, ""en"", ""es"")"),"poción de curación")</f>
        <v>poción de curación</v>
      </c>
      <c r="E75" s="23" t="str">
        <f>IFERROR(__xludf.DUMMYFUNCTION("GOOGLETRANSLATE(B75, ""en"", ""ru"")"),"Лечение микстура")</f>
        <v>Лечение микстура</v>
      </c>
      <c r="F75" s="23" t="str">
        <f>IFERROR(__xludf.DUMMYFUNCTION("GOOGLETRANSLATE(B75, ""en"", ""tr"")"),"kür iksir")</f>
        <v>kür iksir</v>
      </c>
      <c r="G75" s="23" t="str">
        <f>IFERROR(__xludf.DUMMYFUNCTION("GOOGLETRANSLATE(B75, ""en"", ""pt"")"),"poção cura")</f>
        <v>poção cura</v>
      </c>
      <c r="H75" s="24" t="str">
        <f>IFERROR(__xludf.DUMMYFUNCTION("GOOGLETRANSLATE(B75, ""en"", ""de"")"),"Cure Trank")</f>
        <v>Cure Trank</v>
      </c>
      <c r="I75" s="23" t="str">
        <f>IFERROR(__xludf.DUMMYFUNCTION("GOOGLETRANSLATE(B75, ""en"", ""pl"")"),"Cure eliksir")</f>
        <v>Cure eliksir</v>
      </c>
      <c r="J75" s="25" t="str">
        <f>IFERROR(__xludf.DUMMYFUNCTION("GOOGLETRANSLATE(B75, ""en"", ""zh"")"),"治愈药水")</f>
        <v>治愈药水</v>
      </c>
      <c r="K75" s="25" t="str">
        <f>IFERROR(__xludf.DUMMYFUNCTION("GOOGLETRANSLATE(B75, ""en"", ""vi"")"),"chữa potion")</f>
        <v>chữa potion</v>
      </c>
      <c r="L75" s="26" t="str">
        <f>IFERROR(__xludf.DUMMYFUNCTION("GOOGLETRANSLATE(B75, ""en"", ""hr"")"),"Lijek napitak")</f>
        <v>Lijek napitak</v>
      </c>
      <c r="M75" s="28"/>
      <c r="N75" s="28"/>
      <c r="O75" s="28"/>
      <c r="P75" s="28"/>
      <c r="Q75" s="28"/>
      <c r="R75" s="28"/>
      <c r="S75" s="28"/>
      <c r="T75" s="28"/>
      <c r="U75" s="28"/>
      <c r="V75" s="28"/>
      <c r="W75" s="28"/>
      <c r="X75" s="28"/>
      <c r="Y75" s="28"/>
      <c r="Z75" s="28"/>
      <c r="AA75" s="28"/>
      <c r="AB75" s="28"/>
    </row>
    <row r="76">
      <c r="A76" s="40" t="s">
        <v>437</v>
      </c>
      <c r="B76" s="22" t="s">
        <v>438</v>
      </c>
      <c r="C76" s="23" t="str">
        <f>IFERROR(__xludf.DUMMYFUNCTION("GOOGLETRANSLATE(B76, ""en"", ""fr"")"),"Enlève le poison et la maladie et les vous immunise pendant un moment.")</f>
        <v>Enlève le poison et la maladie et les vous immunise pendant un moment.</v>
      </c>
      <c r="D76" s="23" t="str">
        <f>IFERROR(__xludf.DUMMYFUNCTION("GOOGLETRANSLATE(B76, ""en"", ""es"")"),"Elimina el veneno y la enfermedad y te hace inmune a ellos por un tiempo.")</f>
        <v>Elimina el veneno y la enfermedad y te hace inmune a ellos por un tiempo.</v>
      </c>
      <c r="E76" s="23" t="str">
        <f>IFERROR(__xludf.DUMMYFUNCTION("GOOGLETRANSLATE(B76,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6" s="23" t="str">
        <f>IFERROR(__xludf.DUMMYFUNCTION("GOOGLETRANSLATE(B76, ""en"", ""tr"")"),"Kaldırır zehir ve hastalık ve bir süre onlara bağışıklık yapar.")</f>
        <v>Kaldırır zehir ve hastalık ve bir süre onlara bağışıklık yapar.</v>
      </c>
      <c r="G76" s="23" t="str">
        <f>IFERROR(__xludf.DUMMYFUNCTION("GOOGLETRANSLATE(B76, ""en"", ""pt"")"),"Remove veneno e doenças e faz você imune a eles por um tempo.")</f>
        <v>Remove veneno e doenças e faz você imune a eles por um tempo.</v>
      </c>
      <c r="H76" s="24" t="str">
        <f>IFERROR(__xludf.DUMMYFUNCTION("GOOGLETRANSLATE(B76, ""en"", ""de"")"),"Beseitigt Gift und Krankheit und macht Sie für eine Weile, um sie immun.")</f>
        <v>Beseitigt Gift und Krankheit und macht Sie für eine Weile, um sie immun.</v>
      </c>
      <c r="I76" s="23" t="str">
        <f>IFERROR(__xludf.DUMMYFUNCTION("GOOGLETRANSLATE(B76, ""en"", ""pl"")"),"Usuwa trucizny i choroby i sprawia, że ​​jesteś odporny na nich przez chwilę.")</f>
        <v>Usuwa trucizny i choroby i sprawia, że ​​jesteś odporny na nich przez chwilę.</v>
      </c>
      <c r="J76" s="25" t="str">
        <f>IFERROR(__xludf.DUMMYFUNCTION("GOOGLETRANSLATE(B76, ""en"", ""zh"")"),"移除了毒物和疾病，让你不受他们一会儿。")</f>
        <v>移除了毒物和疾病，让你不受他们一会儿。</v>
      </c>
      <c r="K76" s="25" t="str">
        <f>IFERROR(__xludf.DUMMYFUNCTION("GOOGLETRANSLATE(B76, ""en"", ""vi"")"),"Loại bỏ chất độc và bệnh tật và làm cho bạn miễn dịch với họ một thời gian.")</f>
        <v>Loại bỏ chất độc và bệnh tật và làm cho bạn miễn dịch với họ một thời gian.</v>
      </c>
      <c r="L76" s="26" t="str">
        <f>IFERROR(__xludf.DUMMYFUNCTION("GOOGLETRANSLATE(B76, ""en"", ""hr"")"),"Uklanja otrov i bolesti i čini se imuni na njih za neko vrijeme.")</f>
        <v>Uklanja otrov i bolesti i čini se imuni na njih za neko vrijeme.</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""fr"")"),"club en bois")</f>
        <v>club en bois</v>
      </c>
      <c r="D77" s="23" t="str">
        <f>IFERROR(__xludf.DUMMYFUNCTION("GOOGLETRANSLATE(B77, ""en"", ""es"")"),"palo de madera")</f>
        <v>palo de madera</v>
      </c>
      <c r="E77" s="23" t="str">
        <f>IFERROR(__xludf.DUMMYFUNCTION("GOOGLETRANSLATE(B77, ""en"", ""ru"")"),"Деревянный клуб")</f>
        <v>Деревянный клуб</v>
      </c>
      <c r="F77" s="23" t="str">
        <f>IFERROR(__xludf.DUMMYFUNCTION("GOOGLETRANSLATE(B77, ""en"", ""tr"")"),"Ahşap kulüp")</f>
        <v>Ahşap kulüp</v>
      </c>
      <c r="G77" s="23" t="str">
        <f>IFERROR(__xludf.DUMMYFUNCTION("GOOGLETRANSLATE(B77, ""en"", ""pt"")"),"porrete de madeira")</f>
        <v>porrete de madeira</v>
      </c>
      <c r="H77" s="24" t="str">
        <f>IFERROR(__xludf.DUMMYFUNCTION("GOOGLETRANSLATE(B77, ""en"", ""de"")"),"Holzknüppel")</f>
        <v>Holzknüppel</v>
      </c>
      <c r="I77" s="23" t="str">
        <f>IFERROR(__xludf.DUMMYFUNCTION("GOOGLETRANSLATE(B77, ""en"", ""pl"")"),"drewniane klub")</f>
        <v>drewniane klub</v>
      </c>
      <c r="J77" s="25" t="str">
        <f>IFERROR(__xludf.DUMMYFUNCTION("GOOGLETRANSLATE(B77, ""en"", ""zh"")"),"棒槌")</f>
        <v>棒槌</v>
      </c>
      <c r="K77" s="25" t="str">
        <f>IFERROR(__xludf.DUMMYFUNCTION("GOOGLETRANSLATE(B77, ""en"", ""vi"")"),"Câu lạc bộ gỗ")</f>
        <v>Câu lạc bộ gỗ</v>
      </c>
      <c r="L77" s="26" t="str">
        <f>IFERROR(__xludf.DUMMYFUNCTION("GOOGLETRANSLATE(B77, ""en"", ""hr"")"),"drvena klub")</f>
        <v>drvena klub</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""fr"")"),"Un gros bâton pour frapper des choses avec. Mieux que rien...")</f>
        <v>Un gros bâton pour frapper des choses avec. Mieux que rien...</v>
      </c>
      <c r="D78" s="23" t="str">
        <f>IFERROR(__xludf.DUMMYFUNCTION("GOOGLETRANSLATE(B78, ""en"", ""es"")"),"Un gran palo para golpear cosas con. Mejor que nada...")</f>
        <v>Un gran palo para golpear cosas con. Mejor que nada...</v>
      </c>
      <c r="E78" s="23" t="str">
        <f>IFERROR(__xludf.DUMMYFUNCTION("GOOGLETRANSLATE(B78, ""en"", ""ru"")"),"Большая палка ударить вещи. Лучше чем ничего...")</f>
        <v>Большая палка ударить вещи. Лучше чем ничего...</v>
      </c>
      <c r="F78" s="23" t="str">
        <f>IFERROR(__xludf.DUMMYFUNCTION("GOOGLETRANSLATE(B78, ""en"", ""tr"")"),"Büyük bir sopa ile şeyleri vurmak. Hiç yoktan iyidir...")</f>
        <v>Büyük bir sopa ile şeyleri vurmak. Hiç yoktan iyidir...</v>
      </c>
      <c r="G78" s="23" t="str">
        <f>IFERROR(__xludf.DUMMYFUNCTION("GOOGLETRANSLATE(B78, ""en"", ""pt"")"),"A vara grande de acertar as coisas com. Melhor que nada...")</f>
        <v>A vara grande de acertar as coisas com. Melhor que nada...</v>
      </c>
      <c r="H78" s="24" t="str">
        <f>IFERROR(__xludf.DUMMYFUNCTION("GOOGLETRANSLATE(B78, ""en"", ""de"")"),"Ein großer Stab zu schlagen Dinge mit. Besser als nichts...")</f>
        <v>Ein großer Stab zu schlagen Dinge mit. Besser als nichts...</v>
      </c>
      <c r="I78" s="23" t="str">
        <f>IFERROR(__xludf.DUMMYFUNCTION("GOOGLETRANSLATE(B78, ""en"", ""pl"")"),"Dużą kij uderzy rzeczy. Lepsze niż nic...")</f>
        <v>Dużą kij uderzy rzeczy. Lepsze niż nic...</v>
      </c>
      <c r="J78" s="25" t="str">
        <f>IFERROR(__xludf.DUMMYFUNCTION("GOOGLETRANSLATE(B78, ""en"", ""zh"")"),"大棒击中事情。有总比没有好...")</f>
        <v>大棒击中事情。有总比没有好...</v>
      </c>
      <c r="K78" s="25" t="str">
        <f>IFERROR(__xludf.DUMMYFUNCTION("GOOGLETRANSLATE(B78, ""en"", ""vi"")"),"Một cây gậy lớn để đạt điều này với. Có còn hơn không...")</f>
        <v>Một cây gậy lớn để đạt điều này với. Có còn hơn không...</v>
      </c>
      <c r="L78" s="26" t="str">
        <f>IFERROR(__xludf.DUMMYFUNCTION("GOOGLETRANSLATE(B78, ""en"", ""hr"")"),"Veliki štap pogoditi stvari s. Bolje išta nego ništa...")</f>
        <v>Veliki štap pogoditi stvari s. Bolje išta nego ništa...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""fr"")"),"hache de guerre osseuse")</f>
        <v>hache de guerre osseuse</v>
      </c>
      <c r="D79" s="23" t="str">
        <f>IFERROR(__xludf.DUMMYFUNCTION("GOOGLETRANSLATE(B79, ""en"", ""es"")"),"hacha de hueso")</f>
        <v>hacha de hueso</v>
      </c>
      <c r="E79" s="23" t="str">
        <f>IFERROR(__xludf.DUMMYFUNCTION("GOOGLETRANSLATE(B79, ""en"", ""ru"")"),"Кость топорик")</f>
        <v>Кость топорик</v>
      </c>
      <c r="F79" s="23" t="str">
        <f>IFERROR(__xludf.DUMMYFUNCTION("GOOGLETRANSLATE(B79, ""en"", ""tr"")"),"Kemik balta")</f>
        <v>Kemik balta</v>
      </c>
      <c r="G79" s="23" t="str">
        <f>IFERROR(__xludf.DUMMYFUNCTION("GOOGLETRANSLATE(B79, ""en"", ""pt"")"),"machado osso")</f>
        <v>machado osso</v>
      </c>
      <c r="H79" s="24" t="str">
        <f>IFERROR(__xludf.DUMMYFUNCTION("GOOGLETRANSLATE(B79, ""en"", ""de"")"),"Knochen Beil")</f>
        <v>Knochen Beil</v>
      </c>
      <c r="I79" s="23" t="str">
        <f>IFERROR(__xludf.DUMMYFUNCTION("GOOGLETRANSLATE(B79, ""en"", ""pl"")"),"Bone siekierka")</f>
        <v>Bone siekierka</v>
      </c>
      <c r="J79" s="25" t="str">
        <f>IFERROR(__xludf.DUMMYFUNCTION("GOOGLETRANSLATE(B79, ""en"", ""zh"")"),"骨斧")</f>
        <v>骨斧</v>
      </c>
      <c r="K79" s="25" t="str">
        <f>IFERROR(__xludf.DUMMYFUNCTION("GOOGLETRANSLATE(B79, ""en"", ""vi"")"),"xương rìu")</f>
        <v>xương rìu</v>
      </c>
      <c r="L79" s="26" t="str">
        <f>IFERROR(__xludf.DUMMYFUNCTION("GOOGLETRANSLATE(B79, ""en"", ""hr"")"),"koštana sjekirica")</f>
        <v>koštana sjekirica</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""fr"")"),"os pickaxe")</f>
        <v>os pickaxe</v>
      </c>
      <c r="D81" s="23" t="str">
        <f>IFERROR(__xludf.DUMMYFUNCTION("GOOGLETRANSLATE(B81, ""en"", ""es"")"),"pico de hueso")</f>
        <v>pico de hueso</v>
      </c>
      <c r="E81" s="23" t="str">
        <f>IFERROR(__xludf.DUMMYFUNCTION("GOOGLETRANSLATE(B81, ""en"", ""ru"")"),"Кость кирка")</f>
        <v>Кость кирка</v>
      </c>
      <c r="F81" s="23" t="str">
        <f>IFERROR(__xludf.DUMMYFUNCTION("GOOGLETRANSLATE(B81, ""en"", ""tr"")"),"Kemik kazma")</f>
        <v>Kemik kazma</v>
      </c>
      <c r="G81" s="23" t="str">
        <f>IFERROR(__xludf.DUMMYFUNCTION("GOOGLETRANSLATE(B81, ""en"", ""pt"")"),"picareta osso")</f>
        <v>picareta osso</v>
      </c>
      <c r="H81" s="24" t="str">
        <f>IFERROR(__xludf.DUMMYFUNCTION("GOOGLETRANSLATE(B81, ""en"", ""de"")"),"Knochen pickaxe")</f>
        <v>Knochen pickaxe</v>
      </c>
      <c r="I81" s="23" t="str">
        <f>IFERROR(__xludf.DUMMYFUNCTION("GOOGLETRANSLATE(B81, ""en"", ""pl"")"),"Bone kilof")</f>
        <v>Bone kilof</v>
      </c>
      <c r="J81" s="25" t="str">
        <f>IFERROR(__xludf.DUMMYFUNCTION("GOOGLETRANSLATE(B81, ""en"", ""zh"")"),"骨镐")</f>
        <v>骨镐</v>
      </c>
      <c r="K81" s="25" t="str">
        <f>IFERROR(__xludf.DUMMYFUNCTION("GOOGLETRANSLATE(B81, ""en"", ""vi"")"),"xương cuốc")</f>
        <v>xương cuốc</v>
      </c>
      <c r="L81" s="26" t="str">
        <f>IFERROR(__xludf.DUMMYFUNCTION("GOOGLETRANSLATE(B81, ""en"", ""hr"")"),"koštana pijuk")</f>
        <v>koštana pijuk</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""fr"")"),"fer hache de guerre")</f>
        <v>fer hache de guerre</v>
      </c>
      <c r="D83" s="23" t="str">
        <f>IFERROR(__xludf.DUMMYFUNCTION("GOOGLETRANSLATE(B83, ""en"", ""es"")"),"hacha de hierro")</f>
        <v>hacha de hierro</v>
      </c>
      <c r="E83" s="23" t="str">
        <f>IFERROR(__xludf.DUMMYFUNCTION("GOOGLETRANSLATE(B83, ""en"", ""ru"")"),"Железный топор войны")</f>
        <v>Железный топор войны</v>
      </c>
      <c r="F83" s="23" t="str">
        <f>IFERROR(__xludf.DUMMYFUNCTION("GOOGLETRANSLATE(B83, ""en"", ""tr"")"),"Demir balta")</f>
        <v>Demir balta</v>
      </c>
      <c r="G83" s="23" t="str">
        <f>IFERROR(__xludf.DUMMYFUNCTION("GOOGLETRANSLATE(B83, ""en"", ""pt"")"),"machado de ferro")</f>
        <v>machado de ferro</v>
      </c>
      <c r="H83" s="24" t="str">
        <f>IFERROR(__xludf.DUMMYFUNCTION("GOOGLETRANSLATE(B83, ""en"", ""de"")"),"Eisen Beil")</f>
        <v>Eisen Beil</v>
      </c>
      <c r="I83" s="23" t="str">
        <f>IFERROR(__xludf.DUMMYFUNCTION("GOOGLETRANSLATE(B83, ""en"", ""pl"")"),"Żelazna siekierka")</f>
        <v>Żelazna siekierka</v>
      </c>
      <c r="J83" s="25" t="str">
        <f>IFERROR(__xludf.DUMMYFUNCTION("GOOGLETRANSLATE(B83, ""en"", ""zh"")"),"铁前嫌")</f>
        <v>铁前嫌</v>
      </c>
      <c r="K83" s="25" t="str">
        <f>IFERROR(__xludf.DUMMYFUNCTION("GOOGLETRANSLATE(B83, ""en"", ""vi"")"),"sắt rìu")</f>
        <v>sắt rìu</v>
      </c>
      <c r="L83" s="26" t="str">
        <f>IFERROR(__xludf.DUMMYFUNCTION("GOOGLETRANSLATE(B83, ""en"", ""hr"")"),"Željezo sjekirica")</f>
        <v>Željezo sjekirica</v>
      </c>
      <c r="M83" s="28"/>
      <c r="N83" s="28"/>
      <c r="O83" s="28"/>
      <c r="P83" s="28"/>
      <c r="Q83" s="28"/>
      <c r="R83" s="28"/>
      <c r="S83" s="28"/>
      <c r="T83" s="28"/>
      <c r="U83" s="28"/>
      <c r="V83" s="28"/>
      <c r="W83" s="28"/>
      <c r="X83" s="28"/>
      <c r="Y83" s="28"/>
      <c r="Z83" s="28"/>
      <c r="AA83" s="28"/>
      <c r="AB83" s="28"/>
    </row>
    <row r="84">
      <c r="A84" s="21" t="s">
        <v>453</v>
      </c>
      <c r="B84" s="22" t="s">
        <v>446</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""fr"")"),"fer pickaxe")</f>
        <v>fer pickaxe</v>
      </c>
      <c r="D85" s="23" t="str">
        <f>IFERROR(__xludf.DUMMYFUNCTION("GOOGLETRANSLATE(B85, ""en"", ""es"")"),"piqueta de hierro")</f>
        <v>piqueta de hierro</v>
      </c>
      <c r="E85" s="23" t="str">
        <f>IFERROR(__xludf.DUMMYFUNCTION("GOOGLETRANSLATE(B85, ""en"", ""ru"")"),"Железо кирка")</f>
        <v>Железо кирка</v>
      </c>
      <c r="F85" s="23" t="str">
        <f>IFERROR(__xludf.DUMMYFUNCTION("GOOGLETRANSLATE(B85, ""en"", ""tr"")"),"Demir kazma")</f>
        <v>Demir kazma</v>
      </c>
      <c r="G85" s="23" t="str">
        <f>IFERROR(__xludf.DUMMYFUNCTION("GOOGLETRANSLATE(B85, ""en"", ""pt"")"),"picareta de ferro")</f>
        <v>picareta de ferro</v>
      </c>
      <c r="H85" s="24" t="str">
        <f>IFERROR(__xludf.DUMMYFUNCTION("GOOGLETRANSLATE(B85, ""en"", ""de"")"),"Eisen pickaxe")</f>
        <v>Eisen pickaxe</v>
      </c>
      <c r="I85" s="23" t="str">
        <f>IFERROR(__xludf.DUMMYFUNCTION("GOOGLETRANSLATE(B85, ""en"", ""pl"")"),"żelazo kilof")</f>
        <v>żelazo kilof</v>
      </c>
      <c r="J85" s="25" t="str">
        <f>IFERROR(__xludf.DUMMYFUNCTION("GOOGLETRANSLATE(B85, ""en"", ""zh"")"),"铁镐头")</f>
        <v>铁镐头</v>
      </c>
      <c r="K85" s="25" t="str">
        <f>IFERROR(__xludf.DUMMYFUNCTION("GOOGLETRANSLATE(B85, ""en"", ""vi"")"),"sắt cuốc")</f>
        <v>sắt cuốc</v>
      </c>
      <c r="L85" s="26" t="str">
        <f>IFERROR(__xludf.DUMMYFUNCTION("GOOGLETRANSLATE(B85, ""en"", ""hr"")"),"Željezo pijuk")</f>
        <v>Željezo pijuk</v>
      </c>
      <c r="M85" s="28"/>
      <c r="N85" s="28"/>
      <c r="O85" s="28"/>
      <c r="P85" s="28"/>
      <c r="Q85" s="28"/>
      <c r="R85" s="28"/>
      <c r="S85" s="28"/>
      <c r="T85" s="28"/>
      <c r="U85" s="28"/>
      <c r="V85" s="28"/>
      <c r="W85" s="28"/>
      <c r="X85" s="28"/>
      <c r="Y85" s="28"/>
      <c r="Z85" s="28"/>
      <c r="AA85" s="28"/>
      <c r="AB85" s="28"/>
    </row>
    <row r="86">
      <c r="A86" s="21" t="s">
        <v>456</v>
      </c>
      <c r="B86" s="22" t="s">
        <v>450</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""fr"")"),"fer faucille")</f>
        <v>fer faucille</v>
      </c>
      <c r="D87" s="23" t="str">
        <f>IFERROR(__xludf.DUMMYFUNCTION("GOOGLETRANSLATE(B87, ""en"", ""es"")"),"hoz de hierro")</f>
        <v>hoz de hierro</v>
      </c>
      <c r="E87" s="23" t="str">
        <f>IFERROR(__xludf.DUMMYFUNCTION("GOOGLETRANSLATE(B87, ""en"", ""ru"")"),"Железный серп")</f>
        <v>Железный серп</v>
      </c>
      <c r="F87" s="23" t="str">
        <f>IFERROR(__xludf.DUMMYFUNCTION("GOOGLETRANSLATE(B87, ""en"", ""tr"")"),"Demir orak")</f>
        <v>Demir orak</v>
      </c>
      <c r="G87" s="23" t="str">
        <f>IFERROR(__xludf.DUMMYFUNCTION("GOOGLETRANSLATE(B87, ""en"", ""pt"")"),"foice de ferro")</f>
        <v>foice de ferro</v>
      </c>
      <c r="H87" s="24" t="str">
        <f>IFERROR(__xludf.DUMMYFUNCTION("GOOGLETRANSLATE(B87, ""en"", ""de"")"),"Eisen Sichel")</f>
        <v>Eisen Sichel</v>
      </c>
      <c r="I87" s="23" t="str">
        <f>IFERROR(__xludf.DUMMYFUNCTION("GOOGLETRANSLATE(B87, ""en"", ""pl"")"),"żelazo sierp")</f>
        <v>żelazo sierp</v>
      </c>
      <c r="J87" s="25" t="str">
        <f>IFERROR(__xludf.DUMMYFUNCTION("GOOGLETRANSLATE(B87, ""en"", ""zh"")"),"铁镰")</f>
        <v>铁镰</v>
      </c>
      <c r="K87" s="25" t="str">
        <f>IFERROR(__xludf.DUMMYFUNCTION("GOOGLETRANSLATE(B87, ""en"", ""vi"")"),"sắt liềm")</f>
        <v>sắt liềm</v>
      </c>
      <c r="L87" s="26" t="str">
        <f>IFERROR(__xludf.DUMMYFUNCTION("GOOGLETRANSLATE(B87, ""en"", ""hr"")"),"Željezo srp")</f>
        <v>Željezo srp</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""fr"")"),"Utilisé pour cueillir des plantes.")</f>
        <v>Utilisé pour cueillir des plantes.</v>
      </c>
      <c r="D88" s="23" t="str">
        <f>IFERROR(__xludf.DUMMYFUNCTION("GOOGLETRANSLATE(B88, ""en"", ""es"")"),"Se utiliza para recoger plantas.")</f>
        <v>Se utiliza para recoger plantas.</v>
      </c>
      <c r="E88" s="23" t="str">
        <f>IFERROR(__xludf.DUMMYFUNCTION("GOOGLETRANSLATE(B88, ""en"", ""ru"")"),"Используется для сбора растений.")</f>
        <v>Используется для сбора растений.</v>
      </c>
      <c r="F88" s="23" t="str">
        <f>IFERROR(__xludf.DUMMYFUNCTION("GOOGLETRANSLATE(B88, ""en"", ""tr"")"),"bitkileri toplamak için kullanılır.")</f>
        <v>bitkileri toplamak için kullanılır.</v>
      </c>
      <c r="G88" s="23" t="str">
        <f>IFERROR(__xludf.DUMMYFUNCTION("GOOGLETRANSLATE(B88, ""en"", ""pt"")"),"Usado para coletar plantas.")</f>
        <v>Usado para coletar plantas.</v>
      </c>
      <c r="H88" s="24" t="str">
        <f>IFERROR(__xludf.DUMMYFUNCTION("GOOGLETRANSLATE(B88, ""en"", ""de"")"),"Gebrauchte Pflanzen zu sammeln.")</f>
        <v>Gebrauchte Pflanzen zu sammeln.</v>
      </c>
      <c r="I88" s="23" t="str">
        <f>IFERROR(__xludf.DUMMYFUNCTION("GOOGLETRANSLATE(B88, ""en"", ""pl"")"),"Wykorzystywane do zbierania roślin.")</f>
        <v>Wykorzystywane do zbierania roślin.</v>
      </c>
      <c r="J88" s="25" t="str">
        <f>IFERROR(__xludf.DUMMYFUNCTION("GOOGLETRANSLATE(B88, ""en"", ""zh"")"),"用来收集植物。")</f>
        <v>用来收集植物。</v>
      </c>
      <c r="K88" s="25" t="str">
        <f>IFERROR(__xludf.DUMMYFUNCTION("GOOGLETRANSLATE(B88, ""en"", ""vi"")"),"Được sử dụng để thu thập thực vật.")</f>
        <v>Được sử dụng để thu thập thực vật.</v>
      </c>
      <c r="L88" s="26" t="str">
        <f>IFERROR(__xludf.DUMMYFUNCTION("GOOGLETRANSLATE(B88, ""en"", ""hr"")"),"Koristi se skupiti biljke.")</f>
        <v>Koristi se skupiti biljke.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fer")</f>
        <v>flèches fer</v>
      </c>
      <c r="D89" s="23" t="str">
        <f>IFERROR(__xludf.DUMMYFUNCTION("GOOGLETRANSLATE(B89, ""en"", ""es"")"),"flechas de hierro")</f>
        <v>flechas de hierro</v>
      </c>
      <c r="E89" s="23" t="str">
        <f>IFERROR(__xludf.DUMMYFUNCTION("GOOGLETRANSLATE(B89, ""en"", ""ru"")"),"Железные стрелки")</f>
        <v>Железные стрелки</v>
      </c>
      <c r="F89" s="23" t="str">
        <f>IFERROR(__xludf.DUMMYFUNCTION("GOOGLETRANSLATE(B89, ""en"", ""tr"")"),"Demir oklar")</f>
        <v>Demir oklar</v>
      </c>
      <c r="G89" s="23" t="str">
        <f>IFERROR(__xludf.DUMMYFUNCTION("GOOGLETRANSLATE(B89, ""en"", ""pt"")"),"flechas de ferro")</f>
        <v>flechas de ferro</v>
      </c>
      <c r="H89" s="24" t="str">
        <f>IFERROR(__xludf.DUMMYFUNCTION("GOOGLETRANSLATE(B89, ""en"", ""de"")"),"Eisenpfeile")</f>
        <v>Eisenpfeile</v>
      </c>
      <c r="I89" s="23" t="str">
        <f>IFERROR(__xludf.DUMMYFUNCTION("GOOGLETRANSLATE(B89, ""en"", ""pl"")"),"strzałki żelaza")</f>
        <v>strzałki żelaza</v>
      </c>
      <c r="J89" s="25" t="str">
        <f>IFERROR(__xludf.DUMMYFUNCTION("GOOGLETRANSLATE(B89, ""en"", ""zh"")"),"铁箭头")</f>
        <v>铁箭头</v>
      </c>
      <c r="K89" s="25" t="str">
        <f>IFERROR(__xludf.DUMMYFUNCTION("GOOGLETRANSLATE(B89, ""en"", ""vi"")"),"mũi tên sắt")</f>
        <v>mũi tên sắt</v>
      </c>
      <c r="L89" s="26" t="str">
        <f>IFERROR(__xludf.DUMMYFUNCTION("GOOGLETRANSLATE(B89, ""en"", ""hr"")"),"Iron strelice")</f>
        <v>Iron strelice</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""fr"")"),"poignard de fer")</f>
        <v>poignard de fer</v>
      </c>
      <c r="D91" s="23" t="str">
        <f>IFERROR(__xludf.DUMMYFUNCTION("GOOGLETRANSLATE(B91, ""en"", ""es"")"),"daga de hierro")</f>
        <v>daga de hierro</v>
      </c>
      <c r="E91" s="23" t="str">
        <f>IFERROR(__xludf.DUMMYFUNCTION("GOOGLETRANSLATE(B91, ""en"", ""ru"")"),"Железный крестик")</f>
        <v>Железный крестик</v>
      </c>
      <c r="F91" s="23" t="str">
        <f>IFERROR(__xludf.DUMMYFUNCTION("GOOGLETRANSLATE(B91, ""en"", ""tr"")"),"Demir hançer")</f>
        <v>Demir hançer</v>
      </c>
      <c r="G91" s="23" t="str">
        <f>IFERROR(__xludf.DUMMYFUNCTION("GOOGLETRANSLATE(B91, ""en"", ""pt"")"),"punhal de ferro")</f>
        <v>punhal de ferro</v>
      </c>
      <c r="H91" s="24" t="str">
        <f>IFERROR(__xludf.DUMMYFUNCTION("GOOGLETRANSLATE(B91, ""en"", ""de"")"),"Eisendolch")</f>
        <v>Eisendolch</v>
      </c>
      <c r="I91" s="23" t="str">
        <f>IFERROR(__xludf.DUMMYFUNCTION("GOOGLETRANSLATE(B91, ""en"", ""pl"")"),"żelazo sztylet")</f>
        <v>żelazo sztylet</v>
      </c>
      <c r="J91" s="25" t="str">
        <f>IFERROR(__xludf.DUMMYFUNCTION("GOOGLETRANSLATE(B91, ""en"", ""zh"")"),"铁匕首")</f>
        <v>铁匕首</v>
      </c>
      <c r="K91" s="25" t="str">
        <f>IFERROR(__xludf.DUMMYFUNCTION("GOOGLETRANSLATE(B91, ""en"", ""vi"")"),"sắt dao găm")</f>
        <v>sắt dao găm</v>
      </c>
      <c r="L91" s="26" t="str">
        <f>IFERROR(__xludf.DUMMYFUNCTION("GOOGLETRANSLATE(B91, ""en"", ""hr"")"),"Željezo bodež")</f>
        <v>Željezo bodež</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""fr"")"),"Une courte portée arme de mêlée. Inflige des dégâts de bonus quand il frappe par derrière.")</f>
        <v>Une courte portée arme de mêlée. Inflige des dégâts de bonus quand il frappe par derrière.</v>
      </c>
      <c r="D92" s="23" t="str">
        <f>IFERROR(__xludf.DUMMYFUNCTION("GOOGLETRANSLATE(B92, ""en"", ""es"")"),"Un arma cuerpo a cuerpo corto alcance. Inflige daño adicional cuando se golpea por detrás.")</f>
        <v>Un arma cuerpo a cuerpo corto alcance. Inflige daño adicional cuando se golpea por detrás.</v>
      </c>
      <c r="E92" s="23" t="str">
        <f>IFERROR(__xludf.DUMMYFUNCTION("GOOGLETRANSLATE(B92,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92" s="23" t="str">
        <f>IFERROR(__xludf.DUMMYFUNCTION("GOOGLETRANSLATE(B92, ""en"", ""tr"")"),"Kısa menzilli yakın dövüş silahı. o şekilde arkadan çarptığında Bonus hasar verir.")</f>
        <v>Kısa menzilli yakın dövüş silahı. o şekilde arkadan çarptığında Bonus hasar verir.</v>
      </c>
      <c r="G92" s="23" t="str">
        <f>IFERROR(__xludf.DUMMYFUNCTION("GOOGLETRANSLATE(B92, ""en"", ""pt"")"),"A arma branca curto alcance. Causa dano bônus quando se atinge por trás.")</f>
        <v>A arma branca curto alcance. Causa dano bônus quando se atinge por trás.</v>
      </c>
      <c r="H92" s="24" t="str">
        <f>IFERROR(__xludf.DUMMYFUNCTION("GOOGLETRANSLATE(B92, ""en"", ""de"")"),"Eine Nahbereichsnahkampfwaffe. Verursacht zusätzlichen Schaden, wenn es von hinten trifft.")</f>
        <v>Eine Nahbereichsnahkampfwaffe. Verursacht zusätzlichen Schaden, wenn es von hinten trifft.</v>
      </c>
      <c r="I92" s="23" t="str">
        <f>IFERROR(__xludf.DUMMYFUNCTION("GOOGLETRANSLATE(B92, ""en"", ""pl"")"),"Krótki zasięg Broń biała. Zadaje obrażenia bonusowy kiedy uderza od tyłu.")</f>
        <v>Krótki zasięg Broń biała. Zadaje obrażenia bonusowy kiedy uderza od tyłu.</v>
      </c>
      <c r="J92" s="25" t="str">
        <f>IFERROR(__xludf.DUMMYFUNCTION("GOOGLETRANSLATE(B92, ""en"", ""zh"")"),"短程的近战武器。造成额外的伤害，当它从背后击中。")</f>
        <v>短程的近战武器。造成额外的伤害，当它从背后击中。</v>
      </c>
      <c r="K92" s="25" t="str">
        <f>IFERROR(__xludf.DUMMYFUNCTION("GOOGLETRANSLATE(B92, ""en"", ""vi"")"),"Một loạt ngắn melee vũ khí. Damage bonus khi nó chạm từ phía sau.")</f>
        <v>Một loạt ngắn melee vũ khí. Damage bonus khi nó chạm từ phía sau.</v>
      </c>
      <c r="L92" s="26" t="str">
        <f>IFERROR(__xludf.DUMMYFUNCTION("GOOGLETRANSLATE(B92, ""en"", ""hr"")"),"Kratki domet gužva oružje. Ponude bonus štetu kada ga pogodi odostraga.")</f>
        <v>Kratki domet gužva oružje. Ponude bonus štetu kada ga pogodi odostraga.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""fr"")"),"Épée de fer")</f>
        <v>Épée de fer</v>
      </c>
      <c r="D93" s="23" t="str">
        <f>IFERROR(__xludf.DUMMYFUNCTION("GOOGLETRANSLATE(B93, ""en"", ""es"")"),"Espada de hierro")</f>
        <v>Espada de hierro</v>
      </c>
      <c r="E93" s="23" t="str">
        <f>IFERROR(__xludf.DUMMYFUNCTION("GOOGLETRANSLATE(B93, ""en"", ""ru"")"),"Железный меч")</f>
        <v>Железный меч</v>
      </c>
      <c r="F93" s="23" t="str">
        <f>IFERROR(__xludf.DUMMYFUNCTION("GOOGLETRANSLATE(B93, ""en"", ""tr"")"),"Demir kılıç")</f>
        <v>Demir kılıç</v>
      </c>
      <c r="G93" s="23" t="str">
        <f>IFERROR(__xludf.DUMMYFUNCTION("GOOGLETRANSLATE(B93, ""en"", ""pt"")"),"Espada de ferro")</f>
        <v>Espada de ferro</v>
      </c>
      <c r="H93" s="24" t="str">
        <f>IFERROR(__xludf.DUMMYFUNCTION("GOOGLETRANSLATE(B93, ""en"", ""de"")"),"Eisenschwert")</f>
        <v>Eisenschwert</v>
      </c>
      <c r="I93" s="23" t="str">
        <f>IFERROR(__xludf.DUMMYFUNCTION("GOOGLETRANSLATE(B93, ""en"", ""pl"")"),"Żelazny miecz")</f>
        <v>Żelazny miecz</v>
      </c>
      <c r="J93" s="25" t="str">
        <f>IFERROR(__xludf.DUMMYFUNCTION("GOOGLETRANSLATE(B93, ""en"", ""zh"")"),"铁剑")</f>
        <v>铁剑</v>
      </c>
      <c r="K93" s="25" t="str">
        <f>IFERROR(__xludf.DUMMYFUNCTION("GOOGLETRANSLATE(B93, ""en"", ""vi"")"),"Thanh kiếm sắt")</f>
        <v>Thanh kiếm sắt</v>
      </c>
      <c r="L93" s="26" t="str">
        <f>IFERROR(__xludf.DUMMYFUNCTION("GOOGLETRANSLATE(B93, ""en"", ""hr"")"),"Željezo mač")</f>
        <v>Željezo mač</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""fr"")"),"Arme de mêlée. Utilisé pour attaquer à une courte distance.")</f>
        <v>Arme de mêlée. Utilisé pour attaquer à une courte distance.</v>
      </c>
      <c r="D94" s="23" t="str">
        <f>IFERROR(__xludf.DUMMYFUNCTION("GOOGLETRANSLATE(B94, ""en"", ""es"")"),"arma cuerpo a cuerpo. Se utiliza para atacar a una corta distancia.")</f>
        <v>arma cuerpo a cuerpo. Se utiliza para atacar a una corta distancia.</v>
      </c>
      <c r="E94" s="23" t="str">
        <f>IFERROR(__xludf.DUMMYFUNCTION("GOOGLETRANSLATE(B94, ""en"", ""ru"")"),"Оружие ближнего боя. Используется для атаки на небольшое расстоянии.")</f>
        <v>Оружие ближнего боя. Используется для атаки на небольшое расстоянии.</v>
      </c>
      <c r="F94" s="23" t="str">
        <f>IFERROR(__xludf.DUMMYFUNCTION("GOOGLETRANSLATE(B94, ""en"", ""tr"")"),"Yakın dövüş silahı. kısa bir mesafede saldırı için kullanılır.")</f>
        <v>Yakın dövüş silahı. kısa bir mesafede saldırı için kullanılır.</v>
      </c>
      <c r="G94" s="23" t="str">
        <f>IFERROR(__xludf.DUMMYFUNCTION("GOOGLETRANSLATE(B94, ""en"", ""pt"")"),"Arma branca. Usado para atacar a uma curta distância.")</f>
        <v>Arma branca. Usado para atacar a uma curta distância.</v>
      </c>
      <c r="H94" s="24" t="str">
        <f>IFERROR(__xludf.DUMMYFUNCTION("GOOGLETRANSLATE(B94, ""en"", ""de"")"),"Nahkampfwaffe. Verwendet weg eine kurze Strecke zu attackieren.")</f>
        <v>Nahkampfwaffe. Verwendet weg eine kurze Strecke zu attackieren.</v>
      </c>
      <c r="I94" s="23" t="str">
        <f>IFERROR(__xludf.DUMMYFUNCTION("GOOGLETRANSLATE(B94, ""en"", ""pl"")"),"Broń biała. Wykorzystana do ataku na krótkie odległości.")</f>
        <v>Broń biała. Wykorzystana do ataku na krótkie odległości.</v>
      </c>
      <c r="J94" s="25" t="str">
        <f>IFERROR(__xludf.DUMMYFUNCTION("GOOGLETRANSLATE(B94, ""en"", ""zh"")"),"近战武器。用于攻击很短的距离。")</f>
        <v>近战武器。用于攻击很短的距离。</v>
      </c>
      <c r="K94" s="25" t="str">
        <f>IFERROR(__xludf.DUMMYFUNCTION("GOOGLETRANSLATE(B94, ""en"", ""vi"")"),"vũ khí cận chiến. Được sử dụng để tấn công một khoảng cách ngắn.")</f>
        <v>vũ khí cận chiến. Được sử dụng để tấn công một khoảng cách ngắn.</v>
      </c>
      <c r="L94" s="26" t="str">
        <f>IFERROR(__xludf.DUMMYFUNCTION("GOOGLETRANSLATE(B94, ""en"", ""hr"")"),"Gužva oružje. Koristi se za napad nedaleko.")</f>
        <v>Gužva oružje. Koristi se za napad nedaleko.</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""fr"")"),"marteau de fer")</f>
        <v>marteau de fer</v>
      </c>
      <c r="D95" s="23" t="str">
        <f>IFERROR(__xludf.DUMMYFUNCTION("GOOGLETRANSLATE(B95, ""en"", ""es"")"),"martillo de hierro")</f>
        <v>martillo de hierro</v>
      </c>
      <c r="E95" s="23" t="str">
        <f>IFERROR(__xludf.DUMMYFUNCTION("GOOGLETRANSLATE(B95, ""en"", ""ru"")"),"Железный молоток")</f>
        <v>Железный молоток</v>
      </c>
      <c r="F95" s="23" t="str">
        <f>IFERROR(__xludf.DUMMYFUNCTION("GOOGLETRANSLATE(B95, ""en"", ""tr"")"),"Demir çekiç")</f>
        <v>Demir çekiç</v>
      </c>
      <c r="G95" s="23" t="str">
        <f>IFERROR(__xludf.DUMMYFUNCTION("GOOGLETRANSLATE(B95, ""en"", ""pt"")"),"martelo de ferro")</f>
        <v>martelo de ferro</v>
      </c>
      <c r="H95" s="24" t="str">
        <f>IFERROR(__xludf.DUMMYFUNCTION("GOOGLETRANSLATE(B95, ""en"", ""de"")"),"Eisenhammer")</f>
        <v>Eisenhammer</v>
      </c>
      <c r="I95" s="23" t="str">
        <f>IFERROR(__xludf.DUMMYFUNCTION("GOOGLETRANSLATE(B95, ""en"", ""pl"")"),"żelazo młot")</f>
        <v>żelazo młot</v>
      </c>
      <c r="J95" s="25" t="str">
        <f>IFERROR(__xludf.DUMMYFUNCTION("GOOGLETRANSLATE(B95, ""en"", ""zh"")"),"铁榔头")</f>
        <v>铁榔头</v>
      </c>
      <c r="K95" s="25" t="str">
        <f>IFERROR(__xludf.DUMMYFUNCTION("GOOGLETRANSLATE(B95, ""en"", ""vi"")"),"sắt búa")</f>
        <v>sắt búa</v>
      </c>
      <c r="L95" s="26" t="str">
        <f>IFERROR(__xludf.DUMMYFUNCTION("GOOGLETRANSLATE(B95, ""en"", ""hr"")"),"Željezo čekić")</f>
        <v>Željezo čekić</v>
      </c>
      <c r="M95" s="28"/>
      <c r="N95" s="28"/>
      <c r="O95" s="28"/>
      <c r="P95" s="28"/>
      <c r="Q95" s="28"/>
      <c r="R95" s="28"/>
      <c r="S95" s="28"/>
      <c r="T95" s="28"/>
      <c r="U95" s="28"/>
      <c r="V95" s="28"/>
      <c r="W95" s="28"/>
      <c r="X95" s="28"/>
      <c r="Y95" s="28"/>
      <c r="Z95" s="28"/>
      <c r="AA95" s="28"/>
      <c r="AB95" s="28"/>
    </row>
    <row r="96">
      <c r="A96" s="21" t="s">
        <v>475</v>
      </c>
      <c r="B96" s="22" t="s">
        <v>476</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477</v>
      </c>
      <c r="B97" s="22" t="s">
        <v>478</v>
      </c>
      <c r="C97" s="23" t="str">
        <f>IFERROR(__xludf.DUMMYFUNCTION("GOOGLETRANSLATE(B97, ""en"", ""fr"")"),"armure d'Iron")</f>
        <v>armure d'Iron</v>
      </c>
      <c r="D97" s="23" t="str">
        <f>IFERROR(__xludf.DUMMYFUNCTION("GOOGLETRANSLATE(B97, ""en"", ""es"")"),"armadura de hierro")</f>
        <v>armadura de hierro</v>
      </c>
      <c r="E97" s="23" t="str">
        <f>IFERROR(__xludf.DUMMYFUNCTION("GOOGLETRANSLATE(B97, ""en"", ""ru"")"),"Железный доспех")</f>
        <v>Железный доспех</v>
      </c>
      <c r="F97" s="23" t="str">
        <f>IFERROR(__xludf.DUMMYFUNCTION("GOOGLETRANSLATE(B97, ""en"", ""tr"")"),"Demir zırh")</f>
        <v>Demir zırh</v>
      </c>
      <c r="G97" s="23" t="str">
        <f>IFERROR(__xludf.DUMMYFUNCTION("GOOGLETRANSLATE(B97, ""en"", ""pt"")"),"armaduras de ferro")</f>
        <v>armaduras de ferro</v>
      </c>
      <c r="H97" s="24" t="str">
        <f>IFERROR(__xludf.DUMMYFUNCTION("GOOGLETRANSLATE(B97, ""en"", ""de"")"),"Eisenpanzer")</f>
        <v>Eisenpanzer</v>
      </c>
      <c r="I97" s="23" t="str">
        <f>IFERROR(__xludf.DUMMYFUNCTION("GOOGLETRANSLATE(B97, ""en"", ""pl"")"),"Żelazna zbroja")</f>
        <v>Żelazna zbroja</v>
      </c>
      <c r="J97" s="25" t="str">
        <f>IFERROR(__xludf.DUMMYFUNCTION("GOOGLETRANSLATE(B97, ""en"", ""zh"")"),"铁质铠甲")</f>
        <v>铁质铠甲</v>
      </c>
      <c r="K97" s="25" t="str">
        <f>IFERROR(__xludf.DUMMYFUNCTION("GOOGLETRANSLATE(B97, ""en"", ""vi"")"),"sắt giáp")</f>
        <v>sắt giáp</v>
      </c>
      <c r="L97" s="26" t="str">
        <f>IFERROR(__xludf.DUMMYFUNCTION("GOOGLETRANSLATE(B97, ""en"", ""hr"")"),"Željezo oklop")</f>
        <v>Željezo oklop</v>
      </c>
      <c r="M97" s="28"/>
      <c r="N97" s="28"/>
      <c r="O97" s="28"/>
      <c r="P97" s="28"/>
      <c r="Q97" s="28"/>
      <c r="R97" s="28"/>
      <c r="S97" s="28"/>
      <c r="T97" s="28"/>
      <c r="U97" s="28"/>
      <c r="V97" s="28"/>
      <c r="W97" s="28"/>
      <c r="X97" s="28"/>
      <c r="Y97" s="28"/>
      <c r="Z97" s="28"/>
      <c r="AA97" s="28"/>
      <c r="AB97" s="28"/>
    </row>
    <row r="98">
      <c r="A98" s="21" t="s">
        <v>479</v>
      </c>
      <c r="B98" s="22" t="s">
        <v>480</v>
      </c>
      <c r="C98" s="23" t="str">
        <f>IFERROR(__xludf.DUMMYFUNCTION("GOOGLETRANSLATE(B98, ""en"", ""fr"")"),"armure de base pour réduire les dégâts subis. Augmente votre stat Melee tout porté.")</f>
        <v>armure de base pour réduire les dégâts subis. Augmente votre stat Melee tout porté.</v>
      </c>
      <c r="D98" s="23" t="str">
        <f>IFERROR(__xludf.DUMMYFUNCTION("GOOGLETRANSLATE(B98, ""en"", ""es"")"),"armadura básica para reducir el daño recibido. Aumenta la estadística cuerpo a cuerpo mientras se usa.")</f>
        <v>armadura básica para reducir el daño recibido. Aumenta la estadística cuerpo a cuerpo mientras se usa.</v>
      </c>
      <c r="E98" s="23" t="str">
        <f>IFERROR(__xludf.DUMMYFUNCTION("GOOGLETRANSLATE(B98,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8" s="23" t="str">
        <f>IFERROR(__xludf.DUMMYFUNCTION("GOOGLETRANSLATE(B98, ""en"", ""tr"")"),"Temel zırh alınan zararı azaltmak için. yıpranmış ederken Melee, stat artırır.")</f>
        <v>Temel zırh alınan zararı azaltmak için. yıpranmış ederken Melee, stat artırır.</v>
      </c>
      <c r="G98" s="23" t="str">
        <f>IFERROR(__xludf.DUMMYFUNCTION("GOOGLETRANSLATE(B98, ""en"", ""pt"")"),"armadura básica para reduzir o dano tomado. Aumenta seu status de corpo a corpo, enquanto desgastado.")</f>
        <v>armadura básica para reduzir o dano tomado. Aumenta seu status de corpo a corpo, enquanto desgastado.</v>
      </c>
      <c r="H98" s="24" t="str">
        <f>IFERROR(__xludf.DUMMYFUNCTION("GOOGLETRANSLATE(B98, ""en"", ""de"")"),"Grund Rüstung Schaden genommen zu reduzieren. Erhöht den Nahkampf stat während des Tragens.")</f>
        <v>Grund Rüstung Schaden genommen zu reduzieren. Erhöht den Nahkampf stat während des Tragens.</v>
      </c>
      <c r="I98" s="23" t="str">
        <f>IFERROR(__xludf.DUMMYFUNCTION("GOOGLETRANSLATE(B98, ""en"", ""pl"")"),"Podstawowe pancerz zmniejszyć obrażenia. Zwiększa stat wręcz podczas noszenia.")</f>
        <v>Podstawowe pancerz zmniejszyć obrażenia. Zwiększa stat wręcz podczas noszenia.</v>
      </c>
      <c r="J98" s="25" t="str">
        <f>IFERROR(__xludf.DUMMYFUNCTION("GOOGLETRANSLATE(B98, ""en"", ""zh"")"),"基本装甲，以减少受到的伤害。使你的近战的统计，而磨损。")</f>
        <v>基本装甲，以减少受到的伤害。使你的近战的统计，而磨损。</v>
      </c>
      <c r="K98" s="25" t="str">
        <f>IFERROR(__xludf.DUMMYFUNCTION("GOOGLETRANSLATE(B98, ""en"", ""vi"")"),"áo giáp cơ bản để giảm thiệt hại thực hiện. Tăng Melee stat của bạn trong khi mặc.")</f>
        <v>áo giáp cơ bản để giảm thiệt hại thực hiện. Tăng Melee stat của bạn trong khi mặc.</v>
      </c>
      <c r="L98" s="26" t="str">
        <f>IFERROR(__xludf.DUMMYFUNCTION("GOOGLETRANSLATE(B98, ""en"", ""hr"")"),"Osnovni oklop kako bi se smanjila šteta poduzeti. Povećava gužva stat dok istrošena.")</f>
        <v>Osnovni oklop kako bi se smanjila šteta poduzeti. Povećava gužva stat dok istrošena.</v>
      </c>
      <c r="M98" s="28"/>
      <c r="N98" s="28"/>
      <c r="O98" s="28"/>
      <c r="P98" s="28"/>
      <c r="Q98" s="28"/>
      <c r="R98" s="28"/>
      <c r="S98" s="28"/>
      <c r="T98" s="28"/>
      <c r="U98" s="28"/>
      <c r="V98" s="28"/>
      <c r="W98" s="28"/>
      <c r="X98" s="28"/>
      <c r="Y98" s="28"/>
      <c r="Z98" s="28"/>
      <c r="AA98" s="28"/>
      <c r="AB98" s="28"/>
    </row>
    <row r="99">
      <c r="A99" s="21" t="s">
        <v>481</v>
      </c>
      <c r="B99" s="22" t="s">
        <v>482</v>
      </c>
      <c r="C99" s="23" t="str">
        <f>IFERROR(__xludf.DUMMYFUNCTION("GOOGLETRANSLATE(B99, ""en"", ""fr"")"),"Dungium hache de guerre")</f>
        <v>Dungium hache de guerre</v>
      </c>
      <c r="D99" s="23" t="str">
        <f>IFERROR(__xludf.DUMMYFUNCTION("GOOGLETRANSLATE(B99, ""en"", ""es"")"),"Dungium hacha")</f>
        <v>Dungium hacha</v>
      </c>
      <c r="E99" s="23" t="str">
        <f>IFERROR(__xludf.DUMMYFUNCTION("GOOGLETRANSLATE(B99, ""en"", ""ru"")"),"Dungium топорик")</f>
        <v>Dungium топорик</v>
      </c>
      <c r="F99" s="23" t="str">
        <f>IFERROR(__xludf.DUMMYFUNCTION("GOOGLETRANSLATE(B99, ""en"", ""tr"")"),"Dungium balta")</f>
        <v>Dungium balta</v>
      </c>
      <c r="G99" s="23" t="str">
        <f>IFERROR(__xludf.DUMMYFUNCTION("GOOGLETRANSLATE(B99, ""en"", ""pt"")"),"Dungium machado")</f>
        <v>Dungium machado</v>
      </c>
      <c r="H99" s="24" t="str">
        <f>IFERROR(__xludf.DUMMYFUNCTION("GOOGLETRANSLATE(B99, ""en"", ""de"")"),"Dungium Beil")</f>
        <v>Dungium Beil</v>
      </c>
      <c r="I99" s="23" t="str">
        <f>IFERROR(__xludf.DUMMYFUNCTION("GOOGLETRANSLATE(B99, ""en"", ""pl"")"),"Dungium siekierka")</f>
        <v>Dungium siekierka</v>
      </c>
      <c r="J99" s="25" t="str">
        <f>IFERROR(__xludf.DUMMYFUNCTION("GOOGLETRANSLATE(B99, ""en"", ""zh"")"),"Dungium前嫌")</f>
        <v>Dungium前嫌</v>
      </c>
      <c r="K99" s="25" t="str">
        <f>IFERROR(__xludf.DUMMYFUNCTION("GOOGLETRANSLATE(B99, ""en"", ""vi"")"),"Dungium rìu")</f>
        <v>Dungium rìu</v>
      </c>
      <c r="L99" s="26" t="str">
        <f>IFERROR(__xludf.DUMMYFUNCTION("GOOGLETRANSLATE(B99, ""en"", ""hr"")"),"Dungium sjekirica")</f>
        <v>Dungium sjekirica</v>
      </c>
      <c r="M99" s="28"/>
      <c r="N99" s="28"/>
      <c r="O99" s="28"/>
      <c r="P99" s="28"/>
      <c r="Q99" s="28"/>
      <c r="R99" s="28"/>
      <c r="S99" s="28"/>
      <c r="T99" s="28"/>
      <c r="U99" s="28"/>
      <c r="V99" s="28"/>
      <c r="W99" s="28"/>
      <c r="X99" s="28"/>
      <c r="Y99" s="28"/>
      <c r="Z99" s="28"/>
      <c r="AA99" s="28"/>
      <c r="AB99" s="28"/>
    </row>
    <row r="100">
      <c r="A100" s="21" t="s">
        <v>483</v>
      </c>
      <c r="B100" s="22" t="s">
        <v>446</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""fr"")"),"Dungium pickaxe")</f>
        <v>Dungium pickaxe</v>
      </c>
      <c r="D101" s="23" t="str">
        <f>IFERROR(__xludf.DUMMYFUNCTION("GOOGLETRANSLATE(B101, ""en"", ""es"")"),"piqueta Dungium")</f>
        <v>piqueta Dungium</v>
      </c>
      <c r="E101" s="23" t="str">
        <f>IFERROR(__xludf.DUMMYFUNCTION("GOOGLETRANSLATE(B101, ""en"", ""ru"")"),"Dungium кирка")</f>
        <v>Dungium кирка</v>
      </c>
      <c r="F101" s="23" t="str">
        <f>IFERROR(__xludf.DUMMYFUNCTION("GOOGLETRANSLATE(B101, ""en"", ""tr"")"),"Dungium kazma")</f>
        <v>Dungium kazma</v>
      </c>
      <c r="G101" s="23" t="str">
        <f>IFERROR(__xludf.DUMMYFUNCTION("GOOGLETRANSLATE(B101, ""en"", ""pt"")"),"Dungium picareta")</f>
        <v>Dungium picareta</v>
      </c>
      <c r="H101" s="24" t="str">
        <f>IFERROR(__xludf.DUMMYFUNCTION("GOOGLETRANSLATE(B101, ""en"", ""de"")"),"Dungium pickaxe")</f>
        <v>Dungium pickaxe</v>
      </c>
      <c r="I101" s="23" t="str">
        <f>IFERROR(__xludf.DUMMYFUNCTION("GOOGLETRANSLATE(B101, ""en"", ""pl"")"),"Dungium kilof")</f>
        <v>Dungium kilof</v>
      </c>
      <c r="J101" s="25" t="str">
        <f>IFERROR(__xludf.DUMMYFUNCTION("GOOGLETRANSLATE(B101, ""en"", ""zh"")"),"Dungium镐头")</f>
        <v>Dungium镐头</v>
      </c>
      <c r="K101" s="25" t="str">
        <f>IFERROR(__xludf.DUMMYFUNCTION("GOOGLETRANSLATE(B101, ""en"", ""vi"")"),"Dungium cuốc")</f>
        <v>Dungium cuốc</v>
      </c>
      <c r="L101" s="26" t="str">
        <f>IFERROR(__xludf.DUMMYFUNCTION("GOOGLETRANSLATE(B101, ""en"", ""hr"")"),"Dungium pijuk")</f>
        <v>Dungium pijuk</v>
      </c>
      <c r="M101" s="28"/>
      <c r="N101" s="28"/>
      <c r="O101" s="28"/>
      <c r="P101" s="28"/>
      <c r="Q101" s="28"/>
      <c r="R101" s="28"/>
      <c r="S101" s="28"/>
      <c r="T101" s="28"/>
      <c r="U101" s="28"/>
      <c r="V101" s="28"/>
      <c r="W101" s="28"/>
      <c r="X101" s="28"/>
      <c r="Y101" s="28"/>
      <c r="Z101" s="28"/>
      <c r="AA101" s="28"/>
      <c r="AB101" s="28"/>
    </row>
    <row r="102">
      <c r="A102" s="21" t="s">
        <v>486</v>
      </c>
      <c r="B102" s="22" t="s">
        <v>450</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487</v>
      </c>
      <c r="B103" s="22" t="s">
        <v>488</v>
      </c>
      <c r="C103" s="23" t="str">
        <f>IFERROR(__xludf.DUMMYFUNCTION("GOOGLETRANSLATE(B103, ""en"", ""fr"")"),"Dungium faucille")</f>
        <v>Dungium faucille</v>
      </c>
      <c r="D103" s="23" t="str">
        <f>IFERROR(__xludf.DUMMYFUNCTION("GOOGLETRANSLATE(B103, ""en"", ""es"")"),"hoz Dungium")</f>
        <v>hoz Dungium</v>
      </c>
      <c r="E103" s="23" t="str">
        <f>IFERROR(__xludf.DUMMYFUNCTION("GOOGLETRANSLATE(B103, ""en"", ""ru"")"),"Dungium серп")</f>
        <v>Dungium серп</v>
      </c>
      <c r="F103" s="23" t="str">
        <f>IFERROR(__xludf.DUMMYFUNCTION("GOOGLETRANSLATE(B103, ""en"", ""tr"")"),"Dungium orak")</f>
        <v>Dungium orak</v>
      </c>
      <c r="G103" s="23" t="str">
        <f>IFERROR(__xludf.DUMMYFUNCTION("GOOGLETRANSLATE(B103, ""en"", ""pt"")"),"Dungium foice")</f>
        <v>Dungium foice</v>
      </c>
      <c r="H103" s="24" t="str">
        <f>IFERROR(__xludf.DUMMYFUNCTION("GOOGLETRANSLATE(B103, ""en"", ""de"")"),"Dungium Sichel")</f>
        <v>Dungium Sichel</v>
      </c>
      <c r="I103" s="23" t="str">
        <f>IFERROR(__xludf.DUMMYFUNCTION("GOOGLETRANSLATE(B103, ""en"", ""pl"")"),"Dungium sierp")</f>
        <v>Dungium sierp</v>
      </c>
      <c r="J103" s="25" t="str">
        <f>IFERROR(__xludf.DUMMYFUNCTION("GOOGLETRANSLATE(B103, ""en"", ""zh"")"),"Dungium镰刀")</f>
        <v>Dungium镰刀</v>
      </c>
      <c r="K103" s="25" t="str">
        <f>IFERROR(__xludf.DUMMYFUNCTION("GOOGLETRANSLATE(B103, ""en"", ""vi"")"),"Dungium liềm")</f>
        <v>Dungium liềm</v>
      </c>
      <c r="L103" s="26" t="str">
        <f>IFERROR(__xludf.DUMMYFUNCTION("GOOGLETRANSLATE(B103, ""en"", ""hr"")"),"Dungium srp")</f>
        <v>Dungium srp</v>
      </c>
      <c r="M103" s="28"/>
      <c r="N103" s="28"/>
      <c r="O103" s="28"/>
      <c r="P103" s="28"/>
      <c r="Q103" s="28"/>
      <c r="R103" s="28"/>
      <c r="S103" s="28"/>
      <c r="T103" s="28"/>
      <c r="U103" s="28"/>
      <c r="V103" s="28"/>
      <c r="W103" s="28"/>
      <c r="X103" s="28"/>
      <c r="Y103" s="28"/>
      <c r="Z103" s="28"/>
      <c r="AA103" s="28"/>
      <c r="AB103" s="28"/>
    </row>
    <row r="104">
      <c r="A104" s="21" t="s">
        <v>489</v>
      </c>
      <c r="B104" s="22" t="s">
        <v>460</v>
      </c>
      <c r="C104" s="23" t="str">
        <f>IFERROR(__xludf.DUMMYFUNCTION("GOOGLETRANSLATE(B104, ""en"", ""fr"")"),"Utilisé pour cueillir des plantes.")</f>
        <v>Utilisé pour cueillir des plantes.</v>
      </c>
      <c r="D104" s="23" t="str">
        <f>IFERROR(__xludf.DUMMYFUNCTION("GOOGLETRANSLATE(B104, ""en"", ""es"")"),"Se utiliza para recoger plantas.")</f>
        <v>Se utiliza para recoger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""tr"")"),"bitkileri toplamak için kullanılır.")</f>
        <v>bitkileri toplamak için kullanılır.</v>
      </c>
      <c r="G104" s="23" t="str">
        <f>IFERROR(__xludf.DUMMYFUNCTION("GOOGLETRANSLATE(B104, ""en"", ""pt"")"),"Usado para coletar plantas.")</f>
        <v>Usado para coletar plantas.</v>
      </c>
      <c r="H104" s="24" t="str">
        <f>IFERROR(__xludf.DUMMYFUNCTION("GOOGLETRANSLATE(B104, ""en"", ""de"")"),"Gebrauchte Pflanzen zu sammeln.")</f>
        <v>Gebrauchte Pflanzen zu sammeln.</v>
      </c>
      <c r="I104" s="23" t="str">
        <f>IFERROR(__xludf.DUMMYFUNCTION("GOOGLETRANSLATE(B104, ""en"", ""pl"")"),"Wykorzystywane do zbierania roślin.")</f>
        <v>Wykorzystywane do zbierania roślin.</v>
      </c>
      <c r="J104" s="25" t="str">
        <f>IFERROR(__xludf.DUMMYFUNCTION("GOOGLETRANSLATE(B104, ""en"", ""zh"")"),"用来收集植物。")</f>
        <v>用来收集植物。</v>
      </c>
      <c r="K104" s="25" t="str">
        <f>IFERROR(__xludf.DUMMYFUNCTION("GOOGLETRANSLATE(B104, ""en"", ""vi"")"),"Được sử dụng để thu thập thực vật.")</f>
        <v>Được sử dụng để thu thập thực vật.</v>
      </c>
      <c r="L104" s="26" t="str">
        <f>IFERROR(__xludf.DUMMYFUNCTION("GOOGLETRANSLATE(B104, ""en"", ""hr"")"),"Koristi se skupiti biljke.")</f>
        <v>Koristi se skupiti biljke.</v>
      </c>
      <c r="M104" s="28"/>
      <c r="N104" s="28"/>
      <c r="O104" s="28"/>
      <c r="P104" s="28"/>
      <c r="Q104" s="28"/>
      <c r="R104" s="28"/>
      <c r="S104" s="28"/>
      <c r="T104" s="28"/>
      <c r="U104" s="28"/>
      <c r="V104" s="28"/>
      <c r="W104" s="28"/>
      <c r="X104" s="28"/>
      <c r="Y104" s="28"/>
      <c r="Z104" s="28"/>
      <c r="AA104" s="28"/>
      <c r="AB104" s="28"/>
    </row>
    <row r="105">
      <c r="A105" s="21" t="s">
        <v>490</v>
      </c>
      <c r="B105" s="22" t="s">
        <v>491</v>
      </c>
      <c r="C105" s="23" t="str">
        <f>IFERROR(__xludf.DUMMYFUNCTION("GOOGLETRANSLATE(B105, ""en"", ""fr"")"),"flèches Dungium")</f>
        <v>flèches Dungium</v>
      </c>
      <c r="D105" s="23" t="str">
        <f>IFERROR(__xludf.DUMMYFUNCTION("GOOGLETRANSLATE(B105, ""en"", ""es"")"),"flechas Dungium")</f>
        <v>flechas Dungium</v>
      </c>
      <c r="E105" s="23" t="str">
        <f>IFERROR(__xludf.DUMMYFUNCTION("GOOGLETRANSLATE(B105, ""en"", ""ru"")"),"стрелки Dungium")</f>
        <v>стрелки Dungium</v>
      </c>
      <c r="F105" s="23" t="str">
        <f>IFERROR(__xludf.DUMMYFUNCTION("GOOGLETRANSLATE(B105, ""en"", ""tr"")"),"Dungium oklar")</f>
        <v>Dungium oklar</v>
      </c>
      <c r="G105" s="23" t="str">
        <f>IFERROR(__xludf.DUMMYFUNCTION("GOOGLETRANSLATE(B105, ""en"", ""pt"")"),"setas Dungium")</f>
        <v>setas Dungium</v>
      </c>
      <c r="H105" s="24" t="str">
        <f>IFERROR(__xludf.DUMMYFUNCTION("GOOGLETRANSLATE(B105, ""en"", ""de"")"),"Dungium Pfeile")</f>
        <v>Dungium Pfeile</v>
      </c>
      <c r="I105" s="23" t="str">
        <f>IFERROR(__xludf.DUMMYFUNCTION("GOOGLETRANSLATE(B105, ""en"", ""pl"")"),"strzałki Dungium")</f>
        <v>strzałki Dungium</v>
      </c>
      <c r="J105" s="25" t="str">
        <f>IFERROR(__xludf.DUMMYFUNCTION("GOOGLETRANSLATE(B105, ""en"", ""zh"")"),"Dungium箭头")</f>
        <v>Dungium箭头</v>
      </c>
      <c r="K105" s="25" t="str">
        <f>IFERROR(__xludf.DUMMYFUNCTION("GOOGLETRANSLATE(B105, ""en"", ""vi"")"),"mũi tên Dungium")</f>
        <v>mũi tên Dungium</v>
      </c>
      <c r="L105" s="26" t="str">
        <f>IFERROR(__xludf.DUMMYFUNCTION("GOOGLETRANSLATE(B105, ""en"", ""hr"")"),"Dungium strelice")</f>
        <v>Dungium strelice</v>
      </c>
      <c r="M105" s="28"/>
      <c r="N105" s="28"/>
      <c r="O105" s="28"/>
      <c r="P105" s="28"/>
      <c r="Q105" s="28"/>
      <c r="R105" s="28"/>
      <c r="S105" s="28"/>
      <c r="T105" s="28"/>
      <c r="U105" s="28"/>
      <c r="V105" s="28"/>
      <c r="W105" s="28"/>
      <c r="X105" s="28"/>
      <c r="Y105" s="28"/>
      <c r="Z105" s="28"/>
      <c r="AA105" s="28"/>
      <c r="AB105" s="28"/>
    </row>
    <row r="106">
      <c r="A106" s="21" t="s">
        <v>492</v>
      </c>
      <c r="B106" s="22" t="s">
        <v>464</v>
      </c>
      <c r="C106" s="23" t="str">
        <f>IFERROR(__xludf.DUMMYFUNCTION("GOOGLETRANSLATE(B106, ""en"", ""fr"")"),"Utilisé comme munitions pour un arc.")</f>
        <v>Utilisé comme munitions pour un arc.</v>
      </c>
      <c r="D106" s="23" t="str">
        <f>IFERROR(__xludf.DUMMYFUNCTION("GOOGLETRANSLATE(B106, ""en"", ""es"")"),"Se utiliza como munición para un arco.")</f>
        <v>Se utiliza como munición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""de"")"),"Wird als Munition für einen Bogen.")</f>
        <v>Wird als Munition für einen Bogen.</v>
      </c>
      <c r="I106" s="23" t="str">
        <f>IFERROR(__xludf.DUMMYFUNCTION("GOOGLETRANSLATE(B106, ""en"", ""pl"")"),"Używany jako amunicji do łuku.")</f>
        <v>Używany jako amunicji do łuku.</v>
      </c>
      <c r="J106" s="25" t="str">
        <f>IFERROR(__xludf.DUMMYFUNCTION("GOOGLETRANSLATE(B106, ""en"", ""zh"")"),"作为弹药弓。")</f>
        <v>作为弹药弓。</v>
      </c>
      <c r="K106" s="25" t="str">
        <f>IFERROR(__xludf.DUMMYFUNCTION("GOOGLETRANSLATE(B106, ""en"", ""vi"")"),"Sử dụng như đạn dược cho một cây cung.")</f>
        <v>Sử dụng như đạn dược cho một cây cung.</v>
      </c>
      <c r="L106" s="26" t="str">
        <f>IFERROR(__xludf.DUMMYFUNCTION("GOOGLETRANSLATE(B106, ""en"", ""hr"")"),"Koristi se kao streljivo za luk.")</f>
        <v>Koristi se kao streljivo za luk.</v>
      </c>
      <c r="M106" s="28"/>
      <c r="N106" s="28"/>
      <c r="O106" s="28"/>
      <c r="P106" s="28"/>
      <c r="Q106" s="28"/>
      <c r="R106" s="28"/>
      <c r="S106" s="28"/>
      <c r="T106" s="28"/>
      <c r="U106" s="28"/>
      <c r="V106" s="28"/>
      <c r="W106" s="28"/>
      <c r="X106" s="28"/>
      <c r="Y106" s="28"/>
      <c r="Z106" s="28"/>
      <c r="AA106" s="28"/>
      <c r="AB106" s="28"/>
    </row>
    <row r="107">
      <c r="A107" s="21" t="s">
        <v>493</v>
      </c>
      <c r="B107" s="22" t="s">
        <v>494</v>
      </c>
      <c r="C107" s="23" t="str">
        <f>IFERROR(__xludf.DUMMYFUNCTION("GOOGLETRANSLATE(B107, ""en"", ""fr"")"),"poignard Dungium")</f>
        <v>poignard Dungium</v>
      </c>
      <c r="D107" s="23" t="str">
        <f>IFERROR(__xludf.DUMMYFUNCTION("GOOGLETRANSLATE(B107, ""en"", ""es"")"),"daga Dungium")</f>
        <v>daga Dungium</v>
      </c>
      <c r="E107" s="23" t="str">
        <f>IFERROR(__xludf.DUMMYFUNCTION("GOOGLETRANSLATE(B107, ""en"", ""ru"")"),"Dungium крестик")</f>
        <v>Dungium крестик</v>
      </c>
      <c r="F107" s="23" t="str">
        <f>IFERROR(__xludf.DUMMYFUNCTION("GOOGLETRANSLATE(B107, ""en"", ""tr"")"),"Dungium hançer")</f>
        <v>Dungium hançer</v>
      </c>
      <c r="G107" s="23" t="str">
        <f>IFERROR(__xludf.DUMMYFUNCTION("GOOGLETRANSLATE(B107, ""en"", ""pt"")"),"Dungium punhal")</f>
        <v>Dungium punhal</v>
      </c>
      <c r="H107" s="24" t="str">
        <f>IFERROR(__xludf.DUMMYFUNCTION("GOOGLETRANSLATE(B107, ""en"", ""de"")"),"Dungium Dolch")</f>
        <v>Dungium Dolch</v>
      </c>
      <c r="I107" s="23" t="str">
        <f>IFERROR(__xludf.DUMMYFUNCTION("GOOGLETRANSLATE(B107, ""en"", ""pl"")"),"Dungium sztylet")</f>
        <v>Dungium sztylet</v>
      </c>
      <c r="J107" s="25" t="str">
        <f>IFERROR(__xludf.DUMMYFUNCTION("GOOGLETRANSLATE(B107, ""en"", ""zh"")"),"Dungium匕首")</f>
        <v>Dungium匕首</v>
      </c>
      <c r="K107" s="25" t="str">
        <f>IFERROR(__xludf.DUMMYFUNCTION("GOOGLETRANSLATE(B107, ""en"", ""vi"")"),"Dungium dao găm")</f>
        <v>Dungium dao găm</v>
      </c>
      <c r="L107" s="26" t="str">
        <f>IFERROR(__xludf.DUMMYFUNCTION("GOOGLETRANSLATE(B107, ""en"", ""hr"")"),"Dungium bodež")</f>
        <v>Dungium bodež</v>
      </c>
      <c r="M107" s="28"/>
      <c r="N107" s="28"/>
      <c r="O107" s="28"/>
      <c r="P107" s="28"/>
      <c r="Q107" s="28"/>
      <c r="R107" s="28"/>
      <c r="S107" s="28"/>
      <c r="T107" s="28"/>
      <c r="U107" s="28"/>
      <c r="V107" s="28"/>
      <c r="W107" s="28"/>
      <c r="X107" s="28"/>
      <c r="Y107" s="28"/>
      <c r="Z107" s="28"/>
      <c r="AA107" s="28"/>
      <c r="AB107" s="28"/>
    </row>
    <row r="108">
      <c r="A108" s="21" t="s">
        <v>495</v>
      </c>
      <c r="B108" s="22" t="s">
        <v>468</v>
      </c>
      <c r="C108" s="23" t="str">
        <f>IFERROR(__xludf.DUMMYFUNCTION("GOOGLETRANSLATE(B108, ""en"", ""fr"")"),"Une courte portée arme de mêlée. Inflige des dégâts de bonus quand il frappe par derrière.")</f>
        <v>Une courte portée arme de mêlée. Inflige des dégâts de bonus quand il frappe par derrière.</v>
      </c>
      <c r="D108" s="23" t="str">
        <f>IFERROR(__xludf.DUMMYFUNCTION("GOOGLETRANSLATE(B108, ""en"", ""es"")"),"Un arma cuerpo a cuerpo corto alcance. Inflige daño adicional cuando se golpea por detrás.")</f>
        <v>Un arma cuerpo a cuerpo corto alcance. Inflige daño adicional cuando se golpea por detrás.</v>
      </c>
      <c r="E108" s="23" t="str">
        <f>IFERROR(__xludf.DUMMYFUNCTION("GOOGLETRANSLATE(B108,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08" s="23" t="str">
        <f>IFERROR(__xludf.DUMMYFUNCTION("GOOGLETRANSLATE(B108, ""en"", ""tr"")"),"Kısa menzilli yakın dövüş silahı. o şekilde arkadan çarptığında Bonus hasar verir.")</f>
        <v>Kısa menzilli yakın dövüş silahı. o şekilde arkadan çarptığında Bonus hasar verir.</v>
      </c>
      <c r="G108" s="23" t="str">
        <f>IFERROR(__xludf.DUMMYFUNCTION("GOOGLETRANSLATE(B108, ""en"", ""pt"")"),"A arma branca curto alcance. Causa dano bônus quando se atinge por trás.")</f>
        <v>A arma branca curto alcance. Causa dano bônus quando se atinge por trás.</v>
      </c>
      <c r="H108" s="24" t="str">
        <f>IFERROR(__xludf.DUMMYFUNCTION("GOOGLETRANSLATE(B108, ""en"", ""de"")"),"Eine Nahbereichsnahkampfwaffe. Verursacht zusätzlichen Schaden, wenn es von hinten trifft.")</f>
        <v>Eine Nahbereichsnahkampfwaffe. Verursacht zusätzlichen Schaden, wenn es von hinten trifft.</v>
      </c>
      <c r="I108" s="23" t="str">
        <f>IFERROR(__xludf.DUMMYFUNCTION("GOOGLETRANSLATE(B108, ""en"", ""pl"")"),"Krótki zasięg Broń biała. Zadaje obrażenia bonusowy kiedy uderza od tyłu.")</f>
        <v>Krótki zasięg Broń biała. Zadaje obrażenia bonusowy kiedy uderza od tyłu.</v>
      </c>
      <c r="J108" s="25" t="str">
        <f>IFERROR(__xludf.DUMMYFUNCTION("GOOGLETRANSLATE(B108, ""en"", ""zh"")"),"短程的近战武器。造成额外的伤害，当它从背后击中。")</f>
        <v>短程的近战武器。造成额外的伤害，当它从背后击中。</v>
      </c>
      <c r="K108" s="25" t="str">
        <f>IFERROR(__xludf.DUMMYFUNCTION("GOOGLETRANSLATE(B108, ""en"", ""vi"")"),"Một loạt ngắn melee vũ khí. Damage bonus khi nó chạm từ phía sau.")</f>
        <v>Một loạt ngắn melee vũ khí. Damage bonus khi nó chạm từ phía sau.</v>
      </c>
      <c r="L108" s="26" t="str">
        <f>IFERROR(__xludf.DUMMYFUNCTION("GOOGLETRANSLATE(B108, ""en"", ""hr"")"),"Kratki domet gužva oružje. Ponude bonus štetu kada ga pogodi odostraga.")</f>
        <v>Kratki domet gužva oružje. Ponude bonus štetu kada ga pogodi odostraga.</v>
      </c>
      <c r="M108" s="28"/>
      <c r="N108" s="28"/>
      <c r="O108" s="28"/>
      <c r="P108" s="28"/>
      <c r="Q108" s="28"/>
      <c r="R108" s="28"/>
      <c r="S108" s="28"/>
      <c r="T108" s="28"/>
      <c r="U108" s="28"/>
      <c r="V108" s="28"/>
      <c r="W108" s="28"/>
      <c r="X108" s="28"/>
      <c r="Y108" s="28"/>
      <c r="Z108" s="28"/>
      <c r="AA108" s="28"/>
      <c r="AB108" s="28"/>
    </row>
    <row r="109">
      <c r="A109" s="21" t="s">
        <v>496</v>
      </c>
      <c r="B109" s="22" t="s">
        <v>497</v>
      </c>
      <c r="C109" s="23" t="str">
        <f>IFERROR(__xludf.DUMMYFUNCTION("GOOGLETRANSLATE(B109, ""en"", ""fr"")"),"épée Dungium")</f>
        <v>épée Dungium</v>
      </c>
      <c r="D109" s="23" t="str">
        <f>IFERROR(__xludf.DUMMYFUNCTION("GOOGLETRANSLATE(B109, ""en"", ""es"")"),"espada Dungium")</f>
        <v>espada Dungium</v>
      </c>
      <c r="E109" s="23" t="str">
        <f>IFERROR(__xludf.DUMMYFUNCTION("GOOGLETRANSLATE(B109, ""en"", ""ru"")"),"Dungium меч")</f>
        <v>Dungium меч</v>
      </c>
      <c r="F109" s="23" t="str">
        <f>IFERROR(__xludf.DUMMYFUNCTION("GOOGLETRANSLATE(B109, ""en"", ""tr"")"),"Dungium kılıç")</f>
        <v>Dungium kılıç</v>
      </c>
      <c r="G109" s="23" t="str">
        <f>IFERROR(__xludf.DUMMYFUNCTION("GOOGLETRANSLATE(B109, ""en"", ""pt"")"),"espada Dungium")</f>
        <v>espada Dungium</v>
      </c>
      <c r="H109" s="24" t="str">
        <f>IFERROR(__xludf.DUMMYFUNCTION("GOOGLETRANSLATE(B109, ""en"", ""de"")"),"Dungium Schwert")</f>
        <v>Dungium Schwert</v>
      </c>
      <c r="I109" s="23" t="str">
        <f>IFERROR(__xludf.DUMMYFUNCTION("GOOGLETRANSLATE(B109, ""en"", ""pl"")"),"Dungium miecz")</f>
        <v>Dungium miecz</v>
      </c>
      <c r="J109" s="25" t="str">
        <f>IFERROR(__xludf.DUMMYFUNCTION("GOOGLETRANSLATE(B109, ""en"", ""zh"")"),"Dungium剑")</f>
        <v>Dungium剑</v>
      </c>
      <c r="K109" s="25" t="str">
        <f>IFERROR(__xludf.DUMMYFUNCTION("GOOGLETRANSLATE(B109, ""en"", ""vi"")"),"Dungium gươm")</f>
        <v>Dungium gươm</v>
      </c>
      <c r="L109" s="26" t="str">
        <f>IFERROR(__xludf.DUMMYFUNCTION("GOOGLETRANSLATE(B109, ""en"", ""hr"")"),"Dungium mač")</f>
        <v>Dungium mač</v>
      </c>
      <c r="M109" s="28"/>
      <c r="N109" s="28"/>
      <c r="O109" s="28"/>
      <c r="P109" s="28"/>
      <c r="Q109" s="28"/>
      <c r="R109" s="28"/>
      <c r="S109" s="28"/>
      <c r="T109" s="28"/>
      <c r="U109" s="28"/>
      <c r="V109" s="28"/>
      <c r="W109" s="28"/>
      <c r="X109" s="28"/>
      <c r="Y109" s="28"/>
      <c r="Z109" s="28"/>
      <c r="AA109" s="28"/>
      <c r="AB109" s="28"/>
    </row>
    <row r="110">
      <c r="A110" s="21" t="s">
        <v>498</v>
      </c>
      <c r="B110" s="22" t="s">
        <v>472</v>
      </c>
      <c r="C110" s="23" t="str">
        <f>IFERROR(__xludf.DUMMYFUNCTION("GOOGLETRANSLATE(B110, ""en"", ""fr"")"),"Arme de mêlée. Utilisé pour attaquer à une courte distance.")</f>
        <v>Arme de mêlée. Utilisé pour attaquer à une courte distance.</v>
      </c>
      <c r="D110" s="23" t="str">
        <f>IFERROR(__xludf.DUMMYFUNCTION("GOOGLETRANSLATE(B110, ""en"", ""es"")"),"arma cuerpo a cuerpo. Se utiliza para atacar a una corta distancia.")</f>
        <v>arma cuerpo a cuerpo. Se utiliza para atacar a una corta distancia.</v>
      </c>
      <c r="E110" s="23" t="str">
        <f>IFERROR(__xludf.DUMMYFUNCTION("GOOGLETRANSLATE(B110, ""en"", ""ru"")"),"Оружие ближнего боя. Используется для атаки на небольшое расстоянии.")</f>
        <v>Оружие ближнего боя. Используется для атаки на небольшое расстоянии.</v>
      </c>
      <c r="F110" s="23" t="str">
        <f>IFERROR(__xludf.DUMMYFUNCTION("GOOGLETRANSLATE(B110, ""en"", ""tr"")"),"Yakın dövüş silahı. kısa bir mesafede saldırı için kullanılır.")</f>
        <v>Yakın dövüş silahı. kısa bir mesafede saldırı için kullanılır.</v>
      </c>
      <c r="G110" s="23" t="str">
        <f>IFERROR(__xludf.DUMMYFUNCTION("GOOGLETRANSLATE(B110, ""en"", ""pt"")"),"Arma branca. Usado para atacar a uma curta distância.")</f>
        <v>Arma branca. Usado para atacar a uma curta distância.</v>
      </c>
      <c r="H110" s="24" t="str">
        <f>IFERROR(__xludf.DUMMYFUNCTION("GOOGLETRANSLATE(B110, ""en"", ""de"")"),"Nahkampfwaffe. Verwendet weg eine kurze Strecke zu attackieren.")</f>
        <v>Nahkampfwaffe. Verwendet weg eine kurze Strecke zu attackieren.</v>
      </c>
      <c r="I110" s="23" t="str">
        <f>IFERROR(__xludf.DUMMYFUNCTION("GOOGLETRANSLATE(B110, ""en"", ""pl"")"),"Broń biała. Wykorzystana do ataku na krótkie odległości.")</f>
        <v>Broń biała. Wykorzystana do ataku na krótkie odległości.</v>
      </c>
      <c r="J110" s="25" t="str">
        <f>IFERROR(__xludf.DUMMYFUNCTION("GOOGLETRANSLATE(B110, ""en"", ""zh"")"),"近战武器。用于攻击很短的距离。")</f>
        <v>近战武器。用于攻击很短的距离。</v>
      </c>
      <c r="K110" s="25" t="str">
        <f>IFERROR(__xludf.DUMMYFUNCTION("GOOGLETRANSLATE(B110, ""en"", ""vi"")"),"vũ khí cận chiến. Được sử dụng để tấn công một khoảng cách ngắn.")</f>
        <v>vũ khí cận chiến. Được sử dụng để tấn công một khoảng cách ngắn.</v>
      </c>
      <c r="L110" s="26" t="str">
        <f>IFERROR(__xludf.DUMMYFUNCTION("GOOGLETRANSLATE(B110, ""en"", ""hr"")"),"Gužva oružje. Koristi se za napad nedaleko.")</f>
        <v>Gužva oružje. Koristi se za napad nedaleko.</v>
      </c>
      <c r="M110" s="28"/>
      <c r="N110" s="28"/>
      <c r="O110" s="28"/>
      <c r="P110" s="28"/>
      <c r="Q110" s="28"/>
      <c r="R110" s="28"/>
      <c r="S110" s="28"/>
      <c r="T110" s="28"/>
      <c r="U110" s="28"/>
      <c r="V110" s="28"/>
      <c r="W110" s="28"/>
      <c r="X110" s="28"/>
      <c r="Y110" s="28"/>
      <c r="Z110" s="28"/>
      <c r="AA110" s="28"/>
      <c r="AB110" s="28"/>
    </row>
    <row r="111">
      <c r="A111" s="21" t="s">
        <v>499</v>
      </c>
      <c r="B111" s="22" t="s">
        <v>500</v>
      </c>
      <c r="C111" s="23" t="str">
        <f>IFERROR(__xludf.DUMMYFUNCTION("GOOGLETRANSLATE(B111, ""en"", ""fr"")"),"marteau Dungium")</f>
        <v>marteau Dungium</v>
      </c>
      <c r="D111" s="23" t="str">
        <f>IFERROR(__xludf.DUMMYFUNCTION("GOOGLETRANSLATE(B111, ""en"", ""es"")"),"martillo Dungium")</f>
        <v>martillo Dungium</v>
      </c>
      <c r="E111" s="23" t="str">
        <f>IFERROR(__xludf.DUMMYFUNCTION("GOOGLETRANSLATE(B111, ""en"", ""ru"")"),"Dungium молоток")</f>
        <v>Dungium молоток</v>
      </c>
      <c r="F111" s="23" t="str">
        <f>IFERROR(__xludf.DUMMYFUNCTION("GOOGLETRANSLATE(B111, ""en"", ""tr"")"),"Dungium çekiç")</f>
        <v>Dungium çekiç</v>
      </c>
      <c r="G111" s="23" t="str">
        <f>IFERROR(__xludf.DUMMYFUNCTION("GOOGLETRANSLATE(B111, ""en"", ""pt"")"),"Dungium martelo")</f>
        <v>Dungium martelo</v>
      </c>
      <c r="H111" s="24" t="str">
        <f>IFERROR(__xludf.DUMMYFUNCTION("GOOGLETRANSLATE(B111, ""en"", ""de"")"),"Dungium Hammer")</f>
        <v>Dungium Hammer</v>
      </c>
      <c r="I111" s="23" t="str">
        <f>IFERROR(__xludf.DUMMYFUNCTION("GOOGLETRANSLATE(B111, ""en"", ""pl"")"),"Dungium młotek")</f>
        <v>Dungium młotek</v>
      </c>
      <c r="J111" s="25" t="str">
        <f>IFERROR(__xludf.DUMMYFUNCTION("GOOGLETRANSLATE(B111, ""en"", ""zh"")"),"Dungium锤")</f>
        <v>Dungium锤</v>
      </c>
      <c r="K111" s="25" t="str">
        <f>IFERROR(__xludf.DUMMYFUNCTION("GOOGLETRANSLATE(B111, ""en"", ""vi"")"),"Dungium búa")</f>
        <v>Dungium búa</v>
      </c>
      <c r="L111" s="26" t="str">
        <f>IFERROR(__xludf.DUMMYFUNCTION("GOOGLETRANSLATE(B111, ""en"", ""hr"")"),"Dungium čekić")</f>
        <v>Dungium čekić</v>
      </c>
      <c r="M111" s="28"/>
      <c r="N111" s="28"/>
      <c r="O111" s="28"/>
      <c r="P111" s="28"/>
      <c r="Q111" s="28"/>
      <c r="R111" s="28"/>
      <c r="S111" s="28"/>
      <c r="T111" s="28"/>
      <c r="U111" s="28"/>
      <c r="V111" s="28"/>
      <c r="W111" s="28"/>
      <c r="X111" s="28"/>
      <c r="Y111" s="28"/>
      <c r="Z111" s="28"/>
      <c r="AA111" s="28"/>
      <c r="AB111" s="28"/>
    </row>
    <row r="112">
      <c r="A112" s="21" t="s">
        <v>501</v>
      </c>
      <c r="B112" s="22" t="s">
        <v>476</v>
      </c>
      <c r="C112" s="23" t="str">
        <f>IFERROR(__xludf.DUMMYFUNCTION("GOOGLETRANSLATE(B112, ""en"", ""fr"")"),"Arme de mêlée. Pousse les choses un espace quand il frappe.")</f>
        <v>Arme de mêlée. Pousse les choses un espace quand il frappe.</v>
      </c>
      <c r="D112" s="23" t="str">
        <f>IFERROR(__xludf.DUMMYFUNCTION("GOOGLETRANSLATE(B112, ""en"", ""es"")"),"arma cuerpo a cuerpo. Lleva las cosas un espacio hacia atrás cuando se golpea.")</f>
        <v>arma cuerpo a cuerpo. Lleva las cosas un espacio hacia atrás cuando se golpea.</v>
      </c>
      <c r="E112" s="23" t="str">
        <f>IFERROR(__xludf.DUMMYFUNCTION("GOOGLETRANSLATE(B112,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2" s="23" t="str">
        <f>IFERROR(__xludf.DUMMYFUNCTION("GOOGLETRANSLATE(B112, ""en"", ""tr"")"),"Yakın dövüş silahı. çarptığında iter şeyler bir boşluk geri.")</f>
        <v>Yakın dövüş silahı. çarptığında iter şeyler bir boşluk geri.</v>
      </c>
      <c r="G112" s="23" t="str">
        <f>IFERROR(__xludf.DUMMYFUNCTION("GOOGLETRANSLATE(B112, ""en"", ""pt"")"),"Arma branca. Empurra as coisas de volta um espaço quando bate.")</f>
        <v>Arma branca. Empurra as coisas de volta um espaço quando bate.</v>
      </c>
      <c r="H112" s="24" t="str">
        <f>IFERROR(__xludf.DUMMYFUNCTION("GOOGLETRANSLATE(B112, ""en"", ""de"")"),"Nahkampfwaffe. Schiebt die Dinge wieder einen Raum, wenn er trifft.")</f>
        <v>Nahkampfwaffe. Schiebt die Dinge wieder einen Raum, wenn er trifft.</v>
      </c>
      <c r="I112" s="23" t="str">
        <f>IFERROR(__xludf.DUMMYFUNCTION("GOOGLETRANSLATE(B112, ""en"", ""pl"")"),"Broń biała. Popycha rzeczy z powrotem jedno miejsce, gdy natrafi.")</f>
        <v>Broń biała. Popycha rzeczy z powrotem jedno miejsce, gdy natrafi.</v>
      </c>
      <c r="J112" s="25" t="str">
        <f>IFERROR(__xludf.DUMMYFUNCTION("GOOGLETRANSLATE(B112, ""en"", ""zh"")"),"近战武器。推动东西回来一个空当它击中。")</f>
        <v>近战武器。推动东西回来一个空当它击中。</v>
      </c>
      <c r="K112" s="25" t="str">
        <f>IFERROR(__xludf.DUMMYFUNCTION("GOOGLETRANSLATE(B112, ""en"", ""vi"")"),"vũ khí cận chiến. Push thứ trở lại một không gian khi nó chạm.")</f>
        <v>vũ khí cận chiến. Push thứ trở lại một không gian khi nó chạm.</v>
      </c>
      <c r="L112" s="26" t="str">
        <f>IFERROR(__xludf.DUMMYFUNCTION("GOOGLETRANSLATE(B112, ""en"", ""hr"")"),"Gužva oružje. Gura stvari vratiti za jedno mjesto kad ga pogodi.")</f>
        <v>Gužva oružje. Gura stvari vratiti za jedno mjesto kad ga pogodi.</v>
      </c>
      <c r="M112" s="28"/>
      <c r="N112" s="28"/>
      <c r="O112" s="28"/>
      <c r="P112" s="28"/>
      <c r="Q112" s="28"/>
      <c r="R112" s="28"/>
      <c r="S112" s="28"/>
      <c r="T112" s="28"/>
      <c r="U112" s="28"/>
      <c r="V112" s="28"/>
      <c r="W112" s="28"/>
      <c r="X112" s="28"/>
      <c r="Y112" s="28"/>
      <c r="Z112" s="28"/>
      <c r="AA112" s="28"/>
      <c r="AB112" s="28"/>
    </row>
    <row r="113">
      <c r="A113" s="21" t="s">
        <v>502</v>
      </c>
      <c r="B113" s="22" t="s">
        <v>503</v>
      </c>
      <c r="C113" s="23" t="str">
        <f>IFERROR(__xludf.DUMMYFUNCTION("GOOGLETRANSLATE(B113, ""en"", ""fr"")"),"armure Dungium")</f>
        <v>armure Dungium</v>
      </c>
      <c r="D113" s="23" t="str">
        <f>IFERROR(__xludf.DUMMYFUNCTION("GOOGLETRANSLATE(B113, ""en"", ""es"")"),"armadura Dungium")</f>
        <v>armadura Dungium</v>
      </c>
      <c r="E113" s="23" t="str">
        <f>IFERROR(__xludf.DUMMYFUNCTION("GOOGLETRANSLATE(B113, ""en"", ""ru"")"),"Dungium броня")</f>
        <v>Dungium броня</v>
      </c>
      <c r="F113" s="23" t="str">
        <f>IFERROR(__xludf.DUMMYFUNCTION("GOOGLETRANSLATE(B113, ""en"", ""tr"")"),"Dungium zırh")</f>
        <v>Dungium zırh</v>
      </c>
      <c r="G113" s="23" t="str">
        <f>IFERROR(__xludf.DUMMYFUNCTION("GOOGLETRANSLATE(B113, ""en"", ""pt"")"),"armadura Dungium")</f>
        <v>armadura Dungium</v>
      </c>
      <c r="H113" s="24" t="str">
        <f>IFERROR(__xludf.DUMMYFUNCTION("GOOGLETRANSLATE(B113, ""en"", ""de"")"),"Dungium Rüstung")</f>
        <v>Dungium Rüstung</v>
      </c>
      <c r="I113" s="23" t="str">
        <f>IFERROR(__xludf.DUMMYFUNCTION("GOOGLETRANSLATE(B113, ""en"", ""pl"")"),"Dungium pancerz")</f>
        <v>Dungium pancerz</v>
      </c>
      <c r="J113" s="25" t="str">
        <f>IFERROR(__xludf.DUMMYFUNCTION("GOOGLETRANSLATE(B113, ""en"", ""zh"")"),"Dungium装甲")</f>
        <v>Dungium装甲</v>
      </c>
      <c r="K113" s="25" t="str">
        <f>IFERROR(__xludf.DUMMYFUNCTION("GOOGLETRANSLATE(B113, ""en"", ""vi"")"),"Dungium giáp")</f>
        <v>Dungium giáp</v>
      </c>
      <c r="L113" s="26" t="str">
        <f>IFERROR(__xludf.DUMMYFUNCTION("GOOGLETRANSLATE(B113, ""en"", ""hr"")"),"Dungium oklop")</f>
        <v>Dungium oklop</v>
      </c>
      <c r="M113" s="28"/>
      <c r="N113" s="28"/>
      <c r="O113" s="28"/>
      <c r="P113" s="28"/>
      <c r="Q113" s="28"/>
      <c r="R113" s="28"/>
      <c r="S113" s="28"/>
      <c r="T113" s="28"/>
      <c r="U113" s="28"/>
      <c r="V113" s="28"/>
      <c r="W113" s="28"/>
      <c r="X113" s="28"/>
      <c r="Y113" s="28"/>
      <c r="Z113" s="28"/>
      <c r="AA113" s="28"/>
      <c r="AB113" s="28"/>
    </row>
    <row r="114">
      <c r="A114" s="21" t="s">
        <v>504</v>
      </c>
      <c r="B114" s="22" t="s">
        <v>505</v>
      </c>
      <c r="C114" s="23" t="str">
        <f>IFERROR(__xludf.DUMMYFUNCTION("GOOGLETRANSLATE(B114, ""en"", ""fr"")"),"Brillant! Augmente votre stat Melee tout porté.")</f>
        <v>Brillant! Augmente votre stat Melee tout porté.</v>
      </c>
      <c r="D114" s="23" t="str">
        <f>IFERROR(__xludf.DUMMYFUNCTION("GOOGLETRANSLATE(B114, ""en"", ""es"")"),"¡Brillante! Aumenta la estadística cuerpo a cuerpo mientras se usa.")</f>
        <v>¡Brillante! Aumenta la estadística cuerpo a cuerpo mientras se usa.</v>
      </c>
      <c r="E114" s="23" t="str">
        <f>IFERROR(__xludf.DUMMYFUNCTION("GOOGLETRANSLATE(B114, ""en"", ""ru"")"),"Блестящий! Повышает рукопашной стат во время ношения.")</f>
        <v>Блестящий! Повышает рукопашной стат во время ношения.</v>
      </c>
      <c r="F114" s="23" t="str">
        <f>IFERROR(__xludf.DUMMYFUNCTION("GOOGLETRANSLATE(B114, ""en"", ""tr"")"),"Parlak! yıpranmış ederken Melee, stat artırır.")</f>
        <v>Parlak! yıpranmış ederken Melee, stat artırır.</v>
      </c>
      <c r="G114" s="23" t="str">
        <f>IFERROR(__xludf.DUMMYFUNCTION("GOOGLETRANSLATE(B114, ""en"", ""pt"")"),"Brilhante! Aumenta seu status de corpo a corpo, enquanto desgastado.")</f>
        <v>Brilhante! Aumenta seu status de corpo a corpo, enquanto desgastado.</v>
      </c>
      <c r="H114" s="24" t="str">
        <f>IFERROR(__xludf.DUMMYFUNCTION("GOOGLETRANSLATE(B114, ""en"", ""de"")"),"Glänzend! Erhöht den Nahkampf stat während des Tragens.")</f>
        <v>Glänzend! Erhöht den Nahkampf stat während des Tragens.</v>
      </c>
      <c r="I114" s="23" t="str">
        <f>IFERROR(__xludf.DUMMYFUNCTION("GOOGLETRANSLATE(B114, ""en"", ""pl"")"),"Błyszczący! Zwiększa stat wręcz podczas noszenia.")</f>
        <v>Błyszczący! Zwiększa stat wręcz podczas noszenia.</v>
      </c>
      <c r="J114" s="25" t="str">
        <f>IFERROR(__xludf.DUMMYFUNCTION("GOOGLETRANSLATE(B114, ""en"", ""zh"")"),"闪亮的！使你的近战的统计，而磨损。")</f>
        <v>闪亮的！使你的近战的统计，而磨损。</v>
      </c>
      <c r="K114" s="25" t="str">
        <f>IFERROR(__xludf.DUMMYFUNCTION("GOOGLETRANSLATE(B114, ""en"", ""vi"")"),"Sáng bóng! Tăng Melee stat của bạn trong khi mặc.")</f>
        <v>Sáng bóng! Tăng Melee stat của bạn trong khi mặc.</v>
      </c>
      <c r="L114" s="26" t="str">
        <f>IFERROR(__xludf.DUMMYFUNCTION("GOOGLETRANSLATE(B114, ""en"", ""hr"")"),"Sjajan! Povećava gužva stat dok istrošena.")</f>
        <v>Sjajan! Povećava gužva stat dok istrošena.</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""fr"")"),"Agonite hache de guerre")</f>
        <v>Agonite hache de guerre</v>
      </c>
      <c r="D115" s="23" t="str">
        <f>IFERROR(__xludf.DUMMYFUNCTION("GOOGLETRANSLATE(B115, ""en"", ""es"")"),"Agonite hacha")</f>
        <v>Agonite hacha</v>
      </c>
      <c r="E115" s="23" t="str">
        <f>IFERROR(__xludf.DUMMYFUNCTION("GOOGLETRANSLATE(B115, ""en"", ""ru"")"),"Agonite топорик")</f>
        <v>Agonite топорик</v>
      </c>
      <c r="F115" s="23" t="str">
        <f>IFERROR(__xludf.DUMMYFUNCTION("GOOGLETRANSLATE(B115, ""en"", ""tr"")"),"Agonite balta")</f>
        <v>Agonite balta</v>
      </c>
      <c r="G115" s="23" t="str">
        <f>IFERROR(__xludf.DUMMYFUNCTION("GOOGLETRANSLATE(B115, ""en"", ""pt"")"),"Agonite machado")</f>
        <v>Agonite machado</v>
      </c>
      <c r="H115" s="24" t="str">
        <f>IFERROR(__xludf.DUMMYFUNCTION("GOOGLETRANSLATE(B115, ""en"", ""de"")"),"Agonite Beil")</f>
        <v>Agonite Beil</v>
      </c>
      <c r="I115" s="23" t="str">
        <f>IFERROR(__xludf.DUMMYFUNCTION("GOOGLETRANSLATE(B115, ""en"", ""pl"")"),"Agonite siekierka")</f>
        <v>Agonite siekierka</v>
      </c>
      <c r="J115" s="25" t="str">
        <f>IFERROR(__xludf.DUMMYFUNCTION("GOOGLETRANSLATE(B115, ""en"", ""zh"")"),"Agonite前嫌")</f>
        <v>Agonite前嫌</v>
      </c>
      <c r="K115" s="25" t="str">
        <f>IFERROR(__xludf.DUMMYFUNCTION("GOOGLETRANSLATE(B115, ""en"", ""vi"")"),"Agonite rìu")</f>
        <v>Agonite rìu</v>
      </c>
      <c r="L115" s="26" t="str">
        <f>IFERROR(__xludf.DUMMYFUNCTION("GOOGLETRANSLATE(B115, ""en"", ""hr"")"),"Agonite sjekirica")</f>
        <v>Agonite sjekirica</v>
      </c>
      <c r="M115" s="28"/>
      <c r="N115" s="28"/>
      <c r="O115" s="28"/>
      <c r="P115" s="28"/>
      <c r="Q115" s="28"/>
      <c r="R115" s="28"/>
      <c r="S115" s="28"/>
      <c r="T115" s="28"/>
      <c r="U115" s="28"/>
      <c r="V115" s="28"/>
      <c r="W115" s="28"/>
      <c r="X115" s="28"/>
      <c r="Y115" s="28"/>
      <c r="Z115" s="28"/>
      <c r="AA115" s="28"/>
      <c r="AB115" s="28"/>
    </row>
    <row r="116">
      <c r="A116" s="21" t="s">
        <v>508</v>
      </c>
      <c r="B116" s="22" t="s">
        <v>446</v>
      </c>
      <c r="C116" s="23" t="str">
        <f>IFERROR(__xludf.DUMMYFUNCTION("GOOGLETRANSLATE(B116, ""en"", ""fr"")"),"Utilisé pour abattre des arbres pour le bois.")</f>
        <v>Utilisé pour abattre des arbres pour le bois.</v>
      </c>
      <c r="D116" s="23" t="str">
        <f>IFERROR(__xludf.DUMMYFUNCTION("GOOGLETRANSLATE(B116, ""en"", ""es"")"),"Se utiliza para cortar árboles para madera.")</f>
        <v>Se utiliza para cortar árboles para madera.</v>
      </c>
      <c r="E116" s="23" t="str">
        <f>IFERROR(__xludf.DUMMYFUNCTION("GOOGLETRANSLATE(B116, ""en"", ""ru"")"),"Используется рубить деревья для дерева.")</f>
        <v>Используется рубить деревья для дерева.</v>
      </c>
      <c r="F116" s="23" t="str">
        <f>IFERROR(__xludf.DUMMYFUNCTION("GOOGLETRANSLATE(B116, ""en"", ""tr"")"),"buradaki ağaçları devirmek için kullanılır.")</f>
        <v>buradaki ağaçları devirmek için kullanılır.</v>
      </c>
      <c r="G116" s="23" t="str">
        <f>IFERROR(__xludf.DUMMYFUNCTION("GOOGLETRANSLATE(B116, ""en"", ""pt"")"),"Usado para derrubar árvores para madeira.")</f>
        <v>Usado para derrubar árvores para madeira.</v>
      </c>
      <c r="H116" s="24" t="str">
        <f>IFERROR(__xludf.DUMMYFUNCTION("GOOGLETRANSLATE(B116, ""en"", ""de"")"),"Gebrauchte Bäume zu fällen für Holz.")</f>
        <v>Gebrauchte Bäume zu fällen für Holz.</v>
      </c>
      <c r="I116" s="23" t="str">
        <f>IFERROR(__xludf.DUMMYFUNCTION("GOOGLETRANSLATE(B116, ""en"", ""pl"")"),"Służy do ścinać drzewa w lesie.")</f>
        <v>Służy do ścinać drzewa w lesie.</v>
      </c>
      <c r="J116" s="25" t="str">
        <f>IFERROR(__xludf.DUMMYFUNCTION("GOOGLETRANSLATE(B116, ""en"", ""zh"")"),"用来砍木材的树木。")</f>
        <v>用来砍木材的树木。</v>
      </c>
      <c r="K116" s="25" t="str">
        <f>IFERROR(__xludf.DUMMYFUNCTION("GOOGLETRANSLATE(B116, ""en"", ""vi"")"),"Dùng để đốn cây lấy gỗ.")</f>
        <v>Dùng để đốn cây lấy gỗ.</v>
      </c>
      <c r="L116" s="26" t="str">
        <f>IFERROR(__xludf.DUMMYFUNCTION("GOOGLETRANSLATE(B116, ""en"", ""hr"")"),"Koristi se za kotlet dolje stabala za drvo.")</f>
        <v>Koristi se za kotlet dolje stabala za drvo.</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""fr"")"),"Agonite pickaxe")</f>
        <v>Agonite pickaxe</v>
      </c>
      <c r="D117" s="23" t="str">
        <f>IFERROR(__xludf.DUMMYFUNCTION("GOOGLETRANSLATE(B117, ""en"", ""es"")"),"piqueta Agonite")</f>
        <v>piqueta Agonite</v>
      </c>
      <c r="E117" s="23" t="str">
        <f>IFERROR(__xludf.DUMMYFUNCTION("GOOGLETRANSLATE(B117, ""en"", ""ru"")"),"Agonite кирка")</f>
        <v>Agonite кирка</v>
      </c>
      <c r="F117" s="23" t="str">
        <f>IFERROR(__xludf.DUMMYFUNCTION("GOOGLETRANSLATE(B117, ""en"", ""tr"")"),"Agonite kazma")</f>
        <v>Agonite kazma</v>
      </c>
      <c r="G117" s="23" t="str">
        <f>IFERROR(__xludf.DUMMYFUNCTION("GOOGLETRANSLATE(B117, ""en"", ""pt"")"),"picareta Agonite")</f>
        <v>picareta Agonite</v>
      </c>
      <c r="H117" s="24" t="str">
        <f>IFERROR(__xludf.DUMMYFUNCTION("GOOGLETRANSLATE(B117, ""en"", ""de"")"),"Agonite pickaxe")</f>
        <v>Agonite pickaxe</v>
      </c>
      <c r="I117" s="23" t="str">
        <f>IFERROR(__xludf.DUMMYFUNCTION("GOOGLETRANSLATE(B117, ""en"", ""pl"")"),"Agonite kilof")</f>
        <v>Agonite kilof</v>
      </c>
      <c r="J117" s="25" t="str">
        <f>IFERROR(__xludf.DUMMYFUNCTION("GOOGLETRANSLATE(B117, ""en"", ""zh"")"),"Agonite镐头")</f>
        <v>Agonite镐头</v>
      </c>
      <c r="K117" s="25" t="str">
        <f>IFERROR(__xludf.DUMMYFUNCTION("GOOGLETRANSLATE(B117, ""en"", ""vi"")"),"cuốc Agonite")</f>
        <v>cuốc Agonite</v>
      </c>
      <c r="L117" s="26" t="str">
        <f>IFERROR(__xludf.DUMMYFUNCTION("GOOGLETRANSLATE(B117, ""en"", ""hr"")"),"Agonite pijuk")</f>
        <v>Agonite pijuk</v>
      </c>
      <c r="M117" s="28"/>
      <c r="N117" s="28"/>
      <c r="O117" s="28"/>
      <c r="P117" s="28"/>
      <c r="Q117" s="28"/>
      <c r="R117" s="28"/>
      <c r="S117" s="28"/>
      <c r="T117" s="28"/>
      <c r="U117" s="28"/>
      <c r="V117" s="28"/>
      <c r="W117" s="28"/>
      <c r="X117" s="28"/>
      <c r="Y117" s="28"/>
      <c r="Z117" s="28"/>
      <c r="AA117" s="28"/>
      <c r="AB117" s="28"/>
    </row>
    <row r="118">
      <c r="A118" s="21" t="s">
        <v>511</v>
      </c>
      <c r="B118" s="22" t="s">
        <v>450</v>
      </c>
      <c r="C118" s="23" t="str">
        <f>IFERROR(__xludf.DUMMYFUNCTION("GOOGLETRANSLATE(B118, ""en"", ""fr"")"),"Utilisé pour les roches de la mine pour le minerai.")</f>
        <v>Utilisé pour les roches de la mine pour le minerai.</v>
      </c>
      <c r="D118" s="23" t="str">
        <f>IFERROR(__xludf.DUMMYFUNCTION("GOOGLETRANSLATE(B118, ""en"", ""es"")"),"Se utiliza para rocas de las minas de mineral.")</f>
        <v>Se utiliza para rocas de las minas de mineral.</v>
      </c>
      <c r="E118" s="23" t="str">
        <f>IFERROR(__xludf.DUMMYFUNCTION("GOOGLETRANSLATE(B118, ""en"", ""ru"")"),"Используется для горных пород для руды.")</f>
        <v>Используется для горных пород для руды.</v>
      </c>
      <c r="F118" s="23" t="str">
        <f>IFERROR(__xludf.DUMMYFUNCTION("GOOGLETRANSLATE(B118, ""en"", ""tr"")"),"cevher için maden kayalar için kullanılır.")</f>
        <v>cevher için maden kayalar için kullanılır.</v>
      </c>
      <c r="G118" s="23" t="str">
        <f>IFERROR(__xludf.DUMMYFUNCTION("GOOGLETRANSLATE(B118, ""en"", ""pt"")"),"Usado para meus rochas de minério.")</f>
        <v>Usado para meus rochas de minério.</v>
      </c>
      <c r="H118" s="24" t="str">
        <f>IFERROR(__xludf.DUMMYFUNCTION("GOOGLETRANSLATE(B118, ""en"", ""de"")"),"Wird verwendet, um mein Felsen für Erz.")</f>
        <v>Wird verwendet, um mein Felsen für Erz.</v>
      </c>
      <c r="I118" s="23" t="str">
        <f>IFERROR(__xludf.DUMMYFUNCTION("GOOGLETRANSLATE(B118, ""en"", ""pl"")"),"Służy do kopalń rudy.")</f>
        <v>Służy do kopalń rudy.</v>
      </c>
      <c r="J118" s="25" t="str">
        <f>IFERROR(__xludf.DUMMYFUNCTION("GOOGLETRANSLATE(B118, ""en"", ""zh"")"),"用于矿山岩石矿石。")</f>
        <v>用于矿山岩石矿石。</v>
      </c>
      <c r="K118" s="25" t="str">
        <f>IFERROR(__xludf.DUMMYFUNCTION("GOOGLETRANSLATE(B118, ""en"", ""vi"")"),"Được sử dụng để đá mỏ quặng.")</f>
        <v>Được sử dụng để đá mỏ quặng.</v>
      </c>
      <c r="L118" s="26" t="str">
        <f>IFERROR(__xludf.DUMMYFUNCTION("GOOGLETRANSLATE(B118, ""en"", ""hr"")"),"Koristi se mina stijena za rude.")</f>
        <v>Koristi se mina stijena za rude.</v>
      </c>
      <c r="M118" s="28"/>
      <c r="N118" s="28"/>
      <c r="O118" s="28"/>
      <c r="P118" s="28"/>
      <c r="Q118" s="28"/>
      <c r="R118" s="28"/>
      <c r="S118" s="28"/>
      <c r="T118" s="28"/>
      <c r="U118" s="28"/>
      <c r="V118" s="28"/>
      <c r="W118" s="28"/>
      <c r="X118" s="28"/>
      <c r="Y118" s="28"/>
      <c r="Z118" s="28"/>
      <c r="AA118" s="28"/>
      <c r="AB118" s="28"/>
    </row>
    <row r="119">
      <c r="A119" s="21" t="s">
        <v>512</v>
      </c>
      <c r="B119" s="22" t="s">
        <v>513</v>
      </c>
      <c r="C119" s="23" t="str">
        <f>IFERROR(__xludf.DUMMYFUNCTION("GOOGLETRANSLATE(B119, ""en"", ""fr"")"),"faucille Agonite")</f>
        <v>faucille Agonite</v>
      </c>
      <c r="D119" s="23" t="str">
        <f>IFERROR(__xludf.DUMMYFUNCTION("GOOGLETRANSLATE(B119, ""en"", ""es"")"),"hoz Agonite")</f>
        <v>hoz Agonite</v>
      </c>
      <c r="E119" s="23" t="str">
        <f>IFERROR(__xludf.DUMMYFUNCTION("GOOGLETRANSLATE(B119, ""en"", ""ru"")"),"Agonite серп")</f>
        <v>Agonite серп</v>
      </c>
      <c r="F119" s="23" t="str">
        <f>IFERROR(__xludf.DUMMYFUNCTION("GOOGLETRANSLATE(B119, ""en"", ""tr"")"),"Agonite orak")</f>
        <v>Agonite orak</v>
      </c>
      <c r="G119" s="23" t="str">
        <f>IFERROR(__xludf.DUMMYFUNCTION("GOOGLETRANSLATE(B119, ""en"", ""pt"")"),"foice Agonite")</f>
        <v>foice Agonite</v>
      </c>
      <c r="H119" s="24" t="str">
        <f>IFERROR(__xludf.DUMMYFUNCTION("GOOGLETRANSLATE(B119, ""en"", ""de"")"),"Agonite Sichel")</f>
        <v>Agonite Sichel</v>
      </c>
      <c r="I119" s="23" t="str">
        <f>IFERROR(__xludf.DUMMYFUNCTION("GOOGLETRANSLATE(B119, ""en"", ""pl"")"),"Agonite sierp")</f>
        <v>Agonite sierp</v>
      </c>
      <c r="J119" s="25" t="str">
        <f>IFERROR(__xludf.DUMMYFUNCTION("GOOGLETRANSLATE(B119, ""en"", ""zh"")"),"Agonite镰刀")</f>
        <v>Agonite镰刀</v>
      </c>
      <c r="K119" s="25" t="str">
        <f>IFERROR(__xludf.DUMMYFUNCTION("GOOGLETRANSLATE(B119, ""en"", ""vi"")"),"liềm Agonite")</f>
        <v>liềm Agonite</v>
      </c>
      <c r="L119" s="26" t="str">
        <f>IFERROR(__xludf.DUMMYFUNCTION("GOOGLETRANSLATE(B119, ""en"", ""hr"")"),"Agonite srp")</f>
        <v>Agonite srp</v>
      </c>
      <c r="M119" s="28"/>
      <c r="N119" s="28"/>
      <c r="O119" s="28"/>
      <c r="P119" s="28"/>
      <c r="Q119" s="28"/>
      <c r="R119" s="28"/>
      <c r="S119" s="28"/>
      <c r="T119" s="28"/>
      <c r="U119" s="28"/>
      <c r="V119" s="28"/>
      <c r="W119" s="28"/>
      <c r="X119" s="28"/>
      <c r="Y119" s="28"/>
      <c r="Z119" s="28"/>
      <c r="AA119" s="28"/>
      <c r="AB119" s="28"/>
    </row>
    <row r="120">
      <c r="A120" s="21" t="s">
        <v>514</v>
      </c>
      <c r="B120" s="22" t="s">
        <v>460</v>
      </c>
      <c r="C120" s="23" t="str">
        <f>IFERROR(__xludf.DUMMYFUNCTION("GOOGLETRANSLATE(B120, ""en"", ""fr"")"),"Utilisé pour cueillir des plantes.")</f>
        <v>Utilisé pour cueillir des plantes.</v>
      </c>
      <c r="D120" s="23" t="str">
        <f>IFERROR(__xludf.DUMMYFUNCTION("GOOGLETRANSLATE(B120, ""en"", ""es"")"),"Se utiliza para recoger plantas.")</f>
        <v>Se utiliza para recoger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""tr"")"),"bitkileri toplamak için kullanılır.")</f>
        <v>bitkileri toplamak için kullanılır.</v>
      </c>
      <c r="G120" s="23" t="str">
        <f>IFERROR(__xludf.DUMMYFUNCTION("GOOGLETRANSLATE(B120, ""en"", ""pt"")"),"Usado para coletar plantas.")</f>
        <v>Usado para coletar plantas.</v>
      </c>
      <c r="H120" s="24" t="str">
        <f>IFERROR(__xludf.DUMMYFUNCTION("GOOGLETRANSLATE(B120, ""en"", ""de"")"),"Gebrauchte Pflanzen zu sammeln.")</f>
        <v>Gebrauchte Pflanzen zu sammeln.</v>
      </c>
      <c r="I120" s="23" t="str">
        <f>IFERROR(__xludf.DUMMYFUNCTION("GOOGLETRANSLATE(B120, ""en"", ""pl"")"),"Wykorzystywane do zbierania roślin.")</f>
        <v>Wykorzystywane do zbierania roślin.</v>
      </c>
      <c r="J120" s="25" t="str">
        <f>IFERROR(__xludf.DUMMYFUNCTION("GOOGLETRANSLATE(B120, ""en"", ""zh"")"),"用来收集植物。")</f>
        <v>用来收集植物。</v>
      </c>
      <c r="K120" s="25" t="str">
        <f>IFERROR(__xludf.DUMMYFUNCTION("GOOGLETRANSLATE(B120, ""en"", ""vi"")"),"Được sử dụng để thu thập thực vật.")</f>
        <v>Được sử dụng để thu thập thực vật.</v>
      </c>
      <c r="L120" s="26" t="str">
        <f>IFERROR(__xludf.DUMMYFUNCTION("GOOGLETRANSLATE(B120, ""en"", ""hr"")"),"Koristi se skupiti biljke.")</f>
        <v>Koristi se skupiti biljke.</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""fr"")"),"flèches Agonite")</f>
        <v>flèches Agonite</v>
      </c>
      <c r="D121" s="23" t="str">
        <f>IFERROR(__xludf.DUMMYFUNCTION("GOOGLETRANSLATE(B121, ""en"", ""es"")"),"flechas Agonite")</f>
        <v>flechas Agonite</v>
      </c>
      <c r="E121" s="23" t="str">
        <f>IFERROR(__xludf.DUMMYFUNCTION("GOOGLETRANSLATE(B121, ""en"", ""ru"")"),"Agonite стрелки")</f>
        <v>Agonite стрелки</v>
      </c>
      <c r="F121" s="23" t="str">
        <f>IFERROR(__xludf.DUMMYFUNCTION("GOOGLETRANSLATE(B121, ""en"", ""tr"")"),"Agonite oklar")</f>
        <v>Agonite oklar</v>
      </c>
      <c r="G121" s="23" t="str">
        <f>IFERROR(__xludf.DUMMYFUNCTION("GOOGLETRANSLATE(B121, ""en"", ""pt"")"),"setas Agonite")</f>
        <v>setas Agonite</v>
      </c>
      <c r="H121" s="24" t="str">
        <f>IFERROR(__xludf.DUMMYFUNCTION("GOOGLETRANSLATE(B121, ""en"", ""de"")"),"Agonite Pfeile")</f>
        <v>Agonite Pfeile</v>
      </c>
      <c r="I121" s="23" t="str">
        <f>IFERROR(__xludf.DUMMYFUNCTION("GOOGLETRANSLATE(B121, ""en"", ""pl"")"),"Agonite strzałki")</f>
        <v>Agonite strzałki</v>
      </c>
      <c r="J121" s="25" t="str">
        <f>IFERROR(__xludf.DUMMYFUNCTION("GOOGLETRANSLATE(B121, ""en"", ""zh"")"),"Agonite箭头")</f>
        <v>Agonite箭头</v>
      </c>
      <c r="K121" s="25" t="str">
        <f>IFERROR(__xludf.DUMMYFUNCTION("GOOGLETRANSLATE(B121, ""en"", ""vi"")"),"mũi tên Agonite")</f>
        <v>mũi tên Agonite</v>
      </c>
      <c r="L121" s="26" t="str">
        <f>IFERROR(__xludf.DUMMYFUNCTION("GOOGLETRANSLATE(B121, ""en"", ""hr"")"),"Agonite strelice")</f>
        <v>Agonite strelice</v>
      </c>
      <c r="M121" s="28"/>
      <c r="N121" s="28"/>
      <c r="O121" s="28"/>
      <c r="P121" s="28"/>
      <c r="Q121" s="28"/>
      <c r="R121" s="28"/>
      <c r="S121" s="28"/>
      <c r="T121" s="28"/>
      <c r="U121" s="28"/>
      <c r="V121" s="28"/>
      <c r="W121" s="28"/>
      <c r="X121" s="28"/>
      <c r="Y121" s="28"/>
      <c r="Z121" s="28"/>
      <c r="AA121" s="28"/>
      <c r="AB121" s="28"/>
    </row>
    <row r="122">
      <c r="A122" s="21" t="s">
        <v>517</v>
      </c>
      <c r="B122" s="22" t="s">
        <v>464</v>
      </c>
      <c r="C122" s="23" t="str">
        <f>IFERROR(__xludf.DUMMYFUNCTION("GOOGLETRANSLATE(B122, ""en"", ""fr"")"),"Utilisé comme munitions pour un arc.")</f>
        <v>Utilisé comme munitions pour un arc.</v>
      </c>
      <c r="D122" s="23" t="str">
        <f>IFERROR(__xludf.DUMMYFUNCTION("GOOGLETRANSLATE(B122, ""en"", ""es"")"),"Se utiliza como munición para un arco.")</f>
        <v>Se utiliza como munición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""de"")"),"Wird als Munition für einen Bogen.")</f>
        <v>Wird als Munition für einen Bogen.</v>
      </c>
      <c r="I122" s="23" t="str">
        <f>IFERROR(__xludf.DUMMYFUNCTION("GOOGLETRANSLATE(B122, ""en"", ""pl"")"),"Używany jako amunicji do łuku.")</f>
        <v>Używany jako amunicji do łuku.</v>
      </c>
      <c r="J122" s="25" t="str">
        <f>IFERROR(__xludf.DUMMYFUNCTION("GOOGLETRANSLATE(B122, ""en"", ""zh"")"),"作为弹药弓。")</f>
        <v>作为弹药弓。</v>
      </c>
      <c r="K122" s="25" t="str">
        <f>IFERROR(__xludf.DUMMYFUNCTION("GOOGLETRANSLATE(B122, ""en"", ""vi"")"),"Sử dụng như đạn dược cho một cây cung.")</f>
        <v>Sử dụng như đạn dược cho một cây cung.</v>
      </c>
      <c r="L122" s="26" t="str">
        <f>IFERROR(__xludf.DUMMYFUNCTION("GOOGLETRANSLATE(B122, ""en"", ""hr"")"),"Koristi se kao streljivo za luk.")</f>
        <v>Koristi se kao streljivo za luk.</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""fr"")"),"poignard Agonite")</f>
        <v>poignard Agonite</v>
      </c>
      <c r="D123" s="23" t="str">
        <f>IFERROR(__xludf.DUMMYFUNCTION("GOOGLETRANSLATE(B123, ""en"", ""es"")"),"daga Agonite")</f>
        <v>daga Agonite</v>
      </c>
      <c r="E123" s="23" t="str">
        <f>IFERROR(__xludf.DUMMYFUNCTION("GOOGLETRANSLATE(B123, ""en"", ""ru"")"),"Agonite крестик")</f>
        <v>Agonite крестик</v>
      </c>
      <c r="F123" s="23" t="str">
        <f>IFERROR(__xludf.DUMMYFUNCTION("GOOGLETRANSLATE(B123, ""en"", ""tr"")"),"Agonite hançer")</f>
        <v>Agonite hançer</v>
      </c>
      <c r="G123" s="23" t="str">
        <f>IFERROR(__xludf.DUMMYFUNCTION("GOOGLETRANSLATE(B123, ""en"", ""pt"")"),"punhal Agonite")</f>
        <v>punhal Agonite</v>
      </c>
      <c r="H123" s="24" t="str">
        <f>IFERROR(__xludf.DUMMYFUNCTION("GOOGLETRANSLATE(B123, ""en"", ""de"")"),"Agonite Dolch")</f>
        <v>Agonite Dolch</v>
      </c>
      <c r="I123" s="23" t="str">
        <f>IFERROR(__xludf.DUMMYFUNCTION("GOOGLETRANSLATE(B123, ""en"", ""pl"")"),"Agonite sztylet")</f>
        <v>Agonite sztylet</v>
      </c>
      <c r="J123" s="25" t="str">
        <f>IFERROR(__xludf.DUMMYFUNCTION("GOOGLETRANSLATE(B123, ""en"", ""zh"")"),"Agonite匕首")</f>
        <v>Agonite匕首</v>
      </c>
      <c r="K123" s="25" t="str">
        <f>IFERROR(__xludf.DUMMYFUNCTION("GOOGLETRANSLATE(B123, ""en"", ""vi"")"),"dao găm Agonite")</f>
        <v>dao găm Agonite</v>
      </c>
      <c r="L123" s="26" t="str">
        <f>IFERROR(__xludf.DUMMYFUNCTION("GOOGLETRANSLATE(B123, ""en"", ""hr"")"),"Agonite bodež")</f>
        <v>Agonite bodež</v>
      </c>
      <c r="M123" s="28"/>
      <c r="N123" s="28"/>
      <c r="O123" s="28"/>
      <c r="P123" s="28"/>
      <c r="Q123" s="28"/>
      <c r="R123" s="28"/>
      <c r="S123" s="28"/>
      <c r="T123" s="28"/>
      <c r="U123" s="28"/>
      <c r="V123" s="28"/>
      <c r="W123" s="28"/>
      <c r="X123" s="28"/>
      <c r="Y123" s="28"/>
      <c r="Z123" s="28"/>
      <c r="AA123" s="28"/>
      <c r="AB123" s="28"/>
    </row>
    <row r="124">
      <c r="A124" s="21" t="s">
        <v>520</v>
      </c>
      <c r="B124" s="22" t="s">
        <v>468</v>
      </c>
      <c r="C124" s="23" t="str">
        <f>IFERROR(__xludf.DUMMYFUNCTION("GOOGLETRANSLATE(B124, ""en"", ""fr"")"),"Une courte portée arme de mêlée. Inflige des dégâts de bonus quand il frappe par derrière.")</f>
        <v>Une courte portée arme de mêlée. Inflige des dégâts de bonus quand il frappe par derrière.</v>
      </c>
      <c r="D124" s="23" t="str">
        <f>IFERROR(__xludf.DUMMYFUNCTION("GOOGLETRANSLATE(B124, ""en"", ""es"")"),"Un arma cuerpo a cuerpo corto alcance. Inflige daño adicional cuando se golpea por detrás.")</f>
        <v>Un arma cuerpo a cuerpo corto alcance. Inflige daño adicional cuando se golpea por detrás.</v>
      </c>
      <c r="E124" s="23" t="str">
        <f>IFERROR(__xludf.DUMMYFUNCTION("GOOGLETRANSLATE(B124,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24" s="23" t="str">
        <f>IFERROR(__xludf.DUMMYFUNCTION("GOOGLETRANSLATE(B124, ""en"", ""tr"")"),"Kısa menzilli yakın dövüş silahı. o şekilde arkadan çarptığında Bonus hasar verir.")</f>
        <v>Kısa menzilli yakın dövüş silahı. o şekilde arkadan çarptığında Bonus hasar verir.</v>
      </c>
      <c r="G124" s="23" t="str">
        <f>IFERROR(__xludf.DUMMYFUNCTION("GOOGLETRANSLATE(B124, ""en"", ""pt"")"),"A arma branca curto alcance. Causa dano bônus quando se atinge por trás.")</f>
        <v>A arma branca curto alcance. Causa dano bônus quando se atinge por trás.</v>
      </c>
      <c r="H124" s="24" t="str">
        <f>IFERROR(__xludf.DUMMYFUNCTION("GOOGLETRANSLATE(B124, ""en"", ""de"")"),"Eine Nahbereichsnahkampfwaffe. Verursacht zusätzlichen Schaden, wenn es von hinten trifft.")</f>
        <v>Eine Nahbereichsnahkampfwaffe. Verursacht zusätzlichen Schaden, wenn es von hinten trifft.</v>
      </c>
      <c r="I124" s="23" t="str">
        <f>IFERROR(__xludf.DUMMYFUNCTION("GOOGLETRANSLATE(B124, ""en"", ""pl"")"),"Krótki zasięg Broń biała. Zadaje obrażenia bonusowy kiedy uderza od tyłu.")</f>
        <v>Krótki zasięg Broń biała. Zadaje obrażenia bonusowy kiedy uderza od tyłu.</v>
      </c>
      <c r="J124" s="25" t="str">
        <f>IFERROR(__xludf.DUMMYFUNCTION("GOOGLETRANSLATE(B124, ""en"", ""zh"")"),"短程的近战武器。造成额外的伤害，当它从背后击中。")</f>
        <v>短程的近战武器。造成额外的伤害，当它从背后击中。</v>
      </c>
      <c r="K124" s="25" t="str">
        <f>IFERROR(__xludf.DUMMYFUNCTION("GOOGLETRANSLATE(B124, ""en"", ""vi"")"),"Một loạt ngắn melee vũ khí. Damage bonus khi nó chạm từ phía sau.")</f>
        <v>Một loạt ngắn melee vũ khí. Damage bonus khi nó chạm từ phía sau.</v>
      </c>
      <c r="L124" s="26" t="str">
        <f>IFERROR(__xludf.DUMMYFUNCTION("GOOGLETRANSLATE(B124, ""en"", ""hr"")"),"Kratki domet gužva oružje. Ponude bonus štetu kada ga pogodi odostraga.")</f>
        <v>Kratki domet gužva oružje. Ponude bonus štetu kada ga pogodi odostraga.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""fr"")"),"épée Agonite")</f>
        <v>épée Agonite</v>
      </c>
      <c r="D125" s="23" t="str">
        <f>IFERROR(__xludf.DUMMYFUNCTION("GOOGLETRANSLATE(B125, ""en"", ""es"")"),"espada Agonite")</f>
        <v>espada Agonite</v>
      </c>
      <c r="E125" s="23" t="str">
        <f>IFERROR(__xludf.DUMMYFUNCTION("GOOGLETRANSLATE(B125, ""en"", ""ru"")"),"Agonite меч")</f>
        <v>Agonite меч</v>
      </c>
      <c r="F125" s="23" t="str">
        <f>IFERROR(__xludf.DUMMYFUNCTION("GOOGLETRANSLATE(B125, ""en"", ""tr"")"),"Agonite kılıç")</f>
        <v>Agonite kılıç</v>
      </c>
      <c r="G125" s="23" t="str">
        <f>IFERROR(__xludf.DUMMYFUNCTION("GOOGLETRANSLATE(B125, ""en"", ""pt"")"),"espada Agonite")</f>
        <v>espada Agonite</v>
      </c>
      <c r="H125" s="24" t="str">
        <f>IFERROR(__xludf.DUMMYFUNCTION("GOOGLETRANSLATE(B125, ""en"", ""de"")"),"Agonite Schwert")</f>
        <v>Agonite Schwert</v>
      </c>
      <c r="I125" s="23" t="str">
        <f>IFERROR(__xludf.DUMMYFUNCTION("GOOGLETRANSLATE(B125, ""en"", ""pl"")"),"Agonite miecz")</f>
        <v>Agonite miecz</v>
      </c>
      <c r="J125" s="25" t="str">
        <f>IFERROR(__xludf.DUMMYFUNCTION("GOOGLETRANSLATE(B125, ""en"", ""zh"")"),"Agonite剑")</f>
        <v>Agonite剑</v>
      </c>
      <c r="K125" s="25" t="str">
        <f>IFERROR(__xludf.DUMMYFUNCTION("GOOGLETRANSLATE(B125, ""en"", ""vi"")"),"gươm Agonite")</f>
        <v>gươm Agonite</v>
      </c>
      <c r="L125" s="26" t="str">
        <f>IFERROR(__xludf.DUMMYFUNCTION("GOOGLETRANSLATE(B125, ""en"", ""hr"")"),"Agonite mač")</f>
        <v>Agonite mač</v>
      </c>
      <c r="M125" s="28"/>
      <c r="N125" s="28"/>
      <c r="O125" s="28"/>
      <c r="P125" s="28"/>
      <c r="Q125" s="28"/>
      <c r="R125" s="28"/>
      <c r="S125" s="28"/>
      <c r="T125" s="28"/>
      <c r="U125" s="28"/>
      <c r="V125" s="28"/>
      <c r="W125" s="28"/>
      <c r="X125" s="28"/>
      <c r="Y125" s="28"/>
      <c r="Z125" s="28"/>
      <c r="AA125" s="28"/>
      <c r="AB125" s="28"/>
    </row>
    <row r="126">
      <c r="A126" s="21" t="s">
        <v>523</v>
      </c>
      <c r="B126" s="22" t="s">
        <v>472</v>
      </c>
      <c r="C126" s="23" t="str">
        <f>IFERROR(__xludf.DUMMYFUNCTION("GOOGLETRANSLATE(B126, ""en"", ""fr"")"),"Arme de mêlée. Utilisé pour attaquer à une courte distance.")</f>
        <v>Arme de mêlée. Utilisé pour attaquer à une courte distance.</v>
      </c>
      <c r="D126" s="23" t="str">
        <f>IFERROR(__xludf.DUMMYFUNCTION("GOOGLETRANSLATE(B126, ""en"", ""es"")"),"arma cuerpo a cuerpo. Se utiliza para atacar a una corta distancia.")</f>
        <v>arma cuerpo a cuerpo. Se utiliza para atacar a una corta distancia.</v>
      </c>
      <c r="E126" s="23" t="str">
        <f>IFERROR(__xludf.DUMMYFUNCTION("GOOGLETRANSLATE(B126, ""en"", ""ru"")"),"Оружие ближнего боя. Используется для атаки на небольшое расстоянии.")</f>
        <v>Оружие ближнего боя. Используется для атаки на небольшое расстоянии.</v>
      </c>
      <c r="F126" s="23" t="str">
        <f>IFERROR(__xludf.DUMMYFUNCTION("GOOGLETRANSLATE(B126, ""en"", ""tr"")"),"Yakın dövüş silahı. kısa bir mesafede saldırı için kullanılır.")</f>
        <v>Yakın dövüş silahı. kısa bir mesafede saldırı için kullanılır.</v>
      </c>
      <c r="G126" s="23" t="str">
        <f>IFERROR(__xludf.DUMMYFUNCTION("GOOGLETRANSLATE(B126, ""en"", ""pt"")"),"Arma branca. Usado para atacar a uma curta distância.")</f>
        <v>Arma branca. Usado para atacar a uma curta distância.</v>
      </c>
      <c r="H126" s="24" t="str">
        <f>IFERROR(__xludf.DUMMYFUNCTION("GOOGLETRANSLATE(B126, ""en"", ""de"")"),"Nahkampfwaffe. Verwendet weg eine kurze Strecke zu attackieren.")</f>
        <v>Nahkampfwaffe. Verwendet weg eine kurze Strecke zu attackieren.</v>
      </c>
      <c r="I126" s="23" t="str">
        <f>IFERROR(__xludf.DUMMYFUNCTION("GOOGLETRANSLATE(B126, ""en"", ""pl"")"),"Broń biała. Wykorzystana do ataku na krótkie odległości.")</f>
        <v>Broń biała. Wykorzystana do ataku na krótkie odległości.</v>
      </c>
      <c r="J126" s="25" t="str">
        <f>IFERROR(__xludf.DUMMYFUNCTION("GOOGLETRANSLATE(B126, ""en"", ""zh"")"),"近战武器。用于攻击很短的距离。")</f>
        <v>近战武器。用于攻击很短的距离。</v>
      </c>
      <c r="K126" s="25" t="str">
        <f>IFERROR(__xludf.DUMMYFUNCTION("GOOGLETRANSLATE(B126, ""en"", ""vi"")"),"vũ khí cận chiến. Được sử dụng để tấn công một khoảng cách ngắn.")</f>
        <v>vũ khí cận chiến. Được sử dụng để tấn công một khoảng cách ngắn.</v>
      </c>
      <c r="L126" s="26" t="str">
        <f>IFERROR(__xludf.DUMMYFUNCTION("GOOGLETRANSLATE(B126, ""en"", ""hr"")"),"Gužva oružje. Koristi se za napad nedaleko.")</f>
        <v>Gužva oružje. Koristi se za napad nedaleko.</v>
      </c>
      <c r="M126" s="28"/>
      <c r="N126" s="28"/>
      <c r="O126" s="28"/>
      <c r="P126" s="28"/>
      <c r="Q126" s="28"/>
      <c r="R126" s="28"/>
      <c r="S126" s="28"/>
      <c r="T126" s="28"/>
      <c r="U126" s="28"/>
      <c r="V126" s="28"/>
      <c r="W126" s="28"/>
      <c r="X126" s="28"/>
      <c r="Y126" s="28"/>
      <c r="Z126" s="28"/>
      <c r="AA126" s="28"/>
      <c r="AB126" s="28"/>
    </row>
    <row r="127">
      <c r="A127" s="21" t="s">
        <v>524</v>
      </c>
      <c r="B127" s="22" t="s">
        <v>525</v>
      </c>
      <c r="C127" s="23" t="str">
        <f>IFERROR(__xludf.DUMMYFUNCTION("GOOGLETRANSLATE(B127, ""en"", ""fr"")"),"marteau Agonite")</f>
        <v>marteau Agonite</v>
      </c>
      <c r="D127" s="23" t="str">
        <f>IFERROR(__xludf.DUMMYFUNCTION("GOOGLETRANSLATE(B127, ""en"", ""es"")"),"martillo Agonite")</f>
        <v>martillo Agonite</v>
      </c>
      <c r="E127" s="23" t="str">
        <f>IFERROR(__xludf.DUMMYFUNCTION("GOOGLETRANSLATE(B127, ""en"", ""ru"")"),"Agonite молоток")</f>
        <v>Agonite молоток</v>
      </c>
      <c r="F127" s="23" t="str">
        <f>IFERROR(__xludf.DUMMYFUNCTION("GOOGLETRANSLATE(B127, ""en"", ""tr"")"),"Agonite çekiç")</f>
        <v>Agonite çekiç</v>
      </c>
      <c r="G127" s="23" t="str">
        <f>IFERROR(__xludf.DUMMYFUNCTION("GOOGLETRANSLATE(B127, ""en"", ""pt"")"),"martelo Agonite")</f>
        <v>martelo Agonite</v>
      </c>
      <c r="H127" s="24" t="str">
        <f>IFERROR(__xludf.DUMMYFUNCTION("GOOGLETRANSLATE(B127, ""en"", ""de"")"),"Agonite Hammer")</f>
        <v>Agonite Hammer</v>
      </c>
      <c r="I127" s="23" t="str">
        <f>IFERROR(__xludf.DUMMYFUNCTION("GOOGLETRANSLATE(B127, ""en"", ""pl"")"),"Agonite młotek")</f>
        <v>Agonite młotek</v>
      </c>
      <c r="J127" s="25" t="str">
        <f>IFERROR(__xludf.DUMMYFUNCTION("GOOGLETRANSLATE(B127, ""en"", ""zh"")"),"Agonite锤")</f>
        <v>Agonite锤</v>
      </c>
      <c r="K127" s="25" t="str">
        <f>IFERROR(__xludf.DUMMYFUNCTION("GOOGLETRANSLATE(B127, ""en"", ""vi"")"),"búa Agonite")</f>
        <v>búa Agonite</v>
      </c>
      <c r="L127" s="26" t="str">
        <f>IFERROR(__xludf.DUMMYFUNCTION("GOOGLETRANSLATE(B127, ""en"", ""hr"")"),"Agonite čekić")</f>
        <v>Agonite čekić</v>
      </c>
      <c r="M127" s="28"/>
      <c r="N127" s="28"/>
      <c r="O127" s="28"/>
      <c r="P127" s="28"/>
      <c r="Q127" s="28"/>
      <c r="R127" s="28"/>
      <c r="S127" s="28"/>
      <c r="T127" s="28"/>
      <c r="U127" s="28"/>
      <c r="V127" s="28"/>
      <c r="W127" s="28"/>
      <c r="X127" s="28"/>
      <c r="Y127" s="28"/>
      <c r="Z127" s="28"/>
      <c r="AA127" s="28"/>
      <c r="AB127" s="28"/>
    </row>
    <row r="128">
      <c r="A128" s="21" t="s">
        <v>526</v>
      </c>
      <c r="B128" s="22" t="s">
        <v>476</v>
      </c>
      <c r="C128" s="23" t="str">
        <f>IFERROR(__xludf.DUMMYFUNCTION("GOOGLETRANSLATE(B128, ""en"", ""fr"")"),"Arme de mêlée. Pousse les choses un espace quand il frappe.")</f>
        <v>Arme de mêlée. Pousse les choses un espace quand il frappe.</v>
      </c>
      <c r="D128" s="23" t="str">
        <f>IFERROR(__xludf.DUMMYFUNCTION("GOOGLETRANSLATE(B128, ""en"", ""es"")"),"arma cuerpo a cuerpo. Lleva las cosas un espacio hacia atrás cuando se golpea.")</f>
        <v>arma cuerpo a cuerpo. Lleva las cosas un espacio hacia atrás cuando se golpea.</v>
      </c>
      <c r="E128" s="23" t="str">
        <f>IFERROR(__xludf.DUMMYFUNCTION("GOOGLETRANSLATE(B128,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8" s="23" t="str">
        <f>IFERROR(__xludf.DUMMYFUNCTION("GOOGLETRANSLATE(B128, ""en"", ""tr"")"),"Yakın dövüş silahı. çarptığında iter şeyler bir boşluk geri.")</f>
        <v>Yakın dövüş silahı. çarptığında iter şeyler bir boşluk geri.</v>
      </c>
      <c r="G128" s="23" t="str">
        <f>IFERROR(__xludf.DUMMYFUNCTION("GOOGLETRANSLATE(B128, ""en"", ""pt"")"),"Arma branca. Empurra as coisas de volta um espaço quando bate.")</f>
        <v>Arma branca. Empurra as coisas de volta um espaço quando bate.</v>
      </c>
      <c r="H128" s="24" t="str">
        <f>IFERROR(__xludf.DUMMYFUNCTION("GOOGLETRANSLATE(B128, ""en"", ""de"")"),"Nahkampfwaffe. Schiebt die Dinge wieder einen Raum, wenn er trifft.")</f>
        <v>Nahkampfwaffe. Schiebt die Dinge wieder einen Raum, wenn er trifft.</v>
      </c>
      <c r="I128" s="23" t="str">
        <f>IFERROR(__xludf.DUMMYFUNCTION("GOOGLETRANSLATE(B128, ""en"", ""pl"")"),"Broń biała. Popycha rzeczy z powrotem jedno miejsce, gdy natrafi.")</f>
        <v>Broń biała. Popycha rzeczy z powrotem jedno miejsce, gdy natrafi.</v>
      </c>
      <c r="J128" s="25" t="str">
        <f>IFERROR(__xludf.DUMMYFUNCTION("GOOGLETRANSLATE(B128, ""en"", ""zh"")"),"近战武器。推动东西回来一个空当它击中。")</f>
        <v>近战武器。推动东西回来一个空当它击中。</v>
      </c>
      <c r="K128" s="25" t="str">
        <f>IFERROR(__xludf.DUMMYFUNCTION("GOOGLETRANSLATE(B128, ""en"", ""vi"")"),"vũ khí cận chiến. Push thứ trở lại một không gian khi nó chạm.")</f>
        <v>vũ khí cận chiến. Push thứ trở lại một không gian khi nó chạm.</v>
      </c>
      <c r="L128" s="26" t="str">
        <f>IFERROR(__xludf.DUMMYFUNCTION("GOOGLETRANSLATE(B128, ""en"", ""hr"")"),"Gužva oružje. Gura stvari vratiti za jedno mjesto kad ga pogodi.")</f>
        <v>Gužva oružje. Gura stvari vratiti za jedno mjesto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""fr"")"),"armure Agonite")</f>
        <v>armure Agonite</v>
      </c>
      <c r="D129" s="23" t="str">
        <f>IFERROR(__xludf.DUMMYFUNCTION("GOOGLETRANSLATE(B129, ""en"", ""es"")"),"armadura Agonite")</f>
        <v>armadura Agonite</v>
      </c>
      <c r="E129" s="23" t="str">
        <f>IFERROR(__xludf.DUMMYFUNCTION("GOOGLETRANSLATE(B129, ""en"", ""ru"")"),"Agonite броня")</f>
        <v>Agonite броня</v>
      </c>
      <c r="F129" s="23" t="str">
        <f>IFERROR(__xludf.DUMMYFUNCTION("GOOGLETRANSLATE(B129, ""en"", ""tr"")"),"Agonite zırh")</f>
        <v>Agonite zırh</v>
      </c>
      <c r="G129" s="23" t="str">
        <f>IFERROR(__xludf.DUMMYFUNCTION("GOOGLETRANSLATE(B129, ""en"", ""pt"")"),"armadura Agonite")</f>
        <v>armadura Agonite</v>
      </c>
      <c r="H129" s="24" t="str">
        <f>IFERROR(__xludf.DUMMYFUNCTION("GOOGLETRANSLATE(B129, ""en"", ""de"")"),"Agonite Rüstung")</f>
        <v>Agonite Rüstung</v>
      </c>
      <c r="I129" s="23" t="str">
        <f>IFERROR(__xludf.DUMMYFUNCTION("GOOGLETRANSLATE(B129, ""en"", ""pl"")"),"Agonite pancerz")</f>
        <v>Agonite pancerz</v>
      </c>
      <c r="J129" s="25" t="str">
        <f>IFERROR(__xludf.DUMMYFUNCTION("GOOGLETRANSLATE(B129, ""en"", ""zh"")"),"Agonite装甲")</f>
        <v>Agonite装甲</v>
      </c>
      <c r="K129" s="25" t="str">
        <f>IFERROR(__xludf.DUMMYFUNCTION("GOOGLETRANSLATE(B129, ""en"", ""vi"")"),"giáp Agonite")</f>
        <v>giáp Agonite</v>
      </c>
      <c r="L129" s="26" t="str">
        <f>IFERROR(__xludf.DUMMYFUNCTION("GOOGLETRANSLATE(B129, ""en"", ""hr"")"),"Agonite oklop")</f>
        <v>Agonite oklop</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""fr"")"),"Semble dangereux! Augmente votre stat Melee tout porté.")</f>
        <v>Semble dangereux! Augmente votre stat Melee tout porté.</v>
      </c>
      <c r="D130" s="23" t="str">
        <f>IFERROR(__xludf.DUMMYFUNCTION("GOOGLETRANSLATE(B130, ""en"", ""es"")"),"Parece peligroso! Aumenta la estadística cuerpo a cuerpo mientras se usa.")</f>
        <v>Parece peligroso! Aumenta la estadística cuerpo a cuerpo mientras se usa.</v>
      </c>
      <c r="E130" s="23" t="str">
        <f>IFERROR(__xludf.DUMMYFUNCTION("GOOGLETRANSLATE(B130, ""en"", ""ru"")"),"Выглядит опасно! Повышает рукопашной стат во время ношения.")</f>
        <v>Выглядит опасно! Повышает рукопашной стат во время ношения.</v>
      </c>
      <c r="F130" s="23" t="str">
        <f>IFERROR(__xludf.DUMMYFUNCTION("GOOGLETRANSLATE(B130, ""en"", ""tr"")"),"tehlikeli görünüyor! yıpranmış ederken Melee, stat artırır.")</f>
        <v>tehlikeli görünüyor! yıpranmış ederken Melee, stat artırır.</v>
      </c>
      <c r="G130" s="23" t="str">
        <f>IFERROR(__xludf.DUMMYFUNCTION("GOOGLETRANSLATE(B130, ""en"", ""pt"")"),"Parece perigoso! Aumenta seu status de corpo a corpo, enquanto desgastado.")</f>
        <v>Parece perigoso! Aumenta seu status de corpo a corpo, enquanto desgastado.</v>
      </c>
      <c r="H130" s="24" t="str">
        <f>IFERROR(__xludf.DUMMYFUNCTION("GOOGLETRANSLATE(B130, ""en"", ""de"")"),"Sieht gefährlich! Erhöht den Nahkampf stat während des Tragens.")</f>
        <v>Sieht gefährlich! Erhöht den Nahkampf stat während des Tragens.</v>
      </c>
      <c r="I130" s="23" t="str">
        <f>IFERROR(__xludf.DUMMYFUNCTION("GOOGLETRANSLATE(B130, ""en"", ""pl"")"),"Wygląda niebezpieczne! Zwiększa stat wręcz podczas noszenia.")</f>
        <v>Wygląda niebezpieczne! Zwiększa stat wręcz podczas noszenia.</v>
      </c>
      <c r="J130" s="25" t="str">
        <f>IFERROR(__xludf.DUMMYFUNCTION("GOOGLETRANSLATE(B130, ""en"", ""zh"")"),"看起来很危险！使你的近战的统计，而磨损。")</f>
        <v>看起来很危险！使你的近战的统计，而磨损。</v>
      </c>
      <c r="K130" s="25" t="str">
        <f>IFERROR(__xludf.DUMMYFUNCTION("GOOGLETRANSLATE(B130, ""en"", ""vi"")"),"Trông nguy hiểm! Tăng Melee stat của bạn trong khi mặc.")</f>
        <v>Trông nguy hiểm! Tăng Melee stat của bạn trong khi mặc.</v>
      </c>
      <c r="L130" s="26" t="str">
        <f>IFERROR(__xludf.DUMMYFUNCTION("GOOGLETRANSLATE(B130, ""en"", ""hr"")"),"Izgleda opasno! Povećava gužva stat dok istrošena.")</f>
        <v>Izgleda opasno! Povećava gužva stat dok istrošena.</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""fr"")"),"Noctis hache de guerre")</f>
        <v>Noctis hache de guerre</v>
      </c>
      <c r="D131" s="23" t="str">
        <f>IFERROR(__xludf.DUMMYFUNCTION("GOOGLETRANSLATE(B131, ""en"", ""es"")"),"Noctis hacha")</f>
        <v>Noctis hacha</v>
      </c>
      <c r="E131" s="23" t="str">
        <f>IFERROR(__xludf.DUMMYFUNCTION("GOOGLETRANSLATE(B131, ""en"", ""ru"")"),"Ноктис топорик")</f>
        <v>Ноктис топорик</v>
      </c>
      <c r="F131" s="23" t="str">
        <f>IFERROR(__xludf.DUMMYFUNCTION("GOOGLETRANSLATE(B131, ""en"", ""tr"")"),"Noctis balta")</f>
        <v>Noctis balta</v>
      </c>
      <c r="G131" s="23" t="str">
        <f>IFERROR(__xludf.DUMMYFUNCTION("GOOGLETRANSLATE(B131, ""en"", ""pt"")"),"Noctis machado")</f>
        <v>Noctis machado</v>
      </c>
      <c r="H131" s="24" t="str">
        <f>IFERROR(__xludf.DUMMYFUNCTION("GOOGLETRANSLATE(B131, ""en"", ""de"")"),"Noctis Beil")</f>
        <v>Noctis Beil</v>
      </c>
      <c r="I131" s="23" t="str">
        <f>IFERROR(__xludf.DUMMYFUNCTION("GOOGLETRANSLATE(B131, ""en"", ""pl"")"),"Noctis siekierka")</f>
        <v>Noctis siekierka</v>
      </c>
      <c r="J131" s="25" t="str">
        <f>IFERROR(__xludf.DUMMYFUNCTION("GOOGLETRANSLATE(B131, ""en"", ""zh"")"),"Noctis前嫌")</f>
        <v>Noctis前嫌</v>
      </c>
      <c r="K131" s="25" t="str">
        <f>IFERROR(__xludf.DUMMYFUNCTION("GOOGLETRANSLATE(B131, ""en"", ""vi"")"),"Noctis rìu")</f>
        <v>Noctis rìu</v>
      </c>
      <c r="L131" s="26" t="str">
        <f>IFERROR(__xludf.DUMMYFUNCTION("GOOGLETRANSLATE(B131, ""en"", ""hr"")"),"Noctis sjekirica")</f>
        <v>Noctis sjekirica</v>
      </c>
      <c r="M131" s="28"/>
      <c r="N131" s="28"/>
      <c r="O131" s="28"/>
      <c r="P131" s="28"/>
      <c r="Q131" s="28"/>
      <c r="R131" s="28"/>
      <c r="S131" s="28"/>
      <c r="T131" s="28"/>
      <c r="U131" s="28"/>
      <c r="V131" s="28"/>
      <c r="W131" s="28"/>
      <c r="X131" s="28"/>
      <c r="Y131" s="28"/>
      <c r="Z131" s="28"/>
      <c r="AA131" s="28"/>
      <c r="AB131" s="28"/>
    </row>
    <row r="132">
      <c r="A132" s="21" t="s">
        <v>533</v>
      </c>
      <c r="B132" s="22" t="s">
        <v>446</v>
      </c>
      <c r="C132" s="23" t="str">
        <f>IFERROR(__xludf.DUMMYFUNCTION("GOOGLETRANSLATE(B132, ""en"", ""fr"")"),"Utilisé pour abattre des arbres pour le bois.")</f>
        <v>Utilisé pour abattre des arbres pour le bois.</v>
      </c>
      <c r="D132" s="23" t="str">
        <f>IFERROR(__xludf.DUMMYFUNCTION("GOOGLETRANSLATE(B132, ""en"", ""es"")"),"Se utiliza para cortar árboles para madera.")</f>
        <v>Se utiliza para cortar árboles para madera.</v>
      </c>
      <c r="E132" s="23" t="str">
        <f>IFERROR(__xludf.DUMMYFUNCTION("GOOGLETRANSLATE(B132, ""en"", ""ru"")"),"Используется рубить деревья для дерева.")</f>
        <v>Используется рубить деревья для дерева.</v>
      </c>
      <c r="F132" s="23" t="str">
        <f>IFERROR(__xludf.DUMMYFUNCTION("GOOGLETRANSLATE(B132, ""en"", ""tr"")"),"buradaki ağaçları devirmek için kullanılır.")</f>
        <v>buradaki ağaçları devirmek için kullanılır.</v>
      </c>
      <c r="G132" s="23" t="str">
        <f>IFERROR(__xludf.DUMMYFUNCTION("GOOGLETRANSLATE(B132, ""en"", ""pt"")"),"Usado para derrubar árvores para madeira.")</f>
        <v>Usado para derrubar árvores para madeira.</v>
      </c>
      <c r="H132" s="24" t="str">
        <f>IFERROR(__xludf.DUMMYFUNCTION("GOOGLETRANSLATE(B132, ""en"", ""de"")"),"Gebrauchte Bäume zu fällen für Holz.")</f>
        <v>Gebrauchte Bäume zu fällen für Holz.</v>
      </c>
      <c r="I132" s="23" t="str">
        <f>IFERROR(__xludf.DUMMYFUNCTION("GOOGLETRANSLATE(B132, ""en"", ""pl"")"),"Służy do ścinać drzewa w lesie.")</f>
        <v>Służy do ścinać drzewa w lesie.</v>
      </c>
      <c r="J132" s="25" t="str">
        <f>IFERROR(__xludf.DUMMYFUNCTION("GOOGLETRANSLATE(B132, ""en"", ""zh"")"),"用来砍木材的树木。")</f>
        <v>用来砍木材的树木。</v>
      </c>
      <c r="K132" s="25" t="str">
        <f>IFERROR(__xludf.DUMMYFUNCTION("GOOGLETRANSLATE(B132, ""en"", ""vi"")"),"Dùng để đốn cây lấy gỗ.")</f>
        <v>Dùng để đốn cây lấy gỗ.</v>
      </c>
      <c r="L132" s="26" t="str">
        <f>IFERROR(__xludf.DUMMYFUNCTION("GOOGLETRANSLATE(B132, ""en"", ""hr"")"),"Koristi se za kotlet dolje stabala za drvo.")</f>
        <v>Koristi se za kotlet dolje stabala za drvo.</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""fr"")"),"Noctis pickaxe")</f>
        <v>Noctis pickaxe</v>
      </c>
      <c r="D133" s="23" t="str">
        <f>IFERROR(__xludf.DUMMYFUNCTION("GOOGLETRANSLATE(B133, ""en"", ""es"")"),"piqueta noctis")</f>
        <v>piqueta noctis</v>
      </c>
      <c r="E133" s="23" t="str">
        <f>IFERROR(__xludf.DUMMYFUNCTION("GOOGLETRANSLATE(B133, ""en"", ""ru"")"),"Ноктис кирка")</f>
        <v>Ноктис кирка</v>
      </c>
      <c r="F133" s="23" t="str">
        <f>IFERROR(__xludf.DUMMYFUNCTION("GOOGLETRANSLATE(B133, ""en"", ""tr"")"),"Noctis kazma")</f>
        <v>Noctis kazma</v>
      </c>
      <c r="G133" s="23" t="str">
        <f>IFERROR(__xludf.DUMMYFUNCTION("GOOGLETRANSLATE(B133, ""en"", ""pt"")"),"Noctis picareta")</f>
        <v>Noctis picareta</v>
      </c>
      <c r="H133" s="24" t="str">
        <f>IFERROR(__xludf.DUMMYFUNCTION("GOOGLETRANSLATE(B133, ""en"", ""de"")"),"Noctis pickaxe")</f>
        <v>Noctis pickaxe</v>
      </c>
      <c r="I133" s="23" t="str">
        <f>IFERROR(__xludf.DUMMYFUNCTION("GOOGLETRANSLATE(B133, ""en"", ""pl"")"),"Noctis kilof")</f>
        <v>Noctis kilof</v>
      </c>
      <c r="J133" s="25" t="str">
        <f>IFERROR(__xludf.DUMMYFUNCTION("GOOGLETRANSLATE(B133, ""en"", ""zh"")"),"Noctis镐头")</f>
        <v>Noctis镐头</v>
      </c>
      <c r="K133" s="25" t="str">
        <f>IFERROR(__xludf.DUMMYFUNCTION("GOOGLETRANSLATE(B133, ""en"", ""vi"")"),"Noctis cuốc")</f>
        <v>Noctis cuốc</v>
      </c>
      <c r="L133" s="26" t="str">
        <f>IFERROR(__xludf.DUMMYFUNCTION("GOOGLETRANSLATE(B133, ""en"", ""hr"")"),"Noctis pijuk")</f>
        <v>Noctis pijuk</v>
      </c>
      <c r="M133" s="28"/>
      <c r="N133" s="28"/>
      <c r="O133" s="28"/>
      <c r="P133" s="28"/>
      <c r="Q133" s="28"/>
      <c r="R133" s="28"/>
      <c r="S133" s="28"/>
      <c r="T133" s="28"/>
      <c r="U133" s="28"/>
      <c r="V133" s="28"/>
      <c r="W133" s="28"/>
      <c r="X133" s="28"/>
      <c r="Y133" s="28"/>
      <c r="Z133" s="28"/>
      <c r="AA133" s="28"/>
      <c r="AB133" s="28"/>
    </row>
    <row r="134">
      <c r="A134" s="21" t="s">
        <v>536</v>
      </c>
      <c r="B134" s="22" t="s">
        <v>450</v>
      </c>
      <c r="C134" s="23" t="str">
        <f>IFERROR(__xludf.DUMMYFUNCTION("GOOGLETRANSLATE(B134, ""en"", ""fr"")"),"Utilisé pour les roches de la mine pour le minerai.")</f>
        <v>Utilisé pour les roches de la mine pour le minerai.</v>
      </c>
      <c r="D134" s="23" t="str">
        <f>IFERROR(__xludf.DUMMYFUNCTION("GOOGLETRANSLATE(B134, ""en"", ""es"")"),"Se utiliza para rocas de las minas de mineral.")</f>
        <v>Se utiliza para rocas de las minas de mineral.</v>
      </c>
      <c r="E134" s="23" t="str">
        <f>IFERROR(__xludf.DUMMYFUNCTION("GOOGLETRANSLATE(B134, ""en"", ""ru"")"),"Используется для горных пород для руды.")</f>
        <v>Используется для горных пород для руды.</v>
      </c>
      <c r="F134" s="23" t="str">
        <f>IFERROR(__xludf.DUMMYFUNCTION("GOOGLETRANSLATE(B134, ""en"", ""tr"")"),"cevher için maden kayalar için kullanılır.")</f>
        <v>cevher için maden kayalar için kullanılır.</v>
      </c>
      <c r="G134" s="23" t="str">
        <f>IFERROR(__xludf.DUMMYFUNCTION("GOOGLETRANSLATE(B134, ""en"", ""pt"")"),"Usado para meus rochas de minério.")</f>
        <v>Usado para meus rochas de minério.</v>
      </c>
      <c r="H134" s="24" t="str">
        <f>IFERROR(__xludf.DUMMYFUNCTION("GOOGLETRANSLATE(B134, ""en"", ""de"")"),"Wird verwendet, um mein Felsen für Erz.")</f>
        <v>Wird verwendet, um mein Felsen für Erz.</v>
      </c>
      <c r="I134" s="23" t="str">
        <f>IFERROR(__xludf.DUMMYFUNCTION("GOOGLETRANSLATE(B134, ""en"", ""pl"")"),"Służy do kopalń rudy.")</f>
        <v>Służy do kopalń rudy.</v>
      </c>
      <c r="J134" s="25" t="str">
        <f>IFERROR(__xludf.DUMMYFUNCTION("GOOGLETRANSLATE(B134, ""en"", ""zh"")"),"用于矿山岩石矿石。")</f>
        <v>用于矿山岩石矿石。</v>
      </c>
      <c r="K134" s="25" t="str">
        <f>IFERROR(__xludf.DUMMYFUNCTION("GOOGLETRANSLATE(B134, ""en"", ""vi"")"),"Được sử dụng để đá mỏ quặng.")</f>
        <v>Được sử dụng để đá mỏ quặng.</v>
      </c>
      <c r="L134" s="26" t="str">
        <f>IFERROR(__xludf.DUMMYFUNCTION("GOOGLETRANSLATE(B134, ""en"", ""hr"")"),"Koristi se mina stijena za rude.")</f>
        <v>Koristi se mina stijena za rude.</v>
      </c>
      <c r="M134" s="28"/>
      <c r="N134" s="28"/>
      <c r="O134" s="28"/>
      <c r="P134" s="28"/>
      <c r="Q134" s="28"/>
      <c r="R134" s="28"/>
      <c r="S134" s="28"/>
      <c r="T134" s="28"/>
      <c r="U134" s="28"/>
      <c r="V134" s="28"/>
      <c r="W134" s="28"/>
      <c r="X134" s="28"/>
      <c r="Y134" s="28"/>
      <c r="Z134" s="28"/>
      <c r="AA134" s="28"/>
      <c r="AB134" s="28"/>
    </row>
    <row r="135">
      <c r="A135" s="21" t="s">
        <v>537</v>
      </c>
      <c r="B135" s="22" t="s">
        <v>538</v>
      </c>
      <c r="C135" s="23" t="str">
        <f>IFERROR(__xludf.DUMMYFUNCTION("GOOGLETRANSLATE(B135, ""en"", ""fr"")"),"Noctis faucille")</f>
        <v>Noctis faucille</v>
      </c>
      <c r="D135" s="23" t="str">
        <f>IFERROR(__xludf.DUMMYFUNCTION("GOOGLETRANSLATE(B135, ""en"", ""es"")"),"hoz noctis")</f>
        <v>hoz noctis</v>
      </c>
      <c r="E135" s="23" t="str">
        <f>IFERROR(__xludf.DUMMYFUNCTION("GOOGLETRANSLATE(B135, ""en"", ""ru"")"),"Ноктис серп")</f>
        <v>Ноктис серп</v>
      </c>
      <c r="F135" s="23" t="str">
        <f>IFERROR(__xludf.DUMMYFUNCTION("GOOGLETRANSLATE(B135, ""en"", ""tr"")"),"Noctis orak")</f>
        <v>Noctis orak</v>
      </c>
      <c r="G135" s="23" t="str">
        <f>IFERROR(__xludf.DUMMYFUNCTION("GOOGLETRANSLATE(B135, ""en"", ""pt"")"),"Noctis foice")</f>
        <v>Noctis foice</v>
      </c>
      <c r="H135" s="24" t="str">
        <f>IFERROR(__xludf.DUMMYFUNCTION("GOOGLETRANSLATE(B135, ""en"", ""de"")"),"Noctis Sichel")</f>
        <v>Noctis Sichel</v>
      </c>
      <c r="I135" s="23" t="str">
        <f>IFERROR(__xludf.DUMMYFUNCTION("GOOGLETRANSLATE(B135, ""en"", ""pl"")"),"Noctis sierp")</f>
        <v>Noctis sierp</v>
      </c>
      <c r="J135" s="25" t="str">
        <f>IFERROR(__xludf.DUMMYFUNCTION("GOOGLETRANSLATE(B135, ""en"", ""zh"")"),"Noctis镰刀")</f>
        <v>Noctis镰刀</v>
      </c>
      <c r="K135" s="25" t="str">
        <f>IFERROR(__xludf.DUMMYFUNCTION("GOOGLETRANSLATE(B135, ""en"", ""vi"")"),"Noctis liềm")</f>
        <v>Noctis liềm</v>
      </c>
      <c r="L135" s="26" t="str">
        <f>IFERROR(__xludf.DUMMYFUNCTION("GOOGLETRANSLATE(B135, ""en"", ""hr"")"),"Noctis srp")</f>
        <v>Noctis srp</v>
      </c>
      <c r="M135" s="28"/>
      <c r="N135" s="28"/>
      <c r="O135" s="28"/>
      <c r="P135" s="28"/>
      <c r="Q135" s="28"/>
      <c r="R135" s="28"/>
      <c r="S135" s="28"/>
      <c r="T135" s="28"/>
      <c r="U135" s="28"/>
      <c r="V135" s="28"/>
      <c r="W135" s="28"/>
      <c r="X135" s="28"/>
      <c r="Y135" s="28"/>
      <c r="Z135" s="28"/>
      <c r="AA135" s="28"/>
      <c r="AB135" s="28"/>
    </row>
    <row r="136">
      <c r="A136" s="21" t="s">
        <v>539</v>
      </c>
      <c r="B136" s="22" t="s">
        <v>460</v>
      </c>
      <c r="C136" s="23" t="str">
        <f>IFERROR(__xludf.DUMMYFUNCTION("GOOGLETRANSLATE(B136, ""en"", ""fr"")"),"Utilisé pour cueillir des plantes.")</f>
        <v>Utilisé pour cueillir des plantes.</v>
      </c>
      <c r="D136" s="23" t="str">
        <f>IFERROR(__xludf.DUMMYFUNCTION("GOOGLETRANSLATE(B136, ""en"", ""es"")"),"Se utiliza para recoger plantas.")</f>
        <v>Se utiliza para recoger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""tr"")"),"bitkileri toplamak için kullanılır.")</f>
        <v>bitkileri toplamak için kullanılır.</v>
      </c>
      <c r="G136" s="23" t="str">
        <f>IFERROR(__xludf.DUMMYFUNCTION("GOOGLETRANSLATE(B136, ""en"", ""pt"")"),"Usado para coletar plantas.")</f>
        <v>Usado para coletar plantas.</v>
      </c>
      <c r="H136" s="24" t="str">
        <f>IFERROR(__xludf.DUMMYFUNCTION("GOOGLETRANSLATE(B136, ""en"", ""de"")"),"Gebrauchte Pflanzen zu sammeln.")</f>
        <v>Gebrauchte Pflanzen zu sammeln.</v>
      </c>
      <c r="I136" s="23" t="str">
        <f>IFERROR(__xludf.DUMMYFUNCTION("GOOGLETRANSLATE(B136, ""en"", ""pl"")"),"Wykorzystywane do zbierania roślin.")</f>
        <v>Wykorzystywane do zbierania roślin.</v>
      </c>
      <c r="J136" s="25" t="str">
        <f>IFERROR(__xludf.DUMMYFUNCTION("GOOGLETRANSLATE(B136, ""en"", ""zh"")"),"用来收集植物。")</f>
        <v>用来收集植物。</v>
      </c>
      <c r="K136" s="25" t="str">
        <f>IFERROR(__xludf.DUMMYFUNCTION("GOOGLETRANSLATE(B136, ""en"", ""vi"")"),"Được sử dụng để thu thập thực vật.")</f>
        <v>Được sử dụng để thu thập thực vật.</v>
      </c>
      <c r="L136" s="26" t="str">
        <f>IFERROR(__xludf.DUMMYFUNCTION("GOOGLETRANSLATE(B136, ""en"", ""hr"")"),"Koristi se skupiti biljke.")</f>
        <v>Koristi se skupiti biljke.</v>
      </c>
      <c r="M136" s="28"/>
      <c r="N136" s="28"/>
      <c r="O136" s="28"/>
      <c r="P136" s="28"/>
      <c r="Q136" s="28"/>
      <c r="R136" s="28"/>
      <c r="S136" s="28"/>
      <c r="T136" s="28"/>
      <c r="U136" s="28"/>
      <c r="V136" s="28"/>
      <c r="W136" s="28"/>
      <c r="X136" s="28"/>
      <c r="Y136" s="28"/>
      <c r="Z136" s="28"/>
      <c r="AA136" s="28"/>
      <c r="AB136" s="28"/>
    </row>
    <row r="137">
      <c r="A137" s="21" t="s">
        <v>540</v>
      </c>
      <c r="B137" s="22" t="s">
        <v>541</v>
      </c>
      <c r="C137" s="23" t="str">
        <f>IFERROR(__xludf.DUMMYFUNCTION("GOOGLETRANSLATE(B137, ""en"", ""fr"")"),"flèches noctis")</f>
        <v>flèches noctis</v>
      </c>
      <c r="D137" s="23" t="str">
        <f>IFERROR(__xludf.DUMMYFUNCTION("GOOGLETRANSLATE(B137, ""en"", ""es"")"),"Noctis flechas")</f>
        <v>Noctis flechas</v>
      </c>
      <c r="E137" s="23" t="str">
        <f>IFERROR(__xludf.DUMMYFUNCTION("GOOGLETRANSLATE(B137, ""en"", ""ru"")"),"стрелки NOCTIS")</f>
        <v>стрелки NOCTIS</v>
      </c>
      <c r="F137" s="23" t="str">
        <f>IFERROR(__xludf.DUMMYFUNCTION("GOOGLETRANSLATE(B137, ""en"", ""tr"")"),"Noctis oklar")</f>
        <v>Noctis oklar</v>
      </c>
      <c r="G137" s="23" t="str">
        <f>IFERROR(__xludf.DUMMYFUNCTION("GOOGLETRANSLATE(B137, ""en"", ""pt"")"),"setas Noctis")</f>
        <v>setas Noctis</v>
      </c>
      <c r="H137" s="24" t="str">
        <f>IFERROR(__xludf.DUMMYFUNCTION("GOOGLETRANSLATE(B137, ""en"", ""de"")"),"Noctis Pfeile")</f>
        <v>Noctis Pfeile</v>
      </c>
      <c r="I137" s="23" t="str">
        <f>IFERROR(__xludf.DUMMYFUNCTION("GOOGLETRANSLATE(B137, ""en"", ""pl"")"),"strzałki Noctis")</f>
        <v>strzałki Noctis</v>
      </c>
      <c r="J137" s="25" t="str">
        <f>IFERROR(__xludf.DUMMYFUNCTION("GOOGLETRANSLATE(B137, ""en"", ""zh"")"),"Noctis箭头")</f>
        <v>Noctis箭头</v>
      </c>
      <c r="K137" s="25" t="str">
        <f>IFERROR(__xludf.DUMMYFUNCTION("GOOGLETRANSLATE(B137, ""en"", ""vi"")"),"mũi tên Noctis")</f>
        <v>mũi tên Noctis</v>
      </c>
      <c r="L137" s="26" t="str">
        <f>IFERROR(__xludf.DUMMYFUNCTION("GOOGLETRANSLATE(B137, ""en"", ""hr"")"),"Noctis strelice")</f>
        <v>Noctis strelice</v>
      </c>
      <c r="M137" s="28"/>
      <c r="N137" s="28"/>
      <c r="O137" s="28"/>
      <c r="P137" s="28"/>
      <c r="Q137" s="28"/>
      <c r="R137" s="28"/>
      <c r="S137" s="28"/>
      <c r="T137" s="28"/>
      <c r="U137" s="28"/>
      <c r="V137" s="28"/>
      <c r="W137" s="28"/>
      <c r="X137" s="28"/>
      <c r="Y137" s="28"/>
      <c r="Z137" s="28"/>
      <c r="AA137" s="28"/>
      <c r="AB137" s="28"/>
    </row>
    <row r="138">
      <c r="A138" s="21" t="s">
        <v>542</v>
      </c>
      <c r="B138" s="22" t="s">
        <v>464</v>
      </c>
      <c r="C138" s="23" t="str">
        <f>IFERROR(__xludf.DUMMYFUNCTION("GOOGLETRANSLATE(B138, ""en"", ""fr"")"),"Utilisé comme munitions pour un arc.")</f>
        <v>Utilisé comme munitions pour un arc.</v>
      </c>
      <c r="D138" s="23" t="str">
        <f>IFERROR(__xludf.DUMMYFUNCTION("GOOGLETRANSLATE(B138, ""en"", ""es"")"),"Se utiliza como munición para un arco.")</f>
        <v>Se utiliza como munición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""de"")"),"Wird als Munition für einen Bogen.")</f>
        <v>Wird als Munition für einen Bogen.</v>
      </c>
      <c r="I138" s="23" t="str">
        <f>IFERROR(__xludf.DUMMYFUNCTION("GOOGLETRANSLATE(B138, ""en"", ""pl"")"),"Używany jako amunicji do łuku.")</f>
        <v>Używany jako amunicji do łuku.</v>
      </c>
      <c r="J138" s="25" t="str">
        <f>IFERROR(__xludf.DUMMYFUNCTION("GOOGLETRANSLATE(B138, ""en"", ""zh"")"),"作为弹药弓。")</f>
        <v>作为弹药弓。</v>
      </c>
      <c r="K138" s="25" t="str">
        <f>IFERROR(__xludf.DUMMYFUNCTION("GOOGLETRANSLATE(B138, ""en"", ""vi"")"),"Sử dụng như đạn dược cho một cây cung.")</f>
        <v>Sử dụng như đạn dược cho một cây cung.</v>
      </c>
      <c r="L138" s="26" t="str">
        <f>IFERROR(__xludf.DUMMYFUNCTION("GOOGLETRANSLATE(B138, ""en"", ""hr"")"),"Koristi se kao streljivo za luk.")</f>
        <v>Koristi se kao streljivo za luk.</v>
      </c>
      <c r="M138" s="28"/>
      <c r="N138" s="28"/>
      <c r="O138" s="28"/>
      <c r="P138" s="28"/>
      <c r="Q138" s="28"/>
      <c r="R138" s="28"/>
      <c r="S138" s="28"/>
      <c r="T138" s="28"/>
      <c r="U138" s="28"/>
      <c r="V138" s="28"/>
      <c r="W138" s="28"/>
      <c r="X138" s="28"/>
      <c r="Y138" s="28"/>
      <c r="Z138" s="28"/>
      <c r="AA138" s="28"/>
      <c r="AB138" s="28"/>
    </row>
    <row r="139">
      <c r="A139" s="21" t="s">
        <v>543</v>
      </c>
      <c r="B139" s="22" t="s">
        <v>544</v>
      </c>
      <c r="C139" s="23" t="str">
        <f>IFERROR(__xludf.DUMMYFUNCTION("GOOGLETRANSLATE(B139, ""en"", ""fr"")"),"poignard Noctis")</f>
        <v>poignard Noctis</v>
      </c>
      <c r="D139" s="23" t="str">
        <f>IFERROR(__xludf.DUMMYFUNCTION("GOOGLETRANSLATE(B139, ""en"", ""es"")"),"daga noctis")</f>
        <v>daga noctis</v>
      </c>
      <c r="E139" s="23" t="str">
        <f>IFERROR(__xludf.DUMMYFUNCTION("GOOGLETRANSLATE(B139, ""en"", ""ru"")"),"Ноктис крестик")</f>
        <v>Ноктис крестик</v>
      </c>
      <c r="F139" s="23" t="str">
        <f>IFERROR(__xludf.DUMMYFUNCTION("GOOGLETRANSLATE(B139, ""en"", ""tr"")"),"Noctis hançer")</f>
        <v>Noctis hançer</v>
      </c>
      <c r="G139" s="23" t="str">
        <f>IFERROR(__xludf.DUMMYFUNCTION("GOOGLETRANSLATE(B139, ""en"", ""pt"")"),"Noctis punhal")</f>
        <v>Noctis punhal</v>
      </c>
      <c r="H139" s="24" t="str">
        <f>IFERROR(__xludf.DUMMYFUNCTION("GOOGLETRANSLATE(B139, ""en"", ""de"")"),"Noctis Dolch")</f>
        <v>Noctis Dolch</v>
      </c>
      <c r="I139" s="23" t="str">
        <f>IFERROR(__xludf.DUMMYFUNCTION("GOOGLETRANSLATE(B139, ""en"", ""pl"")"),"Noctis sztylet")</f>
        <v>Noctis sztylet</v>
      </c>
      <c r="J139" s="25" t="str">
        <f>IFERROR(__xludf.DUMMYFUNCTION("GOOGLETRANSLATE(B139, ""en"", ""zh"")"),"Noctis匕首")</f>
        <v>Noctis匕首</v>
      </c>
      <c r="K139" s="25" t="str">
        <f>IFERROR(__xludf.DUMMYFUNCTION("GOOGLETRANSLATE(B139, ""en"", ""vi"")"),"Noctis dao găm")</f>
        <v>Noctis dao găm</v>
      </c>
      <c r="L139" s="26" t="str">
        <f>IFERROR(__xludf.DUMMYFUNCTION("GOOGLETRANSLATE(B139, ""en"", ""hr"")"),"Noctis bodež")</f>
        <v>Noctis bodež</v>
      </c>
      <c r="M139" s="28"/>
      <c r="N139" s="28"/>
      <c r="O139" s="28"/>
      <c r="P139" s="28"/>
      <c r="Q139" s="28"/>
      <c r="R139" s="28"/>
      <c r="S139" s="28"/>
      <c r="T139" s="28"/>
      <c r="U139" s="28"/>
      <c r="V139" s="28"/>
      <c r="W139" s="28"/>
      <c r="X139" s="28"/>
      <c r="Y139" s="28"/>
      <c r="Z139" s="28"/>
      <c r="AA139" s="28"/>
      <c r="AB139" s="28"/>
    </row>
    <row r="140">
      <c r="A140" s="21" t="s">
        <v>545</v>
      </c>
      <c r="B140" s="22" t="s">
        <v>468</v>
      </c>
      <c r="C140" s="23" t="str">
        <f>IFERROR(__xludf.DUMMYFUNCTION("GOOGLETRANSLATE(B140, ""en"", ""fr"")"),"Une courte portée arme de mêlée. Inflige des dégâts de bonus quand il frappe par derrière.")</f>
        <v>Une courte portée arme de mêlée. Inflige des dégâts de bonus quand il frappe par derrière.</v>
      </c>
      <c r="D140" s="23" t="str">
        <f>IFERROR(__xludf.DUMMYFUNCTION("GOOGLETRANSLATE(B140, ""en"", ""es"")"),"Un arma cuerpo a cuerpo corto alcance. Inflige daño adicional cuando se golpea por detrás.")</f>
        <v>Un arma cuerpo a cuerpo corto alcance. Inflige daño adicional cuando se golpea por detrás.</v>
      </c>
      <c r="E140" s="23" t="str">
        <f>IFERROR(__xludf.DUMMYFUNCTION("GOOGLETRANSLATE(B140,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40" s="23" t="str">
        <f>IFERROR(__xludf.DUMMYFUNCTION("GOOGLETRANSLATE(B140, ""en"", ""tr"")"),"Kısa menzilli yakın dövüş silahı. o şekilde arkadan çarptığında Bonus hasar verir.")</f>
        <v>Kısa menzilli yakın dövüş silahı. o şekilde arkadan çarptığında Bonus hasar verir.</v>
      </c>
      <c r="G140" s="23" t="str">
        <f>IFERROR(__xludf.DUMMYFUNCTION("GOOGLETRANSLATE(B140, ""en"", ""pt"")"),"A arma branca curto alcance. Causa dano bônus quando se atinge por trás.")</f>
        <v>A arma branca curto alcance. Causa dano bônus quando se atinge por trás.</v>
      </c>
      <c r="H140" s="24" t="str">
        <f>IFERROR(__xludf.DUMMYFUNCTION("GOOGLETRANSLATE(B140, ""en"", ""de"")"),"Eine Nahbereichsnahkampfwaffe. Verursacht zusätzlichen Schaden, wenn es von hinten trifft.")</f>
        <v>Eine Nahbereichsnahkampfwaffe. Verursacht zusätzlichen Schaden, wenn es von hinten trifft.</v>
      </c>
      <c r="I140" s="23" t="str">
        <f>IFERROR(__xludf.DUMMYFUNCTION("GOOGLETRANSLATE(B140, ""en"", ""pl"")"),"Krótki zasięg Broń biała. Zadaje obrażenia bonusowy kiedy uderza od tyłu.")</f>
        <v>Krótki zasięg Broń biała. Zadaje obrażenia bonusowy kiedy uderza od tyłu.</v>
      </c>
      <c r="J140" s="25" t="str">
        <f>IFERROR(__xludf.DUMMYFUNCTION("GOOGLETRANSLATE(B140, ""en"", ""zh"")"),"短程的近战武器。造成额外的伤害，当它从背后击中。")</f>
        <v>短程的近战武器。造成额外的伤害，当它从背后击中。</v>
      </c>
      <c r="K140" s="25" t="str">
        <f>IFERROR(__xludf.DUMMYFUNCTION("GOOGLETRANSLATE(B140, ""en"", ""vi"")"),"Một loạt ngắn melee vũ khí. Damage bonus khi nó chạm từ phía sau.")</f>
        <v>Một loạt ngắn melee vũ khí. Damage bonus khi nó chạm từ phía sau.</v>
      </c>
      <c r="L140" s="26" t="str">
        <f>IFERROR(__xludf.DUMMYFUNCTION("GOOGLETRANSLATE(B140, ""en"", ""hr"")"),"Kratki domet gužva oružje. Ponude bonus štetu kada ga pogodi odostraga.")</f>
        <v>Kratki domet gužva oružje. Ponude bonus štetu kada ga pogodi odostraga.</v>
      </c>
      <c r="M140" s="28"/>
      <c r="N140" s="28"/>
      <c r="O140" s="28"/>
      <c r="P140" s="28"/>
      <c r="Q140" s="28"/>
      <c r="R140" s="28"/>
      <c r="S140" s="28"/>
      <c r="T140" s="28"/>
      <c r="U140" s="28"/>
      <c r="V140" s="28"/>
      <c r="W140" s="28"/>
      <c r="X140" s="28"/>
      <c r="Y140" s="28"/>
      <c r="Z140" s="28"/>
      <c r="AA140" s="28"/>
      <c r="AB140" s="28"/>
    </row>
    <row r="141">
      <c r="A141" s="21" t="s">
        <v>546</v>
      </c>
      <c r="B141" s="22" t="s">
        <v>547</v>
      </c>
      <c r="C141" s="23" t="str">
        <f>IFERROR(__xludf.DUMMYFUNCTION("GOOGLETRANSLATE(B141, ""en"", ""fr"")"),"épée Noctis")</f>
        <v>épée Noctis</v>
      </c>
      <c r="D141" s="23" t="str">
        <f>IFERROR(__xludf.DUMMYFUNCTION("GOOGLETRANSLATE(B141, ""en"", ""es"")"),"espada noctis")</f>
        <v>espada noctis</v>
      </c>
      <c r="E141" s="23" t="str">
        <f>IFERROR(__xludf.DUMMYFUNCTION("GOOGLETRANSLATE(B141, ""en"", ""ru"")"),"Ноктис меч")</f>
        <v>Ноктис меч</v>
      </c>
      <c r="F141" s="23" t="str">
        <f>IFERROR(__xludf.DUMMYFUNCTION("GOOGLETRANSLATE(B141, ""en"", ""tr"")"),"Noctis kılıç")</f>
        <v>Noctis kılıç</v>
      </c>
      <c r="G141" s="23" t="str">
        <f>IFERROR(__xludf.DUMMYFUNCTION("GOOGLETRANSLATE(B141, ""en"", ""pt"")"),"espada Noctis")</f>
        <v>espada Noctis</v>
      </c>
      <c r="H141" s="24" t="str">
        <f>IFERROR(__xludf.DUMMYFUNCTION("GOOGLETRANSLATE(B141, ""en"", ""de"")"),"Noctis Schwert")</f>
        <v>Noctis Schwert</v>
      </c>
      <c r="I141" s="23" t="str">
        <f>IFERROR(__xludf.DUMMYFUNCTION("GOOGLETRANSLATE(B141, ""en"", ""pl"")"),"Noctis miecz")</f>
        <v>Noctis miecz</v>
      </c>
      <c r="J141" s="25" t="str">
        <f>IFERROR(__xludf.DUMMYFUNCTION("GOOGLETRANSLATE(B141, ""en"", ""zh"")"),"Noctis剑")</f>
        <v>Noctis剑</v>
      </c>
      <c r="K141" s="25" t="str">
        <f>IFERROR(__xludf.DUMMYFUNCTION("GOOGLETRANSLATE(B141, ""en"", ""vi"")"),"Noctis gươm")</f>
        <v>Noctis gươm</v>
      </c>
      <c r="L141" s="26" t="str">
        <f>IFERROR(__xludf.DUMMYFUNCTION("GOOGLETRANSLATE(B141, ""en"", ""hr"")"),"Noctis mač")</f>
        <v>Noctis mač</v>
      </c>
      <c r="M141" s="28"/>
      <c r="N141" s="28"/>
      <c r="O141" s="28"/>
      <c r="P141" s="28"/>
      <c r="Q141" s="28"/>
      <c r="R141" s="28"/>
      <c r="S141" s="28"/>
      <c r="T141" s="28"/>
      <c r="U141" s="28"/>
      <c r="V141" s="28"/>
      <c r="W141" s="28"/>
      <c r="X141" s="28"/>
      <c r="Y141" s="28"/>
      <c r="Z141" s="28"/>
      <c r="AA141" s="28"/>
      <c r="AB141" s="28"/>
    </row>
    <row r="142">
      <c r="A142" s="21" t="s">
        <v>548</v>
      </c>
      <c r="B142" s="22" t="s">
        <v>472</v>
      </c>
      <c r="C142" s="23" t="str">
        <f>IFERROR(__xludf.DUMMYFUNCTION("GOOGLETRANSLATE(B142, ""en"", ""fr"")"),"Arme de mêlée. Utilisé pour attaquer à une courte distance.")</f>
        <v>Arme de mêlée. Utilisé pour attaquer à une courte distance.</v>
      </c>
      <c r="D142" s="23" t="str">
        <f>IFERROR(__xludf.DUMMYFUNCTION("GOOGLETRANSLATE(B142, ""en"", ""es"")"),"arma cuerpo a cuerpo. Se utiliza para atacar a una corta distancia.")</f>
        <v>arma cuerpo a cuerpo. Se utiliza para atacar a una corta distancia.</v>
      </c>
      <c r="E142" s="23" t="str">
        <f>IFERROR(__xludf.DUMMYFUNCTION("GOOGLETRANSLATE(B142, ""en"", ""ru"")"),"Оружие ближнего боя. Используется для атаки на небольшое расстоянии.")</f>
        <v>Оружие ближнего боя. Используется для атаки на небольшое расстоянии.</v>
      </c>
      <c r="F142" s="23" t="str">
        <f>IFERROR(__xludf.DUMMYFUNCTION("GOOGLETRANSLATE(B142, ""en"", ""tr"")"),"Yakın dövüş silahı. kısa bir mesafede saldırı için kullanılır.")</f>
        <v>Yakın dövüş silahı. kısa bir mesafede saldırı için kullanılır.</v>
      </c>
      <c r="G142" s="23" t="str">
        <f>IFERROR(__xludf.DUMMYFUNCTION("GOOGLETRANSLATE(B142, ""en"", ""pt"")"),"Arma branca. Usado para atacar a uma curta distância.")</f>
        <v>Arma branca. Usado para atacar a uma curta distância.</v>
      </c>
      <c r="H142" s="24" t="str">
        <f>IFERROR(__xludf.DUMMYFUNCTION("GOOGLETRANSLATE(B142, ""en"", ""de"")"),"Nahkampfwaffe. Verwendet weg eine kurze Strecke zu attackieren.")</f>
        <v>Nahkampfwaffe. Verwendet weg eine kurze Strecke zu attackieren.</v>
      </c>
      <c r="I142" s="23" t="str">
        <f>IFERROR(__xludf.DUMMYFUNCTION("GOOGLETRANSLATE(B142, ""en"", ""pl"")"),"Broń biała. Wykorzystana do ataku na krótkie odległości.")</f>
        <v>Broń biała. Wykorzystana do ataku na krótkie odległości.</v>
      </c>
      <c r="J142" s="25" t="str">
        <f>IFERROR(__xludf.DUMMYFUNCTION("GOOGLETRANSLATE(B142, ""en"", ""zh"")"),"近战武器。用于攻击很短的距离。")</f>
        <v>近战武器。用于攻击很短的距离。</v>
      </c>
      <c r="K142" s="25" t="str">
        <f>IFERROR(__xludf.DUMMYFUNCTION("GOOGLETRANSLATE(B142, ""en"", ""vi"")"),"vũ khí cận chiến. Được sử dụng để tấn công một khoảng cách ngắn.")</f>
        <v>vũ khí cận chiến. Được sử dụng để tấn công một khoảng cách ngắn.</v>
      </c>
      <c r="L142" s="26" t="str">
        <f>IFERROR(__xludf.DUMMYFUNCTION("GOOGLETRANSLATE(B142, ""en"", ""hr"")"),"Gužva oružje. Koristi se za napad nedaleko.")</f>
        <v>Gužva oružje. Koristi se za napad nedaleko.</v>
      </c>
      <c r="M142" s="28"/>
      <c r="N142" s="28"/>
      <c r="O142" s="28"/>
      <c r="P142" s="28"/>
      <c r="Q142" s="28"/>
      <c r="R142" s="28"/>
      <c r="S142" s="28"/>
      <c r="T142" s="28"/>
      <c r="U142" s="28"/>
      <c r="V142" s="28"/>
      <c r="W142" s="28"/>
      <c r="X142" s="28"/>
      <c r="Y142" s="28"/>
      <c r="Z142" s="28"/>
      <c r="AA142" s="28"/>
      <c r="AB142" s="28"/>
    </row>
    <row r="143">
      <c r="A143" s="21" t="s">
        <v>549</v>
      </c>
      <c r="B143" s="22" t="s">
        <v>550</v>
      </c>
      <c r="C143" s="23" t="str">
        <f>IFERROR(__xludf.DUMMYFUNCTION("GOOGLETRANSLATE(B143, ""en"", ""fr"")"),"marteau Noctis")</f>
        <v>marteau Noctis</v>
      </c>
      <c r="D143" s="23" t="str">
        <f>IFERROR(__xludf.DUMMYFUNCTION("GOOGLETRANSLATE(B143, ""en"", ""es"")"),"martillo noctis")</f>
        <v>martillo noctis</v>
      </c>
      <c r="E143" s="23" t="str">
        <f>IFERROR(__xludf.DUMMYFUNCTION("GOOGLETRANSLATE(B143, ""en"", ""ru"")"),"Ноктис молоток")</f>
        <v>Ноктис молоток</v>
      </c>
      <c r="F143" s="23" t="str">
        <f>IFERROR(__xludf.DUMMYFUNCTION("GOOGLETRANSLATE(B143, ""en"", ""tr"")"),"Noctis çekiç")</f>
        <v>Noctis çekiç</v>
      </c>
      <c r="G143" s="23" t="str">
        <f>IFERROR(__xludf.DUMMYFUNCTION("GOOGLETRANSLATE(B143, ""en"", ""pt"")"),"Noctis martelo")</f>
        <v>Noctis martelo</v>
      </c>
      <c r="H143" s="24" t="str">
        <f>IFERROR(__xludf.DUMMYFUNCTION("GOOGLETRANSLATE(B143, ""en"", ""de"")"),"Noctis Hammer")</f>
        <v>Noctis Hammer</v>
      </c>
      <c r="I143" s="23" t="str">
        <f>IFERROR(__xludf.DUMMYFUNCTION("GOOGLETRANSLATE(B143, ""en"", ""pl"")"),"Noctis młotek")</f>
        <v>Noctis młotek</v>
      </c>
      <c r="J143" s="25" t="str">
        <f>IFERROR(__xludf.DUMMYFUNCTION("GOOGLETRANSLATE(B143, ""en"", ""zh"")"),"Noctis锤")</f>
        <v>Noctis锤</v>
      </c>
      <c r="K143" s="25" t="str">
        <f>IFERROR(__xludf.DUMMYFUNCTION("GOOGLETRANSLATE(B143, ""en"", ""vi"")"),"Noctis búa")</f>
        <v>Noctis búa</v>
      </c>
      <c r="L143" s="26" t="str">
        <f>IFERROR(__xludf.DUMMYFUNCTION("GOOGLETRANSLATE(B143, ""en"", ""hr"")"),"Noctis čekić")</f>
        <v>Noctis čekić</v>
      </c>
      <c r="M143" s="28"/>
      <c r="N143" s="28"/>
      <c r="O143" s="28"/>
      <c r="P143" s="28"/>
      <c r="Q143" s="28"/>
      <c r="R143" s="28"/>
      <c r="S143" s="28"/>
      <c r="T143" s="28"/>
      <c r="U143" s="28"/>
      <c r="V143" s="28"/>
      <c r="W143" s="28"/>
      <c r="X143" s="28"/>
      <c r="Y143" s="28"/>
      <c r="Z143" s="28"/>
      <c r="AA143" s="28"/>
      <c r="AB143" s="28"/>
    </row>
    <row r="144">
      <c r="A144" s="21" t="s">
        <v>551</v>
      </c>
      <c r="B144" s="22" t="s">
        <v>476</v>
      </c>
      <c r="C144" s="23" t="str">
        <f>IFERROR(__xludf.DUMMYFUNCTION("GOOGLETRANSLATE(B144, ""en"", ""fr"")"),"Arme de mêlée. Pousse les choses un espace quand il frappe.")</f>
        <v>Arme de mêlée. Pousse les choses un espace quand il frappe.</v>
      </c>
      <c r="D144" s="23" t="str">
        <f>IFERROR(__xludf.DUMMYFUNCTION("GOOGLETRANSLATE(B144, ""en"", ""es"")"),"arma cuerpo a cuerpo. Lleva las cosas un espacio hacia atrás cuando se golpea.")</f>
        <v>arma cuerpo a cuerpo. Lleva las cosas un espacio hacia atrás cuando se golpea.</v>
      </c>
      <c r="E144" s="23" t="str">
        <f>IFERROR(__xludf.DUMMYFUNCTION("GOOGLETRANSLATE(B144,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4" s="23" t="str">
        <f>IFERROR(__xludf.DUMMYFUNCTION("GOOGLETRANSLATE(B144, ""en"", ""tr"")"),"Yakın dövüş silahı. çarptığında iter şeyler bir boşluk geri.")</f>
        <v>Yakın dövüş silahı. çarptığında iter şeyler bir boşluk geri.</v>
      </c>
      <c r="G144" s="23" t="str">
        <f>IFERROR(__xludf.DUMMYFUNCTION("GOOGLETRANSLATE(B144, ""en"", ""pt"")"),"Arma branca. Empurra as coisas de volta um espaço quando bate.")</f>
        <v>Arma branca. Empurra as coisas de volta um espaço quando bate.</v>
      </c>
      <c r="H144" s="24" t="str">
        <f>IFERROR(__xludf.DUMMYFUNCTION("GOOGLETRANSLATE(B144, ""en"", ""de"")"),"Nahkampfwaffe. Schiebt die Dinge wieder einen Raum, wenn er trifft.")</f>
        <v>Nahkampfwaffe. Schiebt die Dinge wieder einen Raum, wenn er trifft.</v>
      </c>
      <c r="I144" s="23" t="str">
        <f>IFERROR(__xludf.DUMMYFUNCTION("GOOGLETRANSLATE(B144, ""en"", ""pl"")"),"Broń biała. Popycha rzeczy z powrotem jedno miejsce, gdy natrafi.")</f>
        <v>Broń biała. Popycha rzeczy z powrotem jedno miejsce, gdy natrafi.</v>
      </c>
      <c r="J144" s="25" t="str">
        <f>IFERROR(__xludf.DUMMYFUNCTION("GOOGLETRANSLATE(B144, ""en"", ""zh"")"),"近战武器。推动东西回来一个空当它击中。")</f>
        <v>近战武器。推动东西回来一个空当它击中。</v>
      </c>
      <c r="K144" s="25" t="str">
        <f>IFERROR(__xludf.DUMMYFUNCTION("GOOGLETRANSLATE(B144, ""en"", ""vi"")"),"vũ khí cận chiến. Push thứ trở lại một không gian khi nó chạm.")</f>
        <v>vũ khí cận chiến. Push thứ trở lại một không gian khi nó chạm.</v>
      </c>
      <c r="L144" s="26" t="str">
        <f>IFERROR(__xludf.DUMMYFUNCTION("GOOGLETRANSLATE(B144, ""en"", ""hr"")"),"Gužva oružje. Gura stvari vratiti za jedno mjesto kad ga pogodi.")</f>
        <v>Gužva oružje. Gura stvari vratiti za jedno mjesto kad ga pogodi.</v>
      </c>
      <c r="M144" s="28"/>
      <c r="N144" s="28"/>
      <c r="O144" s="28"/>
      <c r="P144" s="28"/>
      <c r="Q144" s="28"/>
      <c r="R144" s="28"/>
      <c r="S144" s="28"/>
      <c r="T144" s="28"/>
      <c r="U144" s="28"/>
      <c r="V144" s="28"/>
      <c r="W144" s="28"/>
      <c r="X144" s="28"/>
      <c r="Y144" s="28"/>
      <c r="Z144" s="28"/>
      <c r="AA144" s="28"/>
      <c r="AB144" s="28"/>
    </row>
    <row r="145">
      <c r="A145" s="21" t="s">
        <v>552</v>
      </c>
      <c r="B145" s="22" t="s">
        <v>553</v>
      </c>
      <c r="C145" s="23" t="str">
        <f>IFERROR(__xludf.DUMMYFUNCTION("GOOGLETRANSLATE(B145, ""en"", ""fr"")"),"armure Noctis")</f>
        <v>armure Noctis</v>
      </c>
      <c r="D145" s="23" t="str">
        <f>IFERROR(__xludf.DUMMYFUNCTION("GOOGLETRANSLATE(B145, ""en"", ""es"")"),"armadura noctis")</f>
        <v>armadura noctis</v>
      </c>
      <c r="E145" s="23" t="str">
        <f>IFERROR(__xludf.DUMMYFUNCTION("GOOGLETRANSLATE(B145, ""en"", ""ru"")"),"Ноктис броня")</f>
        <v>Ноктис броня</v>
      </c>
      <c r="F145" s="23" t="str">
        <f>IFERROR(__xludf.DUMMYFUNCTION("GOOGLETRANSLATE(B145, ""en"", ""tr"")"),"Noctis zırh")</f>
        <v>Noctis zırh</v>
      </c>
      <c r="G145" s="23" t="str">
        <f>IFERROR(__xludf.DUMMYFUNCTION("GOOGLETRANSLATE(B145, ""en"", ""pt"")"),"armadura Noctis")</f>
        <v>armadura Noctis</v>
      </c>
      <c r="H145" s="24" t="str">
        <f>IFERROR(__xludf.DUMMYFUNCTION("GOOGLETRANSLATE(B145, ""en"", ""de"")"),"Noctis Rüstung")</f>
        <v>Noctis Rüstung</v>
      </c>
      <c r="I145" s="23" t="str">
        <f>IFERROR(__xludf.DUMMYFUNCTION("GOOGLETRANSLATE(B145, ""en"", ""pl"")"),"Noctis pancerz")</f>
        <v>Noctis pancerz</v>
      </c>
      <c r="J145" s="25" t="str">
        <f>IFERROR(__xludf.DUMMYFUNCTION("GOOGLETRANSLATE(B145, ""en"", ""zh"")"),"Noctis装甲")</f>
        <v>Noctis装甲</v>
      </c>
      <c r="K145" s="25" t="str">
        <f>IFERROR(__xludf.DUMMYFUNCTION("GOOGLETRANSLATE(B145, ""en"", ""vi"")"),"Noctis giáp")</f>
        <v>Noctis giáp</v>
      </c>
      <c r="L145" s="26" t="str">
        <f>IFERROR(__xludf.DUMMYFUNCTION("GOOGLETRANSLATE(B145, ""en"", ""hr"")"),"Noctis oklop")</f>
        <v>Noctis oklop</v>
      </c>
      <c r="M145" s="28"/>
      <c r="N145" s="28"/>
      <c r="O145" s="28"/>
      <c r="P145" s="28"/>
      <c r="Q145" s="28"/>
      <c r="R145" s="28"/>
      <c r="S145" s="28"/>
      <c r="T145" s="28"/>
      <c r="U145" s="28"/>
      <c r="V145" s="28"/>
      <c r="W145" s="28"/>
      <c r="X145" s="28"/>
      <c r="Y145" s="28"/>
      <c r="Z145" s="28"/>
      <c r="AA145" s="28"/>
      <c r="AB145" s="28"/>
    </row>
    <row r="146">
      <c r="A146" s="21" t="s">
        <v>554</v>
      </c>
      <c r="B146" s="22" t="s">
        <v>555</v>
      </c>
      <c r="C146" s="23" t="str">
        <f>IFERROR(__xludf.DUMMYFUNCTION("GOOGLETRANSLATE(B146, ""en"", ""fr"")"),"Angoissant! Augmente votre stat Melee tout porté.")</f>
        <v>Angoissant! Augmente votre stat Melee tout porté.</v>
      </c>
      <c r="D146" s="23" t="str">
        <f>IFERROR(__xludf.DUMMYFUNCTION("GOOGLETRANSLATE(B146, ""en"", ""es"")"),"¡Aterrador! Aumenta la estadística cuerpo a cuerpo mientras se usa.")</f>
        <v>¡Aterrador! Aumenta la estadística cuerpo a cuerpo mientras se usa.</v>
      </c>
      <c r="E146" s="23" t="str">
        <f>IFERROR(__xludf.DUMMYFUNCTION("GOOGLETRANSLATE(B146, ""en"", ""ru"")"),"Страшный! Повышает рукопашной стат во время ношения.")</f>
        <v>Страшный! Повышает рукопашной стат во время ношения.</v>
      </c>
      <c r="F146" s="23" t="str">
        <f>IFERROR(__xludf.DUMMYFUNCTION("GOOGLETRANSLATE(B146, ""en"", ""tr"")"),"Korkunç! yıpranmış ederken Melee, stat artırır.")</f>
        <v>Korkunç! yıpranmış ederken Melee, stat artırır.</v>
      </c>
      <c r="G146" s="23" t="str">
        <f>IFERROR(__xludf.DUMMYFUNCTION("GOOGLETRANSLATE(B146, ""en"", ""pt"")"),"Apavorante! Aumenta seu status de corpo a corpo, enquanto desgastado.")</f>
        <v>Apavorante! Aumenta seu status de corpo a corpo, enquanto desgastado.</v>
      </c>
      <c r="H146" s="24" t="str">
        <f>IFERROR(__xludf.DUMMYFUNCTION("GOOGLETRANSLATE(B146, ""en"", ""de"")"),"Unheimlich! Erhöht den Nahkampf stat während des Tragens.")</f>
        <v>Unheimlich! Erhöht den Nahkampf stat während des Tragens.</v>
      </c>
      <c r="I146" s="23" t="str">
        <f>IFERROR(__xludf.DUMMYFUNCTION("GOOGLETRANSLATE(B146, ""en"", ""pl"")"),"Straszny! Zwiększa stat wręcz podczas noszenia.")</f>
        <v>Straszny! Zwiększa stat wręcz podczas noszenia.</v>
      </c>
      <c r="J146" s="25" t="str">
        <f>IFERROR(__xludf.DUMMYFUNCTION("GOOGLETRANSLATE(B146, ""en"", ""zh"")"),"害怕！使你的近战的统计，而磨损。")</f>
        <v>害怕！使你的近战的统计，而磨损。</v>
      </c>
      <c r="K146" s="25" t="str">
        <f>IFERROR(__xludf.DUMMYFUNCTION("GOOGLETRANSLATE(B146, ""en"", ""vi"")"),"Đáng sợ! Tăng Melee stat của bạn trong khi mặc.")</f>
        <v>Đáng sợ! Tăng Melee stat của bạn trong khi mặc.</v>
      </c>
      <c r="L146" s="26" t="str">
        <f>IFERROR(__xludf.DUMMYFUNCTION("GOOGLETRANSLATE(B146, ""en"", ""hr"")"),"Zastrašujuće! Povećava gužva stat dok istrošena.")</f>
        <v>Zastrašujuće! Povećava gužva stat dok istrošena.</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""fr"")"),"vampire Croc")</f>
        <v>vampire Croc</v>
      </c>
      <c r="D147" s="23" t="str">
        <f>IFERROR(__xludf.DUMMYFUNCTION("GOOGLETRANSLATE(B147, ""en"", ""es"")"),"vampire fang")</f>
        <v>vampire fang</v>
      </c>
      <c r="E147" s="23" t="str">
        <f>IFERROR(__xludf.DUMMYFUNCTION("GOOGLETRANSLATE(B147, ""en"", ""ru"")"),"Вампир клыки")</f>
        <v>Вампир клыки</v>
      </c>
      <c r="F147" s="23" t="str">
        <f>IFERROR(__xludf.DUMMYFUNCTION("GOOGLETRANSLATE(B147, ""en"", ""tr"")"),"Vampir zehirli diş")</f>
        <v>Vampir zehirli diş</v>
      </c>
      <c r="G147" s="23" t="str">
        <f>IFERROR(__xludf.DUMMYFUNCTION("GOOGLETRANSLATE(B147, ""en"", ""pt"")"),"colmilho do vampiro")</f>
        <v>colmilho do vampiro</v>
      </c>
      <c r="H147" s="24" t="str">
        <f>IFERROR(__xludf.DUMMYFUNCTION("GOOGLETRANSLATE(B147, ""en"", ""de"")"),"Vampir Reißzahn")</f>
        <v>Vampir Reißzahn</v>
      </c>
      <c r="I147" s="23" t="str">
        <f>IFERROR(__xludf.DUMMYFUNCTION("GOOGLETRANSLATE(B147, ""en"", ""pl"")"),"Vampire Fang")</f>
        <v>Vampire Fang</v>
      </c>
      <c r="J147" s="25" t="str">
        <f>IFERROR(__xludf.DUMMYFUNCTION("GOOGLETRANSLATE(B147, ""en"", ""zh"")"),"吸血鬼芳")</f>
        <v>吸血鬼芳</v>
      </c>
      <c r="K147" s="25" t="str">
        <f>IFERROR(__xludf.DUMMYFUNCTION("GOOGLETRANSLATE(B147, ""en"", ""vi"")"),"Ma cà rồng fang")</f>
        <v>Ma cà rồng fang</v>
      </c>
      <c r="L147" s="26" t="str">
        <f>IFERROR(__xludf.DUMMYFUNCTION("GOOGLETRANSLATE(B147, ""en"", ""hr"")"),"Vampire fang")</f>
        <v>Vampire fang</v>
      </c>
      <c r="M147" s="28"/>
      <c r="N147" s="28"/>
      <c r="O147" s="28"/>
      <c r="P147" s="28"/>
      <c r="Q147" s="28"/>
      <c r="R147" s="28"/>
      <c r="S147" s="28"/>
      <c r="T147" s="28"/>
      <c r="U147" s="28"/>
      <c r="V147" s="28"/>
      <c r="W147" s="28"/>
      <c r="X147" s="28"/>
      <c r="Y147" s="28"/>
      <c r="Z147" s="28"/>
      <c r="AA147" s="28"/>
      <c r="AB147" s="28"/>
    </row>
    <row r="148">
      <c r="A148" s="21" t="s">
        <v>558</v>
      </c>
      <c r="B148" s="22" t="s">
        <v>559</v>
      </c>
      <c r="C148" s="23" t="str">
        <f>IFERROR(__xludf.DUMMYFUNCTION("GOOGLETRANSLATE(B148, ""en"", ""fr"")"),"Arme de mêlée. Très courte portée, mais vous guérit quand il frappe.")</f>
        <v>Arme de mêlée. Très courte portée, mais vous guérit quand il frappe.</v>
      </c>
      <c r="D148" s="23" t="str">
        <f>IFERROR(__xludf.DUMMYFUNCTION("GOOGLETRANSLATE(B148, ""en"", ""es"")"),"arma cuerpo a cuerpo. De muy corto alcance, pero se cura cuando se golpea.")</f>
        <v>arma cuerpo a cuerpo. De muy corto alcance, pero se cura cuando se golpea.</v>
      </c>
      <c r="E148" s="23" t="str">
        <f>IFERROR(__xludf.DUMMYFUNCTION("GOOGLETRANSLATE(B148, ""en"", ""ru"")"),"Оружие ближнего боя. Очень короткий диапазон, но лечит вас, когда она попадает.")</f>
        <v>Оружие ближнего боя. Очень короткий диапазон, но лечит вас, когда она попадает.</v>
      </c>
      <c r="F148" s="23" t="str">
        <f>IFERROR(__xludf.DUMMYFUNCTION("GOOGLETRANSLATE(B148, ""en"", ""tr"")"),"Yakın dövüş silahı. Çok kısa menzilli ama iyileştirir seni o vurur.")</f>
        <v>Yakın dövüş silahı. Çok kısa menzilli ama iyileştirir seni o vurur.</v>
      </c>
      <c r="G148" s="23" t="str">
        <f>IFERROR(__xludf.DUMMYFUNCTION("GOOGLETRANSLATE(B148, ""en"", ""pt"")"),"Arma branca. Alcance muito curto, mas te cura quando bate.")</f>
        <v>Arma branca. Alcance muito curto, mas te cura quando bate.</v>
      </c>
      <c r="H148" s="24" t="str">
        <f>IFERROR(__xludf.DUMMYFUNCTION("GOOGLETRANSLATE(B148, ""en"", ""de"")"),"Nahkampfwaffe. Sehr kurze Reichweite, aber heilen Sie, wenn er trifft.")</f>
        <v>Nahkampfwaffe. Sehr kurze Reichweite, aber heilen Sie, wenn er trifft.</v>
      </c>
      <c r="I148" s="23" t="str">
        <f>IFERROR(__xludf.DUMMYFUNCTION("GOOGLETRANSLATE(B148, ""en"", ""pl"")"),"Broń biała. Bardzo krótki zasięg, ale cię uzdrawia gdy trafi.")</f>
        <v>Broń biała. Bardzo krótki zasięg, ale cię uzdrawia gdy trafi.</v>
      </c>
      <c r="J148" s="25" t="str">
        <f>IFERROR(__xludf.DUMMYFUNCTION("GOOGLETRANSLATE(B148, ""en"", ""zh"")"),"近战武器。射程很短，但医治你当它击中。")</f>
        <v>近战武器。射程很短，但医治你当它击中。</v>
      </c>
      <c r="K148" s="25" t="str">
        <f>IFERROR(__xludf.DUMMYFUNCTION("GOOGLETRANSLATE(B148, ""en"", ""vi"")"),"vũ khí cận chiến. Rất tầm ngắn, nhưng chữa lành cho bạn khi nó chạm.")</f>
        <v>vũ khí cận chiến. Rất tầm ngắn, nhưng chữa lành cho bạn khi nó chạm.</v>
      </c>
      <c r="L148" s="26" t="str">
        <f>IFERROR(__xludf.DUMMYFUNCTION("GOOGLETRANSLATE(B148, ""en"", ""hr"")"),"Gužva oružje. Vrlo kratak raspon, ali liječi vas kada ga pogodi.")</f>
        <v>Gužva oružje. Vrlo kratak raspon, ali liječi vas kada ga pogodi.</v>
      </c>
      <c r="M148" s="28"/>
      <c r="N148" s="28"/>
      <c r="O148" s="28"/>
      <c r="P148" s="28"/>
      <c r="Q148" s="28"/>
      <c r="R148" s="28"/>
      <c r="S148" s="28"/>
      <c r="T148" s="28"/>
      <c r="U148" s="28"/>
      <c r="V148" s="28"/>
      <c r="W148" s="28"/>
      <c r="X148" s="28"/>
      <c r="Y148" s="28"/>
      <c r="Z148" s="28"/>
      <c r="AA148" s="28"/>
      <c r="AB148" s="28"/>
    </row>
    <row r="149">
      <c r="A149" s="21" t="s">
        <v>560</v>
      </c>
      <c r="B149" s="22" t="s">
        <v>561</v>
      </c>
      <c r="C149" s="23" t="str">
        <f>IFERROR(__xludf.DUMMYFUNCTION("GOOGLETRANSLATE(B149, ""en"", ""fr"")"),"arc Pine")</f>
        <v>arc Pine</v>
      </c>
      <c r="D149" s="23" t="str">
        <f>IFERROR(__xludf.DUMMYFUNCTION("GOOGLETRANSLATE(B149, ""en"", ""es"")"),"arco de pino")</f>
        <v>arco de pino</v>
      </c>
      <c r="E149" s="23" t="str">
        <f>IFERROR(__xludf.DUMMYFUNCTION("GOOGLETRANSLATE(B149, ""en"", ""ru"")"),"Сосна лук")</f>
        <v>Сосна лук</v>
      </c>
      <c r="F149" s="23" t="str">
        <f>IFERROR(__xludf.DUMMYFUNCTION("GOOGLETRANSLATE(B149, ""en"", ""tr"")"),"Çam yay")</f>
        <v>Çam yay</v>
      </c>
      <c r="G149" s="23" t="str">
        <f>IFERROR(__xludf.DUMMYFUNCTION("GOOGLETRANSLATE(B149, ""en"", ""pt"")"),"arco Pine")</f>
        <v>arco Pine</v>
      </c>
      <c r="H149" s="24" t="str">
        <f>IFERROR(__xludf.DUMMYFUNCTION("GOOGLETRANSLATE(B149, ""en"", ""de"")"),"Pine Bogen")</f>
        <v>Pine Bogen</v>
      </c>
      <c r="I149" s="23" t="str">
        <f>IFERROR(__xludf.DUMMYFUNCTION("GOOGLETRANSLATE(B149, ""en"", ""pl"")"),"Pine łuk")</f>
        <v>Pine łuk</v>
      </c>
      <c r="J149" s="25" t="str">
        <f>IFERROR(__xludf.DUMMYFUNCTION("GOOGLETRANSLATE(B149, ""en"", ""zh"")"),"松弓")</f>
        <v>松弓</v>
      </c>
      <c r="K149" s="25" t="str">
        <f>IFERROR(__xludf.DUMMYFUNCTION("GOOGLETRANSLATE(B149, ""en"", ""vi"")"),"Pine nơ")</f>
        <v>Pine nơ</v>
      </c>
      <c r="L149" s="26" t="str">
        <f>IFERROR(__xludf.DUMMYFUNCTION("GOOGLETRANSLATE(B149, ""en"", ""hr"")"),"Pine luk")</f>
        <v>Pine luk</v>
      </c>
      <c r="M149" s="28"/>
      <c r="N149" s="28"/>
      <c r="O149" s="28"/>
      <c r="P149" s="28"/>
      <c r="Q149" s="28"/>
      <c r="R149" s="28"/>
      <c r="S149" s="28"/>
      <c r="T149" s="28"/>
      <c r="U149" s="28"/>
      <c r="V149" s="28"/>
      <c r="W149" s="28"/>
      <c r="X149" s="28"/>
      <c r="Y149" s="28"/>
      <c r="Z149" s="28"/>
      <c r="AA149" s="28"/>
      <c r="AB149" s="28"/>
    </row>
    <row r="150">
      <c r="A150" s="21" t="s">
        <v>562</v>
      </c>
      <c r="B150" s="22" t="s">
        <v>563</v>
      </c>
      <c r="C150" s="23" t="str">
        <f>IFERROR(__xludf.DUMMYFUNCTION("GOOGLETRANSLATE(B150, ""en"", ""fr"")"),"Une faible arme à longue distance aux flèches des pousses.")</f>
        <v>Une faible arme à longue distance aux flèches des pousses.</v>
      </c>
      <c r="D150" s="23" t="str">
        <f>IFERROR(__xludf.DUMMYFUNCTION("GOOGLETRANSLATE(B150, ""en"", ""es"")"),"Un débil arma de largo alcance para disparar flechas.")</f>
        <v>Un débil arma de largo alcance para disparar flechas.</v>
      </c>
      <c r="E150" s="23" t="str">
        <f>IFERROR(__xludf.DUMMYFUNCTION("GOOGLETRANSLATE(B150, ""en"", ""ru"")"),"Слабое длинномасштабные оружие для метания стрел.")</f>
        <v>Слабое длинномасштабные оружие для метания стрел.</v>
      </c>
      <c r="F150" s="23" t="str">
        <f>IFERROR(__xludf.DUMMYFUNCTION("GOOGLETRANSLATE(B150, ""en"", ""tr"")"),"ateş okları için zayıf uzun menzilli silah.")</f>
        <v>ateş okları için zayıf uzun menzilli silah.</v>
      </c>
      <c r="G150" s="23" t="str">
        <f>IFERROR(__xludf.DUMMYFUNCTION("GOOGLETRANSLATE(B150, ""en"", ""pt"")"),"A fraca arma longa distância para atirar flechas.")</f>
        <v>A fraca arma longa distância para atirar flechas.</v>
      </c>
      <c r="H150" s="24" t="str">
        <f>IFERROR(__xludf.DUMMYFUNCTION("GOOGLETRANSLATE(B150, ""en"", ""de"")"),"Eine schwache lange Distanzwaffen zu schießen Pfeile.")</f>
        <v>Eine schwache lange Distanzwaffen zu schießen Pfeile.</v>
      </c>
      <c r="I150" s="23" t="str">
        <f>IFERROR(__xludf.DUMMYFUNCTION("GOOGLETRANSLATE(B150, ""en"", ""pl"")"),"Słaby długo wahał broń strzelać strzałkami.")</f>
        <v>Słaby długo wahał broń strzelać strzałkami.</v>
      </c>
      <c r="J150" s="25" t="str">
        <f>IFERROR(__xludf.DUMMYFUNCTION("GOOGLETRANSLATE(B150, ""en"", ""zh"")"),"弱长远程武器射箭。")</f>
        <v>弱长远程武器射箭。</v>
      </c>
      <c r="K150" s="25" t="str">
        <f>IFERROR(__xludf.DUMMYFUNCTION("GOOGLETRANSLATE(B150, ""en"", ""vi"")"),"Một vũ khí tầm xa yếu để mũi tên bắn.")</f>
        <v>Một vũ khí tầm xa yếu để mũi tên bắn.</v>
      </c>
      <c r="L150" s="26" t="str">
        <f>IFERROR(__xludf.DUMMYFUNCTION("GOOGLETRANSLATE(B150, ""en"", ""hr"")"),"Slaba dugo streljačko oružje za pucanje strelica.")</f>
        <v>Slaba dugo streljačko oružje za pucanje strelica.</v>
      </c>
      <c r="M150" s="28"/>
      <c r="N150" s="28"/>
      <c r="O150" s="28"/>
      <c r="P150" s="28"/>
      <c r="Q150" s="28"/>
      <c r="R150" s="28"/>
      <c r="S150" s="28"/>
      <c r="T150" s="28"/>
      <c r="U150" s="28"/>
      <c r="V150" s="28"/>
      <c r="W150" s="28"/>
      <c r="X150" s="28"/>
      <c r="Y150" s="28"/>
      <c r="Z150" s="28"/>
      <c r="AA150" s="28"/>
      <c r="AB150" s="28"/>
    </row>
    <row r="151">
      <c r="A151" s="21" t="s">
        <v>564</v>
      </c>
      <c r="B151" s="22" t="s">
        <v>565</v>
      </c>
      <c r="C151" s="23" t="str">
        <f>IFERROR(__xludf.DUMMYFUNCTION("GOOGLETRANSLATE(B151, ""en"", ""fr"")"),"Willow arc")</f>
        <v>Willow arc</v>
      </c>
      <c r="D151" s="23" t="str">
        <f>IFERROR(__xludf.DUMMYFUNCTION("GOOGLETRANSLATE(B151, ""en"", ""es"")"),"Willow arco")</f>
        <v>Willow arco</v>
      </c>
      <c r="E151" s="23" t="str">
        <f>IFERROR(__xludf.DUMMYFUNCTION("GOOGLETRANSLATE(B151, ""en"", ""ru"")"),"Уиллоу лук")</f>
        <v>Уиллоу лук</v>
      </c>
      <c r="F151" s="23" t="str">
        <f>IFERROR(__xludf.DUMMYFUNCTION("GOOGLETRANSLATE(B151, ""en"", ""tr"")"),"yay söğüt")</f>
        <v>yay söğüt</v>
      </c>
      <c r="G151" s="23" t="str">
        <f>IFERROR(__xludf.DUMMYFUNCTION("GOOGLETRANSLATE(B151, ""en"", ""pt"")"),"Willow arco")</f>
        <v>Willow arco</v>
      </c>
      <c r="H151" s="24" t="str">
        <f>IFERROR(__xludf.DUMMYFUNCTION("GOOGLETRANSLATE(B151, ""en"", ""de"")"),"Willow Bogen")</f>
        <v>Willow Bogen</v>
      </c>
      <c r="I151" s="23" t="str">
        <f>IFERROR(__xludf.DUMMYFUNCTION("GOOGLETRANSLATE(B151, ""en"", ""pl"")"),"Willow łuk")</f>
        <v>Willow łuk</v>
      </c>
      <c r="J151" s="25" t="str">
        <f>IFERROR(__xludf.DUMMYFUNCTION("GOOGLETRANSLATE(B151, ""en"", ""zh"")"),"柳弓")</f>
        <v>柳弓</v>
      </c>
      <c r="K151" s="25" t="str">
        <f>IFERROR(__xludf.DUMMYFUNCTION("GOOGLETRANSLATE(B151, ""en"", ""vi"")"),"Willow cúi")</f>
        <v>Willow cúi</v>
      </c>
      <c r="L151" s="26" t="str">
        <f>IFERROR(__xludf.DUMMYFUNCTION("GOOGLETRANSLATE(B151, ""en"", ""hr"")"),"Willow luk")</f>
        <v>Willow luk</v>
      </c>
      <c r="M151" s="28"/>
      <c r="N151" s="28"/>
      <c r="O151" s="28"/>
      <c r="P151" s="28"/>
      <c r="Q151" s="28"/>
      <c r="R151" s="28"/>
      <c r="S151" s="28"/>
      <c r="T151" s="28"/>
      <c r="U151" s="28"/>
      <c r="V151" s="28"/>
      <c r="W151" s="28"/>
      <c r="X151" s="28"/>
      <c r="Y151" s="28"/>
      <c r="Z151" s="28"/>
      <c r="AA151" s="28"/>
      <c r="AB151" s="28"/>
    </row>
    <row r="152">
      <c r="A152" s="21" t="s">
        <v>566</v>
      </c>
      <c r="B152" s="22" t="s">
        <v>567</v>
      </c>
      <c r="C152" s="23" t="str">
        <f>IFERROR(__xludf.DUMMYFUNCTION("GOOGLETRANSLATE(B152, ""en"", ""fr"")"),"Une bonne arme à longue portée aux flèches de tirer.")</f>
        <v>Une bonne arme à longue portée aux flèches de tirer.</v>
      </c>
      <c r="D152" s="23" t="str">
        <f>IFERROR(__xludf.DUMMYFUNCTION("GOOGLETRANSLATE(B152, ""en"", ""es"")"),"Un buen varió mucho arma para disparar flechas.")</f>
        <v>Un buen varió mucho arma para disparar flechas.</v>
      </c>
      <c r="E152" s="23" t="str">
        <f>IFERROR(__xludf.DUMMYFUNCTION("GOOGLETRANSLATE(B152, ""en"", ""ru"")"),"Хорошая длинномасштабное оружие для метания стрел.")</f>
        <v>Хорошая длинномасштабное оружие для метания стрел.</v>
      </c>
      <c r="F152" s="23" t="str">
        <f>IFERROR(__xludf.DUMMYFUNCTION("GOOGLETRANSLATE(B152, ""en"", ""tr"")"),"İyi bir uzun ateş okları için silah değişmekteydi.")</f>
        <v>İyi bir uzun ateş okları için silah değişmekteydi.</v>
      </c>
      <c r="G152" s="23" t="str">
        <f>IFERROR(__xludf.DUMMYFUNCTION("GOOGLETRANSLATE(B152, ""en"", ""pt"")"),"Um bom longa variou arma para atirar flechas.")</f>
        <v>Um bom longa variou arma para atirar flechas.</v>
      </c>
      <c r="H152" s="24" t="str">
        <f>IFERROR(__xludf.DUMMYFUNCTION("GOOGLETRANSLATE(B152, ""en"", ""de"")"),"Eine gute reichte lange Waffe zu schießen Pfeile.")</f>
        <v>Eine gute reichte lange Waffe zu schießen Pfeile.</v>
      </c>
      <c r="I152" s="23" t="str">
        <f>IFERROR(__xludf.DUMMYFUNCTION("GOOGLETRANSLATE(B152, ""en"", ""pl"")"),"Dobrym długo wahał się broni, aby strzelać strzałkami.")</f>
        <v>Dobrym długo wahał się broni, aby strzelać strzałkami.</v>
      </c>
      <c r="J152" s="25" t="str">
        <f>IFERROR(__xludf.DUMMYFUNCTION("GOOGLETRANSLATE(B152, ""en"", ""zh"")"),"好长好长的远程武器射箭。")</f>
        <v>好长好长的远程武器射箭。</v>
      </c>
      <c r="K152" s="25" t="str">
        <f>IFERROR(__xludf.DUMMYFUNCTION("GOOGLETRANSLATE(B152, ""en"", ""vi"")"),"Một tốt dài dao động vũ khí để mũi tên bắn.")</f>
        <v>Một tốt dài dao động vũ khí để mũi tên bắn.</v>
      </c>
      <c r="L152" s="26" t="str">
        <f>IFERROR(__xludf.DUMMYFUNCTION("GOOGLETRANSLATE(B152, ""en"", ""hr"")"),"Dobar dugo kretao oružje da bacaju strijele.")</f>
        <v>Dobar dugo kretao oružje da bacaju strijele.</v>
      </c>
      <c r="M152" s="28"/>
      <c r="N152" s="28"/>
      <c r="O152" s="28"/>
      <c r="P152" s="28"/>
      <c r="Q152" s="28"/>
      <c r="R152" s="28"/>
      <c r="S152" s="28"/>
      <c r="T152" s="28"/>
      <c r="U152" s="28"/>
      <c r="V152" s="28"/>
      <c r="W152" s="28"/>
      <c r="X152" s="28"/>
      <c r="Y152" s="28"/>
      <c r="Z152" s="28"/>
      <c r="AA152" s="28"/>
      <c r="AB152" s="28"/>
    </row>
    <row r="153">
      <c r="A153" s="21" t="s">
        <v>568</v>
      </c>
      <c r="B153" s="22" t="s">
        <v>569</v>
      </c>
      <c r="C153" s="23" t="str">
        <f>IFERROR(__xludf.DUMMYFUNCTION("GOOGLETRANSLATE(B153, ""en"", ""fr"")"),"chêne arc")</f>
        <v>chêne arc</v>
      </c>
      <c r="D153" s="23" t="str">
        <f>IFERROR(__xludf.DUMMYFUNCTION("GOOGLETRANSLATE(B153, ""en"", ""es"")"),"arco de madera de roble")</f>
        <v>arco de madera de roble</v>
      </c>
      <c r="E153" s="23" t="str">
        <f>IFERROR(__xludf.DUMMYFUNCTION("GOOGLETRANSLATE(B153, ""en"", ""ru"")"),"Дуб лук")</f>
        <v>Дуб лук</v>
      </c>
      <c r="F153" s="23" t="str">
        <f>IFERROR(__xludf.DUMMYFUNCTION("GOOGLETRANSLATE(B153, ""en"", ""tr"")"),"Meşe yay")</f>
        <v>Meşe yay</v>
      </c>
      <c r="G153" s="23" t="str">
        <f>IFERROR(__xludf.DUMMYFUNCTION("GOOGLETRANSLATE(B153, ""en"", ""pt"")"),"arco Oak")</f>
        <v>arco Oak</v>
      </c>
      <c r="H153" s="24" t="str">
        <f>IFERROR(__xludf.DUMMYFUNCTION("GOOGLETRANSLATE(B153, ""en"", ""de"")"),"Oak Bogen")</f>
        <v>Oak Bogen</v>
      </c>
      <c r="I153" s="23" t="str">
        <f>IFERROR(__xludf.DUMMYFUNCTION("GOOGLETRANSLATE(B153, ""en"", ""pl"")"),"dąb łuk")</f>
        <v>dąb łuk</v>
      </c>
      <c r="J153" s="25" t="str">
        <f>IFERROR(__xludf.DUMMYFUNCTION("GOOGLETRANSLATE(B153, ""en"", ""zh"")"),"橡树弓")</f>
        <v>橡树弓</v>
      </c>
      <c r="K153" s="25" t="str">
        <f>IFERROR(__xludf.DUMMYFUNCTION("GOOGLETRANSLATE(B153, ""en"", ""vi"")"),"Oak nơ")</f>
        <v>Oak nơ</v>
      </c>
      <c r="L153" s="26" t="str">
        <f>IFERROR(__xludf.DUMMYFUNCTION("GOOGLETRANSLATE(B153, ""en"", ""hr"")"),"hrast luk")</f>
        <v>hrast luk</v>
      </c>
      <c r="M153" s="28"/>
      <c r="N153" s="28"/>
      <c r="O153" s="28"/>
      <c r="P153" s="28"/>
      <c r="Q153" s="28"/>
      <c r="R153" s="28"/>
      <c r="S153" s="28"/>
      <c r="T153" s="28"/>
      <c r="U153" s="28"/>
      <c r="V153" s="28"/>
      <c r="W153" s="28"/>
      <c r="X153" s="28"/>
      <c r="Y153" s="28"/>
      <c r="Z153" s="28"/>
      <c r="AA153" s="28"/>
      <c r="AB153" s="28"/>
    </row>
    <row r="154">
      <c r="A154" s="21" t="s">
        <v>570</v>
      </c>
      <c r="B154" s="22" t="s">
        <v>571</v>
      </c>
      <c r="C154" s="23" t="str">
        <f>IFERROR(__xludf.DUMMYFUNCTION("GOOGLETRANSLATE(B154, ""en"", ""fr"")"),"Une arme forte longue portée aux flèches de tirer.")</f>
        <v>Une arme forte longue portée aux flèches de tirer.</v>
      </c>
      <c r="D154" s="23" t="str">
        <f>IFERROR(__xludf.DUMMYFUNCTION("GOOGLETRANSLATE(B154, ""en"", ""es"")"),"Un fuerte arma de largo alcance para disparar flechas.")</f>
        <v>Un fuerte arma de largo alcance para disparar flechas.</v>
      </c>
      <c r="E154" s="23" t="str">
        <f>IFERROR(__xludf.DUMMYFUNCTION("GOOGLETRANSLATE(B154, ""en"", ""ru"")"),"Сильное длинномасштабное оружие для метания стрел.")</f>
        <v>Сильное длинномасштабное оружие для метания стрел.</v>
      </c>
      <c r="F154" s="23" t="str">
        <f>IFERROR(__xludf.DUMMYFUNCTION("GOOGLETRANSLATE(B154, ""en"", ""tr"")"),"ateş okları için güçlü bir uzun menzilli silah.")</f>
        <v>ateş okları için güçlü bir uzun menzilli silah.</v>
      </c>
      <c r="G154" s="23" t="str">
        <f>IFERROR(__xludf.DUMMYFUNCTION("GOOGLETRANSLATE(B154, ""en"", ""pt"")"),"Um forte arma longa distância para atirar flechas.")</f>
        <v>Um forte arma longa distância para atirar flechas.</v>
      </c>
      <c r="H154" s="24" t="str">
        <f>IFERROR(__xludf.DUMMYFUNCTION("GOOGLETRANSLATE(B154, ""en"", ""de"")"),"Eine starke lange Distanzwaffen zu schießen Pfeile.")</f>
        <v>Eine starke lange Distanzwaffen zu schießen Pfeile.</v>
      </c>
      <c r="I154" s="23" t="str">
        <f>IFERROR(__xludf.DUMMYFUNCTION("GOOGLETRANSLATE(B154, ""en"", ""pl"")"),"Silny długo wahał broń strzelać strzałkami.")</f>
        <v>Silny długo wahał broń strzelać strzałkami.</v>
      </c>
      <c r="J154" s="25" t="str">
        <f>IFERROR(__xludf.DUMMYFUNCTION("GOOGLETRANSLATE(B154, ""en"", ""zh"")"),"强大的长远程武器射箭。")</f>
        <v>强大的长远程武器射箭。</v>
      </c>
      <c r="K154" s="25" t="str">
        <f>IFERROR(__xludf.DUMMYFUNCTION("GOOGLETRANSLATE(B154, ""en"", ""vi"")"),"Một vũ khí tầm xa mạnh để mũi tên bắn.")</f>
        <v>Một vũ khí tầm xa mạnh để mũi tên bắn.</v>
      </c>
      <c r="L154" s="26" t="str">
        <f>IFERROR(__xludf.DUMMYFUNCTION("GOOGLETRANSLATE(B154, ""en"", ""hr"")"),"Jaka dugo streljačko oružje za pucanje strelica.")</f>
        <v>Jaka dugo streljačko oružje za pucanje strelica.</v>
      </c>
      <c r="M154" s="28"/>
      <c r="N154" s="28"/>
      <c r="O154" s="28"/>
      <c r="P154" s="28"/>
      <c r="Q154" s="28"/>
      <c r="R154" s="28"/>
      <c r="S154" s="28"/>
      <c r="T154" s="28"/>
      <c r="U154" s="28"/>
      <c r="V154" s="28"/>
      <c r="W154" s="28"/>
      <c r="X154" s="28"/>
      <c r="Y154" s="28"/>
      <c r="Z154" s="28"/>
      <c r="AA154" s="28"/>
      <c r="AB154" s="28"/>
    </row>
    <row r="155">
      <c r="A155" s="21" t="s">
        <v>572</v>
      </c>
      <c r="B155" s="22" t="s">
        <v>573</v>
      </c>
      <c r="C155" s="23" t="str">
        <f>IFERROR(__xludf.DUMMYFUNCTION("GOOGLETRANSLATE(B155, ""en"", ""fr"")"),"shuriken")</f>
        <v>shuriken</v>
      </c>
      <c r="D155" s="23" t="str">
        <f>IFERROR(__xludf.DUMMYFUNCTION("GOOGLETRANSLATE(B155, ""en"", ""es"")"),"Shuriken")</f>
        <v>Shuriken</v>
      </c>
      <c r="E155" s="23" t="str">
        <f>IFERROR(__xludf.DUMMYFUNCTION("GOOGLETRANSLATE(B155, ""en"", ""ru"")"),"Shuriken")</f>
        <v>Shuriken</v>
      </c>
      <c r="F155" s="23" t="str">
        <f>IFERROR(__xludf.DUMMYFUNCTION("GOOGLETRANSLATE(B155, ""en"", ""tr"")"),"Shuriken")</f>
        <v>Shuriken</v>
      </c>
      <c r="G155" s="23" t="str">
        <f>IFERROR(__xludf.DUMMYFUNCTION("GOOGLETRANSLATE(B155, ""en"", ""pt"")"),"Shuriken")</f>
        <v>Shuriken</v>
      </c>
      <c r="H155" s="24" t="str">
        <f>IFERROR(__xludf.DUMMYFUNCTION("GOOGLETRANSLATE(B155, ""en"", ""de"")"),"Shuriken")</f>
        <v>Shuriken</v>
      </c>
      <c r="I155" s="23" t="str">
        <f>IFERROR(__xludf.DUMMYFUNCTION("GOOGLETRANSLATE(B155, ""en"", ""pl"")"),"Shuriken")</f>
        <v>Shuriken</v>
      </c>
      <c r="J155" s="25" t="str">
        <f>IFERROR(__xludf.DUMMYFUNCTION("GOOGLETRANSLATE(B155, ""en"", ""zh"")"),"手里剑")</f>
        <v>手里剑</v>
      </c>
      <c r="K155" s="25" t="str">
        <f>IFERROR(__xludf.DUMMYFUNCTION("GOOGLETRANSLATE(B155, ""en"", ""vi"")"),"Shuriken")</f>
        <v>Shuriken</v>
      </c>
      <c r="L155" s="26" t="str">
        <f>IFERROR(__xludf.DUMMYFUNCTION("GOOGLETRANSLATE(B155, ""en"", ""hr"")"),"Shuriken")</f>
        <v>Shuriken</v>
      </c>
      <c r="M155" s="28"/>
      <c r="N155" s="28"/>
      <c r="O155" s="28"/>
      <c r="P155" s="28"/>
      <c r="Q155" s="28"/>
      <c r="R155" s="28"/>
      <c r="S155" s="28"/>
      <c r="T155" s="28"/>
      <c r="U155" s="28"/>
      <c r="V155" s="28"/>
      <c r="W155" s="28"/>
      <c r="X155" s="28"/>
      <c r="Y155" s="28"/>
      <c r="Z155" s="28"/>
      <c r="AA155" s="28"/>
      <c r="AB155" s="28"/>
    </row>
    <row r="156">
      <c r="A156" s="21" t="s">
        <v>574</v>
      </c>
      <c r="B156" s="22" t="s">
        <v>575</v>
      </c>
      <c r="C156" s="23" t="str">
        <f>IFERROR(__xludf.DUMMYFUNCTION("GOOGLETRANSLATE(B156, ""en"", ""fr"")"),"Un milieu en mouvement rapide arme à distance.")</f>
        <v>Un milieu en mouvement rapide arme à distance.</v>
      </c>
      <c r="D156" s="23" t="str">
        <f>IFERROR(__xludf.DUMMYFUNCTION("GOOGLETRANSLATE(B156, ""en"", ""es"")"),"Un medio rápido movimiento arma de largo alcance.")</f>
        <v>Un medio rápido movimiento arma de largo alcance.</v>
      </c>
      <c r="E156" s="23" t="str">
        <f>IFERROR(__xludf.DUMMYFUNCTION("GOOGLETRANSLATE(B156, ""en"", ""ru"")"),"Быстро движущаяся среда варьировались оружие.")</f>
        <v>Быстро движущаяся среда варьировались оружие.</v>
      </c>
      <c r="F156" s="23" t="str">
        <f>IFERROR(__xludf.DUMMYFUNCTION("GOOGLETRANSLATE(B156, ""en"", ""tr"")"),"Hızlı hareket eden orta silah değişmekteydi.")</f>
        <v>Hızlı hareket eden orta silah değişmekteydi.</v>
      </c>
      <c r="G156" s="23" t="str">
        <f>IFERROR(__xludf.DUMMYFUNCTION("GOOGLETRANSLATE(B156, ""en"", ""pt"")"),"Um meio rápido movimento variou arma.")</f>
        <v>Um meio rápido movimento variou arma.</v>
      </c>
      <c r="H156" s="24" t="str">
        <f>IFERROR(__xludf.DUMMYFUNCTION("GOOGLETRANSLATE(B156, ""en"", ""de"")"),"Ein sich schnell bewegenden Medium Distanzwaffe.")</f>
        <v>Ein sich schnell bewegenden Medium Distanzwaffe.</v>
      </c>
      <c r="I156" s="23" t="str">
        <f>IFERROR(__xludf.DUMMYFUNCTION("GOOGLETRANSLATE(B156, ""en"", ""pl"")"),"A szybko poruszaj średnie wahały się broń.")</f>
        <v>A szybko poruszaj średnie wahały się broń.</v>
      </c>
      <c r="J156" s="25" t="str">
        <f>IFERROR(__xludf.DUMMYFUNCTION("GOOGLETRANSLATE(B156, ""en"", ""zh"")"),"快速移动中的远程武器。")</f>
        <v>快速移动中的远程武器。</v>
      </c>
      <c r="K156" s="25" t="str">
        <f>IFERROR(__xludf.DUMMYFUNCTION("GOOGLETRANSLATE(B156, ""en"", ""vi"")"),"Một phương tiện di chuyển nhanh ranged vũ khí.")</f>
        <v>Một phương tiện di chuyển nhanh ranged vũ khí.</v>
      </c>
      <c r="L156" s="26" t="str">
        <f>IFERROR(__xludf.DUMMYFUNCTION("GOOGLETRANSLATE(B156, ""en"", ""hr"")"),"Brzo se kreće srednje streljačko oružje.")</f>
        <v>Brzo se kreće srednje streljačko oružje.</v>
      </c>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""fr"")"),"Gemme")</f>
        <v>Gemme</v>
      </c>
      <c r="D157" s="23" t="str">
        <f>IFERROR(__xludf.DUMMYFUNCTION("GOOGLETRANSLATE(B157, ""en"", ""es"")"),"Joya")</f>
        <v>Joya</v>
      </c>
      <c r="E157" s="23" t="str">
        <f>IFERROR(__xludf.DUMMYFUNCTION("GOOGLETRANSLATE(B157, ""en"", ""ru"")"),"драгоценный камень")</f>
        <v>драгоценный камень</v>
      </c>
      <c r="F157" s="23" t="str">
        <f>IFERROR(__xludf.DUMMYFUNCTION("GOOGLETRANSLATE(B157, ""en"", ""tr"")"),"mücevher")</f>
        <v>mücevher</v>
      </c>
      <c r="G157" s="23" t="str">
        <f>IFERROR(__xludf.DUMMYFUNCTION("GOOGLETRANSLATE(B157, ""en"", ""pt"")"),"Gema")</f>
        <v>Gema</v>
      </c>
      <c r="H157" s="24" t="str">
        <f>IFERROR(__xludf.DUMMYFUNCTION("GOOGLETRANSLATE(B157, ""en"", ""de"")"),"Juwel")</f>
        <v>Juwel</v>
      </c>
      <c r="I157" s="23" t="str">
        <f>IFERROR(__xludf.DUMMYFUNCTION("GOOGLETRANSLATE(B157, ""en"", ""pl"")"),"Klejnot")</f>
        <v>Klejnot</v>
      </c>
      <c r="J157" s="25" t="str">
        <f>IFERROR(__xludf.DUMMYFUNCTION("GOOGLETRANSLATE(B157, ""en"", ""zh"")"),"宝石")</f>
        <v>宝石</v>
      </c>
      <c r="K157" s="25" t="str">
        <f>IFERROR(__xludf.DUMMYFUNCTION("GOOGLETRANSLATE(B157, ""en"", ""vi"")"),"ngọc")</f>
        <v>ngọc</v>
      </c>
      <c r="L157" s="26" t="str">
        <f>IFERROR(__xludf.DUMMYFUNCTION("GOOGLETRANSLATE(B157, ""en"", ""hr"")"),"Dragulj")</f>
        <v>Dragulj</v>
      </c>
      <c r="M157" s="28"/>
      <c r="N157" s="28"/>
      <c r="O157" s="28"/>
      <c r="P157" s="28"/>
      <c r="Q157" s="28"/>
      <c r="R157" s="28"/>
      <c r="S157" s="28"/>
      <c r="T157" s="28"/>
      <c r="U157" s="28"/>
      <c r="V157" s="28"/>
      <c r="W157" s="28"/>
      <c r="X157" s="28"/>
      <c r="Y157" s="28"/>
      <c r="Z157" s="28"/>
      <c r="AA157" s="28"/>
      <c r="AB157" s="28"/>
    </row>
    <row r="158">
      <c r="A158" s="21" t="s">
        <v>578</v>
      </c>
      <c r="B158" s="22" t="s">
        <v>579</v>
      </c>
      <c r="C158" s="23" t="str">
        <f>IFERROR(__xludf.DUMMYFUNCTION("GOOGLETRANSLATE(B158, ""en"", ""fr"")"),"Peut être chargé à un autel magique en utilisant la gloire d'ajouter un effet élémentaire.")</f>
        <v>Peut être chargé à un autel magique en utilisant la gloire d'ajouter un effet élémentaire.</v>
      </c>
      <c r="D158" s="23" t="str">
        <f>IFERROR(__xludf.DUMMYFUNCTION("GOOGLETRANSLATE(B158, ""en"", ""es"")"),"Puede ser cargado en una magia altar usando gloria a añadir un efecto elemental.")</f>
        <v>Puede ser cargado en una magia altar usando gloria a añadir un efecto elemental.</v>
      </c>
      <c r="E158" s="23" t="str">
        <f>IFERROR(__xludf.DUMMYFUNCTION("GOOGLETRANSLATE(B158,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58" s="23" t="str">
        <f>IFERROR(__xludf.DUMMYFUNCTION("GOOGLETRANSLATE(B158, ""en"", ""tr"")"),"Bir element efekt eklemek için zafer kullanarak sunak bir büyü şarj edilebilir.")</f>
        <v>Bir element efekt eklemek için zafer kullanarak sunak bir büyü şarj edilebilir.</v>
      </c>
      <c r="G158" s="23" t="str">
        <f>IFERROR(__xludf.DUMMYFUNCTION("GOOGLETRANSLATE(B158, ""en"", ""pt"")"),"Pode ser carregada em uma magia altar usando glória para adicionar um efeito elementar.")</f>
        <v>Pode ser carregada em uma magia altar usando glória para adicionar um efeito elementar.</v>
      </c>
      <c r="H158" s="24" t="str">
        <f>IFERROR(__xludf.DUMMYFUNCTION("GOOGLETRANSLATE(B158, ""en"", ""de"")"),"Kann an einem magischen berechneten Altar Ruhm mit einer elementaren Wirkung hinzuzufügen.")</f>
        <v>Kann an einem magischen berechneten Altar Ruhm mit einer elementaren Wirkung hinzuzufügen.</v>
      </c>
      <c r="I158" s="23" t="str">
        <f>IFERROR(__xludf.DUMMYFUNCTION("GOOGLETRANSLATE(B158, ""en"", ""pl"")"),"Można ładować przy użyciu magii ołtarz chwałę dodać efekt elementarnej.")</f>
        <v>Można ładować przy użyciu magii ołtarz chwałę dodać efekt elementarnej.</v>
      </c>
      <c r="J158" s="25" t="str">
        <f>IFERROR(__xludf.DUMMYFUNCTION("GOOGLETRANSLATE(B158, ""en"", ""zh"")"),"可以在一个神奇的充电使用坛荣耀添加元素的效果。")</f>
        <v>可以在一个神奇的充电使用坛荣耀添加元素的效果。</v>
      </c>
      <c r="K158" s="25" t="str">
        <f>IFERROR(__xludf.DUMMYFUNCTION("GOOGLETRANSLATE(B158, ""en"", ""vi"")"),"Có thể được tính theo một ma thuật bàn thờ bằng vinh quang để thêm một hiệu ứng nguyên tố.")</f>
        <v>Có thể được tính theo một ma thuật bàn thờ bằng vinh quang để thêm một hiệu ứng nguyên tố.</v>
      </c>
      <c r="L158" s="26" t="str">
        <f>IFERROR(__xludf.DUMMYFUNCTION("GOOGLETRANSLATE(B158, ""en"", ""hr"")"),"Može se naplaćivati ​​po magije oltar pomoću slavu dodati elementarni učinak.")</f>
        <v>Može se naplaćivati ​​po magije oltar pomoću slavu dodati elementarni učinak.</v>
      </c>
      <c r="M158" s="28"/>
      <c r="N158" s="28"/>
      <c r="O158" s="28"/>
      <c r="P158" s="28"/>
      <c r="Q158" s="28"/>
      <c r="R158" s="28"/>
      <c r="S158" s="28"/>
      <c r="T158" s="28"/>
      <c r="U158" s="28"/>
      <c r="V158" s="28"/>
      <c r="W158" s="28"/>
      <c r="X158" s="28"/>
      <c r="Y158" s="28"/>
      <c r="Z158" s="28"/>
      <c r="AA158" s="28"/>
      <c r="AB158" s="28"/>
    </row>
    <row r="159">
      <c r="A159" s="21" t="s">
        <v>580</v>
      </c>
      <c r="B159" s="22" t="s">
        <v>581</v>
      </c>
      <c r="C159" s="23" t="str">
        <f>IFERROR(__xludf.DUMMYFUNCTION("GOOGLETRANSLATE(B159, ""en"", ""fr"")"),"petit bijou d'incendie")</f>
        <v>petit bijou d'incendie</v>
      </c>
      <c r="D159" s="23" t="str">
        <f>IFERROR(__xludf.DUMMYFUNCTION("GOOGLETRANSLATE(B159, ""en"", ""es"")"),"Gema de fuego")</f>
        <v>Gema de fuego</v>
      </c>
      <c r="E159" s="23" t="str">
        <f>IFERROR(__xludf.DUMMYFUNCTION("GOOGLETRANSLATE(B159, ""en"", ""ru"")"),"Огонь камень")</f>
        <v>Огонь камень</v>
      </c>
      <c r="F159" s="23" t="str">
        <f>IFERROR(__xludf.DUMMYFUNCTION("GOOGLETRANSLATE(B159, ""en"", ""tr"")"),"Yangın taş")</f>
        <v>Yangın taş</v>
      </c>
      <c r="G159" s="23" t="str">
        <f>IFERROR(__xludf.DUMMYFUNCTION("GOOGLETRANSLATE(B159, ""en"", ""pt"")"),"gem fogo")</f>
        <v>gem fogo</v>
      </c>
      <c r="H159" s="24" t="str">
        <f>IFERROR(__xludf.DUMMYFUNCTION("GOOGLETRANSLATE(B159, ""en"", ""de"")"),"Feuer gem")</f>
        <v>Feuer gem</v>
      </c>
      <c r="I159" s="23" t="str">
        <f>IFERROR(__xludf.DUMMYFUNCTION("GOOGLETRANSLATE(B159, ""en"", ""pl"")"),"Gem ognia")</f>
        <v>Gem ognia</v>
      </c>
      <c r="J159" s="25" t="str">
        <f>IFERROR(__xludf.DUMMYFUNCTION("GOOGLETRANSLATE(B159, ""en"", ""zh"")"),"火宝石")</f>
        <v>火宝石</v>
      </c>
      <c r="K159" s="25" t="str">
        <f>IFERROR(__xludf.DUMMYFUNCTION("GOOGLETRANSLATE(B159, ""en"", ""vi"")"),"Ngọc lửa")</f>
        <v>Ngọc lửa</v>
      </c>
      <c r="L159" s="26" t="str">
        <f>IFERROR(__xludf.DUMMYFUNCTION("GOOGLETRANSLATE(B159, ""en"", ""hr"")"),"vatra dragulj")</f>
        <v>vatra dragulj</v>
      </c>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""fr"")"),"Utilisé pour des objets d'artisanat avec un effet de feu.")</f>
        <v>Utilisé pour des objets d'artisanat avec un effet de feu.</v>
      </c>
      <c r="D160" s="23" t="str">
        <f>IFERROR(__xludf.DUMMYFUNCTION("GOOGLETRANSLATE(B160, ""en"", ""es"")"),"Se utiliza para artículos de artesanía con un efecto de fuego.")</f>
        <v>Se utiliza para artículos de artesanía con un efecto de fuego.</v>
      </c>
      <c r="E160" s="23" t="str">
        <f>IFERROR(__xludf.DUMMYFUNCTION("GOOGLETRANSLATE(B160, ""en"", ""ru"")"),"Используется для ремесленных изделий с эффектом огня.")</f>
        <v>Используется для ремесленных изделий с эффектом огня.</v>
      </c>
      <c r="F160" s="23" t="str">
        <f>IFERROR(__xludf.DUMMYFUNCTION("GOOGLETRANSLATE(B160, ""en"", ""tr"")"),"Bir yangın etkisi ile zanaat öğeleri için kullanılır.")</f>
        <v>Bir yangın etkisi ile zanaat öğeleri için kullanılır.</v>
      </c>
      <c r="G160" s="23" t="str">
        <f>IFERROR(__xludf.DUMMYFUNCTION("GOOGLETRANSLATE(B160, ""en"", ""pt"")"),"Usado para peças de artesanato com um efeito de fogo.")</f>
        <v>Usado para peças de artesanato com um efeito de fogo.</v>
      </c>
      <c r="H160" s="24" t="str">
        <f>IFERROR(__xludf.DUMMYFUNCTION("GOOGLETRANSLATE(B160, ""en"", ""de"")"),"Wird verwendet, um Kunsthandwerk mit einem Feuereffekt.")</f>
        <v>Wird verwendet, um Kunsthandwerk mit einem Feuereffekt.</v>
      </c>
      <c r="I160" s="23" t="str">
        <f>IFERROR(__xludf.DUMMYFUNCTION("GOOGLETRANSLATE(B160, ""en"", ""pl"")"),"Służy do rzemieślniczych o działaniu ognia.")</f>
        <v>Służy do rzemieślniczych o działaniu ognia.</v>
      </c>
      <c r="J160" s="25" t="str">
        <f>IFERROR(__xludf.DUMMYFUNCTION("GOOGLETRANSLATE(B160, ""en"", ""zh"")"),"习惯用火效果手工艺品。")</f>
        <v>习惯用火效果手工艺品。</v>
      </c>
      <c r="K160" s="25" t="str">
        <f>IFERROR(__xludf.DUMMYFUNCTION("GOOGLETRANSLATE(B160, ""en"", ""vi"")"),"Được sử dụng để mục nghề với một hiệu ứng lửa.")</f>
        <v>Được sử dụng để mục nghề với một hiệu ứng lửa.</v>
      </c>
      <c r="L160" s="26" t="str">
        <f>IFERROR(__xludf.DUMMYFUNCTION("GOOGLETRANSLATE(B160, ""en"", ""hr"")"),"Koristi se za obrtničke stavke s vatre učinak.")</f>
        <v>Koristi se za obrtničke stavke s vatre učinak.</v>
      </c>
      <c r="M160" s="28"/>
      <c r="N160" s="28"/>
      <c r="O160" s="28"/>
      <c r="P160" s="28"/>
      <c r="Q160" s="28"/>
      <c r="R160" s="28"/>
      <c r="S160" s="28"/>
      <c r="T160" s="28"/>
      <c r="U160" s="28"/>
      <c r="V160" s="28"/>
      <c r="W160" s="28"/>
      <c r="X160" s="28"/>
      <c r="Y160" s="28"/>
      <c r="Z160" s="28"/>
      <c r="AA160" s="28"/>
      <c r="AB160" s="28"/>
    </row>
    <row r="161">
      <c r="A161" s="21" t="s">
        <v>584</v>
      </c>
      <c r="B161" s="22" t="s">
        <v>585</v>
      </c>
      <c r="C161" s="23" t="str">
        <f>IFERROR(__xludf.DUMMYFUNCTION("GOOGLETRANSLATE(B161, ""en"", ""fr"")"),"joyau du vent")</f>
        <v>joyau du vent</v>
      </c>
      <c r="D161" s="23" t="str">
        <f>IFERROR(__xludf.DUMMYFUNCTION("GOOGLETRANSLATE(B161, ""en"", ""es"")"),"la gema del viento")</f>
        <v>la gema del viento</v>
      </c>
      <c r="E161" s="23" t="str">
        <f>IFERROR(__xludf.DUMMYFUNCTION("GOOGLETRANSLATE(B161, ""en"", ""ru"")"),"Ветер камень")</f>
        <v>Ветер камень</v>
      </c>
      <c r="F161" s="23" t="str">
        <f>IFERROR(__xludf.DUMMYFUNCTION("GOOGLETRANSLATE(B161, ""en"", ""tr"")"),"Rüzgar mücevher")</f>
        <v>Rüzgar mücevher</v>
      </c>
      <c r="G161" s="23" t="str">
        <f>IFERROR(__xludf.DUMMYFUNCTION("GOOGLETRANSLATE(B161, ""en"", ""pt"")"),"gem vento")</f>
        <v>gem vento</v>
      </c>
      <c r="H161" s="24" t="str">
        <f>IFERROR(__xludf.DUMMYFUNCTION("GOOGLETRANSLATE(B161, ""en"", ""de"")"),"Wind gem")</f>
        <v>Wind gem</v>
      </c>
      <c r="I161" s="23" t="str">
        <f>IFERROR(__xludf.DUMMYFUNCTION("GOOGLETRANSLATE(B161, ""en"", ""pl"")"),"gem wiatr")</f>
        <v>gem wiatr</v>
      </c>
      <c r="J161" s="25" t="str">
        <f>IFERROR(__xludf.DUMMYFUNCTION("GOOGLETRANSLATE(B161, ""en"", ""zh"")"),"风宝石")</f>
        <v>风宝石</v>
      </c>
      <c r="K161" s="25" t="str">
        <f>IFERROR(__xludf.DUMMYFUNCTION("GOOGLETRANSLATE(B161, ""en"", ""vi"")"),"gió đá quý")</f>
        <v>gió đá quý</v>
      </c>
      <c r="L161" s="26" t="str">
        <f>IFERROR(__xludf.DUMMYFUNCTION("GOOGLETRANSLATE(B161, ""en"", ""hr"")"),"vjetar dragulj")</f>
        <v>vjetar dragulj</v>
      </c>
      <c r="M161" s="28"/>
      <c r="N161" s="28"/>
      <c r="O161" s="28"/>
      <c r="P161" s="28"/>
      <c r="Q161" s="28"/>
      <c r="R161" s="28"/>
      <c r="S161" s="28"/>
      <c r="T161" s="28"/>
      <c r="U161" s="28"/>
      <c r="V161" s="28"/>
      <c r="W161" s="28"/>
      <c r="X161" s="28"/>
      <c r="Y161" s="28"/>
      <c r="Z161" s="28"/>
      <c r="AA161" s="28"/>
      <c r="AB161" s="28"/>
    </row>
    <row r="162">
      <c r="A162" s="21" t="s">
        <v>586</v>
      </c>
      <c r="B162" s="22" t="s">
        <v>587</v>
      </c>
      <c r="C162" s="23" t="str">
        <f>IFERROR(__xludf.DUMMYFUNCTION("GOOGLETRANSLATE(B162, ""en"", ""fr"")"),"Utilisé pour des objets d'artisanat avec un effet du vent.")</f>
        <v>Utilisé pour des objets d'artisanat avec un effet du vent.</v>
      </c>
      <c r="D162" s="23" t="str">
        <f>IFERROR(__xludf.DUMMYFUNCTION("GOOGLETRANSLATE(B162, ""en"", ""es"")"),"Se utiliza para artículos de artesanía con un efecto de viento.")</f>
        <v>Se utiliza para artículos de artesanía con un efecto de viento.</v>
      </c>
      <c r="E162" s="23" t="str">
        <f>IFERROR(__xludf.DUMMYFUNCTION("GOOGLETRANSLATE(B162, ""en"", ""ru"")"),"Используется для ремесленных изделий с эффектом ветра.")</f>
        <v>Используется для ремесленных изделий с эффектом ветра.</v>
      </c>
      <c r="F162" s="23" t="str">
        <f>IFERROR(__xludf.DUMMYFUNCTION("GOOGLETRANSLATE(B162, ""en"", ""tr"")"),"Bir rüzgar etkisi ile zanaat öğeleri için kullanılır.")</f>
        <v>Bir rüzgar etkisi ile zanaat öğeleri için kullanılır.</v>
      </c>
      <c r="G162" s="23" t="str">
        <f>IFERROR(__xludf.DUMMYFUNCTION("GOOGLETRANSLATE(B162, ""en"", ""pt"")"),"Usado para peças de artesanato com um efeito de vento.")</f>
        <v>Usado para peças de artesanato com um efeito de vento.</v>
      </c>
      <c r="H162" s="24" t="str">
        <f>IFERROR(__xludf.DUMMYFUNCTION("GOOGLETRANSLATE(B162, ""en"", ""de"")"),"Wird verwendet, um Kunsthandwerk mit einer Windeffekt.")</f>
        <v>Wird verwendet, um Kunsthandwerk mit einer Windeffekt.</v>
      </c>
      <c r="I162" s="23" t="str">
        <f>IFERROR(__xludf.DUMMYFUNCTION("GOOGLETRANSLATE(B162, ""en"", ""pl"")"),"Służy do rzemieślniczych o działaniu wiatru.")</f>
        <v>Służy do rzemieślniczych o działaniu wiatru.</v>
      </c>
      <c r="J162" s="25" t="str">
        <f>IFERROR(__xludf.DUMMYFUNCTION("GOOGLETRANSLATE(B162, ""en"", ""zh"")"),"用于与风的影响手工艺品。")</f>
        <v>用于与风的影响手工艺品。</v>
      </c>
      <c r="K162" s="25" t="str">
        <f>IFERROR(__xludf.DUMMYFUNCTION("GOOGLETRANSLATE(B162, ""en"", ""vi"")"),"Được sử dụng để mục nghề với hiệu ứng gió.")</f>
        <v>Được sử dụng để mục nghề với hiệu ứng gió.</v>
      </c>
      <c r="L162" s="26" t="str">
        <f>IFERROR(__xludf.DUMMYFUNCTION("GOOGLETRANSLATE(B162, ""en"", ""hr"")"),"Koristi se za obrtničke stavke s efektom vjetra.")</f>
        <v>Koristi se za obrtničke stavke s efektom vjetra.</v>
      </c>
      <c r="M162" s="28"/>
      <c r="N162" s="28"/>
      <c r="O162" s="28"/>
      <c r="P162" s="28"/>
      <c r="Q162" s="28"/>
      <c r="R162" s="28"/>
      <c r="S162" s="28"/>
      <c r="T162" s="28"/>
      <c r="U162" s="28"/>
      <c r="V162" s="28"/>
      <c r="W162" s="28"/>
      <c r="X162" s="28"/>
      <c r="Y162" s="28"/>
      <c r="Z162" s="28"/>
      <c r="AA162" s="28"/>
      <c r="AB162" s="28"/>
    </row>
    <row r="163">
      <c r="A163" s="21" t="s">
        <v>588</v>
      </c>
      <c r="B163" s="22" t="s">
        <v>589</v>
      </c>
      <c r="C163" s="23" t="str">
        <f>IFERROR(__xludf.DUMMYFUNCTION("GOOGLETRANSLATE(B163, ""en"", ""fr"")"),"petit bijou de sang")</f>
        <v>petit bijou de sang</v>
      </c>
      <c r="D163" s="23" t="str">
        <f>IFERROR(__xludf.DUMMYFUNCTION("GOOGLETRANSLATE(B163, ""en"", ""es"")"),"gema de sangre")</f>
        <v>gema de sangre</v>
      </c>
      <c r="E163" s="23" t="str">
        <f>IFERROR(__xludf.DUMMYFUNCTION("GOOGLETRANSLATE(B163, ""en"", ""ru"")"),"Кровь камень")</f>
        <v>Кровь камень</v>
      </c>
      <c r="F163" s="23" t="str">
        <f>IFERROR(__xludf.DUMMYFUNCTION("GOOGLETRANSLATE(B163, ""en"", ""tr"")"),"Kan mücevher")</f>
        <v>Kan mücevher</v>
      </c>
      <c r="G163" s="23" t="str">
        <f>IFERROR(__xludf.DUMMYFUNCTION("GOOGLETRANSLATE(B163, ""en"", ""pt"")"),"gem de sangue")</f>
        <v>gem de sangue</v>
      </c>
      <c r="H163" s="24" t="str">
        <f>IFERROR(__xludf.DUMMYFUNCTION("GOOGLETRANSLATE(B163, ""en"", ""de"")"),"Blut gem")</f>
        <v>Blut gem</v>
      </c>
      <c r="I163" s="23" t="str">
        <f>IFERROR(__xludf.DUMMYFUNCTION("GOOGLETRANSLATE(B163, ""en"", ""pl"")"),"klejnot krwi")</f>
        <v>klejnot krwi</v>
      </c>
      <c r="J163" s="25" t="str">
        <f>IFERROR(__xludf.DUMMYFUNCTION("GOOGLETRANSLATE(B163, ""en"", ""zh"")"),"血宝石")</f>
        <v>血宝石</v>
      </c>
      <c r="K163" s="25" t="str">
        <f>IFERROR(__xludf.DUMMYFUNCTION("GOOGLETRANSLATE(B163, ""en"", ""vi"")"),"đá quý máu")</f>
        <v>đá quý máu</v>
      </c>
      <c r="L163" s="26" t="str">
        <f>IFERROR(__xludf.DUMMYFUNCTION("GOOGLETRANSLATE(B163, ""en"", ""hr"")"),"krv dragulj")</f>
        <v>krv dragulj</v>
      </c>
      <c r="M163" s="28"/>
      <c r="N163" s="28"/>
      <c r="O163" s="28"/>
      <c r="P163" s="28"/>
      <c r="Q163" s="28"/>
      <c r="R163" s="28"/>
      <c r="S163" s="28"/>
      <c r="T163" s="28"/>
      <c r="U163" s="28"/>
      <c r="V163" s="28"/>
      <c r="W163" s="28"/>
      <c r="X163" s="28"/>
      <c r="Y163" s="28"/>
      <c r="Z163" s="28"/>
      <c r="AA163" s="28"/>
      <c r="AB163" s="28"/>
    </row>
    <row r="164">
      <c r="A164" s="21" t="s">
        <v>590</v>
      </c>
      <c r="B164" s="22" t="s">
        <v>591</v>
      </c>
      <c r="C164" s="23" t="str">
        <f>IFERROR(__xludf.DUMMYFUNCTION("GOOGLETRANSLATE(B164, ""en"", ""fr"")"),"Utilisé pour des objets d'artisanat avec un effet lifesteal.")</f>
        <v>Utilisé pour des objets d'artisanat avec un effet lifesteal.</v>
      </c>
      <c r="D164" s="23" t="str">
        <f>IFERROR(__xludf.DUMMYFUNCTION("GOOGLETRANSLATE(B164, ""en"", ""es"")"),"Se utiliza para artículos de artesanía con un efecto de Robo de vida.")</f>
        <v>Se utiliza para artículos de artesanía con un efecto de Robo de vida.</v>
      </c>
      <c r="E164" s="23" t="str">
        <f>IFERROR(__xludf.DUMMYFUNCTION("GOOGLETRANSLATE(B164, ""en"", ""ru"")"),"Используется для ремесленных изделий с Вампиризм эффектом.")</f>
        <v>Используется для ремесленных изделий с Вампиризм эффектом.</v>
      </c>
      <c r="F164" s="23" t="str">
        <f>IFERROR(__xludf.DUMMYFUNCTION("GOOGLETRANSLATE(B164, ""en"", ""tr"")"),"Bir lifesteal etkisi ile zanaat öğeleri için kullanılır.")</f>
        <v>Bir lifesteal etkisi ile zanaat öğeleri için kullanılır.</v>
      </c>
      <c r="G164" s="23" t="str">
        <f>IFERROR(__xludf.DUMMYFUNCTION("GOOGLETRANSLATE(B164, ""en"", ""pt"")"),"Usado para peças de artesanato com um efeito lifesteal.")</f>
        <v>Usado para peças de artesanato com um efeito lifesteal.</v>
      </c>
      <c r="H164" s="24" t="str">
        <f>IFERROR(__xludf.DUMMYFUNCTION("GOOGLETRANSLATE(B164, ""en"", ""de"")"),"Wird verwendet, um Kunsthandwerk mit einem Lebensraub Wirkung.")</f>
        <v>Wird verwendet, um Kunsthandwerk mit einem Lebensraub Wirkung.</v>
      </c>
      <c r="I164" s="23" t="str">
        <f>IFERROR(__xludf.DUMMYFUNCTION("GOOGLETRANSLATE(B164, ""en"", ""pl"")"),"Służy do przedmiotów rzemiosła z efektem Kradzież życia.")</f>
        <v>Służy do przedmiotów rzemiosła z efektem Kradzież życia.</v>
      </c>
      <c r="J164" s="25" t="str">
        <f>IFERROR(__xludf.DUMMYFUNCTION("GOOGLETRANSLATE(B164, ""en"", ""zh"")"),"用于手工艺品带吸血效果。")</f>
        <v>用于手工艺品带吸血效果。</v>
      </c>
      <c r="K164" s="25" t="str">
        <f>IFERROR(__xludf.DUMMYFUNCTION("GOOGLETRANSLATE(B164, ""en"", ""vi"")"),"Được sử dụng để mục nghề với một hiệu ứng lifesteal.")</f>
        <v>Được sử dụng để mục nghề với một hiệu ứng lifesteal.</v>
      </c>
      <c r="L164" s="26" t="str">
        <f>IFERROR(__xludf.DUMMYFUNCTION("GOOGLETRANSLATE(B164, ""en"", ""hr"")"),"Koristi se za obrtničke stavke s lifesteal učinak.")</f>
        <v>Koristi se za obrtničke stavke s lifesteal učinak.</v>
      </c>
      <c r="M164" s="28"/>
      <c r="N164" s="28"/>
      <c r="O164" s="28"/>
      <c r="P164" s="28"/>
      <c r="Q164" s="28"/>
      <c r="R164" s="28"/>
      <c r="S164" s="28"/>
      <c r="T164" s="28"/>
      <c r="U164" s="28"/>
      <c r="V164" s="28"/>
      <c r="W164" s="28"/>
      <c r="X164" s="28"/>
      <c r="Y164" s="28"/>
      <c r="Z164" s="28"/>
      <c r="AA164" s="28"/>
      <c r="AB164" s="28"/>
    </row>
    <row r="165">
      <c r="A165" s="21" t="s">
        <v>592</v>
      </c>
      <c r="B165" s="22" t="s">
        <v>593</v>
      </c>
      <c r="C165" s="23" t="str">
        <f>IFERROR(__xludf.DUMMYFUNCTION("GOOGLETRANSLATE(B165, ""en"", ""fr"")"),"Le personnel d'incendie")</f>
        <v>Le personnel d'incendie</v>
      </c>
      <c r="D165" s="23" t="str">
        <f>IFERROR(__xludf.DUMMYFUNCTION("GOOGLETRANSLATE(B165, ""en"", ""es"")"),"personal del fuego")</f>
        <v>personal del fuego</v>
      </c>
      <c r="E165" s="23" t="str">
        <f>IFERROR(__xludf.DUMMYFUNCTION("GOOGLETRANSLATE(B165, ""en"", ""ru"")"),"сотрудники пожарной")</f>
        <v>сотрудники пожарной</v>
      </c>
      <c r="F165" s="23" t="str">
        <f>IFERROR(__xludf.DUMMYFUNCTION("GOOGLETRANSLATE(B165, ""en"", ""tr"")"),"Yangın personel")</f>
        <v>Yangın personel</v>
      </c>
      <c r="G165" s="23" t="str">
        <f>IFERROR(__xludf.DUMMYFUNCTION("GOOGLETRANSLATE(B165, ""en"", ""pt"")"),"pessoal fogo")</f>
        <v>pessoal fogo</v>
      </c>
      <c r="H165" s="24" t="str">
        <f>IFERROR(__xludf.DUMMYFUNCTION("GOOGLETRANSLATE(B165, ""en"", ""de"")"),"Feuerstab")</f>
        <v>Feuerstab</v>
      </c>
      <c r="I165" s="23" t="str">
        <f>IFERROR(__xludf.DUMMYFUNCTION("GOOGLETRANSLATE(B165, ""en"", ""pl"")"),"pracownicy ogień")</f>
        <v>pracownicy ogień</v>
      </c>
      <c r="J165" s="25" t="str">
        <f>IFERROR(__xludf.DUMMYFUNCTION("GOOGLETRANSLATE(B165, ""en"", ""zh"")"),"消防工作人员")</f>
        <v>消防工作人员</v>
      </c>
      <c r="K165" s="25" t="str">
        <f>IFERROR(__xludf.DUMMYFUNCTION("GOOGLETRANSLATE(B165, ""en"", ""vi"")"),"Nhân viên cứu hỏa")</f>
        <v>Nhân viên cứu hỏa</v>
      </c>
      <c r="L165" s="26" t="str">
        <f>IFERROR(__xludf.DUMMYFUNCTION("GOOGLETRANSLATE(B165, ""en"", ""hr"")"),"osoblje požara")</f>
        <v>osoblje požara</v>
      </c>
      <c r="M165" s="28"/>
      <c r="N165" s="28"/>
      <c r="O165" s="28"/>
      <c r="P165" s="28"/>
      <c r="Q165" s="28"/>
      <c r="R165" s="28"/>
      <c r="S165" s="28"/>
      <c r="T165" s="28"/>
      <c r="U165" s="28"/>
      <c r="V165" s="28"/>
      <c r="W165" s="28"/>
      <c r="X165" s="28"/>
      <c r="Y165" s="28"/>
      <c r="Z165" s="28"/>
      <c r="AA165" s="28"/>
      <c r="AB165" s="28"/>
    </row>
    <row r="166">
      <c r="A166" s="21" t="s">
        <v>594</v>
      </c>
      <c r="B166" s="22" t="s">
        <v>595</v>
      </c>
      <c r="C166" s="23" t="str">
        <f>IFERROR(__xludf.DUMMYFUNCTION("GOOGLETRANSLATE(B166, ""en"", ""fr"")"),"Shoots feu qui inflige des blessures.")</f>
        <v>Shoots feu qui inflige des blessures.</v>
      </c>
      <c r="D166" s="23" t="str">
        <f>IFERROR(__xludf.DUMMYFUNCTION("GOOGLETRANSLATE(B166, ""en"", ""es"")"),"Dispara fuego que inflige daño.")</f>
        <v>Dispara fuego que inflige daño.</v>
      </c>
      <c r="E166" s="23" t="str">
        <f>IFERROR(__xludf.DUMMYFUNCTION("GOOGLETRANSLATE(B166, ""en"", ""ru"")"),"Побеги огонь, что повреждение сделок.")</f>
        <v>Побеги огонь, что повреждение сделок.</v>
      </c>
      <c r="F166" s="23" t="str">
        <f>IFERROR(__xludf.DUMMYFUNCTION("GOOGLETRANSLATE(B166, ""en"", ""tr"")"),"Sürgünler bu fırsatlar hasarı ateş.")</f>
        <v>Sürgünler bu fırsatlar hasarı ateş.</v>
      </c>
      <c r="G166" s="23" t="str">
        <f>IFERROR(__xludf.DUMMYFUNCTION("GOOGLETRANSLATE(B166, ""en"", ""pt"")"),"Atira fogo que causa dano.")</f>
        <v>Atira fogo que causa dano.</v>
      </c>
      <c r="H166" s="24" t="str">
        <f>IFERROR(__xludf.DUMMYFUNCTION("GOOGLETRANSLATE(B166, ""en"", ""de"")"),"Shoots Feuer, das Schaden zufügt.")</f>
        <v>Shoots Feuer, das Schaden zufügt.</v>
      </c>
      <c r="I166" s="23" t="str">
        <f>IFERROR(__xludf.DUMMYFUNCTION("GOOGLETRANSLATE(B166, ""en"", ""pl"")"),"Pędy ognia, że ​​uszkodzenie oferty.")</f>
        <v>Pędy ognia, że ​​uszkodzenie oferty.</v>
      </c>
      <c r="J166" s="25" t="str">
        <f>IFERROR(__xludf.DUMMYFUNCTION("GOOGLETRANSLATE(B166, ""en"", ""zh"")"),"芽火灾造成伤害。")</f>
        <v>芽火灾造成伤害。</v>
      </c>
      <c r="K166" s="25" t="str">
        <f>IFERROR(__xludf.DUMMYFUNCTION("GOOGLETRANSLATE(B166, ""en"", ""vi"")"),"Chồi bắn mà giao dịch thiệt hại.")</f>
        <v>Chồi bắn mà giao dịch thiệt hại.</v>
      </c>
      <c r="L166" s="26" t="str">
        <f>IFERROR(__xludf.DUMMYFUNCTION("GOOGLETRANSLATE(B166, ""en"", ""hr"")"),"Snima vatru koja se bavi štetu.")</f>
        <v>Snima vatru koja se bavi štetu.</v>
      </c>
      <c r="M166" s="28"/>
      <c r="N166" s="28"/>
      <c r="O166" s="28"/>
      <c r="P166" s="28"/>
      <c r="Q166" s="28"/>
      <c r="R166" s="28"/>
      <c r="S166" s="28"/>
      <c r="T166" s="28"/>
      <c r="U166" s="28"/>
      <c r="V166" s="28"/>
      <c r="W166" s="28"/>
      <c r="X166" s="28"/>
      <c r="Y166" s="28"/>
      <c r="Z166" s="28"/>
      <c r="AA166" s="28"/>
      <c r="AB166" s="28"/>
    </row>
    <row r="167">
      <c r="A167" s="21" t="s">
        <v>596</v>
      </c>
      <c r="B167" s="22" t="s">
        <v>597</v>
      </c>
      <c r="C167" s="23" t="str">
        <f>IFERROR(__xludf.DUMMYFUNCTION("GOOGLETRANSLATE(B167, ""en"", ""fr"")"),"Super personnel d'incendie")</f>
        <v>Super personnel d'incendie</v>
      </c>
      <c r="D167" s="23" t="str">
        <f>IFERROR(__xludf.DUMMYFUNCTION("GOOGLETRANSLATE(B167, ""en"", ""es"")"),"El personal es súper fuego")</f>
        <v>El personal es súper fuego</v>
      </c>
      <c r="E167" s="23" t="str">
        <f>IFERROR(__xludf.DUMMYFUNCTION("GOOGLETRANSLATE(B167, ""en"", ""ru"")"),"Супер сотрудники пожарных")</f>
        <v>Супер сотрудники пожарных</v>
      </c>
      <c r="F167" s="23" t="str">
        <f>IFERROR(__xludf.DUMMYFUNCTION("GOOGLETRANSLATE(B167, ""en"", ""tr"")"),"Süper yangın personeli")</f>
        <v>Süper yangın personeli</v>
      </c>
      <c r="G167" s="23" t="str">
        <f>IFERROR(__xludf.DUMMYFUNCTION("GOOGLETRANSLATE(B167, ""en"", ""pt"")"),"Super equipe fogo")</f>
        <v>Super equipe fogo</v>
      </c>
      <c r="H167" s="24" t="str">
        <f>IFERROR(__xludf.DUMMYFUNCTION("GOOGLETRANSLATE(B167, ""en"", ""de"")"),"Super-Feuerstab")</f>
        <v>Super-Feuerstab</v>
      </c>
      <c r="I167" s="23" t="str">
        <f>IFERROR(__xludf.DUMMYFUNCTION("GOOGLETRANSLATE(B167, ""en"", ""pl"")"),"Super personel ogień")</f>
        <v>Super personel ogień</v>
      </c>
      <c r="J167" s="25" t="str">
        <f>IFERROR(__xludf.DUMMYFUNCTION("GOOGLETRANSLATE(B167, ""en"", ""zh"")"),"特级防火人员")</f>
        <v>特级防火人员</v>
      </c>
      <c r="K167" s="25" t="str">
        <f>IFERROR(__xludf.DUMMYFUNCTION("GOOGLETRANSLATE(B167, ""en"", ""vi"")"),"nhân viên siêu lửa")</f>
        <v>nhân viên siêu lửa</v>
      </c>
      <c r="L167" s="26" t="str">
        <f>IFERROR(__xludf.DUMMYFUNCTION("GOOGLETRANSLATE(B167, ""en"", ""hr"")"),"Super vatra osoblje")</f>
        <v>Super vatra osoblje</v>
      </c>
      <c r="M167" s="28"/>
      <c r="N167" s="28"/>
      <c r="O167" s="28"/>
      <c r="P167" s="28"/>
      <c r="Q167" s="28"/>
      <c r="R167" s="28"/>
      <c r="S167" s="28"/>
      <c r="T167" s="28"/>
      <c r="U167" s="28"/>
      <c r="V167" s="28"/>
      <c r="W167" s="28"/>
      <c r="X167" s="28"/>
      <c r="Y167" s="28"/>
      <c r="Z167" s="28"/>
      <c r="AA167" s="28"/>
      <c r="AB167" s="28"/>
    </row>
    <row r="168">
      <c r="A168" s="21" t="s">
        <v>598</v>
      </c>
      <c r="B168" s="22" t="s">
        <v>599</v>
      </c>
      <c r="C168" s="23" t="str">
        <f>IFERROR(__xludf.DUMMYFUNCTION("GOOGLETRANSLATE(B168, ""en"", ""fr"")"),"Shoots feu qui tire plus de feu.")</f>
        <v>Shoots feu qui tire plus de feu.</v>
      </c>
      <c r="D168" s="23" t="str">
        <f>IFERROR(__xludf.DUMMYFUNCTION("GOOGLETRANSLATE(B168, ""en"", ""es"")"),"Dispara fuego que los brotes más fuego.")</f>
        <v>Dispara fuego que los brotes más fuego.</v>
      </c>
      <c r="E168" s="23" t="str">
        <f>IFERROR(__xludf.DUMMYFUNCTION("GOOGLETRANSLATE(B168, ""en"", ""ru"")"),"Побеги огонь, который стреляет больше огня.")</f>
        <v>Побеги огонь, который стреляет больше огня.</v>
      </c>
      <c r="F168" s="23" t="str">
        <f>IFERROR(__xludf.DUMMYFUNCTION("GOOGLETRANSLATE(B168, ""en"", ""tr"")"),"Sürgünler bu sürgünler daha fazla ateş ateş.")</f>
        <v>Sürgünler bu sürgünler daha fazla ateş ateş.</v>
      </c>
      <c r="G168" s="23" t="str">
        <f>IFERROR(__xludf.DUMMYFUNCTION("GOOGLETRANSLATE(B168, ""en"", ""pt"")"),"Atira fogo que dispara mais fogo.")</f>
        <v>Atira fogo que dispara mais fogo.</v>
      </c>
      <c r="H168" s="24" t="str">
        <f>IFERROR(__xludf.DUMMYFUNCTION("GOOGLETRANSLATE(B168, ""en"", ""de"")"),"Shoots Feuer, das mehr Feuer schießt.")</f>
        <v>Shoots Feuer, das mehr Feuer schießt.</v>
      </c>
      <c r="I168" s="23" t="str">
        <f>IFERROR(__xludf.DUMMYFUNCTION("GOOGLETRANSLATE(B168, ""en"", ""pl"")"),"Pędy ognia która strzela więcej ognia.")</f>
        <v>Pędy ognia która strzela więcej ognia.</v>
      </c>
      <c r="J168" s="25" t="str">
        <f>IFERROR(__xludf.DUMMYFUNCTION("GOOGLETRANSLATE(B168, ""en"", ""zh"")"),"芽火射击更火。")</f>
        <v>芽火射击更火。</v>
      </c>
      <c r="K168" s="25" t="str">
        <f>IFERROR(__xludf.DUMMYFUNCTION("GOOGLETRANSLATE(B168, ""en"", ""vi"")"),"Chồi bắn mà chồi hơn lửa.")</f>
        <v>Chồi bắn mà chồi hơn lửa.</v>
      </c>
      <c r="L168" s="26" t="str">
        <f>IFERROR(__xludf.DUMMYFUNCTION("GOOGLETRANSLATE(B168, ""en"", ""hr"")"),"Snima vatru koja puca više požara.")</f>
        <v>Snima vatru koja puca više požara.</v>
      </c>
      <c r="M168" s="28"/>
      <c r="N168" s="28"/>
      <c r="O168" s="28"/>
      <c r="P168" s="28"/>
      <c r="Q168" s="28"/>
      <c r="R168" s="28"/>
      <c r="S168" s="28"/>
      <c r="T168" s="28"/>
      <c r="U168" s="28"/>
      <c r="V168" s="28"/>
      <c r="W168" s="28"/>
      <c r="X168" s="28"/>
      <c r="Y168" s="28"/>
      <c r="Z168" s="28"/>
      <c r="AA168" s="28"/>
      <c r="AB168" s="28"/>
    </row>
    <row r="169">
      <c r="A169" s="21" t="s">
        <v>600</v>
      </c>
      <c r="B169" s="22" t="s">
        <v>601</v>
      </c>
      <c r="C169" s="23" t="str">
        <f>IFERROR(__xludf.DUMMYFUNCTION("GOOGLETRANSLATE(B169, ""en"", ""fr"")"),"Le personnel du vent")</f>
        <v>Le personnel du vent</v>
      </c>
      <c r="D169" s="23" t="str">
        <f>IFERROR(__xludf.DUMMYFUNCTION("GOOGLETRANSLATE(B169, ""en"", ""es"")"),"El personal del viento")</f>
        <v>El personal del viento</v>
      </c>
      <c r="E169" s="23" t="str">
        <f>IFERROR(__xludf.DUMMYFUNCTION("GOOGLETRANSLATE(B169, ""en"", ""ru"")"),"сотрудники Wind")</f>
        <v>сотрудники Wind</v>
      </c>
      <c r="F169" s="23" t="str">
        <f>IFERROR(__xludf.DUMMYFUNCTION("GOOGLETRANSLATE(B169, ""en"", ""tr"")"),"Rüzgar personel")</f>
        <v>Rüzgar personel</v>
      </c>
      <c r="G169" s="23" t="str">
        <f>IFERROR(__xludf.DUMMYFUNCTION("GOOGLETRANSLATE(B169, ""en"", ""pt"")"),"funcionários vento")</f>
        <v>funcionários vento</v>
      </c>
      <c r="H169" s="24" t="str">
        <f>IFERROR(__xludf.DUMMYFUNCTION("GOOGLETRANSLATE(B169, ""en"", ""de"")"),"Wind Personal")</f>
        <v>Wind Personal</v>
      </c>
      <c r="I169" s="23" t="str">
        <f>IFERROR(__xludf.DUMMYFUNCTION("GOOGLETRANSLATE(B169, ""en"", ""pl"")"),"pracownicy wiatr")</f>
        <v>pracownicy wiatr</v>
      </c>
      <c r="J169" s="25" t="str">
        <f>IFERROR(__xludf.DUMMYFUNCTION("GOOGLETRANSLATE(B169, ""en"", ""zh"")"),"风人员")</f>
        <v>风人员</v>
      </c>
      <c r="K169" s="25" t="str">
        <f>IFERROR(__xludf.DUMMYFUNCTION("GOOGLETRANSLATE(B169, ""en"", ""vi"")"),"nhân viên gió")</f>
        <v>nhân viên gió</v>
      </c>
      <c r="L169" s="26" t="str">
        <f>IFERROR(__xludf.DUMMYFUNCTION("GOOGLETRANSLATE(B169, ""en"", ""hr"")"),"osoblje vjetra")</f>
        <v>osoblje vjetra</v>
      </c>
      <c r="M169" s="28"/>
      <c r="N169" s="28"/>
      <c r="O169" s="28"/>
      <c r="P169" s="28"/>
      <c r="Q169" s="28"/>
      <c r="R169" s="28"/>
      <c r="S169" s="28"/>
      <c r="T169" s="28"/>
      <c r="U169" s="28"/>
      <c r="V169" s="28"/>
      <c r="W169" s="28"/>
      <c r="X169" s="28"/>
      <c r="Y169" s="28"/>
      <c r="Z169" s="28"/>
      <c r="AA169" s="28"/>
      <c r="AB169" s="28"/>
    </row>
    <row r="170">
      <c r="A170" s="21" t="s">
        <v>602</v>
      </c>
      <c r="B170" s="22" t="s">
        <v>603</v>
      </c>
      <c r="C170" s="23" t="str">
        <f>IFERROR(__xludf.DUMMYFUNCTION("GOOGLETRANSLATE(B170, ""en"", ""fr"")"),"Shoots vent qui frappe les choses.")</f>
        <v>Shoots vent qui frappe les choses.</v>
      </c>
      <c r="D170" s="23" t="str">
        <f>IFERROR(__xludf.DUMMYFUNCTION("GOOGLETRANSLATE(B170, ""en"", ""es"")"),"Los brotes viento que golpea las cosas de nuevo.")</f>
        <v>Los brotes viento que golpea las cosas de nuevo.</v>
      </c>
      <c r="E170" s="23" t="str">
        <f>IFERROR(__xludf.DUMMYFUNCTION("GOOGLETRANSLATE(B170, ""en"", ""ru"")"),"Побеги ветер, который стучит вещи обратно.")</f>
        <v>Побеги ветер, который стучит вещи обратно.</v>
      </c>
      <c r="F170" s="23" t="str">
        <f>IFERROR(__xludf.DUMMYFUNCTION("GOOGLETRANSLATE(B170, ""en"", ""tr"")"),"Sürgünler darbelere şeyler arkasında olduğunu öne rüzgar.")</f>
        <v>Sürgünler darbelere şeyler arkasında olduğunu öne rüzgar.</v>
      </c>
      <c r="G170" s="23" t="str">
        <f>IFERROR(__xludf.DUMMYFUNCTION("GOOGLETRANSLATE(B170, ""en"", ""pt"")"),"Shoots vento que derruba as coisas de volta.")</f>
        <v>Shoots vento que derruba as coisas de volta.</v>
      </c>
      <c r="H170" s="24" t="str">
        <f>IFERROR(__xludf.DUMMYFUNCTION("GOOGLETRANSLATE(B170, ""en"", ""de"")"),"Shoots Wind, der klopft Dinge zurück.")</f>
        <v>Shoots Wind, der klopft Dinge zurück.</v>
      </c>
      <c r="I170" s="23" t="str">
        <f>IFERROR(__xludf.DUMMYFUNCTION("GOOGLETRANSLATE(B170, ""en"", ""pl"")"),"Pędy wiatr, który puka rzeczy z powrotem.")</f>
        <v>Pędy wiatr, który puka rzeczy z powrotem.</v>
      </c>
      <c r="J170" s="25" t="str">
        <f>IFERROR(__xludf.DUMMYFUNCTION("GOOGLETRANSLATE(B170, ""en"", ""zh"")"),"芽风敲东西回来。")</f>
        <v>芽风敲东西回来。</v>
      </c>
      <c r="K170" s="25" t="str">
        <f>IFERROR(__xludf.DUMMYFUNCTION("GOOGLETRANSLATE(B170, ""en"", ""vi"")"),"Chồi gió rằng tiếng gõ thứ sao.")</f>
        <v>Chồi gió rằng tiếng gõ thứ sao.</v>
      </c>
      <c r="L170" s="26" t="str">
        <f>IFERROR(__xludf.DUMMYFUNCTION("GOOGLETRANSLATE(B170, ""en"", ""hr"")"),"Snima se vjetar koji kuca stvari natrag.")</f>
        <v>Snima se vjetar koji kuca stvari natrag.</v>
      </c>
      <c r="M170" s="28"/>
      <c r="N170" s="28"/>
      <c r="O170" s="28"/>
      <c r="P170" s="28"/>
      <c r="Q170" s="28"/>
      <c r="R170" s="28"/>
      <c r="S170" s="28"/>
      <c r="T170" s="28"/>
      <c r="U170" s="28"/>
      <c r="V170" s="28"/>
      <c r="W170" s="28"/>
      <c r="X170" s="28"/>
      <c r="Y170" s="28"/>
      <c r="Z170" s="28"/>
      <c r="AA170" s="28"/>
      <c r="AB170" s="28"/>
    </row>
    <row r="171">
      <c r="A171" s="21" t="s">
        <v>604</v>
      </c>
      <c r="B171" s="22" t="s">
        <v>605</v>
      </c>
      <c r="C171" s="23" t="str">
        <f>IFERROR(__xludf.DUMMYFUNCTION("GOOGLETRANSLATE(B171, ""en"", ""fr"")"),"Super personnel du vent")</f>
        <v>Super personnel du vent</v>
      </c>
      <c r="D171" s="23" t="str">
        <f>IFERROR(__xludf.DUMMYFUNCTION("GOOGLETRANSLATE(B171, ""en"", ""es"")"),"El personal es súper viento")</f>
        <v>El personal es súper viento</v>
      </c>
      <c r="E171" s="23" t="str">
        <f>IFERROR(__xludf.DUMMYFUNCTION("GOOGLETRANSLATE(B171, ""en"", ""ru"")"),"Супер персонал ветер")</f>
        <v>Супер персонал ветер</v>
      </c>
      <c r="F171" s="23" t="str">
        <f>IFERROR(__xludf.DUMMYFUNCTION("GOOGLETRANSLATE(B171, ""en"", ""tr"")"),"Süper rüzgar personel")</f>
        <v>Süper rüzgar personel</v>
      </c>
      <c r="G171" s="23" t="str">
        <f>IFERROR(__xludf.DUMMYFUNCTION("GOOGLETRANSLATE(B171, ""en"", ""pt"")"),"equipe Super vento")</f>
        <v>equipe Super vento</v>
      </c>
      <c r="H171" s="24" t="str">
        <f>IFERROR(__xludf.DUMMYFUNCTION("GOOGLETRANSLATE(B171, ""en"", ""de"")"),"Super Wind Personal")</f>
        <v>Super Wind Personal</v>
      </c>
      <c r="I171" s="23" t="str">
        <f>IFERROR(__xludf.DUMMYFUNCTION("GOOGLETRANSLATE(B171, ""en"", ""pl"")"),"Super personel wiatr")</f>
        <v>Super personel wiatr</v>
      </c>
      <c r="J171" s="25" t="str">
        <f>IFERROR(__xludf.DUMMYFUNCTION("GOOGLETRANSLATE(B171, ""en"", ""zh"")"),"超级风人员")</f>
        <v>超级风人员</v>
      </c>
      <c r="K171" s="25" t="str">
        <f>IFERROR(__xludf.DUMMYFUNCTION("GOOGLETRANSLATE(B171, ""en"", ""vi"")"),"nhân viên siêu gió")</f>
        <v>nhân viên siêu gió</v>
      </c>
      <c r="L171" s="26" t="str">
        <f>IFERROR(__xludf.DUMMYFUNCTION("GOOGLETRANSLATE(B171, ""en"", ""hr"")"),"Super vjetar osoblje")</f>
        <v>Super vjetar osoblje</v>
      </c>
      <c r="M171" s="28"/>
      <c r="N171" s="28"/>
      <c r="O171" s="28"/>
      <c r="P171" s="28"/>
      <c r="Q171" s="28"/>
      <c r="R171" s="28"/>
      <c r="S171" s="28"/>
      <c r="T171" s="28"/>
      <c r="U171" s="28"/>
      <c r="V171" s="28"/>
      <c r="W171" s="28"/>
      <c r="X171" s="28"/>
      <c r="Y171" s="28"/>
      <c r="Z171" s="28"/>
      <c r="AA171" s="28"/>
      <c r="AB171" s="28"/>
    </row>
    <row r="172">
      <c r="A172" s="21" t="s">
        <v>606</v>
      </c>
      <c r="B172" s="22" t="s">
        <v>607</v>
      </c>
      <c r="C172" s="23" t="str">
        <f>IFERROR(__xludf.DUMMYFUNCTION("GOOGLETRANSLATE(B172, ""en"", ""fr"")"),"Shoots vent qui tire plus de vent.")</f>
        <v>Shoots vent qui tire plus de vent.</v>
      </c>
      <c r="D172" s="23" t="str">
        <f>IFERROR(__xludf.DUMMYFUNCTION("GOOGLETRANSLATE(B172, ""en"", ""es"")"),"Los brotes de viento que los brotes más viento.")</f>
        <v>Los brotes de viento que los brotes más viento.</v>
      </c>
      <c r="E172" s="23" t="str">
        <f>IFERROR(__xludf.DUMMYFUNCTION("GOOGLETRANSLATE(B172, ""en"", ""ru"")"),"Побеги ветра, который стреляет больше ветров.")</f>
        <v>Побеги ветра, который стреляет больше ветров.</v>
      </c>
      <c r="F172" s="23" t="str">
        <f>IFERROR(__xludf.DUMMYFUNCTION("GOOGLETRANSLATE(B172, ""en"", ""tr"")"),"Sürgünler bu sürgünler daha fazla rüzgar rüzgar.")</f>
        <v>Sürgünler bu sürgünler daha fazla rüzgar rüzgar.</v>
      </c>
      <c r="G172" s="23" t="str">
        <f>IFERROR(__xludf.DUMMYFUNCTION("GOOGLETRANSLATE(B172, ""en"", ""pt"")"),"Shoots vento que brotos mais vento.")</f>
        <v>Shoots vento que brotos mais vento.</v>
      </c>
      <c r="H172" s="24" t="str">
        <f>IFERROR(__xludf.DUMMYFUNCTION("GOOGLETRANSLATE(B172, ""en"", ""de"")"),"Shoots Wind, den Trieb mehr Wind.")</f>
        <v>Shoots Wind, den Trieb mehr Wind.</v>
      </c>
      <c r="I172" s="23" t="str">
        <f>IFERROR(__xludf.DUMMYFUNCTION("GOOGLETRANSLATE(B172, ""en"", ""pl"")"),"Pędy wiatr, który pędy więcej wiatr.")</f>
        <v>Pędy wiatr, który pędy więcej wiatr.</v>
      </c>
      <c r="J172" s="25" t="str">
        <f>IFERROR(__xludf.DUMMYFUNCTION("GOOGLETRANSLATE(B172, ""en"", ""zh"")"),"芽风射击更多的风。")</f>
        <v>芽风射击更多的风。</v>
      </c>
      <c r="K172" s="25" t="str">
        <f>IFERROR(__xludf.DUMMYFUNCTION("GOOGLETRANSLATE(B172, ""en"", ""vi"")"),"Chồi gió mà gió chồi hơn.")</f>
        <v>Chồi gió mà gió chồi hơn.</v>
      </c>
      <c r="L172" s="26" t="str">
        <f>IFERROR(__xludf.DUMMYFUNCTION("GOOGLETRANSLATE(B172, ""en"", ""hr"")"),"Snima vjetar koji puca više vjetra.")</f>
        <v>Snima vjetar koji puca više vjetra.</v>
      </c>
      <c r="M172" s="28"/>
      <c r="N172" s="28"/>
      <c r="O172" s="28"/>
      <c r="P172" s="28"/>
      <c r="Q172" s="28"/>
      <c r="R172" s="28"/>
      <c r="S172" s="28"/>
      <c r="T172" s="28"/>
      <c r="U172" s="28"/>
      <c r="V172" s="28"/>
      <c r="W172" s="28"/>
      <c r="X172" s="28"/>
      <c r="Y172" s="28"/>
      <c r="Z172" s="28"/>
      <c r="AA172" s="28"/>
      <c r="AB172" s="28"/>
    </row>
    <row r="173">
      <c r="A173" s="21" t="s">
        <v>608</v>
      </c>
      <c r="B173" s="22" t="s">
        <v>609</v>
      </c>
      <c r="C173" s="23" t="str">
        <f>IFERROR(__xludf.DUMMYFUNCTION("GOOGLETRANSLATE(B173, ""en"", ""fr"")"),"Le personnel de sang")</f>
        <v>Le personnel de sang</v>
      </c>
      <c r="D173" s="23" t="str">
        <f>IFERROR(__xludf.DUMMYFUNCTION("GOOGLETRANSLATE(B173, ""en"", ""es"")"),"el personal de la sangre")</f>
        <v>el personal de la sangre</v>
      </c>
      <c r="E173" s="23" t="str">
        <f>IFERROR(__xludf.DUMMYFUNCTION("GOOGLETRANSLATE(B173, ""en"", ""ru"")"),"сотрудники крови")</f>
        <v>сотрудники крови</v>
      </c>
      <c r="F173" s="23" t="str">
        <f>IFERROR(__xludf.DUMMYFUNCTION("GOOGLETRANSLATE(B173, ""en"", ""tr"")"),"Kan personel")</f>
        <v>Kan personel</v>
      </c>
      <c r="G173" s="23" t="str">
        <f>IFERROR(__xludf.DUMMYFUNCTION("GOOGLETRANSLATE(B173, ""en"", ""pt"")"),"equipe de sangue")</f>
        <v>equipe de sangue</v>
      </c>
      <c r="H173" s="24" t="str">
        <f>IFERROR(__xludf.DUMMYFUNCTION("GOOGLETRANSLATE(B173, ""en"", ""de"")"),"Blut Personal")</f>
        <v>Blut Personal</v>
      </c>
      <c r="I173" s="23" t="str">
        <f>IFERROR(__xludf.DUMMYFUNCTION("GOOGLETRANSLATE(B173, ""en"", ""pl"")"),"pracownicy krwi")</f>
        <v>pracownicy krwi</v>
      </c>
      <c r="J173" s="25" t="str">
        <f>IFERROR(__xludf.DUMMYFUNCTION("GOOGLETRANSLATE(B173, ""en"", ""zh"")"),"血液的工作人员")</f>
        <v>血液的工作人员</v>
      </c>
      <c r="K173" s="25" t="str">
        <f>IFERROR(__xludf.DUMMYFUNCTION("GOOGLETRANSLATE(B173, ""en"", ""vi"")"),"nhân viên máu")</f>
        <v>nhân viên máu</v>
      </c>
      <c r="L173" s="26" t="str">
        <f>IFERROR(__xludf.DUMMYFUNCTION("GOOGLETRANSLATE(B173, ""en"", ""hr"")"),"krv osoblje")</f>
        <v>krv osoblje</v>
      </c>
      <c r="M173" s="28"/>
      <c r="N173" s="28"/>
      <c r="O173" s="28"/>
      <c r="P173" s="28"/>
      <c r="Q173" s="28"/>
      <c r="R173" s="28"/>
      <c r="S173" s="28"/>
      <c r="T173" s="28"/>
      <c r="U173" s="28"/>
      <c r="V173" s="28"/>
      <c r="W173" s="28"/>
      <c r="X173" s="28"/>
      <c r="Y173" s="28"/>
      <c r="Z173" s="28"/>
      <c r="AA173" s="28"/>
      <c r="AB173" s="28"/>
    </row>
    <row r="174">
      <c r="A174" s="21" t="s">
        <v>610</v>
      </c>
      <c r="B174" s="22" t="s">
        <v>611</v>
      </c>
      <c r="C174" s="23" t="str">
        <f>IFERROR(__xludf.DUMMYFUNCTION("GOOGLETRANSLATE(B174, ""en"", ""fr"")"),"Shoots un projectile qui vole hitpoints. Consomme hitpoints lorsqu'il est utilisé.")</f>
        <v>Shoots un projectile qui vole hitpoints. Consomme hitpoints lorsqu'il est utilisé.</v>
      </c>
      <c r="D174" s="23" t="str">
        <f>IFERROR(__xludf.DUMMYFUNCTION("GOOGLETRANSLATE(B174, ""en"", ""es"")"),"Brotes un proyectil que roba puntos de golpe. Consume puntos de golpe cuando se utiliza.")</f>
        <v>Brotes un proyectil que roba puntos de golpe. Consume puntos de golpe cuando se utiliza.</v>
      </c>
      <c r="E174" s="23" t="str">
        <f>IFERROR(__xludf.DUMMYFUNCTION("GOOGLETRANSLATE(B174,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4" s="23" t="str">
        <f>IFERROR(__xludf.DUMMYFUNCTION("GOOGLETRANSLATE(B174, ""en"", ""tr"")"),"Sürgünler hitpoints çalan bir mermi. Tüketir hitpoints kullanıldığında.")</f>
        <v>Sürgünler hitpoints çalan bir mermi. Tüketir hitpoints kullanıldığında.</v>
      </c>
      <c r="G174" s="23" t="str">
        <f>IFERROR(__xludf.DUMMYFUNCTION("GOOGLETRANSLATE(B174, ""en"", ""pt"")"),"Dispara um projétil que rouba pontos de vida. Consome pontos de vida quando usado.")</f>
        <v>Dispara um projétil que rouba pontos de vida. Consome pontos de vida quando usado.</v>
      </c>
      <c r="H174" s="24" t="str">
        <f>IFERROR(__xludf.DUMMYFUNCTION("GOOGLETRANSLATE(B174, ""en"", ""de"")"),"Shoots ein Projektil, das Hitpoints stiehlt. Verbraucht Hitpoints, wenn verwendet.")</f>
        <v>Shoots ein Projektil, das Hitpoints stiehlt. Verbraucht Hitpoints, wenn verwendet.</v>
      </c>
      <c r="I174" s="23" t="str">
        <f>IFERROR(__xludf.DUMMYFUNCTION("GOOGLETRANSLATE(B174, ""en"", ""pl"")"),"Wystrzeliwuje pocisk, który kradnie punkty życia. gdy stosowane zużywa PW.")</f>
        <v>Wystrzeliwuje pocisk, który kradnie punkty życia. gdy stosowane zużywa PW.</v>
      </c>
      <c r="J174" s="25" t="str">
        <f>IFERROR(__xludf.DUMMYFUNCTION("GOOGLETRANSLATE(B174, ""en"", ""zh"")"),"芽窃取生命值弹丸。使用时消耗生命值。")</f>
        <v>芽窃取生命值弹丸。使用时消耗生命值。</v>
      </c>
      <c r="K174" s="25" t="str">
        <f>IFERROR(__xludf.DUMMYFUNCTION("GOOGLETRANSLATE(B174, ""en"", ""vi"")"),"Chồi một viên đạn mà đánh cắp hp. Tốn một hp khi được sử dụng.")</f>
        <v>Chồi một viên đạn mà đánh cắp hp. Tốn một hp khi được sử dụng.</v>
      </c>
      <c r="L174" s="26" t="str">
        <f>IFERROR(__xludf.DUMMYFUNCTION("GOOGLETRANSLATE(B174, ""en"", ""hr"")"),"Snima projektil koji krade udarpoena. Troši udarpoena kada se koristi.")</f>
        <v>Snima projektil koji krade udarpoena. Troši udarpoena kada se koristi.</v>
      </c>
      <c r="M174" s="28"/>
      <c r="N174" s="28"/>
      <c r="O174" s="28"/>
      <c r="P174" s="28"/>
      <c r="Q174" s="28"/>
      <c r="R174" s="28"/>
      <c r="S174" s="28"/>
      <c r="T174" s="28"/>
      <c r="U174" s="28"/>
      <c r="V174" s="28"/>
      <c r="W174" s="28"/>
      <c r="X174" s="28"/>
      <c r="Y174" s="28"/>
      <c r="Z174" s="28"/>
      <c r="AA174" s="28"/>
      <c r="AB174" s="28"/>
    </row>
    <row r="175">
      <c r="A175" s="21" t="s">
        <v>612</v>
      </c>
      <c r="B175" s="22" t="s">
        <v>613</v>
      </c>
      <c r="C175" s="23" t="str">
        <f>IFERROR(__xludf.DUMMYFUNCTION("GOOGLETRANSLATE(B175, ""en"", ""fr"")"),"Super personnel de sang")</f>
        <v>Super personnel de sang</v>
      </c>
      <c r="D175" s="23" t="str">
        <f>IFERROR(__xludf.DUMMYFUNCTION("GOOGLETRANSLATE(B175, ""en"", ""es"")"),"el personal de la sangre súper")</f>
        <v>el personal de la sangre súper</v>
      </c>
      <c r="E175" s="23" t="str">
        <f>IFERROR(__xludf.DUMMYFUNCTION("GOOGLETRANSLATE(B175, ""en"", ""ru"")"),"Супер персонал крови")</f>
        <v>Супер персонал крови</v>
      </c>
      <c r="F175" s="23" t="str">
        <f>IFERROR(__xludf.DUMMYFUNCTION("GOOGLETRANSLATE(B175, ""en"", ""tr"")"),"Süper kan personel")</f>
        <v>Süper kan personel</v>
      </c>
      <c r="G175" s="23" t="str">
        <f>IFERROR(__xludf.DUMMYFUNCTION("GOOGLETRANSLATE(B175, ""en"", ""pt"")"),"funcionários sangue Super")</f>
        <v>funcionários sangue Super</v>
      </c>
      <c r="H175" s="24" t="str">
        <f>IFERROR(__xludf.DUMMYFUNCTION("GOOGLETRANSLATE(B175, ""en"", ""de"")"),"Super Blut Personal")</f>
        <v>Super Blut Personal</v>
      </c>
      <c r="I175" s="23" t="str">
        <f>IFERROR(__xludf.DUMMYFUNCTION("GOOGLETRANSLATE(B175, ""en"", ""pl"")"),"Super personel krwi")</f>
        <v>Super personel krwi</v>
      </c>
      <c r="J175" s="25" t="str">
        <f>IFERROR(__xludf.DUMMYFUNCTION("GOOGLETRANSLATE(B175, ""en"", ""zh"")"),"超级血员工")</f>
        <v>超级血员工</v>
      </c>
      <c r="K175" s="25" t="str">
        <f>IFERROR(__xludf.DUMMYFUNCTION("GOOGLETRANSLATE(B175, ""en"", ""vi"")"),"nhân viên máu siêu")</f>
        <v>nhân viên máu siêu</v>
      </c>
      <c r="L175" s="26" t="str">
        <f>IFERROR(__xludf.DUMMYFUNCTION("GOOGLETRANSLATE(B175, ""en"", ""hr"")"),"Super krvi osoblje")</f>
        <v>Super krvi osoblje</v>
      </c>
      <c r="M175" s="28"/>
      <c r="N175" s="28"/>
      <c r="O175" s="28"/>
      <c r="P175" s="28"/>
      <c r="Q175" s="28"/>
      <c r="R175" s="28"/>
      <c r="S175" s="28"/>
      <c r="T175" s="28"/>
      <c r="U175" s="28"/>
      <c r="V175" s="28"/>
      <c r="W175" s="28"/>
      <c r="X175" s="28"/>
      <c r="Y175" s="28"/>
      <c r="Z175" s="28"/>
      <c r="AA175" s="28"/>
      <c r="AB175" s="28"/>
    </row>
    <row r="176">
      <c r="A176" s="21" t="s">
        <v>614</v>
      </c>
      <c r="B176" s="22" t="s">
        <v>615</v>
      </c>
      <c r="C176" s="23" t="str">
        <f>IFERROR(__xludf.DUMMYFUNCTION("GOOGLETRANSLATE(B176, ""en"", ""fr"")"),"Shoots un projectile qui tire des projectiles lifesteal plus lifesteal.")</f>
        <v>Shoots un projectile qui tire des projectiles lifesteal plus lifesteal.</v>
      </c>
      <c r="D176" s="23" t="str">
        <f>IFERROR(__xludf.DUMMYFUNCTION("GOOGLETRANSLATE(B176, ""en"", ""es"")"),"Brotes un proyectil que dispara proyectiles de Robo de vida más Robo de vida.")</f>
        <v>Brotes un proyectil que dispara proyectiles de Robo de vida más Robo de vida.</v>
      </c>
      <c r="E176" s="23" t="str">
        <f>IFERROR(__xludf.DUMMYFUNCTION("GOOGLETRANSLATE(B176, ""en"", ""ru"")"),"Стреляю лайфстил снаряд, который стреляет более Вампиризм снаряды.")</f>
        <v>Стреляю лайфстил снаряд, который стреляет более Вампиризм снаряды.</v>
      </c>
      <c r="F176" s="23" t="str">
        <f>IFERROR(__xludf.DUMMYFUNCTION("GOOGLETRANSLATE(B176, ""en"", ""tr"")"),"Sürgünler bir lifesteal mermi sürgünler daha lifesteal mermiler söyledi.")</f>
        <v>Sürgünler bir lifesteal mermi sürgünler daha lifesteal mermiler söyledi.</v>
      </c>
      <c r="G176" s="23" t="str">
        <f>IFERROR(__xludf.DUMMYFUNCTION("GOOGLETRANSLATE(B176, ""en"", ""pt"")"),"Dispara um projétil lifesteal que atira projéteis mais Lifesteal.")</f>
        <v>Dispara um projétil lifesteal que atira projéteis mais Lifesteal.</v>
      </c>
      <c r="H176" s="24" t="str">
        <f>IFERROR(__xludf.DUMMYFUNCTION("GOOGLETRANSLATE(B176, ""en"", ""de"")"),"Shoots ein Projektil Lebensraub, dass Triebe mehr Lebensraub Geschosse.")</f>
        <v>Shoots ein Projektil Lebensraub, dass Triebe mehr Lebensraub Geschosse.</v>
      </c>
      <c r="I176" s="23" t="str">
        <f>IFERROR(__xludf.DUMMYFUNCTION("GOOGLETRANSLATE(B176, ""en"", ""pl"")"),"Pędy Kradzież życia pocisk że pędy więcej Kradzież życia pociski.")</f>
        <v>Pędy Kradzież życia pocisk że pędy więcej Kradzież życia pociski.</v>
      </c>
      <c r="J176" s="25" t="str">
        <f>IFERROR(__xludf.DUMMYFUNCTION("GOOGLETRANSLATE(B176, ""en"", ""zh"")"),"芽一个吸血弹射击更多的生命偷取抛射。")</f>
        <v>芽一个吸血弹射击更多的生命偷取抛射。</v>
      </c>
      <c r="K176" s="25" t="str">
        <f>IFERROR(__xludf.DUMMYFUNCTION("GOOGLETRANSLATE(B176, ""en"", ""vi"")"),"Chồi một viên đạn lifesteal mà chồi projectiles lifesteal hơn.")</f>
        <v>Chồi một viên đạn lifesteal mà chồi projectiles lifesteal hơn.</v>
      </c>
      <c r="L176" s="26" t="str">
        <f>IFERROR(__xludf.DUMMYFUNCTION("GOOGLETRANSLATE(B176, ""en"", ""hr"")"),"Snima lifesteal projektil koji ispaljuje više lifesteal projektili.")</f>
        <v>Snima lifesteal projektil koji ispaljuje više lifesteal projektili.</v>
      </c>
      <c r="M176" s="28"/>
      <c r="N176" s="28"/>
      <c r="O176" s="28"/>
      <c r="P176" s="28"/>
      <c r="Q176" s="28"/>
      <c r="R176" s="28"/>
      <c r="S176" s="28"/>
      <c r="T176" s="28"/>
      <c r="U176" s="28"/>
      <c r="V176" s="28"/>
      <c r="W176" s="28"/>
      <c r="X176" s="28"/>
      <c r="Y176" s="28"/>
      <c r="Z176" s="28"/>
      <c r="AA176" s="28"/>
      <c r="AB176" s="28"/>
    </row>
    <row r="177">
      <c r="A177" s="21" t="s">
        <v>616</v>
      </c>
      <c r="B177" s="22" t="s">
        <v>617</v>
      </c>
      <c r="C177" s="23" t="str">
        <f>IFERROR(__xludf.DUMMYFUNCTION("GOOGLETRANSLATE(B177, ""en"", ""fr"")"),"Livre de lumière")</f>
        <v>Livre de lumière</v>
      </c>
      <c r="D177" s="23" t="str">
        <f>IFERROR(__xludf.DUMMYFUNCTION("GOOGLETRANSLATE(B177, ""en"", ""es"")"),"Libro de la luz")</f>
        <v>Libro de la luz</v>
      </c>
      <c r="E177" s="23" t="str">
        <f>IFERROR(__xludf.DUMMYFUNCTION("GOOGLETRANSLATE(B177, ""en"", ""ru"")"),"Книга света")</f>
        <v>Книга света</v>
      </c>
      <c r="F177" s="23" t="str">
        <f>IFERROR(__xludf.DUMMYFUNCTION("GOOGLETRANSLATE(B177, ""en"", ""tr"")"),"Işık Kitabı")</f>
        <v>Işık Kitabı</v>
      </c>
      <c r="G177" s="23" t="str">
        <f>IFERROR(__xludf.DUMMYFUNCTION("GOOGLETRANSLATE(B177, ""en"", ""pt"")"),"Livro de luz")</f>
        <v>Livro de luz</v>
      </c>
      <c r="H177" s="24" t="str">
        <f>IFERROR(__xludf.DUMMYFUNCTION("GOOGLETRANSLATE(B177, ""en"", ""de"")"),"Buch des Lichts")</f>
        <v>Buch des Lichts</v>
      </c>
      <c r="I177" s="23" t="str">
        <f>IFERROR(__xludf.DUMMYFUNCTION("GOOGLETRANSLATE(B177, ""en"", ""pl"")"),"Book of light")</f>
        <v>Book of light</v>
      </c>
      <c r="J177" s="25" t="str">
        <f>IFERROR(__xludf.DUMMYFUNCTION("GOOGLETRANSLATE(B177, ""en"", ""zh"")"),"光书")</f>
        <v>光书</v>
      </c>
      <c r="K177" s="25" t="str">
        <f>IFERROR(__xludf.DUMMYFUNCTION("GOOGLETRANSLATE(B177, ""en"", ""vi"")"),"Sách của ánh sáng")</f>
        <v>Sách của ánh sáng</v>
      </c>
      <c r="L177" s="26" t="str">
        <f>IFERROR(__xludf.DUMMYFUNCTION("GOOGLETRANSLATE(B177, ""en"", ""hr"")"),"Knjiga svjetlo")</f>
        <v>Knjiga svjetlo</v>
      </c>
      <c r="M177" s="28"/>
      <c r="N177" s="28"/>
      <c r="O177" s="28"/>
      <c r="P177" s="28"/>
      <c r="Q177" s="28"/>
      <c r="R177" s="28"/>
      <c r="S177" s="28"/>
      <c r="T177" s="28"/>
      <c r="U177" s="28"/>
      <c r="V177" s="28"/>
      <c r="W177" s="28"/>
      <c r="X177" s="28"/>
      <c r="Y177" s="28"/>
      <c r="Z177" s="28"/>
      <c r="AA177" s="28"/>
      <c r="AB177" s="28"/>
    </row>
    <row r="178">
      <c r="A178" s="21" t="s">
        <v>618</v>
      </c>
      <c r="B178" s="22" t="s">
        <v>619</v>
      </c>
      <c r="C178" s="23" t="str">
        <f>IFERROR(__xludf.DUMMYFUNCTION("GOOGLETRANSLATE(B178, ""en"", ""fr"")"),"Un livre de sorts de soutien.")</f>
        <v>Un livre de sorts de soutien.</v>
      </c>
      <c r="D178" s="23" t="str">
        <f>IFERROR(__xludf.DUMMYFUNCTION("GOOGLETRANSLATE(B178, ""en"", ""es"")"),"Un libro de hechizos de apoyo.")</f>
        <v>Un libro de hechizos de apoyo.</v>
      </c>
      <c r="E178" s="23" t="str">
        <f>IFERROR(__xludf.DUMMYFUNCTION("GOOGLETRANSLATE(B178, ""en"", ""ru"")"),"Книга поддержки заклинаний.")</f>
        <v>Книга поддержки заклинаний.</v>
      </c>
      <c r="F178" s="23" t="str">
        <f>IFERROR(__xludf.DUMMYFUNCTION("GOOGLETRANSLATE(B178, ""en"", ""tr"")"),"destek büyü bir kitap.")</f>
        <v>destek büyü bir kitap.</v>
      </c>
      <c r="G178" s="23" t="str">
        <f>IFERROR(__xludf.DUMMYFUNCTION("GOOGLETRANSLATE(B178, ""en"", ""pt"")"),"Um livro de feitiços de apoio.")</f>
        <v>Um livro de feitiços de apoio.</v>
      </c>
      <c r="H178" s="24" t="str">
        <f>IFERROR(__xludf.DUMMYFUNCTION("GOOGLETRANSLATE(B178, ""en"", ""de"")"),"Ein Buch der Unterstützung Zauber.")</f>
        <v>Ein Buch der Unterstützung Zauber.</v>
      </c>
      <c r="I178" s="23" t="str">
        <f>IFERROR(__xludf.DUMMYFUNCTION("GOOGLETRANSLATE(B178, ""en"", ""pl"")"),"Księga zaklęć wsparcia.")</f>
        <v>Księga zaklęć wsparcia.</v>
      </c>
      <c r="J178" s="25" t="str">
        <f>IFERROR(__xludf.DUMMYFUNCTION("GOOGLETRANSLATE(B178, ""en"", ""zh"")"),"书支持法术。")</f>
        <v>书支持法术。</v>
      </c>
      <c r="K178" s="25" t="str">
        <f>IFERROR(__xludf.DUMMYFUNCTION("GOOGLETRANSLATE(B178, ""en"", ""vi"")"),"Một cuốn sách của phép thuật hỗ trợ.")</f>
        <v>Một cuốn sách của phép thuật hỗ trợ.</v>
      </c>
      <c r="L178" s="26" t="str">
        <f>IFERROR(__xludf.DUMMYFUNCTION("GOOGLETRANSLATE(B178, ""en"", ""hr"")"),"Knjiga podrške uroka.")</f>
        <v>Knjiga podrške uroka.</v>
      </c>
      <c r="M178" s="28"/>
      <c r="N178" s="28"/>
      <c r="O178" s="28"/>
      <c r="P178" s="28"/>
      <c r="Q178" s="28"/>
      <c r="R178" s="28"/>
      <c r="S178" s="28"/>
      <c r="T178" s="28"/>
      <c r="U178" s="28"/>
      <c r="V178" s="28"/>
      <c r="W178" s="28"/>
      <c r="X178" s="28"/>
      <c r="Y178" s="28"/>
      <c r="Z178" s="28"/>
      <c r="AA178" s="28"/>
      <c r="AB178" s="28"/>
    </row>
    <row r="179">
      <c r="A179" s="21" t="s">
        <v>620</v>
      </c>
      <c r="B179" s="22" t="s">
        <v>621</v>
      </c>
      <c r="C179" s="23" t="str">
        <f>IFERROR(__xludf.DUMMYFUNCTION("GOOGLETRANSLATE(B179, ""en"", ""fr"")"),"Livre des âmes")</f>
        <v>Livre des âmes</v>
      </c>
      <c r="D179" s="23" t="str">
        <f>IFERROR(__xludf.DUMMYFUNCTION("GOOGLETRANSLATE(B179, ""en"", ""es"")"),"Libro de las almas")</f>
        <v>Libro de las almas</v>
      </c>
      <c r="E179" s="23" t="str">
        <f>IFERROR(__xludf.DUMMYFUNCTION("GOOGLETRANSLATE(B179, ""en"", ""ru"")"),"Книга душ")</f>
        <v>Книга душ</v>
      </c>
      <c r="F179" s="23" t="str">
        <f>IFERROR(__xludf.DUMMYFUNCTION("GOOGLETRANSLATE(B179, ""en"", ""tr"")"),"Ruhların Kitabı")</f>
        <v>Ruhların Kitabı</v>
      </c>
      <c r="G179" s="23" t="str">
        <f>IFERROR(__xludf.DUMMYFUNCTION("GOOGLETRANSLATE(B179, ""en"", ""pt"")"),"Livro de almas")</f>
        <v>Livro de almas</v>
      </c>
      <c r="H179" s="24" t="str">
        <f>IFERROR(__xludf.DUMMYFUNCTION("GOOGLETRANSLATE(B179, ""en"", ""de"")"),"Buch der Seelen")</f>
        <v>Buch der Seelen</v>
      </c>
      <c r="I179" s="23" t="str">
        <f>IFERROR(__xludf.DUMMYFUNCTION("GOOGLETRANSLATE(B179, ""en"", ""pl"")"),"Księga dusz")</f>
        <v>Księga dusz</v>
      </c>
      <c r="J179" s="25" t="str">
        <f>IFERROR(__xludf.DUMMYFUNCTION("GOOGLETRANSLATE(B179, ""en"", ""zh"")"),"灵魂之书")</f>
        <v>灵魂之书</v>
      </c>
      <c r="K179" s="25" t="str">
        <f>IFERROR(__xludf.DUMMYFUNCTION("GOOGLETRANSLATE(B179, ""en"", ""vi"")"),"Sách linh hồn")</f>
        <v>Sách linh hồn</v>
      </c>
      <c r="L179" s="26" t="str">
        <f>IFERROR(__xludf.DUMMYFUNCTION("GOOGLETRANSLATE(B179, ""en"", ""hr"")"),"Knjiga duše")</f>
        <v>Knjiga duše</v>
      </c>
      <c r="M179" s="28"/>
      <c r="N179" s="28"/>
      <c r="O179" s="28"/>
      <c r="P179" s="28"/>
      <c r="Q179" s="28"/>
      <c r="R179" s="28"/>
      <c r="S179" s="28"/>
      <c r="T179" s="28"/>
      <c r="U179" s="28"/>
      <c r="V179" s="28"/>
      <c r="W179" s="28"/>
      <c r="X179" s="28"/>
      <c r="Y179" s="28"/>
      <c r="Z179" s="28"/>
      <c r="AA179" s="28"/>
      <c r="AB179" s="28"/>
    </row>
    <row r="180">
      <c r="A180" s="21" t="s">
        <v>622</v>
      </c>
      <c r="B180" s="22" t="s">
        <v>623</v>
      </c>
      <c r="C180" s="23" t="str">
        <f>IFERROR(__xludf.DUMMYFUNCTION("GOOGLETRANSLATE(B180, ""en"", ""fr"")"),"Un livre de sorts d'invocation.")</f>
        <v>Un livre de sorts d'invocation.</v>
      </c>
      <c r="D180" s="23" t="str">
        <f>IFERROR(__xludf.DUMMYFUNCTION("GOOGLETRANSLATE(B180, ""en"", ""es"")"),"Un libro de invocar hechizos.")</f>
        <v>Un libro de invocar hechizos.</v>
      </c>
      <c r="E180" s="23" t="str">
        <f>IFERROR(__xludf.DUMMYFUNCTION("GOOGLETRANSLATE(B180, ""en"", ""ru"")"),"Книга вызова заклинаний.")</f>
        <v>Книга вызова заклинаний.</v>
      </c>
      <c r="F180" s="23" t="str">
        <f>IFERROR(__xludf.DUMMYFUNCTION("GOOGLETRANSLATE(B180, ""en"", ""tr"")"),"çağırma büyü bir kitap.")</f>
        <v>çağırma büyü bir kitap.</v>
      </c>
      <c r="G180" s="23" t="str">
        <f>IFERROR(__xludf.DUMMYFUNCTION("GOOGLETRANSLATE(B180, ""en"", ""pt"")"),"Um livro de magias de invocação.")</f>
        <v>Um livro de magias de invocação.</v>
      </c>
      <c r="H180" s="24" t="str">
        <f>IFERROR(__xludf.DUMMYFUNCTION("GOOGLETRANSLATE(B180, ""en"", ""de"")"),"Ein Buch Zauber der Einberufung.")</f>
        <v>Ein Buch Zauber der Einberufung.</v>
      </c>
      <c r="I180" s="23" t="str">
        <f>IFERROR(__xludf.DUMMYFUNCTION("GOOGLETRANSLATE(B180, ""en"", ""pl"")"),"Księga czarów przywołania.")</f>
        <v>Księga czarów przywołania.</v>
      </c>
      <c r="J180" s="25" t="str">
        <f>IFERROR(__xludf.DUMMYFUNCTION("GOOGLETRANSLATE(B180, ""en"", ""zh"")"),"书召唤法术。")</f>
        <v>书召唤法术。</v>
      </c>
      <c r="K180" s="25" t="str">
        <f>IFERROR(__xludf.DUMMYFUNCTION("GOOGLETRANSLATE(B180, ""en"", ""vi"")"),"Một cuốn sách triệu hồi phép thuật.")</f>
        <v>Một cuốn sách triệu hồi phép thuật.</v>
      </c>
      <c r="L180" s="26" t="str">
        <f>IFERROR(__xludf.DUMMYFUNCTION("GOOGLETRANSLATE(B180, ""en"", ""hr"")"),"Knjiga pozivanja uroka.")</f>
        <v>Knjiga pozivanja uroka.</v>
      </c>
      <c r="M180" s="28"/>
      <c r="N180" s="28"/>
      <c r="O180" s="28"/>
      <c r="P180" s="28"/>
      <c r="Q180" s="28"/>
      <c r="R180" s="28"/>
      <c r="S180" s="28"/>
      <c r="T180" s="28"/>
      <c r="U180" s="28"/>
      <c r="V180" s="28"/>
      <c r="W180" s="28"/>
      <c r="X180" s="28"/>
      <c r="Y180" s="28"/>
      <c r="Z180" s="28"/>
      <c r="AA180" s="28"/>
      <c r="AB180" s="28"/>
    </row>
    <row r="181">
      <c r="A181" s="21" t="s">
        <v>624</v>
      </c>
      <c r="B181" s="22" t="s">
        <v>625</v>
      </c>
      <c r="C181" s="23" t="str">
        <f>IFERROR(__xludf.DUMMYFUNCTION("GOOGLETRANSLATE(B181, ""en"", ""fr"")"),"flèches d'os")</f>
        <v>flèches d'os</v>
      </c>
      <c r="D181" s="23" t="str">
        <f>IFERROR(__xludf.DUMMYFUNCTION("GOOGLETRANSLATE(B181, ""en"", ""es"")"),"flechas de hueso")</f>
        <v>flechas de hueso</v>
      </c>
      <c r="E181" s="23" t="str">
        <f>IFERROR(__xludf.DUMMYFUNCTION("GOOGLETRANSLATE(B181, ""en"", ""ru"")"),"Костные стрелки")</f>
        <v>Костные стрелки</v>
      </c>
      <c r="F181" s="23" t="str">
        <f>IFERROR(__xludf.DUMMYFUNCTION("GOOGLETRANSLATE(B181, ""en"", ""tr"")"),"Kemik oklar")</f>
        <v>Kemik oklar</v>
      </c>
      <c r="G181" s="23" t="str">
        <f>IFERROR(__xludf.DUMMYFUNCTION("GOOGLETRANSLATE(B181, ""en"", ""pt"")"),"setas ósseas")</f>
        <v>setas ósseas</v>
      </c>
      <c r="H181" s="24" t="str">
        <f>IFERROR(__xludf.DUMMYFUNCTION("GOOGLETRANSLATE(B181, ""en"", ""de"")"),"Knochenpfeile")</f>
        <v>Knochenpfeile</v>
      </c>
      <c r="I181" s="23" t="str">
        <f>IFERROR(__xludf.DUMMYFUNCTION("GOOGLETRANSLATE(B181, ""en"", ""pl"")"),"strzałki kości")</f>
        <v>strzałki kości</v>
      </c>
      <c r="J181" s="25" t="str">
        <f>IFERROR(__xludf.DUMMYFUNCTION("GOOGLETRANSLATE(B181, ""en"", ""zh"")"),"骨箭")</f>
        <v>骨箭</v>
      </c>
      <c r="K181" s="25" t="str">
        <f>IFERROR(__xludf.DUMMYFUNCTION("GOOGLETRANSLATE(B181, ""en"", ""vi"")"),"mũi tên xương")</f>
        <v>mũi tên xương</v>
      </c>
      <c r="L181" s="26" t="str">
        <f>IFERROR(__xludf.DUMMYFUNCTION("GOOGLETRANSLATE(B181, ""en"", ""hr"")"),"Bone strelice")</f>
        <v>Bone strelice</v>
      </c>
      <c r="M181" s="28"/>
      <c r="N181" s="28"/>
      <c r="O181" s="28"/>
      <c r="P181" s="28"/>
      <c r="Q181" s="28"/>
      <c r="R181" s="28"/>
      <c r="S181" s="28"/>
      <c r="T181" s="28"/>
      <c r="U181" s="28"/>
      <c r="V181" s="28"/>
      <c r="W181" s="28"/>
      <c r="X181" s="28"/>
      <c r="Y181" s="28"/>
      <c r="Z181" s="28"/>
      <c r="AA181" s="28"/>
      <c r="AB181" s="28"/>
    </row>
    <row r="182">
      <c r="A182" s="21" t="s">
        <v>626</v>
      </c>
      <c r="B182" s="22" t="s">
        <v>464</v>
      </c>
      <c r="C182" s="23" t="str">
        <f>IFERROR(__xludf.DUMMYFUNCTION("GOOGLETRANSLATE(B182, ""en"", ""fr"")"),"Utilisé comme munitions pour un arc.")</f>
        <v>Utilisé comme munitions pour un arc.</v>
      </c>
      <c r="D182" s="23" t="str">
        <f>IFERROR(__xludf.DUMMYFUNCTION("GOOGLETRANSLATE(B182, ""en"", ""es"")"),"Se utiliza como munición para un arco.")</f>
        <v>Se utiliza como munición para un arco.</v>
      </c>
      <c r="E182" s="23" t="str">
        <f>IFERROR(__xludf.DUMMYFUNCTION("GOOGLETRANSLATE(B182, ""en"", ""ru"")"),"Используется в качестве боеприпасов для лука.")</f>
        <v>Используется в качестве боеприпасов для лука.</v>
      </c>
      <c r="F182" s="23" t="str">
        <f>IFERROR(__xludf.DUMMYFUNCTION("GOOGLETRANSLATE(B182, ""en"", ""tr"")"),"Bir yay için mühimmat olarak kullanılır.")</f>
        <v>Bir yay için mühimmat olarak kullanılır.</v>
      </c>
      <c r="G182" s="23" t="str">
        <f>IFERROR(__xludf.DUMMYFUNCTION("GOOGLETRANSLATE(B182, ""en"", ""pt"")"),"Usado como munição para um arco.")</f>
        <v>Usado como munição para um arco.</v>
      </c>
      <c r="H182" s="24" t="str">
        <f>IFERROR(__xludf.DUMMYFUNCTION("GOOGLETRANSLATE(B182, ""en"", ""de"")"),"Wird als Munition für einen Bogen.")</f>
        <v>Wird als Munition für einen Bogen.</v>
      </c>
      <c r="I182" s="23" t="str">
        <f>IFERROR(__xludf.DUMMYFUNCTION("GOOGLETRANSLATE(B182, ""en"", ""pl"")"),"Używany jako amunicji do łuku.")</f>
        <v>Używany jako amunicji do łuku.</v>
      </c>
      <c r="J182" s="25" t="str">
        <f>IFERROR(__xludf.DUMMYFUNCTION("GOOGLETRANSLATE(B182, ""en"", ""zh"")"),"作为弹药弓。")</f>
        <v>作为弹药弓。</v>
      </c>
      <c r="K182" s="25" t="str">
        <f>IFERROR(__xludf.DUMMYFUNCTION("GOOGLETRANSLATE(B182, ""en"", ""vi"")"),"Sử dụng như đạn dược cho một cây cung.")</f>
        <v>Sử dụng như đạn dược cho một cây cung.</v>
      </c>
      <c r="L182" s="26" t="str">
        <f>IFERROR(__xludf.DUMMYFUNCTION("GOOGLETRANSLATE(B182, ""en"", ""hr"")"),"Koristi se kao streljivo za luk.")</f>
        <v>Koristi se kao streljivo za luk.</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""fr"")"),"Peignoir")</f>
        <v>Peignoir</v>
      </c>
      <c r="D183" s="23" t="str">
        <f>IFERROR(__xludf.DUMMYFUNCTION("GOOGLETRANSLATE(B183, ""en"", ""es"")"),"Túnica")</f>
        <v>Túnica</v>
      </c>
      <c r="E183" s="23" t="str">
        <f>IFERROR(__xludf.DUMMYFUNCTION("GOOGLETRANSLATE(B183, ""en"", ""ru"")"),"Халат")</f>
        <v>Халат</v>
      </c>
      <c r="F183" s="23" t="str">
        <f>IFERROR(__xludf.DUMMYFUNCTION("GOOGLETRANSLATE(B183, ""en"", ""tr"")"),"Elbise")</f>
        <v>Elbise</v>
      </c>
      <c r="G183" s="23" t="str">
        <f>IFERROR(__xludf.DUMMYFUNCTION("GOOGLETRANSLATE(B183, ""en"", ""pt"")"),"robe")</f>
        <v>robe</v>
      </c>
      <c r="H183" s="24" t="str">
        <f>IFERROR(__xludf.DUMMYFUNCTION("GOOGLETRANSLATE(B183, ""en"", ""de"")"),"Kleid")</f>
        <v>Kleid</v>
      </c>
      <c r="I183" s="23" t="str">
        <f>IFERROR(__xludf.DUMMYFUNCTION("GOOGLETRANSLATE(B183, ""en"", ""pl"")"),"Szata")</f>
        <v>Szata</v>
      </c>
      <c r="J183" s="25" t="str">
        <f>IFERROR(__xludf.DUMMYFUNCTION("GOOGLETRANSLATE(B183, ""en"", ""zh"")"),"长袍")</f>
        <v>长袍</v>
      </c>
      <c r="K183" s="25" t="str">
        <f>IFERROR(__xludf.DUMMYFUNCTION("GOOGLETRANSLATE(B183, ""en"", ""vi"")"),"quần áo")</f>
        <v>quần áo</v>
      </c>
      <c r="L183" s="26" t="str">
        <f>IFERROR(__xludf.DUMMYFUNCTION("GOOGLETRANSLATE(B183, ""en"", ""hr"")"),"haljina")</f>
        <v>haljina</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""fr"")"),"Une robe simple. Augmente votre Potionry stat alors porté.")</f>
        <v>Une robe simple. Augmente votre Potionry stat alors porté.</v>
      </c>
      <c r="D184" s="23" t="str">
        <f>IFERROR(__xludf.DUMMYFUNCTION("GOOGLETRANSLATE(B184, ""en"", ""es"")"),"Un manto liso. Aumenta la estadística Potionry mientras se usa.")</f>
        <v>Un manto liso. Aumenta la estadística Potionry mientras se usa.</v>
      </c>
      <c r="E184" s="23" t="str">
        <f>IFERROR(__xludf.DUMMYFUNCTION("GOOGLETRANSLATE(B184, ""en"", ""ru"")"),"Простой халат. Повышает Potionry стат во время ношения.")</f>
        <v>Простой халат. Повышает Potionry стат во время ношения.</v>
      </c>
      <c r="F184" s="23" t="str">
        <f>IFERROR(__xludf.DUMMYFUNCTION("GOOGLETRANSLATE(B184, ""en"", ""tr"")"),"Düz cübbesi. yıpranmış ederken Potionry, stat artırır.")</f>
        <v>Düz cübbesi. yıpranmış ederken Potionry, stat artırır.</v>
      </c>
      <c r="G184" s="23" t="str">
        <f>IFERROR(__xludf.DUMMYFUNCTION("GOOGLETRANSLATE(B184, ""en"", ""pt"")"),"Um manto simples. Aumenta seu status Potionry enquanto desgastado.")</f>
        <v>Um manto simples. Aumenta seu status Potionry enquanto desgastado.</v>
      </c>
      <c r="H184" s="24" t="str">
        <f>IFERROR(__xludf.DUMMYFUNCTION("GOOGLETRANSLATE(B184, ""en"", ""de"")"),"Ein einfaches Gewand. Erhöht Eure Potionry stat während des Tragens.")</f>
        <v>Ein einfaches Gewand. Erhöht Eure Potionry stat während des Tragens.</v>
      </c>
      <c r="I184" s="23" t="str">
        <f>IFERROR(__xludf.DUMMYFUNCTION("GOOGLETRANSLATE(B184, ""en"", ""pl"")"),"Zwykły szatę. Zwiększa stat Potionry podczas noszenia.")</f>
        <v>Zwykły szatę. Zwiększa stat Potionry podczas noszenia.</v>
      </c>
      <c r="J184" s="25" t="str">
        <f>IFERROR(__xludf.DUMMYFUNCTION("GOOGLETRANSLATE(B184, ""en"", ""zh"")"),"一个普通的长袍。使你的Potionry统计而磨损。")</f>
        <v>一个普通的长袍。使你的Potionry统计而磨损。</v>
      </c>
      <c r="K184" s="25" t="str">
        <f>IFERROR(__xludf.DUMMYFUNCTION("GOOGLETRANSLATE(B184, ""en"", ""vi"")"),"Một chiếc áo choàng đơn giản. Tăng Potionry stat của bạn trong khi mặc.")</f>
        <v>Một chiếc áo choàng đơn giản. Tăng Potionry stat của bạn trong khi mặc.</v>
      </c>
      <c r="L184" s="26" t="str">
        <f>IFERROR(__xludf.DUMMYFUNCTION("GOOGLETRANSLATE(B184, ""en"", ""hr"")"),"Običan ogrtač. Povećava Potionry stat dok istrošena.")</f>
        <v>Običan ogrtač. Povećava Potionry stat dok istrošena.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""fr"")"),"robe Mage")</f>
        <v>robe Mage</v>
      </c>
      <c r="D185" s="23" t="str">
        <f>IFERROR(__xludf.DUMMYFUNCTION("GOOGLETRANSLATE(B185, ""en"", ""es"")"),"túnica de mago")</f>
        <v>túnica de mago</v>
      </c>
      <c r="E185" s="23" t="str">
        <f>IFERROR(__xludf.DUMMYFUNCTION("GOOGLETRANSLATE(B185, ""en"", ""ru"")"),"Mage халат")</f>
        <v>Mage халат</v>
      </c>
      <c r="F185" s="23" t="str">
        <f>IFERROR(__xludf.DUMMYFUNCTION("GOOGLETRANSLATE(B185, ""en"", ""tr"")"),"Mage elbise")</f>
        <v>Mage elbise</v>
      </c>
      <c r="G185" s="23" t="str">
        <f>IFERROR(__xludf.DUMMYFUNCTION("GOOGLETRANSLATE(B185, ""en"", ""pt"")"),"mago robe")</f>
        <v>mago robe</v>
      </c>
      <c r="H185" s="24" t="str">
        <f>IFERROR(__xludf.DUMMYFUNCTION("GOOGLETRANSLATE(B185, ""en"", ""de"")"),"Mage Robe")</f>
        <v>Mage Robe</v>
      </c>
      <c r="I185" s="23" t="str">
        <f>IFERROR(__xludf.DUMMYFUNCTION("GOOGLETRANSLATE(B185, ""en"", ""pl"")"),"Mage szata")</f>
        <v>Mage szata</v>
      </c>
      <c r="J185" s="25" t="str">
        <f>IFERROR(__xludf.DUMMYFUNCTION("GOOGLETRANSLATE(B185, ""en"", ""zh"")"),"法师长袍")</f>
        <v>法师长袍</v>
      </c>
      <c r="K185" s="25" t="str">
        <f>IFERROR(__xludf.DUMMYFUNCTION("GOOGLETRANSLATE(B185, ""en"", ""vi"")"),"Mage robe")</f>
        <v>Mage robe</v>
      </c>
      <c r="L185" s="26" t="str">
        <f>IFERROR(__xludf.DUMMYFUNCTION("GOOGLETRANSLATE(B185, ""en"", ""hr"")"),"Mage ogrtač")</f>
        <v>Mage ogrtač</v>
      </c>
      <c r="M185" s="28"/>
      <c r="N185" s="28"/>
      <c r="O185" s="28"/>
      <c r="P185" s="28"/>
      <c r="Q185" s="28"/>
      <c r="R185" s="28"/>
      <c r="S185" s="28"/>
      <c r="T185" s="28"/>
      <c r="U185" s="28"/>
      <c r="V185" s="28"/>
      <c r="W185" s="28"/>
      <c r="X185" s="28"/>
      <c r="Y185" s="28"/>
      <c r="Z185" s="28"/>
      <c r="AA185" s="28"/>
      <c r="AB185" s="28"/>
    </row>
    <row r="186">
      <c r="A186" s="21" t="s">
        <v>633</v>
      </c>
      <c r="B186" s="22" t="s">
        <v>634</v>
      </c>
      <c r="C186" s="23" t="str">
        <f>IFERROR(__xludf.DUMMYFUNCTION("GOOGLETRANSLATE(B186, ""en"", ""fr"")"),"Une robe de base pour faire de la magie en. Augmente votre stat magique tout porté.")</f>
        <v>Une robe de base pour faire de la magie en. Augmente votre stat magique tout porté.</v>
      </c>
      <c r="D186" s="23" t="str">
        <f>IFERROR(__xludf.DUMMYFUNCTION("GOOGLETRANSLATE(B186, ""en"", ""es"")"),"Una bata básico para hacer magia en. Aumenta la estadística magia mientras se usa.")</f>
        <v>Una bata básico para hacer magia en. Aumenta la estadística magia mientras se usa.</v>
      </c>
      <c r="E186" s="23" t="str">
        <f>IFERROR(__xludf.DUMMYFUNCTION("GOOGLETRANSLATE(B186, ""en"", ""ru"")"),"Основной халат для Поколдуем. Повышает Волшебный стат во время ношения.")</f>
        <v>Основной халат для Поколдуем. Повышает Волшебный стат во время ношения.</v>
      </c>
      <c r="F186" s="23" t="str">
        <f>IFERROR(__xludf.DUMMYFUNCTION("GOOGLETRANSLATE(B186, ""en"", ""tr"")"),"yıpranmış ise büyü yapmak için temel bir cübbesi. Magic, stat artırır.")</f>
        <v>yıpranmış ise büyü yapmak için temel bir cübbesi. Magic, stat artırır.</v>
      </c>
      <c r="G186" s="23" t="str">
        <f>IFERROR(__xludf.DUMMYFUNCTION("GOOGLETRANSLATE(B186, ""en"", ""pt"")"),"Um manto básico para fazer magia no. Aumenta seu status de Magia enquanto desgastado.")</f>
        <v>Um manto básico para fazer magia no. Aumenta seu status de Magia enquanto desgastado.</v>
      </c>
      <c r="H186" s="24" t="str">
        <f>IFERROR(__xludf.DUMMYFUNCTION("GOOGLETRANSLATE(B186, ""en"", ""de"")"),"Ein grundlegendes Gewand zu tun Magie. Erhöht den Zauber stat während des Tragens.")</f>
        <v>Ein grundlegendes Gewand zu tun Magie. Erhöht den Zauber stat während des Tragens.</v>
      </c>
      <c r="I186" s="23" t="str">
        <f>IFERROR(__xludf.DUMMYFUNCTION("GOOGLETRANSLATE(B186, ""en"", ""pl"")"),"Podstawowym szata dla prowadzenia magii. Zwiększa Magiczny stat podczas noszenia.")</f>
        <v>Podstawowym szata dla prowadzenia magii. Zwiększa Magiczny stat podczas noszenia.</v>
      </c>
      <c r="J186" s="25" t="str">
        <f>IFERROR(__xludf.DUMMYFUNCTION("GOOGLETRANSLATE(B186, ""en"", ""zh"")"),"在做魔术的基本长袍。使你的魔统计而磨损。")</f>
        <v>在做魔术的基本长袍。使你的魔统计而磨损。</v>
      </c>
      <c r="K186" s="25" t="str">
        <f>IFERROR(__xludf.DUMMYFUNCTION("GOOGLETRANSLATE(B186,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6" s="26" t="str">
        <f>IFERROR(__xludf.DUMMYFUNCTION("GOOGLETRANSLATE(B186, ""en"", ""hr"")"),"Osnovni ogrtač za obavljanje magijom. Povećava Magic stat dok istrošena.")</f>
        <v>Osnovni ogrtač za obavljanje magijom. Povećava Magic stat dok istrošena.</v>
      </c>
      <c r="M186" s="28"/>
      <c r="N186" s="28"/>
      <c r="O186" s="28"/>
      <c r="P186" s="28"/>
      <c r="Q186" s="28"/>
      <c r="R186" s="28"/>
      <c r="S186" s="28"/>
      <c r="T186" s="28"/>
      <c r="U186" s="28"/>
      <c r="V186" s="28"/>
      <c r="W186" s="28"/>
      <c r="X186" s="28"/>
      <c r="Y186" s="28"/>
      <c r="Z186" s="28"/>
      <c r="AA186" s="28"/>
      <c r="AB186" s="28"/>
    </row>
    <row r="187">
      <c r="A187" s="21" t="s">
        <v>635</v>
      </c>
      <c r="B187" s="22" t="s">
        <v>636</v>
      </c>
      <c r="C187" s="23" t="str">
        <f>IFERROR(__xludf.DUMMYFUNCTION("GOOGLETRANSLATE(B187, ""en"", ""fr"")"),"robe nécromancien")</f>
        <v>robe nécromancien</v>
      </c>
      <c r="D187" s="23" t="str">
        <f>IFERROR(__xludf.DUMMYFUNCTION("GOOGLETRANSLATE(B187, ""en"", ""es"")"),"bata Nigromante")</f>
        <v>bata Nigromante</v>
      </c>
      <c r="E187" s="23" t="str">
        <f>IFERROR(__xludf.DUMMYFUNCTION("GOOGLETRANSLATE(B187, ""en"", ""ru"")"),"Некромант халат")</f>
        <v>Некромант халат</v>
      </c>
      <c r="F187" s="23" t="str">
        <f>IFERROR(__xludf.DUMMYFUNCTION("GOOGLETRANSLATE(B187, ""en"", ""tr"")"),"Necromancer elbise")</f>
        <v>Necromancer elbise</v>
      </c>
      <c r="G187" s="23" t="str">
        <f>IFERROR(__xludf.DUMMYFUNCTION("GOOGLETRANSLATE(B187, ""en"", ""pt"")"),"Necromancer robe")</f>
        <v>Necromancer robe</v>
      </c>
      <c r="H187" s="24" t="str">
        <f>IFERROR(__xludf.DUMMYFUNCTION("GOOGLETRANSLATE(B187, ""en"", ""de"")"),"Necromancer Gewand")</f>
        <v>Necromancer Gewand</v>
      </c>
      <c r="I187" s="23" t="str">
        <f>IFERROR(__xludf.DUMMYFUNCTION("GOOGLETRANSLATE(B187, ""en"", ""pl"")"),"Nekromanta szata")</f>
        <v>Nekromanta szata</v>
      </c>
      <c r="J187" s="25" t="str">
        <f>IFERROR(__xludf.DUMMYFUNCTION("GOOGLETRANSLATE(B187, ""en"", ""zh"")"),"亡灵巫师长袍")</f>
        <v>亡灵巫师长袍</v>
      </c>
      <c r="K187" s="25" t="str">
        <f>IFERROR(__xludf.DUMMYFUNCTION("GOOGLETRANSLATE(B187, ""en"", ""vi"")"),"Necromancer robe")</f>
        <v>Necromancer robe</v>
      </c>
      <c r="L187" s="26" t="str">
        <f>IFERROR(__xludf.DUMMYFUNCTION("GOOGLETRANSLATE(B187, ""en"", ""hr"")"),"Necromancer ogrtač")</f>
        <v>Necromancer ogrtač</v>
      </c>
      <c r="M187" s="28"/>
      <c r="N187" s="28"/>
      <c r="O187" s="28"/>
      <c r="P187" s="28"/>
      <c r="Q187" s="28"/>
      <c r="R187" s="28"/>
      <c r="S187" s="28"/>
      <c r="T187" s="28"/>
      <c r="U187" s="28"/>
      <c r="V187" s="28"/>
      <c r="W187" s="28"/>
      <c r="X187" s="28"/>
      <c r="Y187" s="28"/>
      <c r="Z187" s="28"/>
      <c r="AA187" s="28"/>
      <c r="AB187" s="28"/>
    </row>
    <row r="188">
      <c r="A188" s="21" t="s">
        <v>637</v>
      </c>
      <c r="B188" s="22" t="s">
        <v>634</v>
      </c>
      <c r="C188" s="23" t="str">
        <f>IFERROR(__xludf.DUMMYFUNCTION("GOOGLETRANSLATE(B188, ""en"", ""fr"")"),"Une robe de base pour faire de la magie en. Augmente votre stat magique tout porté.")</f>
        <v>Une robe de base pour faire de la magie en. Augmente votre stat magique tout porté.</v>
      </c>
      <c r="D188" s="23" t="str">
        <f>IFERROR(__xludf.DUMMYFUNCTION("GOOGLETRANSLATE(B188, ""en"", ""es"")"),"Una bata básico para hacer magia en. Aumenta la estadística magia mientras se usa.")</f>
        <v>Una bata básico para hacer magia en. Aumenta la estadística magia mientras se usa.</v>
      </c>
      <c r="E188" s="23" t="str">
        <f>IFERROR(__xludf.DUMMYFUNCTION("GOOGLETRANSLATE(B188, ""en"", ""ru"")"),"Основной халат для Поколдуем. Повышает Волшебный стат во время ношения.")</f>
        <v>Основной халат для Поколдуем. Повышает Волшебный стат во время ношения.</v>
      </c>
      <c r="F188" s="23" t="str">
        <f>IFERROR(__xludf.DUMMYFUNCTION("GOOGLETRANSLATE(B188, ""en"", ""tr"")"),"yıpranmış ise büyü yapmak için temel bir cübbesi. Magic, stat artırır.")</f>
        <v>yıpranmış ise büyü yapmak için temel bir cübbesi. Magic, stat artırır.</v>
      </c>
      <c r="G188" s="23" t="str">
        <f>IFERROR(__xludf.DUMMYFUNCTION("GOOGLETRANSLATE(B188, ""en"", ""pt"")"),"Um manto básico para fazer magia no. Aumenta seu status de Magia enquanto desgastado.")</f>
        <v>Um manto básico para fazer magia no. Aumenta seu status de Magia enquanto desgastado.</v>
      </c>
      <c r="H188" s="24" t="str">
        <f>IFERROR(__xludf.DUMMYFUNCTION("GOOGLETRANSLATE(B188, ""en"", ""de"")"),"Ein grundlegendes Gewand zu tun Magie. Erhöht den Zauber stat während des Tragens.")</f>
        <v>Ein grundlegendes Gewand zu tun Magie. Erhöht den Zauber stat während des Tragens.</v>
      </c>
      <c r="I188" s="23" t="str">
        <f>IFERROR(__xludf.DUMMYFUNCTION("GOOGLETRANSLATE(B188, ""en"", ""pl"")"),"Podstawowym szata dla prowadzenia magii. Zwiększa Magiczny stat podczas noszenia.")</f>
        <v>Podstawowym szata dla prowadzenia magii. Zwiększa Magiczny stat podczas noszenia.</v>
      </c>
      <c r="J188" s="25" t="str">
        <f>IFERROR(__xludf.DUMMYFUNCTION("GOOGLETRANSLATE(B188, ""en"", ""zh"")"),"在做魔术的基本长袍。使你的魔统计而磨损。")</f>
        <v>在做魔术的基本长袍。使你的魔统计而磨损。</v>
      </c>
      <c r="K188" s="25" t="str">
        <f>IFERROR(__xludf.DUMMYFUNCTION("GOOGLETRANSLATE(B188,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8" s="26" t="str">
        <f>IFERROR(__xludf.DUMMYFUNCTION("GOOGLETRANSLATE(B188, ""en"", ""hr"")"),"Osnovni ogrtač za obavljanje magijom. Povećava Magic stat dok istrošena.")</f>
        <v>Osnovni ogrtač za obavljanje magijom. Povećava Magic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""fr"")"),"Manteau")</f>
        <v>Manteau</v>
      </c>
      <c r="D189" s="23" t="str">
        <f>IFERROR(__xludf.DUMMYFUNCTION("GOOGLETRANSLATE(B189, ""en"", ""es"")"),"Capa")</f>
        <v>Capa</v>
      </c>
      <c r="E189" s="23" t="str">
        <f>IFERROR(__xludf.DUMMYFUNCTION("GOOGLETRANSLATE(B189, ""en"", ""ru"")"),"плащ")</f>
        <v>плащ</v>
      </c>
      <c r="F189" s="23" t="str">
        <f>IFERROR(__xludf.DUMMYFUNCTION("GOOGLETRANSLATE(B189, ""en"", ""tr"")"),"Pelerin")</f>
        <v>Pelerin</v>
      </c>
      <c r="G189" s="23" t="str">
        <f>IFERROR(__xludf.DUMMYFUNCTION("GOOGLETRANSLATE(B189, ""en"", ""pt"")"),"Capa")</f>
        <v>Capa</v>
      </c>
      <c r="H189" s="24" t="str">
        <f>IFERROR(__xludf.DUMMYFUNCTION("GOOGLETRANSLATE(B189, ""en"", ""de"")"),"Mantel")</f>
        <v>Mantel</v>
      </c>
      <c r="I189" s="23" t="str">
        <f>IFERROR(__xludf.DUMMYFUNCTION("GOOGLETRANSLATE(B189, ""en"", ""pl"")"),"Płaszcz")</f>
        <v>Płaszcz</v>
      </c>
      <c r="J189" s="25" t="str">
        <f>IFERROR(__xludf.DUMMYFUNCTION("GOOGLETRANSLATE(B189, ""en"", ""zh"")"),"披风")</f>
        <v>披风</v>
      </c>
      <c r="K189" s="25" t="str">
        <f>IFERROR(__xludf.DUMMYFUNCTION("GOOGLETRANSLATE(B189, ""en"", ""vi"")"),"áo choàng")</f>
        <v>áo choàng</v>
      </c>
      <c r="L189" s="26" t="str">
        <f>IFERROR(__xludf.DUMMYFUNCTION("GOOGLETRANSLATE(B189, ""en"", ""hr"")"),"Plašt")</f>
        <v>Plašt</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 manteau de base pour le faire à distance. Les augmentations de votre stat tout porté à distance.")</f>
        <v>Un manteau de base pour le faire à distance. Les augmentations de votre stat tout porté à distance.</v>
      </c>
      <c r="D190" s="23" t="str">
        <f>IFERROR(__xludf.DUMMYFUNCTION("GOOGLETRANSLATE(B190, ""en"", ""es"")"),"Una capa básica para hacer oscilado en. Aumenta la estadística a distancia mientras se usa.")</f>
        <v>Una capa básica para hacer oscilado en. Aumenta la estadística a distancia mientras se usa.</v>
      </c>
      <c r="E190" s="23" t="str">
        <f>IFERROR(__xludf.DUMMYFUNCTION("GOOGLETRANSLATE(B190,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0" s="23" t="str">
        <f>IFERROR(__xludf.DUMMYFUNCTION("GOOGLETRANSLATE(B190, ""en"", ""tr"")"),"yıpranmış ederken değişmekteydi yapmak için bir temel pelerin. sizin Menzilli, stat artırır.")</f>
        <v>yıpranmış ederken değişmekteydi yapmak için bir temel pelerin. sizin Menzilli, stat artırır.</v>
      </c>
      <c r="G190" s="23" t="str">
        <f>IFERROR(__xludf.DUMMYFUNCTION("GOOGLETRANSLATE(B190, ""en"", ""pt"")"),"Um manto básica para fazer variou dentro. Aumenta seu status de Combate à distância enquanto desgastado.")</f>
        <v>Um manto básica para fazer variou dentro. Aumenta seu status de Combate à distância enquanto desgastado.</v>
      </c>
      <c r="H190" s="24" t="str">
        <f>IFERROR(__xludf.DUMMYFUNCTION("GOOGLETRANSLATE(B190, ""en"", ""de"")"),"Ein Grund Mantel für in reichte zu tun. Erhöht Eure Distanz stat während des Tragens.")</f>
        <v>Ein Grund Mantel für in reichte zu tun. Erhöht Eure Distanz stat während des Tragens.</v>
      </c>
      <c r="I190" s="23" t="str">
        <f>IFERROR(__xludf.DUMMYFUNCTION("GOOGLETRANSLATE(B190, ""en"", ""pl"")"),"Podstawowym płaszcz do prowadzenia wahał się. Zwiększa Ranged stat podczas noszenia.")</f>
        <v>Podstawowym płaszcz do prowadzenia wahał się. Zwiększa Ranged stat podczas noszenia.</v>
      </c>
      <c r="J190" s="25" t="str">
        <f>IFERROR(__xludf.DUMMYFUNCTION("GOOGLETRANSLATE(B190, ""en"", ""zh"")"),"在做着范围基本斗篷。使你的远程统计，而磨损。")</f>
        <v>在做着范围基本斗篷。使你的远程统计，而磨损。</v>
      </c>
      <c r="K190" s="25" t="str">
        <f>IFERROR(__xludf.DUMMYFUNCTION("GOOGLETRANSLATE(B190, ""en"", ""vi"")"),"Một chiếc áo choàng cơ bản để thực hiện dao động trong. Tăng stat Ranged của bạn trong khi mặc.")</f>
        <v>Một chiếc áo choàng cơ bản để thực hiện dao động trong. Tăng stat Ranged của bạn trong khi mặc.</v>
      </c>
      <c r="L190" s="26" t="str">
        <f>IFERROR(__xludf.DUMMYFUNCTION("GOOGLETRANSLATE(B190, ""en"", ""hr"")"),"Osnovni plašt za događaj u rasponu. Povećava kretala stat dok istrošena.")</f>
        <v>Osnovni plašt za događaj u rasponu. Povećava kretala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""fr"")"),"tenue Ninja")</f>
        <v>tenue Ninja</v>
      </c>
      <c r="D191" s="23" t="str">
        <f>IFERROR(__xludf.DUMMYFUNCTION("GOOGLETRANSLATE(B191, ""en"", ""es"")"),"atuendo Ninja")</f>
        <v>atuendo Ninja</v>
      </c>
      <c r="E191" s="23" t="str">
        <f>IFERROR(__xludf.DUMMYFUNCTION("GOOGLETRANSLATE(B191, ""en"", ""ru"")"),"Ninja одеяние")</f>
        <v>Ninja одеяние</v>
      </c>
      <c r="F191" s="23" t="str">
        <f>IFERROR(__xludf.DUMMYFUNCTION("GOOGLETRANSLATE(B191, ""en"", ""tr"")"),"Ninja garb")</f>
        <v>Ninja garb</v>
      </c>
      <c r="G191" s="23" t="str">
        <f>IFERROR(__xludf.DUMMYFUNCTION("GOOGLETRANSLATE(B191, ""en"", ""pt"")"),"traje Ninja")</f>
        <v>traje Ninja</v>
      </c>
      <c r="H191" s="24" t="str">
        <f>IFERROR(__xludf.DUMMYFUNCTION("GOOGLETRANSLATE(B191, ""en"", ""de"")"),"Ninja Gewand")</f>
        <v>Ninja Gewand</v>
      </c>
      <c r="I191" s="23" t="str">
        <f>IFERROR(__xludf.DUMMYFUNCTION("GOOGLETRANSLATE(B191, ""en"", ""pl"")"),"strój ninja")</f>
        <v>strój ninja</v>
      </c>
      <c r="J191" s="25" t="str">
        <f>IFERROR(__xludf.DUMMYFUNCTION("GOOGLETRANSLATE(B191, ""en"", ""zh"")"),"忍者装束")</f>
        <v>忍者装束</v>
      </c>
      <c r="K191" s="25" t="str">
        <f>IFERROR(__xludf.DUMMYFUNCTION("GOOGLETRANSLATE(B191, ""en"", ""vi"")"),"Ninja trang phục")</f>
        <v>Ninja trang phục</v>
      </c>
      <c r="L191" s="26" t="str">
        <f>IFERROR(__xludf.DUMMYFUNCTION("GOOGLETRANSLATE(B191, ""en"", ""hr"")"),"ninja odjeća")</f>
        <v>ninja odjeća</v>
      </c>
      <c r="M191" s="28"/>
      <c r="N191" s="28"/>
      <c r="O191" s="28"/>
      <c r="P191" s="28"/>
      <c r="Q191" s="28"/>
      <c r="R191" s="28"/>
      <c r="S191" s="28"/>
      <c r="T191" s="28"/>
      <c r="U191" s="28"/>
      <c r="V191" s="28"/>
      <c r="W191" s="28"/>
      <c r="X191" s="28"/>
      <c r="Y191" s="28"/>
      <c r="Z191" s="28"/>
      <c r="AA191" s="28"/>
      <c r="AB191" s="28"/>
    </row>
    <row r="192">
      <c r="A192" s="21" t="s">
        <v>644</v>
      </c>
      <c r="B192" s="22" t="s">
        <v>645</v>
      </c>
      <c r="C192" s="23" t="str">
        <f>IFERROR(__xludf.DUMMYFUNCTION("GOOGLETRANSLATE(B192, ""en"", ""fr"")"),"Augmente vos stats mêlée et à distance et cache votre nom tout porté.")</f>
        <v>Augmente vos stats mêlée et à distance et cache votre nom tout porté.</v>
      </c>
      <c r="D192" s="23" t="str">
        <f>IFERROR(__xludf.DUMMYFUNCTION("GOOGLETRANSLATE(B192, ""en"", ""es"")"),"Aumenta tus estadísticas cuerpo a cuerpo ya distancia y oculta su nombre mientras se usa.")</f>
        <v>Aumenta tus estadísticas cuerpo a cuerpo ya distancia y oculta su nombre mientras se usa.</v>
      </c>
      <c r="E192" s="23" t="str">
        <f>IFERROR(__xludf.DUMMYFUNCTION("GOOGLETRANSLATE(B192,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2" s="23" t="str">
        <f>IFERROR(__xludf.DUMMYFUNCTION("GOOGLETRANSLATE(B192, ""en"", ""tr"")"),"sizin Melee ve Menzilli istatistikleri artırır ve yıpranmış da sizin adınızı gizler.")</f>
        <v>sizin Melee ve Menzilli istatistikleri artırır ve yıpranmış da sizin adınızı gizler.</v>
      </c>
      <c r="G192" s="23" t="str">
        <f>IFERROR(__xludf.DUMMYFUNCTION("GOOGLETRANSLATE(B192, ""en"", ""pt"")"),"Aumenta suas estatísticas corpo a corpo e de longo alcance e esconde seu nome enquanto desgastado.")</f>
        <v>Aumenta suas estatísticas corpo a corpo e de longo alcance e esconde seu nome enquanto desgastado.</v>
      </c>
      <c r="H192" s="24" t="str">
        <f>IFERROR(__xludf.DUMMYFUNCTION("GOOGLETRANSLATE(B192, ""en"", ""de"")"),"Erhöht Eure Nahkampf- und Distanz Statistiken und versteckt Ihren Namen während des Tragens.")</f>
        <v>Erhöht Eure Nahkampf- und Distanz Statistiken und versteckt Ihren Namen während des Tragens.</v>
      </c>
      <c r="I192" s="23" t="str">
        <f>IFERROR(__xludf.DUMMYFUNCTION("GOOGLETRANSLATE(B192, ""en"", ""pl"")"),"Zwiększa walce wręcz oraz dystansowych statystyk i ukrywa swoje nazwisko podczas noszenia.")</f>
        <v>Zwiększa walce wręcz oraz dystansowych statystyk i ukrywa swoje nazwisko podczas noszenia.</v>
      </c>
      <c r="J192" s="25" t="str">
        <f>IFERROR(__xludf.DUMMYFUNCTION("GOOGLETRANSLATE(B192, ""en"", ""zh"")"),"使你的近战和远程统计信息和隐藏你的名字，而磨损。")</f>
        <v>使你的近战和远程统计信息和隐藏你的名字，而磨损。</v>
      </c>
      <c r="K192" s="25" t="str">
        <f>IFERROR(__xludf.DUMMYFUNCTION("GOOGLETRANSLATE(B192, ""en"", ""vi"")"),"Tăng số liệu thống kê Melee và Ranged của bạn và giấu tên của bạn trong khi mặc.")</f>
        <v>Tăng số liệu thống kê Melee và Ranged của bạn và giấu tên của bạn trong khi mặc.</v>
      </c>
      <c r="L192" s="26" t="str">
        <f>IFERROR(__xludf.DUMMYFUNCTION("GOOGLETRANSLATE(B192, ""en"", ""hr"")"),"Povećava gužva i kretao se statistika i skriva svoje ime, a nosio.")</f>
        <v>Povećava gužva i kretao se statistika i skriva svoje ime, a nosio.</v>
      </c>
      <c r="M192" s="28"/>
      <c r="N192" s="28"/>
      <c r="O192" s="28"/>
      <c r="P192" s="28"/>
      <c r="Q192" s="28"/>
      <c r="R192" s="28"/>
      <c r="S192" s="28"/>
      <c r="T192" s="28"/>
      <c r="U192" s="28"/>
      <c r="V192" s="28"/>
      <c r="W192" s="28"/>
      <c r="X192" s="28"/>
      <c r="Y192" s="28"/>
      <c r="Z192" s="28"/>
      <c r="AA192" s="28"/>
      <c r="AB192" s="28"/>
    </row>
    <row r="193">
      <c r="A193" s="21" t="s">
        <v>646</v>
      </c>
      <c r="B193" s="22" t="s">
        <v>647</v>
      </c>
      <c r="C193" s="23" t="str">
        <f>IFERROR(__xludf.DUMMYFUNCTION("GOOGLETRANSLATE(B193, ""en"", ""fr"")"),"Charte")</f>
        <v>Charte</v>
      </c>
      <c r="D193" s="23" t="str">
        <f>IFERROR(__xludf.DUMMYFUNCTION("GOOGLETRANSLATE(B193, ""en"", ""es"")"),"Carta")</f>
        <v>Carta</v>
      </c>
      <c r="E193" s="23" t="str">
        <f>IFERROR(__xludf.DUMMYFUNCTION("GOOGLETRANSLATE(B193, ""en"", ""ru"")"),"чартер")</f>
        <v>чартер</v>
      </c>
      <c r="F193" s="23" t="str">
        <f>IFERROR(__xludf.DUMMYFUNCTION("GOOGLETRANSLATE(B193, ""en"", ""tr"")"),"tüzük")</f>
        <v>tüzük</v>
      </c>
      <c r="G193" s="23" t="str">
        <f>IFERROR(__xludf.DUMMYFUNCTION("GOOGLETRANSLATE(B193, ""en"", ""pt"")"),"fretar")</f>
        <v>fretar</v>
      </c>
      <c r="H193" s="24" t="str">
        <f>IFERROR(__xludf.DUMMYFUNCTION("GOOGLETRANSLATE(B193, ""en"", ""de"")"),"Charta")</f>
        <v>Charta</v>
      </c>
      <c r="I193" s="23" t="str">
        <f>IFERROR(__xludf.DUMMYFUNCTION("GOOGLETRANSLATE(B193, ""en"", ""pl"")"),"Czarter")</f>
        <v>Czarter</v>
      </c>
      <c r="J193" s="25" t="str">
        <f>IFERROR(__xludf.DUMMYFUNCTION("GOOGLETRANSLATE(B193, ""en"", ""zh"")"),"宪章")</f>
        <v>宪章</v>
      </c>
      <c r="K193" s="25" t="str">
        <f>IFERROR(__xludf.DUMMYFUNCTION("GOOGLETRANSLATE(B193, ""en"", ""vi"")"),"hiến chương")</f>
        <v>hiến chương</v>
      </c>
      <c r="L193" s="26" t="str">
        <f>IFERROR(__xludf.DUMMYFUNCTION("GOOGLETRANSLATE(B193, ""en"", ""hr"")"),"Čarter")</f>
        <v>Čarter</v>
      </c>
      <c r="M193" s="28"/>
      <c r="N193" s="28"/>
      <c r="O193" s="28"/>
      <c r="P193" s="28"/>
      <c r="Q193" s="28"/>
      <c r="R193" s="28"/>
      <c r="S193" s="28"/>
      <c r="T193" s="28"/>
      <c r="U193" s="28"/>
      <c r="V193" s="28"/>
      <c r="W193" s="28"/>
      <c r="X193" s="28"/>
      <c r="Y193" s="28"/>
      <c r="Z193" s="28"/>
      <c r="AA193" s="28"/>
      <c r="AB193" s="28"/>
    </row>
    <row r="194">
      <c r="A194" s="21" t="s">
        <v>648</v>
      </c>
      <c r="B194" s="22" t="s">
        <v>649</v>
      </c>
      <c r="C194" s="23" t="str">
        <f>IFERROR(__xludf.DUMMYFUNCTION("GOOGLETRANSLATE(B194,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4" s="23" t="str">
        <f>IFERROR(__xludf.DUMMYFUNCTION("GOOGLETRANSLATE(B194,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4" s="23" t="str">
        <f>IFERROR(__xludf.DUMMYFUNCTION("GOOGLETRANSLATE(B194,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4" s="23" t="str">
        <f>IFERROR(__xludf.DUMMYFUNCTION("GOOGLETRANSLATE(B194,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4" s="23" t="str">
        <f>IFERROR(__xludf.DUMMYFUNCTION("GOOGLETRANSLATE(B194,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4" s="24" t="str">
        <f>IFERROR(__xludf.DUMMYFUNCTION("GOOGLETRANSLATE(B194,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4" s="23" t="str">
        <f>IFERROR(__xludf.DUMMYFUNCTION("GOOGLETRANSLATE(B194,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4" s="25" t="str">
        <f>IFERROR(__xludf.DUMMYFUNCTION("GOOGLETRANSLATE(B194, ""en"", ""zh"")"),"部族结构。开始的地方氏族。用于手艺其他氏族的结构。如果被破坏，氏族和所有的结构也被破坏了。")</f>
        <v>部族结构。开始的地方氏族。用于手艺其他氏族的结构。如果被破坏，氏族和所有的结构也被破坏了。</v>
      </c>
      <c r="K194" s="25" t="str">
        <f>IFERROR(__xludf.DUMMYFUNCTION("GOOGLETRANSLATE(B194,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4" s="26" t="str">
        <f>IFERROR(__xludf.DUMMYFUNCTION("GOOGLETRANSLATE(B194,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4" s="28"/>
      <c r="N194" s="28"/>
      <c r="O194" s="28"/>
      <c r="P194" s="28"/>
      <c r="Q194" s="28"/>
      <c r="R194" s="28"/>
      <c r="S194" s="28"/>
      <c r="T194" s="28"/>
      <c r="U194" s="28"/>
      <c r="V194" s="28"/>
      <c r="W194" s="28"/>
      <c r="X194" s="28"/>
      <c r="Y194" s="28"/>
      <c r="Z194" s="28"/>
      <c r="AA194" s="28"/>
      <c r="AB194" s="28"/>
    </row>
    <row r="195">
      <c r="A195" s="21" t="s">
        <v>650</v>
      </c>
      <c r="B195" s="22" t="s">
        <v>651</v>
      </c>
      <c r="C195" s="23" t="str">
        <f>IFERROR(__xludf.DUMMYFUNCTION("GOOGLETRANSLATE(B195, ""en"", ""fr"")"),"Mur de bois")</f>
        <v>Mur de bois</v>
      </c>
      <c r="D195" s="23" t="str">
        <f>IFERROR(__xludf.DUMMYFUNCTION("GOOGLETRANSLATE(B195, ""en"", ""es"")"),"pared de madera")</f>
        <v>pared de madera</v>
      </c>
      <c r="E195" s="23" t="str">
        <f>IFERROR(__xludf.DUMMYFUNCTION("GOOGLETRANSLATE(B195, ""en"", ""ru"")"),"Дерево стены")</f>
        <v>Дерево стены</v>
      </c>
      <c r="F195" s="23" t="str">
        <f>IFERROR(__xludf.DUMMYFUNCTION("GOOGLETRANSLATE(B195, ""en"", ""tr"")"),"Tahta duvar")</f>
        <v>Tahta duvar</v>
      </c>
      <c r="G195" s="23" t="str">
        <f>IFERROR(__xludf.DUMMYFUNCTION("GOOGLETRANSLATE(B195, ""en"", ""pt"")"),"Parede de madeira")</f>
        <v>Parede de madeira</v>
      </c>
      <c r="H195" s="24" t="str">
        <f>IFERROR(__xludf.DUMMYFUNCTION("GOOGLETRANSLATE(B195, ""en"", ""de"")"),"Holzwand")</f>
        <v>Holzwand</v>
      </c>
      <c r="I195" s="23" t="str">
        <f>IFERROR(__xludf.DUMMYFUNCTION("GOOGLETRANSLATE(B195, ""en"", ""pl"")"),"Drewniana ściana")</f>
        <v>Drewniana ściana</v>
      </c>
      <c r="J195" s="25" t="str">
        <f>IFERROR(__xludf.DUMMYFUNCTION("GOOGLETRANSLATE(B195, ""en"", ""zh"")"),"木墙上")</f>
        <v>木墙上</v>
      </c>
      <c r="K195" s="25" t="str">
        <f>IFERROR(__xludf.DUMMYFUNCTION("GOOGLETRANSLATE(B195, ""en"", ""vi"")"),"tường gỗ")</f>
        <v>tường gỗ</v>
      </c>
      <c r="L195" s="26" t="str">
        <f>IFERROR(__xludf.DUMMYFUNCTION("GOOGLETRANSLATE(B195, ""en"", ""hr"")"),"drvo zid")</f>
        <v>drvo zid</v>
      </c>
      <c r="M195" s="28"/>
      <c r="N195" s="28"/>
      <c r="O195" s="28"/>
      <c r="P195" s="28"/>
      <c r="Q195" s="28"/>
      <c r="R195" s="28"/>
      <c r="S195" s="28"/>
      <c r="T195" s="28"/>
      <c r="U195" s="28"/>
      <c r="V195" s="28"/>
      <c r="W195" s="28"/>
      <c r="X195" s="28"/>
      <c r="Y195" s="28"/>
      <c r="Z195" s="28"/>
      <c r="AA195" s="28"/>
      <c r="AB195" s="28"/>
    </row>
    <row r="196">
      <c r="A196" s="21" t="s">
        <v>652</v>
      </c>
      <c r="B196" s="22" t="s">
        <v>653</v>
      </c>
      <c r="C196" s="23" t="str">
        <f>IFERROR(__xludf.DUMMYFUNCTION("GOOGLETRANSLATE(B196, ""en"", ""fr"")"),"Structure du clan. A faible profondeur d'une base.")</f>
        <v>Structure du clan. A faible profondeur d'une base.</v>
      </c>
      <c r="D196" s="23" t="str">
        <f>IFERROR(__xludf.DUMMYFUNCTION("GOOGLETRANSLATE(B196, ""en"", ""es"")"),"estructura del clan. Una defensa débil para una base.")</f>
        <v>estructura del clan. Una defensa débil para una base.</v>
      </c>
      <c r="E196" s="23" t="str">
        <f>IFERROR(__xludf.DUMMYFUNCTION("GOOGLETRANSLATE(B196, ""en"", ""ru"")"),"Структура клана. Слабая защита для основы.")</f>
        <v>Структура клана. Слабая защита для основы.</v>
      </c>
      <c r="F196" s="23" t="str">
        <f>IFERROR(__xludf.DUMMYFUNCTION("GOOGLETRANSLATE(B196, ""en"", ""tr"")"),"Klan yapısı. Bir üs için zayıf bir savunma.")</f>
        <v>Klan yapısı. Bir üs için zayıf bir savunma.</v>
      </c>
      <c r="G196" s="23" t="str">
        <f>IFERROR(__xludf.DUMMYFUNCTION("GOOGLETRANSLATE(B196, ""en"", ""pt"")"),"estrutura clã. Uma fraca defesa para uma base.")</f>
        <v>estrutura clã. Uma fraca defesa para uma base.</v>
      </c>
      <c r="H196" s="24" t="str">
        <f>IFERROR(__xludf.DUMMYFUNCTION("GOOGLETRANSLATE(B196, ""en"", ""de"")"),"Clan-Struktur. Eine schwache Verteidigung für eine Basis.")</f>
        <v>Clan-Struktur. Eine schwache Verteidigung für eine Basis.</v>
      </c>
      <c r="I196" s="23" t="str">
        <f>IFERROR(__xludf.DUMMYFUNCTION("GOOGLETRANSLATE(B196, ""en"", ""pl"")"),"Struktura klanu. Słaba obrona dla zasady.")</f>
        <v>Struktura klanu. Słaba obrona dla zasady.</v>
      </c>
      <c r="J196" s="25" t="str">
        <f>IFERROR(__xludf.DUMMYFUNCTION("GOOGLETRANSLATE(B196, ""en"", ""zh"")"),"部族结构。弱防御基地。")</f>
        <v>部族结构。弱防御基地。</v>
      </c>
      <c r="K196" s="25" t="str">
        <f>IFERROR(__xludf.DUMMYFUNCTION("GOOGLETRANSLATE(B196, ""en"", ""vi"")"),"Clan cấu trúc. Một vệ yếu cho cơ sở.")</f>
        <v>Clan cấu trúc. Một vệ yếu cho cơ sở.</v>
      </c>
      <c r="L196" s="26" t="str">
        <f>IFERROR(__xludf.DUMMYFUNCTION("GOOGLETRANSLATE(B196, ""en"", ""hr"")"),"Clan struktura. Slaba obrana bazu.")</f>
        <v>Clan struktura. Slaba obrana bazu.</v>
      </c>
      <c r="M196" s="28"/>
      <c r="N196" s="28"/>
      <c r="O196" s="28"/>
      <c r="P196" s="28"/>
      <c r="Q196" s="28"/>
      <c r="R196" s="28"/>
      <c r="S196" s="28"/>
      <c r="T196" s="28"/>
      <c r="U196" s="28"/>
      <c r="V196" s="28"/>
      <c r="W196" s="28"/>
      <c r="X196" s="28"/>
      <c r="Y196" s="28"/>
      <c r="Z196" s="28"/>
      <c r="AA196" s="28"/>
      <c r="AB196" s="28"/>
    </row>
    <row r="197">
      <c r="A197" s="21" t="s">
        <v>654</v>
      </c>
      <c r="B197" s="22" t="s">
        <v>655</v>
      </c>
      <c r="C197" s="23" t="str">
        <f>IFERROR(__xludf.DUMMYFUNCTION("GOOGLETRANSLATE(B197, ""en"", ""fr"")"),"porte en bois")</f>
        <v>porte en bois</v>
      </c>
      <c r="D197" s="23" t="str">
        <f>IFERROR(__xludf.DUMMYFUNCTION("GOOGLETRANSLATE(B197, ""en"", ""es"")"),"Puerta de madera")</f>
        <v>Puerta de madera</v>
      </c>
      <c r="E197" s="23" t="str">
        <f>IFERROR(__xludf.DUMMYFUNCTION("GOOGLETRANSLATE(B197, ""en"", ""ru"")"),"Вуд двери")</f>
        <v>Вуд двери</v>
      </c>
      <c r="F197" s="23" t="str">
        <f>IFERROR(__xludf.DUMMYFUNCTION("GOOGLETRANSLATE(B197, ""en"", ""tr"")"),"Tahta kapı")</f>
        <v>Tahta kapı</v>
      </c>
      <c r="G197" s="23" t="str">
        <f>IFERROR(__xludf.DUMMYFUNCTION("GOOGLETRANSLATE(B197, ""en"", ""pt"")"),"porta de madeira")</f>
        <v>porta de madeira</v>
      </c>
      <c r="H197" s="24" t="str">
        <f>IFERROR(__xludf.DUMMYFUNCTION("GOOGLETRANSLATE(B197, ""en"", ""de"")"),"Holztür")</f>
        <v>Holztür</v>
      </c>
      <c r="I197" s="23" t="str">
        <f>IFERROR(__xludf.DUMMYFUNCTION("GOOGLETRANSLATE(B197, ""en"", ""pl"")"),"Drewniane drzwi")</f>
        <v>Drewniane drzwi</v>
      </c>
      <c r="J197" s="25" t="str">
        <f>IFERROR(__xludf.DUMMYFUNCTION("GOOGLETRANSLATE(B197, ""en"", ""zh"")"),"木门")</f>
        <v>木门</v>
      </c>
      <c r="K197" s="25" t="str">
        <f>IFERROR(__xludf.DUMMYFUNCTION("GOOGLETRANSLATE(B197, ""en"", ""vi"")"),"Cửa gô")</f>
        <v>Cửa gô</v>
      </c>
      <c r="L197" s="26" t="str">
        <f>IFERROR(__xludf.DUMMYFUNCTION("GOOGLETRANSLATE(B197, ""en"", ""hr"")"),"vrata drvo")</f>
        <v>vrata drvo</v>
      </c>
      <c r="M197" s="28"/>
      <c r="N197" s="28"/>
      <c r="O197" s="28"/>
      <c r="P197" s="28"/>
      <c r="Q197" s="28"/>
      <c r="R197" s="28"/>
      <c r="S197" s="28"/>
      <c r="T197" s="28"/>
      <c r="U197" s="28"/>
      <c r="V197" s="28"/>
      <c r="W197" s="28"/>
      <c r="X197" s="28"/>
      <c r="Y197" s="28"/>
      <c r="Z197" s="28"/>
      <c r="AA197" s="28"/>
      <c r="AB197" s="28"/>
    </row>
    <row r="198">
      <c r="A198" s="21" t="s">
        <v>656</v>
      </c>
      <c r="B198" s="22" t="s">
        <v>657</v>
      </c>
      <c r="C198" s="23" t="str">
        <f>IFERROR(__xludf.DUMMYFUNCTION("GOOGLETRANSLATE(B198, ""en"", ""fr"")"),"Structure du clan. Ne peut être ouvert par les membres du clan.")</f>
        <v>Structure du clan. Ne peut être ouvert par les membres du clan.</v>
      </c>
      <c r="D198" s="23" t="str">
        <f>IFERROR(__xludf.DUMMYFUNCTION("GOOGLETRANSLATE(B198, ""en"", ""es"")"),"estructura del clan. sólo puede ser abierto por los miembros del clan.")</f>
        <v>estructura del clan. sólo puede ser abierto por los miembros del clan.</v>
      </c>
      <c r="E198" s="23" t="str">
        <f>IFERROR(__xludf.DUMMYFUNCTION("GOOGLETRANSLATE(B198, ""en"", ""ru"")"),"Структура клана. Может быть открыт только членами клана.")</f>
        <v>Структура клана. Может быть открыт только членами клана.</v>
      </c>
      <c r="F198" s="23" t="str">
        <f>IFERROR(__xludf.DUMMYFUNCTION("GOOGLETRANSLATE(B198, ""en"", ""tr"")"),"Klan yapısı. Sadece klan üyeleri tarafından açılabilir.")</f>
        <v>Klan yapısı. Sadece klan üyeleri tarafından açılabilir.</v>
      </c>
      <c r="G198" s="23" t="str">
        <f>IFERROR(__xludf.DUMMYFUNCTION("GOOGLETRANSLATE(B198, ""en"", ""pt"")"),"estrutura clã. só pode ser aberto por membros do clã.")</f>
        <v>estrutura clã. só pode ser aberto por membros do clã.</v>
      </c>
      <c r="H198" s="24" t="str">
        <f>IFERROR(__xludf.DUMMYFUNCTION("GOOGLETRANSLATE(B198, ""en"", ""de"")"),"Clan-Struktur. Kann nur von Clan-Mitglieder geöffnet werden.")</f>
        <v>Clan-Struktur. Kann nur von Clan-Mitglieder geöffnet werden.</v>
      </c>
      <c r="I198" s="23" t="str">
        <f>IFERROR(__xludf.DUMMYFUNCTION("GOOGLETRANSLATE(B198, ""en"", ""pl"")"),"Struktura klanu. Mogą być otwierane tylko przez członków klanu.")</f>
        <v>Struktura klanu. Mogą być otwierane tylko przez członków klanu.</v>
      </c>
      <c r="J198" s="25" t="str">
        <f>IFERROR(__xludf.DUMMYFUNCTION("GOOGLETRANSLATE(B198, ""en"", ""zh"")"),"部族结构。只能由公会成员打开。")</f>
        <v>部族结构。只能由公会成员打开。</v>
      </c>
      <c r="K198" s="25" t="str">
        <f>IFERROR(__xludf.DUMMYFUNCTION("GOOGLETRANSLATE(B198, ""en"", ""vi"")"),"Clan cấu trúc. chỉ có thể được mở bởi các thành viên gia tộc.")</f>
        <v>Clan cấu trúc. chỉ có thể được mở bởi các thành viên gia tộc.</v>
      </c>
      <c r="L198" s="26" t="str">
        <f>IFERROR(__xludf.DUMMYFUNCTION("GOOGLETRANSLATE(B198, ""en"", ""hr"")"),"Clan struktura. Može se otvoriti samo članovima klana.")</f>
        <v>Clan struktura. Može se otvoriti samo članovima klana.</v>
      </c>
      <c r="M198" s="28"/>
      <c r="N198" s="28"/>
      <c r="O198" s="28"/>
      <c r="P198" s="28"/>
      <c r="Q198" s="28"/>
      <c r="R198" s="28"/>
      <c r="S198" s="28"/>
      <c r="T198" s="28"/>
      <c r="U198" s="28"/>
      <c r="V198" s="28"/>
      <c r="W198" s="28"/>
      <c r="X198" s="28"/>
      <c r="Y198" s="28"/>
      <c r="Z198" s="28"/>
      <c r="AA198" s="28"/>
      <c r="AB198" s="28"/>
    </row>
    <row r="199">
      <c r="A199" s="42" t="s">
        <v>658</v>
      </c>
      <c r="B199" s="22" t="s">
        <v>659</v>
      </c>
      <c r="C199" s="23" t="str">
        <f>IFERROR(__xludf.DUMMYFUNCTION("GOOGLETRANSLATE(B199, ""en"", ""fr"")"),"Mur de briques")</f>
        <v>Mur de briques</v>
      </c>
      <c r="D199" s="23" t="str">
        <f>IFERROR(__xludf.DUMMYFUNCTION("GOOGLETRANSLATE(B199, ""en"", ""es"")"),"Pared de ladrillo")</f>
        <v>Pared de ladrillo</v>
      </c>
      <c r="E199" s="23" t="str">
        <f>IFERROR(__xludf.DUMMYFUNCTION("GOOGLETRANSLATE(B199, ""en"", ""ru"")"),"Кирпичная стена")</f>
        <v>Кирпичная стена</v>
      </c>
      <c r="F199" s="23" t="str">
        <f>IFERROR(__xludf.DUMMYFUNCTION("GOOGLETRANSLATE(B199, ""en"", ""tr"")"),"Tuğla duvar")</f>
        <v>Tuğla duvar</v>
      </c>
      <c r="G199" s="23" t="str">
        <f>IFERROR(__xludf.DUMMYFUNCTION("GOOGLETRANSLATE(B199, ""en"", ""pt"")"),"Parede de tijolos")</f>
        <v>Parede de tijolos</v>
      </c>
      <c r="H199" s="24" t="str">
        <f>IFERROR(__xludf.DUMMYFUNCTION("GOOGLETRANSLATE(B199, ""en"", ""de"")"),"Ziegelwand")</f>
        <v>Ziegelwand</v>
      </c>
      <c r="I199" s="23" t="str">
        <f>IFERROR(__xludf.DUMMYFUNCTION("GOOGLETRANSLATE(B199, ""en"", ""pl"")"),"Ceglana ściana")</f>
        <v>Ceglana ściana</v>
      </c>
      <c r="J199" s="25" t="str">
        <f>IFERROR(__xludf.DUMMYFUNCTION("GOOGLETRANSLATE(B199, ""en"", ""zh"")"),"砖墙")</f>
        <v>砖墙</v>
      </c>
      <c r="K199" s="25" t="str">
        <f>IFERROR(__xludf.DUMMYFUNCTION("GOOGLETRANSLATE(B199, ""en"", ""vi"")"),"Tường gạch")</f>
        <v>Tường gạch</v>
      </c>
      <c r="L199" s="26" t="str">
        <f>IFERROR(__xludf.DUMMYFUNCTION("GOOGLETRANSLATE(B199, ""en"", ""hr"")"),"Zid od cigli")</f>
        <v>Zid od cigli</v>
      </c>
      <c r="M199" s="28"/>
      <c r="N199" s="28"/>
      <c r="O199" s="28"/>
      <c r="P199" s="28"/>
      <c r="Q199" s="28"/>
      <c r="R199" s="28"/>
      <c r="S199" s="28"/>
      <c r="T199" s="28"/>
      <c r="U199" s="28"/>
      <c r="V199" s="28"/>
      <c r="W199" s="28"/>
      <c r="X199" s="28"/>
      <c r="Y199" s="28"/>
      <c r="Z199" s="28"/>
      <c r="AA199" s="28"/>
      <c r="AB199" s="28"/>
    </row>
    <row r="200">
      <c r="A200" s="42" t="s">
        <v>660</v>
      </c>
      <c r="B200" s="22" t="s">
        <v>661</v>
      </c>
      <c r="C200" s="23" t="str">
        <f>IFERROR(__xludf.DUMMYFUNCTION("GOOGLETRANSLATE(B200, ""en"", ""fr"")"),"Structure du clan. Une bonne défense pour une base.")</f>
        <v>Structure du clan. Une bonne défense pour une base.</v>
      </c>
      <c r="D200" s="23" t="str">
        <f>IFERROR(__xludf.DUMMYFUNCTION("GOOGLETRANSLATE(B200, ""en"", ""es"")"),"estructura del clan. Una buena defensa para una base.")</f>
        <v>estructura del clan. Una buena defensa para una base.</v>
      </c>
      <c r="E200" s="23" t="str">
        <f>IFERROR(__xludf.DUMMYFUNCTION("GOOGLETRANSLATE(B200, ""en"", ""ru"")"),"Структура клана. Хорошая защита для базы.")</f>
        <v>Структура клана. Хорошая защита для базы.</v>
      </c>
      <c r="F200" s="23" t="str">
        <f>IFERROR(__xludf.DUMMYFUNCTION("GOOGLETRANSLATE(B200, ""en"", ""tr"")"),"Klan yapısı. bir üs için iyi bir savunma.")</f>
        <v>Klan yapısı. bir üs için iyi bir savunma.</v>
      </c>
      <c r="G200" s="23" t="str">
        <f>IFERROR(__xludf.DUMMYFUNCTION("GOOGLETRANSLATE(B200, ""en"", ""pt"")"),"estrutura clã. Uma boa defesa para uma base.")</f>
        <v>estrutura clã. Uma boa defesa para uma base.</v>
      </c>
      <c r="H200" s="24" t="str">
        <f>IFERROR(__xludf.DUMMYFUNCTION("GOOGLETRANSLATE(B200, ""en"", ""de"")"),"Clan-Struktur. Eine gute Verteidigung für eine Basis.")</f>
        <v>Clan-Struktur. Eine gute Verteidigung für eine Basis.</v>
      </c>
      <c r="I200" s="23" t="str">
        <f>IFERROR(__xludf.DUMMYFUNCTION("GOOGLETRANSLATE(B200, ""en"", ""pl"")"),"Struktura klanu. Dobrym obrony dla zasady.")</f>
        <v>Struktura klanu. Dobrym obrony dla zasady.</v>
      </c>
      <c r="J200" s="25" t="str">
        <f>IFERROR(__xludf.DUMMYFUNCTION("GOOGLETRANSLATE(B200, ""en"", ""zh"")"),"部族结构。一个好的防御基地。")</f>
        <v>部族结构。一个好的防御基地。</v>
      </c>
      <c r="K200" s="25" t="str">
        <f>IFERROR(__xludf.DUMMYFUNCTION("GOOGLETRANSLATE(B200, ""en"", ""vi"")"),"Clan cấu trúc. Một bảo vệ tốt cho một cơ sở.")</f>
        <v>Clan cấu trúc. Một bảo vệ tốt cho một cơ sở.</v>
      </c>
      <c r="L200" s="26" t="str">
        <f>IFERROR(__xludf.DUMMYFUNCTION("GOOGLETRANSLATE(B200, ""en"", ""hr"")"),"Clan struktura. Dobra obrana bazu.")</f>
        <v>Clan struktura. Dobra obrana bazu.</v>
      </c>
      <c r="M200" s="28"/>
      <c r="N200" s="28"/>
      <c r="O200" s="28"/>
      <c r="P200" s="28"/>
      <c r="Q200" s="28"/>
      <c r="R200" s="28"/>
      <c r="S200" s="28"/>
      <c r="T200" s="28"/>
      <c r="U200" s="28"/>
      <c r="V200" s="28"/>
      <c r="W200" s="28"/>
      <c r="X200" s="28"/>
      <c r="Y200" s="28"/>
      <c r="Z200" s="28"/>
      <c r="AA200" s="28"/>
      <c r="AB200" s="28"/>
    </row>
    <row r="201">
      <c r="A201" s="42" t="s">
        <v>662</v>
      </c>
      <c r="B201" s="22" t="s">
        <v>663</v>
      </c>
      <c r="C201" s="23" t="str">
        <f>IFERROR(__xludf.DUMMYFUNCTION("GOOGLETRANSLATE(B201, ""en"", ""fr"")"),"porte brique")</f>
        <v>porte brique</v>
      </c>
      <c r="D201" s="23" t="str">
        <f>IFERROR(__xludf.DUMMYFUNCTION("GOOGLETRANSLATE(B201, ""en"", ""es"")"),"puerta de ladrillo")</f>
        <v>puerta de ladrillo</v>
      </c>
      <c r="E201" s="23" t="str">
        <f>IFERROR(__xludf.DUMMYFUNCTION("GOOGLETRANSLATE(B201, ""en"", ""ru"")"),"Кирпич двери")</f>
        <v>Кирпич двери</v>
      </c>
      <c r="F201" s="23" t="str">
        <f>IFERROR(__xludf.DUMMYFUNCTION("GOOGLETRANSLATE(B201, ""en"", ""tr"")"),"Tuğla kapı")</f>
        <v>Tuğla kapı</v>
      </c>
      <c r="G201" s="23" t="str">
        <f>IFERROR(__xludf.DUMMYFUNCTION("GOOGLETRANSLATE(B201, ""en"", ""pt"")"),"porta tijolo")</f>
        <v>porta tijolo</v>
      </c>
      <c r="H201" s="24" t="str">
        <f>IFERROR(__xludf.DUMMYFUNCTION("GOOGLETRANSLATE(B201, ""en"", ""de"")"),"Brick Tür")</f>
        <v>Brick Tür</v>
      </c>
      <c r="I201" s="23" t="str">
        <f>IFERROR(__xludf.DUMMYFUNCTION("GOOGLETRANSLATE(B201, ""en"", ""pl"")"),"cegła drzwi")</f>
        <v>cegła drzwi</v>
      </c>
      <c r="J201" s="25" t="str">
        <f>IFERROR(__xludf.DUMMYFUNCTION("GOOGLETRANSLATE(B201, ""en"", ""zh"")"),"砖门")</f>
        <v>砖门</v>
      </c>
      <c r="K201" s="25" t="str">
        <f>IFERROR(__xludf.DUMMYFUNCTION("GOOGLETRANSLATE(B201, ""en"", ""vi"")"),"cửa gạch")</f>
        <v>cửa gạch</v>
      </c>
      <c r="L201" s="26" t="str">
        <f>IFERROR(__xludf.DUMMYFUNCTION("GOOGLETRANSLATE(B201, ""en"", ""hr"")"),"vrata Brick")</f>
        <v>vrata Brick</v>
      </c>
      <c r="M201" s="28"/>
      <c r="N201" s="28"/>
      <c r="O201" s="28"/>
      <c r="P201" s="28"/>
      <c r="Q201" s="28"/>
      <c r="R201" s="28"/>
      <c r="S201" s="28"/>
      <c r="T201" s="28"/>
      <c r="U201" s="28"/>
      <c r="V201" s="28"/>
      <c r="W201" s="28"/>
      <c r="X201" s="28"/>
      <c r="Y201" s="28"/>
      <c r="Z201" s="28"/>
      <c r="AA201" s="28"/>
      <c r="AB201" s="28"/>
    </row>
    <row r="202">
      <c r="A202" s="42" t="s">
        <v>664</v>
      </c>
      <c r="B202" s="22" t="s">
        <v>665</v>
      </c>
      <c r="C202" s="23" t="str">
        <f>IFERROR(__xludf.DUMMYFUNCTION("GOOGLETRANSLATE(B202, ""en"", ""fr"")"),"Structure du clan. Ne peut être ouvert par les membres du clan. Plus fort que une porte en bois.")</f>
        <v>Structure du clan. Ne peut être ouvert par les membres du clan. Plus fort que une porte en bois.</v>
      </c>
      <c r="D202" s="23" t="str">
        <f>IFERROR(__xludf.DUMMYFUNCTION("GOOGLETRANSLATE(B202, ""en"", ""es"")"),"estructura del clan. sólo puede ser abierto por los miembros del clan. Más fuerte que una puerta de madera.")</f>
        <v>estructura del clan. sólo puede ser abierto por los miembros del clan. Más fuerte que una puerta de madera.</v>
      </c>
      <c r="E202" s="23" t="str">
        <f>IFERROR(__xludf.DUMMYFUNCTION("GOOGLETRANSLATE(B202,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2" s="23" t="str">
        <f>IFERROR(__xludf.DUMMYFUNCTION("GOOGLETRANSLATE(B202, ""en"", ""tr"")"),"Klan yapısı. Sadece klan üyeleri tarafından açılabilir. Bir ahşap kapı daha güçlü.")</f>
        <v>Klan yapısı. Sadece klan üyeleri tarafından açılabilir. Bir ahşap kapı daha güçlü.</v>
      </c>
      <c r="G202" s="23" t="str">
        <f>IFERROR(__xludf.DUMMYFUNCTION("GOOGLETRANSLATE(B202, ""en"", ""pt"")"),"estrutura clã. só pode ser aberto por membros do clã. Mais forte do que uma porta de madeira.")</f>
        <v>estrutura clã. só pode ser aberto por membros do clã. Mais forte do que uma porta de madeira.</v>
      </c>
      <c r="H202" s="24" t="str">
        <f>IFERROR(__xludf.DUMMYFUNCTION("GOOGLETRANSLATE(B202, ""en"", ""de"")"),"Clan-Struktur. Kann nur von Clan-Mitglieder geöffnet werden. Stärker als eine Holztür.")</f>
        <v>Clan-Struktur. Kann nur von Clan-Mitglieder geöffnet werden. Stärker als eine Holztür.</v>
      </c>
      <c r="I202" s="23" t="str">
        <f>IFERROR(__xludf.DUMMYFUNCTION("GOOGLETRANSLATE(B202, ""en"", ""pl"")"),"Struktura klanu. Mogą być otwierane tylko przez członków klanu. Silniejsze niż drzwi drewnianych.")</f>
        <v>Struktura klanu. Mogą być otwierane tylko przez członków klanu. Silniejsze niż drzwi drewnianych.</v>
      </c>
      <c r="J202" s="25" t="str">
        <f>IFERROR(__xludf.DUMMYFUNCTION("GOOGLETRANSLATE(B202, ""en"", ""zh"")"),"部族结构。只能由公会成员打开。比木门更强。")</f>
        <v>部族结构。只能由公会成员打开。比木门更强。</v>
      </c>
      <c r="K202" s="25" t="str">
        <f>IFERROR(__xludf.DUMMYFUNCTION("GOOGLETRANSLATE(B202, ""en"", ""vi"")"),"Clan cấu trúc. chỉ có thể được mở bởi các thành viên gia tộc. Mạnh hơn một cánh cửa gỗ.")</f>
        <v>Clan cấu trúc. chỉ có thể được mở bởi các thành viên gia tộc. Mạnh hơn một cánh cửa gỗ.</v>
      </c>
      <c r="L202" s="26" t="str">
        <f>IFERROR(__xludf.DUMMYFUNCTION("GOOGLETRANSLATE(B202, ""en"", ""hr"")"),"Clan struktura. Može se otvoriti samo članovima klana. Jači od vrata drva.")</f>
        <v>Clan struktura. Može se otvoriti samo članovima klana. Jači od vrata drva.</v>
      </c>
      <c r="M202" s="28"/>
      <c r="N202" s="28"/>
      <c r="O202" s="28"/>
      <c r="P202" s="28"/>
      <c r="Q202" s="28"/>
      <c r="R202" s="28"/>
      <c r="S202" s="28"/>
      <c r="T202" s="28"/>
      <c r="U202" s="28"/>
      <c r="V202" s="28"/>
      <c r="W202" s="28"/>
      <c r="X202" s="28"/>
      <c r="Y202" s="28"/>
      <c r="Z202" s="28"/>
      <c r="AA202" s="28"/>
      <c r="AB202" s="28"/>
    </row>
    <row r="203">
      <c r="A203" s="42" t="s">
        <v>666</v>
      </c>
      <c r="B203" s="22" t="s">
        <v>667</v>
      </c>
      <c r="C203" s="23" t="str">
        <f>IFERROR(__xludf.DUMMYFUNCTION("GOOGLETRANSLATE(B203, ""en"", ""fr"")"),"Mur de fer")</f>
        <v>Mur de fer</v>
      </c>
      <c r="D203" s="23" t="str">
        <f>IFERROR(__xludf.DUMMYFUNCTION("GOOGLETRANSLATE(B203, ""en"", ""es"")"),"Muro de hierro")</f>
        <v>Muro de hierro</v>
      </c>
      <c r="E203" s="23" t="str">
        <f>IFERROR(__xludf.DUMMYFUNCTION("GOOGLETRANSLATE(B203, ""en"", ""ru"")"),"Железная стена")</f>
        <v>Железная стена</v>
      </c>
      <c r="F203" s="23" t="str">
        <f>IFERROR(__xludf.DUMMYFUNCTION("GOOGLETRANSLATE(B203, ""en"", ""tr"")"),"Demir duvar")</f>
        <v>Demir duvar</v>
      </c>
      <c r="G203" s="23" t="str">
        <f>IFERROR(__xludf.DUMMYFUNCTION("GOOGLETRANSLATE(B203, ""en"", ""pt"")"),"Parede de ferro")</f>
        <v>Parede de ferro</v>
      </c>
      <c r="H203" s="24" t="str">
        <f>IFERROR(__xludf.DUMMYFUNCTION("GOOGLETRANSLATE(B203, ""en"", ""de"")"),"Eisenwand")</f>
        <v>Eisenwand</v>
      </c>
      <c r="I203" s="23" t="str">
        <f>IFERROR(__xludf.DUMMYFUNCTION("GOOGLETRANSLATE(B203, ""en"", ""pl"")"),"Żelazna ściana")</f>
        <v>Żelazna ściana</v>
      </c>
      <c r="J203" s="25" t="str">
        <f>IFERROR(__xludf.DUMMYFUNCTION("GOOGLETRANSLATE(B203, ""en"", ""zh"")"),"铁壁")</f>
        <v>铁壁</v>
      </c>
      <c r="K203" s="25" t="str">
        <f>IFERROR(__xludf.DUMMYFUNCTION("GOOGLETRANSLATE(B203, ""en"", ""vi"")"),"Bức tường sắt")</f>
        <v>Bức tường sắt</v>
      </c>
      <c r="L203" s="26" t="str">
        <f>IFERROR(__xludf.DUMMYFUNCTION("GOOGLETRANSLATE(B203, ""en"", ""hr"")"),"Željezo zid")</f>
        <v>Željezo zid</v>
      </c>
      <c r="M203" s="28"/>
      <c r="N203" s="28"/>
      <c r="O203" s="28"/>
      <c r="P203" s="28"/>
      <c r="Q203" s="28"/>
      <c r="R203" s="28"/>
      <c r="S203" s="28"/>
      <c r="T203" s="28"/>
      <c r="U203" s="28"/>
      <c r="V203" s="28"/>
      <c r="W203" s="28"/>
      <c r="X203" s="28"/>
      <c r="Y203" s="28"/>
      <c r="Z203" s="28"/>
      <c r="AA203" s="28"/>
      <c r="AB203" s="28"/>
    </row>
    <row r="204">
      <c r="A204" s="42" t="s">
        <v>668</v>
      </c>
      <c r="B204" s="22" t="s">
        <v>669</v>
      </c>
      <c r="C204" s="23" t="str">
        <f>IFERROR(__xludf.DUMMYFUNCTION("GOOGLETRANSLATE(B204, ""en"", ""fr"")"),"Structure du clan. Une grande défense pour une base.")</f>
        <v>Structure du clan. Une grande défense pour une base.</v>
      </c>
      <c r="D204" s="23" t="str">
        <f>IFERROR(__xludf.DUMMYFUNCTION("GOOGLETRANSLATE(B204, ""en"", ""es"")"),"estructura del clan. Una gran defensa para una base.")</f>
        <v>estructura del clan. Una gran defensa para una base.</v>
      </c>
      <c r="E204" s="23" t="str">
        <f>IFERROR(__xludf.DUMMYFUNCTION("GOOGLETRANSLATE(B204, ""en"", ""ru"")"),"Структура клана. Большая защита для базы.")</f>
        <v>Структура клана. Большая защита для базы.</v>
      </c>
      <c r="F204" s="23" t="str">
        <f>IFERROR(__xludf.DUMMYFUNCTION("GOOGLETRANSLATE(B204, ""en"", ""tr"")"),"Klan yapısı. bir üs için büyük bir savunma.")</f>
        <v>Klan yapısı. bir üs için büyük bir savunma.</v>
      </c>
      <c r="G204" s="23" t="str">
        <f>IFERROR(__xludf.DUMMYFUNCTION("GOOGLETRANSLATE(B204, ""en"", ""pt"")"),"estrutura clã. Uma grande defesa para uma base.")</f>
        <v>estrutura clã. Uma grande defesa para uma base.</v>
      </c>
      <c r="H204" s="24" t="str">
        <f>IFERROR(__xludf.DUMMYFUNCTION("GOOGLETRANSLATE(B204, ""en"", ""de"")"),"Clan-Struktur. Eine große Verteidigung für eine Basis.")</f>
        <v>Clan-Struktur. Eine große Verteidigung für eine Basis.</v>
      </c>
      <c r="I204" s="23" t="str">
        <f>IFERROR(__xludf.DUMMYFUNCTION("GOOGLETRANSLATE(B204, ""en"", ""pl"")"),"Struktura klanu. Wielki obrony dla zasady.")</f>
        <v>Struktura klanu. Wielki obrony dla zasady.</v>
      </c>
      <c r="J204" s="25" t="str">
        <f>IFERROR(__xludf.DUMMYFUNCTION("GOOGLETRANSLATE(B204, ""en"", ""zh"")"),"部族结构。基极用出色的防守。")</f>
        <v>部族结构。基极用出色的防守。</v>
      </c>
      <c r="K204" s="25" t="str">
        <f>IFERROR(__xludf.DUMMYFUNCTION("GOOGLETRANSLATE(B204, ""en"", ""vi"")"),"Clan cấu trúc. Một bảo vệ tuyệt vời cho một cơ sở.")</f>
        <v>Clan cấu trúc. Một bảo vệ tuyệt vời cho một cơ sở.</v>
      </c>
      <c r="L204" s="26" t="str">
        <f>IFERROR(__xludf.DUMMYFUNCTION("GOOGLETRANSLATE(B204, ""en"", ""hr"")"),"Clan struktura. Velika obrana bazu.")</f>
        <v>Clan struktura. Velika obrana bazu.</v>
      </c>
      <c r="M204" s="28"/>
      <c r="N204" s="28"/>
      <c r="O204" s="28"/>
      <c r="P204" s="28"/>
      <c r="Q204" s="28"/>
      <c r="R204" s="28"/>
      <c r="S204" s="28"/>
      <c r="T204" s="28"/>
      <c r="U204" s="28"/>
      <c r="V204" s="28"/>
      <c r="W204" s="28"/>
      <c r="X204" s="28"/>
      <c r="Y204" s="28"/>
      <c r="Z204" s="28"/>
      <c r="AA204" s="28"/>
      <c r="AB204" s="28"/>
    </row>
    <row r="205">
      <c r="A205" s="42" t="s">
        <v>670</v>
      </c>
      <c r="B205" s="22" t="s">
        <v>671</v>
      </c>
      <c r="C205" s="23" t="str">
        <f>IFERROR(__xludf.DUMMYFUNCTION("GOOGLETRANSLATE(B205, ""en"", ""fr"")"),"Porte en fer")</f>
        <v>Porte en fer</v>
      </c>
      <c r="D205" s="23" t="str">
        <f>IFERROR(__xludf.DUMMYFUNCTION("GOOGLETRANSLATE(B205, ""en"", ""es"")"),"Puerta de Hierro")</f>
        <v>Puerta de Hierro</v>
      </c>
      <c r="E205" s="23" t="str">
        <f>IFERROR(__xludf.DUMMYFUNCTION("GOOGLETRANSLATE(B205, ""en"", ""ru"")"),"Железные двери")</f>
        <v>Железные двери</v>
      </c>
      <c r="F205" s="23" t="str">
        <f>IFERROR(__xludf.DUMMYFUNCTION("GOOGLETRANSLATE(B205, ""en"", ""tr"")"),"Demir kapı")</f>
        <v>Demir kapı</v>
      </c>
      <c r="G205" s="23" t="str">
        <f>IFERROR(__xludf.DUMMYFUNCTION("GOOGLETRANSLATE(B205, ""en"", ""pt"")"),"Porta de ferro")</f>
        <v>Porta de ferro</v>
      </c>
      <c r="H205" s="24" t="str">
        <f>IFERROR(__xludf.DUMMYFUNCTION("GOOGLETRANSLATE(B205, ""en"", ""de"")"),"Eiserne Tür")</f>
        <v>Eiserne Tür</v>
      </c>
      <c r="I205" s="23" t="str">
        <f>IFERROR(__xludf.DUMMYFUNCTION("GOOGLETRANSLATE(B205, ""en"", ""pl"")"),"Żelazne drzwi")</f>
        <v>Żelazne drzwi</v>
      </c>
      <c r="J205" s="25" t="str">
        <f>IFERROR(__xludf.DUMMYFUNCTION("GOOGLETRANSLATE(B205, ""en"", ""zh"")"),"铁艺大门")</f>
        <v>铁艺大门</v>
      </c>
      <c r="K205" s="25" t="str">
        <f>IFERROR(__xludf.DUMMYFUNCTION("GOOGLETRANSLATE(B205, ""en"", ""vi"")"),"Cửa sắt")</f>
        <v>Cửa sắt</v>
      </c>
      <c r="L205" s="26" t="str">
        <f>IFERROR(__xludf.DUMMYFUNCTION("GOOGLETRANSLATE(B205, ""en"", ""hr"")"),"željezna vrata")</f>
        <v>željezna vrata</v>
      </c>
      <c r="M205" s="28"/>
      <c r="N205" s="28"/>
      <c r="O205" s="28"/>
      <c r="P205" s="28"/>
      <c r="Q205" s="28"/>
      <c r="R205" s="28"/>
      <c r="S205" s="28"/>
      <c r="T205" s="28"/>
      <c r="U205" s="28"/>
      <c r="V205" s="28"/>
      <c r="W205" s="28"/>
      <c r="X205" s="28"/>
      <c r="Y205" s="28"/>
      <c r="Z205" s="28"/>
      <c r="AA205" s="28"/>
      <c r="AB205" s="28"/>
    </row>
    <row r="206">
      <c r="A206" s="42" t="s">
        <v>672</v>
      </c>
      <c r="B206" s="22" t="s">
        <v>673</v>
      </c>
      <c r="C206" s="23" t="str">
        <f>IFERROR(__xludf.DUMMYFUNCTION("GOOGLETRANSLATE(B206, ""en"", ""fr"")"),"Structure du clan. Ne peut être ouvert par les membres du clan. Plus fort que la porte de briques.")</f>
        <v>Structure du clan. Ne peut être ouvert par les membres du clan. Plus fort que la porte de briques.</v>
      </c>
      <c r="D206" s="23" t="str">
        <f>IFERROR(__xludf.DUMMYFUNCTION("GOOGLETRANSLATE(B206, ""en"", ""es"")"),"estructura del clan. sólo puede ser abierto por los miembros del clan. Más fuerte que una puerta de ladrillo.")</f>
        <v>estructura del clan. sólo puede ser abierto por los miembros del clan. Más fuerte que una puerta de ladrillo.</v>
      </c>
      <c r="E206" s="23" t="str">
        <f>IFERROR(__xludf.DUMMYFUNCTION("GOOGLETRANSLATE(B206,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06" s="23" t="str">
        <f>IFERROR(__xludf.DUMMYFUNCTION("GOOGLETRANSLATE(B206, ""en"", ""tr"")"),"Klan yapısı. Sadece klan üyeleri tarafından açılabilir. Bir tuğla kapı daha güçlü.")</f>
        <v>Klan yapısı. Sadece klan üyeleri tarafından açılabilir. Bir tuğla kapı daha güçlü.</v>
      </c>
      <c r="G206" s="23" t="str">
        <f>IFERROR(__xludf.DUMMYFUNCTION("GOOGLETRANSLATE(B206, ""en"", ""pt"")"),"estrutura clã. só pode ser aberto por membros do clã. Mais forte do que uma porta de tijolo.")</f>
        <v>estrutura clã. só pode ser aberto por membros do clã. Mais forte do que uma porta de tijolo.</v>
      </c>
      <c r="H206" s="24" t="str">
        <f>IFERROR(__xludf.DUMMYFUNCTION("GOOGLETRANSLATE(B206, ""en"", ""de"")"),"Clan-Struktur. Kann nur von Clan-Mitglieder geöffnet werden. Stärker als ein Ziegel Tür.")</f>
        <v>Clan-Struktur. Kann nur von Clan-Mitglieder geöffnet werden. Stärker als ein Ziegel Tür.</v>
      </c>
      <c r="I206" s="23" t="str">
        <f>IFERROR(__xludf.DUMMYFUNCTION("GOOGLETRANSLATE(B206, ""en"", ""pl"")"),"Struktura klanu. Mogą być otwierane tylko przez członków klanu. Silniejsze niż drzwi cegły.")</f>
        <v>Struktura klanu. Mogą być otwierane tylko przez członków klanu. Silniejsze niż drzwi cegły.</v>
      </c>
      <c r="J206" s="25" t="str">
        <f>IFERROR(__xludf.DUMMYFUNCTION("GOOGLETRANSLATE(B206, ""en"", ""zh"")"),"部族结构。只能由公会成员打开。比砖门更强。")</f>
        <v>部族结构。只能由公会成员打开。比砖门更强。</v>
      </c>
      <c r="K206" s="25" t="str">
        <f>IFERROR(__xludf.DUMMYFUNCTION("GOOGLETRANSLATE(B206, ""en"", ""vi"")"),"Clan cấu trúc. chỉ có thể được mở bởi các thành viên gia tộc. Mạnh hơn một cánh cửa bằng gạch.")</f>
        <v>Clan cấu trúc. chỉ có thể được mở bởi các thành viên gia tộc. Mạnh hơn một cánh cửa bằng gạch.</v>
      </c>
      <c r="L206" s="26" t="str">
        <f>IFERROR(__xludf.DUMMYFUNCTION("GOOGLETRANSLATE(B206, ""en"", ""hr"")"),"Clan struktura. Može se otvoriti samo članovima klana. Jači od vrata opeke.")</f>
        <v>Clan struktura. Može se otvoriti samo članovima klana. Jači od vrata opeke.</v>
      </c>
      <c r="M206" s="28"/>
      <c r="N206" s="28"/>
      <c r="O206" s="28"/>
      <c r="P206" s="28"/>
      <c r="Q206" s="28"/>
      <c r="R206" s="28"/>
      <c r="S206" s="28"/>
      <c r="T206" s="28"/>
      <c r="U206" s="28"/>
      <c r="V206" s="28"/>
      <c r="W206" s="28"/>
      <c r="X206" s="28"/>
      <c r="Y206" s="28"/>
      <c r="Z206" s="28"/>
      <c r="AA206" s="28"/>
      <c r="AB206" s="28"/>
    </row>
    <row r="207">
      <c r="A207" s="21" t="s">
        <v>674</v>
      </c>
      <c r="B207" s="22" t="s">
        <v>675</v>
      </c>
      <c r="C207" s="23" t="str">
        <f>IFERROR(__xludf.DUMMYFUNCTION("GOOGLETRANSLATE(B207, ""en"", ""fr"")"),"Banque poitrine")</f>
        <v>Banque poitrine</v>
      </c>
      <c r="D207" s="23" t="str">
        <f>IFERROR(__xludf.DUMMYFUNCTION("GOOGLETRANSLATE(B207, ""en"", ""es"")"),"pecho bancaria")</f>
        <v>pecho bancaria</v>
      </c>
      <c r="E207" s="23" t="str">
        <f>IFERROR(__xludf.DUMMYFUNCTION("GOOGLETRANSLATE(B207, ""en"", ""ru"")"),"Банк груди")</f>
        <v>Банк груди</v>
      </c>
      <c r="F207" s="23" t="str">
        <f>IFERROR(__xludf.DUMMYFUNCTION("GOOGLETRANSLATE(B207, ""en"", ""tr"")"),"Banka göğüs")</f>
        <v>Banka göğüs</v>
      </c>
      <c r="G207" s="23" t="str">
        <f>IFERROR(__xludf.DUMMYFUNCTION("GOOGLETRANSLATE(B207, ""en"", ""pt"")"),"peito Banco")</f>
        <v>peito Banco</v>
      </c>
      <c r="H207" s="24" t="str">
        <f>IFERROR(__xludf.DUMMYFUNCTION("GOOGLETRANSLATE(B207, ""en"", ""de"")"),"Bank Brust")</f>
        <v>Bank Brust</v>
      </c>
      <c r="I207" s="23" t="str">
        <f>IFERROR(__xludf.DUMMYFUNCTION("GOOGLETRANSLATE(B207, ""en"", ""pl"")"),"Bank w klatce piersiowej")</f>
        <v>Bank w klatce piersiowej</v>
      </c>
      <c r="J207" s="25" t="str">
        <f>IFERROR(__xludf.DUMMYFUNCTION("GOOGLETRANSLATE(B207, ""en"", ""zh"")"),"银行胸部")</f>
        <v>银行胸部</v>
      </c>
      <c r="K207" s="25" t="str">
        <f>IFERROR(__xludf.DUMMYFUNCTION("GOOGLETRANSLATE(B207, ""en"", ""vi"")"),"Ngân hàng ngực")</f>
        <v>Ngân hàng ngực</v>
      </c>
      <c r="L207" s="26" t="str">
        <f>IFERROR(__xludf.DUMMYFUNCTION("GOOGLETRANSLATE(B207, ""en"", ""hr"")"),"banke u prsima")</f>
        <v>banke u prsima</v>
      </c>
      <c r="M207" s="28"/>
      <c r="N207" s="28"/>
      <c r="O207" s="28"/>
      <c r="P207" s="28"/>
      <c r="Q207" s="28"/>
      <c r="R207" s="28"/>
      <c r="S207" s="28"/>
      <c r="T207" s="28"/>
      <c r="U207" s="28"/>
      <c r="V207" s="28"/>
      <c r="W207" s="28"/>
      <c r="X207" s="28"/>
      <c r="Y207" s="28"/>
      <c r="Z207" s="28"/>
      <c r="AA207" s="28"/>
      <c r="AB207" s="28"/>
    </row>
    <row r="208">
      <c r="A208" s="21" t="s">
        <v>676</v>
      </c>
      <c r="B208" s="22" t="s">
        <v>677</v>
      </c>
      <c r="C208" s="23" t="str">
        <f>IFERROR(__xludf.DUMMYFUNCTION("GOOGLETRANSLATE(B208, ""en"", ""fr"")"),"Structure du clan. Permet d'accéder à votre stockage bancaire personnel.")</f>
        <v>Structure du clan. Permet d'accéder à votre stockage bancaire personnel.</v>
      </c>
      <c r="D208" s="23" t="str">
        <f>IFERROR(__xludf.DUMMYFUNCTION("GOOGLETRANSLATE(B208, ""en"", ""es"")"),"estructura del clan. Da acceso a su almacenamiento bancaria personal.")</f>
        <v>estructura del clan. Da acceso a su almacenamiento bancaria personal.</v>
      </c>
      <c r="E208" s="23" t="str">
        <f>IFERROR(__xludf.DUMMYFUNCTION("GOOGLETRANSLATE(B208, ""en"", ""ru"")"),"Структура клана. Дает доступ к вашим личным банковским хранения.")</f>
        <v>Структура клана. Дает доступ к вашим личным банковским хранения.</v>
      </c>
      <c r="F208" s="23" t="str">
        <f>IFERROR(__xludf.DUMMYFUNCTION("GOOGLETRANSLATE(B208, ""en"", ""tr"")"),"Klan yapısı. Kişisel banka depolama erişim sağlar.")</f>
        <v>Klan yapısı. Kişisel banka depolama erişim sağlar.</v>
      </c>
      <c r="G208" s="23" t="str">
        <f>IFERROR(__xludf.DUMMYFUNCTION("GOOGLETRANSLATE(B208, ""en"", ""pt"")"),"estrutura clã. Dá acesso ao seu armazenamento bancária pessoal.")</f>
        <v>estrutura clã. Dá acesso ao seu armazenamento bancária pessoal.</v>
      </c>
      <c r="H208" s="24" t="str">
        <f>IFERROR(__xludf.DUMMYFUNCTION("GOOGLETRANSLATE(B208, ""en"", ""de"")"),"Clan-Struktur. Ermöglicht den Zugriff auf Ihre persönlichen Bankspeicher.")</f>
        <v>Clan-Struktur. Ermöglicht den Zugriff auf Ihre persönlichen Bankspeicher.</v>
      </c>
      <c r="I208" s="23" t="str">
        <f>IFERROR(__xludf.DUMMYFUNCTION("GOOGLETRANSLATE(B208, ""en"", ""pl"")"),"Struktura klanu. Daje dostęp do osobistego przechowywania bankowego.")</f>
        <v>Struktura klanu. Daje dostęp do osobistego przechowywania bankowego.</v>
      </c>
      <c r="J208" s="25" t="str">
        <f>IFERROR(__xludf.DUMMYFUNCTION("GOOGLETRANSLATE(B208, ""en"", ""zh"")"),"部族结构。可以访问您的个人银行存储。")</f>
        <v>部族结构。可以访问您的个人银行存储。</v>
      </c>
      <c r="K208" s="25" t="str">
        <f>IFERROR(__xludf.DUMMYFUNCTION("GOOGLETRANSLATE(B208, ""en"", ""vi"")"),"Clan cấu trúc. Cho phép truy cập để lưu trữ ngân hàng cá nhân của bạn.")</f>
        <v>Clan cấu trúc. Cho phép truy cập để lưu trữ ngân hàng cá nhân của bạn.</v>
      </c>
      <c r="L208" s="26" t="str">
        <f>IFERROR(__xludf.DUMMYFUNCTION("GOOGLETRANSLATE(B208, ""en"", ""hr"")"),"Clan struktura. Daje pristup vašim osobnim pohranu banke.")</f>
        <v>Clan struktura. Daje pristup vašim osobnim pohranu banke.</v>
      </c>
      <c r="M208" s="28"/>
      <c r="N208" s="28"/>
      <c r="O208" s="28"/>
      <c r="P208" s="28"/>
      <c r="Q208" s="28"/>
      <c r="R208" s="28"/>
      <c r="S208" s="28"/>
      <c r="T208" s="28"/>
      <c r="U208" s="28"/>
      <c r="V208" s="28"/>
      <c r="W208" s="28"/>
      <c r="X208" s="28"/>
      <c r="Y208" s="28"/>
      <c r="Z208" s="28"/>
      <c r="AA208" s="28"/>
      <c r="AB208" s="28"/>
    </row>
    <row r="209">
      <c r="A209" s="21" t="s">
        <v>678</v>
      </c>
      <c r="B209" s="22" t="s">
        <v>302</v>
      </c>
      <c r="C209" s="23" t="str">
        <f>IFERROR(__xludf.DUMMYFUNCTION("GOOGLETRANSLATE(B209, ""en"", ""fr"")"),"Table de travail")</f>
        <v>Table de travail</v>
      </c>
      <c r="D209" s="23" t="str">
        <f>IFERROR(__xludf.DUMMYFUNCTION("GOOGLETRANSLATE(B209, ""en"", ""es"")"),"Workbench")</f>
        <v>Workbench</v>
      </c>
      <c r="E209" s="23" t="str">
        <f>IFERROR(__xludf.DUMMYFUNCTION("GOOGLETRANSLATE(B209, ""en"", ""ru"")"),"верстак")</f>
        <v>верстак</v>
      </c>
      <c r="F209" s="23" t="str">
        <f>IFERROR(__xludf.DUMMYFUNCTION("GOOGLETRANSLATE(B209, ""en"", ""tr"")"),"tezgâh")</f>
        <v>tezgâh</v>
      </c>
      <c r="G209" s="23" t="str">
        <f>IFERROR(__xludf.DUMMYFUNCTION("GOOGLETRANSLATE(B209, ""en"", ""pt"")"),"Workbench")</f>
        <v>Workbench</v>
      </c>
      <c r="H209" s="24" t="str">
        <f>IFERROR(__xludf.DUMMYFUNCTION("GOOGLETRANSLATE(B209, ""en"", ""de"")"),"Werkbank")</f>
        <v>Werkbank</v>
      </c>
      <c r="I209" s="23" t="str">
        <f>IFERROR(__xludf.DUMMYFUNCTION("GOOGLETRANSLATE(B209, ""en"", ""pl"")"),"stoł warsztatowy")</f>
        <v>stoł warsztatowy</v>
      </c>
      <c r="J209" s="25" t="str">
        <f>IFERROR(__xludf.DUMMYFUNCTION("GOOGLETRANSLATE(B209, ""en"", ""zh"")"),"工作台")</f>
        <v>工作台</v>
      </c>
      <c r="K209" s="25" t="str">
        <f>IFERROR(__xludf.DUMMYFUNCTION("GOOGLETRANSLATE(B209, ""en"", ""vi"")"),"Workbench")</f>
        <v>Workbench</v>
      </c>
      <c r="L209" s="26" t="str">
        <f>IFERROR(__xludf.DUMMYFUNCTION("GOOGLETRANSLATE(B209, ""en"", ""hr"")"),"radna tezga")</f>
        <v>radna tezga</v>
      </c>
      <c r="M209" s="28"/>
      <c r="N209" s="28"/>
      <c r="O209" s="28"/>
      <c r="P209" s="28"/>
      <c r="Q209" s="28"/>
      <c r="R209" s="28"/>
      <c r="S209" s="28"/>
      <c r="T209" s="28"/>
      <c r="U209" s="28"/>
      <c r="V209" s="28"/>
      <c r="W209" s="28"/>
      <c r="X209" s="28"/>
      <c r="Y209" s="28"/>
      <c r="Z209" s="28"/>
      <c r="AA209" s="28"/>
      <c r="AB209" s="28"/>
    </row>
    <row r="210">
      <c r="A210" s="21" t="s">
        <v>679</v>
      </c>
      <c r="B210" s="22" t="s">
        <v>680</v>
      </c>
      <c r="C210" s="23" t="str">
        <f>IFERROR(__xludf.DUMMYFUNCTION("GOOGLETRANSLATE(B210, ""en"", ""fr"")"),"Structure du clan. Utilisé pour fabriquer divers objets.")</f>
        <v>Structure du clan. Utilisé pour fabriquer divers objets.</v>
      </c>
      <c r="D210" s="23" t="str">
        <f>IFERROR(__xludf.DUMMYFUNCTION("GOOGLETRANSLATE(B210, ""en"", ""es"")"),"estructura del clan. Se utiliza para elaborar diversos artículos.")</f>
        <v>estructura del clan. Se utiliza para elaborar diversos artículos.</v>
      </c>
      <c r="E210" s="23" t="str">
        <f>IFERROR(__xludf.DUMMYFUNCTION("GOOGLETRANSLATE(B210, ""en"", ""ru"")"),"Структура клана. Используется для изготовления различных предметов.")</f>
        <v>Структура клана. Используется для изготовления различных предметов.</v>
      </c>
      <c r="F210" s="23" t="str">
        <f>IFERROR(__xludf.DUMMYFUNCTION("GOOGLETRANSLATE(B210, ""en"", ""tr"")"),"Klan yapısı. çeşitli öğeleri zanaat kullanılır.")</f>
        <v>Klan yapısı. çeşitli öğeleri zanaat kullanılır.</v>
      </c>
      <c r="G210" s="23" t="str">
        <f>IFERROR(__xludf.DUMMYFUNCTION("GOOGLETRANSLATE(B210, ""en"", ""pt"")"),"estrutura clã. Usado para criar vários itens.")</f>
        <v>estrutura clã. Usado para criar vários itens.</v>
      </c>
      <c r="H210" s="24" t="str">
        <f>IFERROR(__xludf.DUMMYFUNCTION("GOOGLETRANSLATE(B210, ""en"", ""de"")"),"Clan-Struktur. Verwendet, um verschiedene Gegenstände herzustellen.")</f>
        <v>Clan-Struktur. Verwendet, um verschiedene Gegenstände herzustellen.</v>
      </c>
      <c r="I210" s="23" t="str">
        <f>IFERROR(__xludf.DUMMYFUNCTION("GOOGLETRANSLATE(B210, ""en"", ""pl"")"),"Struktura klanu. Stosowane do jednostek różne przedmioty.")</f>
        <v>Struktura klanu. Stosowane do jednostek różne przedmioty.</v>
      </c>
      <c r="J210" s="25" t="str">
        <f>IFERROR(__xludf.DUMMYFUNCTION("GOOGLETRANSLATE(B210, ""en"", ""zh"")"),"部族结构。用于手艺的各种项目。")</f>
        <v>部族结构。用于手艺的各种项目。</v>
      </c>
      <c r="K210" s="25" t="str">
        <f>IFERROR(__xludf.DUMMYFUNCTION("GOOGLETRANSLATE(B210, ""en"", ""vi"")"),"Clan cấu trúc. Dùng để craft mục khác nhau.")</f>
        <v>Clan cấu trúc. Dùng để craft mục khác nhau.</v>
      </c>
      <c r="L210" s="26" t="str">
        <f>IFERROR(__xludf.DUMMYFUNCTION("GOOGLETRANSLATE(B210, ""en"", ""hr"")"),"Clan struktura. Koristi se za plovila razne predmete.")</f>
        <v>Clan struktura. Koristi se za plovila razne predmete.</v>
      </c>
      <c r="M210" s="28"/>
      <c r="N210" s="28"/>
      <c r="O210" s="28"/>
      <c r="P210" s="28"/>
      <c r="Q210" s="28"/>
      <c r="R210" s="28"/>
      <c r="S210" s="28"/>
      <c r="T210" s="28"/>
      <c r="U210" s="28"/>
      <c r="V210" s="28"/>
      <c r="W210" s="28"/>
      <c r="X210" s="28"/>
      <c r="Y210" s="28"/>
      <c r="Z210" s="28"/>
      <c r="AA210" s="28"/>
      <c r="AB210" s="28"/>
    </row>
    <row r="211">
      <c r="A211" s="21" t="s">
        <v>681</v>
      </c>
      <c r="B211" s="22" t="s">
        <v>300</v>
      </c>
      <c r="C211" s="23" t="str">
        <f>IFERROR(__xludf.DUMMYFUNCTION("GOOGLETRANSLATE(B211, ""en"", ""fr"")"),"fourneau")</f>
        <v>fourneau</v>
      </c>
      <c r="D211" s="23" t="str">
        <f>IFERROR(__xludf.DUMMYFUNCTION("GOOGLETRANSLATE(B211, ""en"", ""es"")"),"Horno")</f>
        <v>Horno</v>
      </c>
      <c r="E211" s="23" t="str">
        <f>IFERROR(__xludf.DUMMYFUNCTION("GOOGLETRANSLATE(B211, ""en"", ""ru"")"),"печь")</f>
        <v>печь</v>
      </c>
      <c r="F211" s="23" t="str">
        <f>IFERROR(__xludf.DUMMYFUNCTION("GOOGLETRANSLATE(B211, ""en"", ""tr"")"),"Fırın")</f>
        <v>Fırın</v>
      </c>
      <c r="G211" s="23" t="str">
        <f>IFERROR(__xludf.DUMMYFUNCTION("GOOGLETRANSLATE(B211, ""en"", ""pt"")"),"Forno")</f>
        <v>Forno</v>
      </c>
      <c r="H211" s="24" t="str">
        <f>IFERROR(__xludf.DUMMYFUNCTION("GOOGLETRANSLATE(B211, ""en"", ""de"")"),"Ofen")</f>
        <v>Ofen</v>
      </c>
      <c r="I211" s="23" t="str">
        <f>IFERROR(__xludf.DUMMYFUNCTION("GOOGLETRANSLATE(B211, ""en"", ""pl"")"),"Piec")</f>
        <v>Piec</v>
      </c>
      <c r="J211" s="25" t="str">
        <f>IFERROR(__xludf.DUMMYFUNCTION("GOOGLETRANSLATE(B211, ""en"", ""zh"")"),"炉")</f>
        <v>炉</v>
      </c>
      <c r="K211" s="25" t="str">
        <f>IFERROR(__xludf.DUMMYFUNCTION("GOOGLETRANSLATE(B211, ""en"", ""vi"")"),"Lò lửa")</f>
        <v>Lò lửa</v>
      </c>
      <c r="L211" s="26" t="str">
        <f>IFERROR(__xludf.DUMMYFUNCTION("GOOGLETRANSLATE(B211, ""en"", ""hr"")"),"Peć")</f>
        <v>Peć</v>
      </c>
      <c r="M211" s="28"/>
      <c r="N211" s="28"/>
      <c r="O211" s="28"/>
      <c r="P211" s="28"/>
      <c r="Q211" s="28"/>
      <c r="R211" s="28"/>
      <c r="S211" s="28"/>
      <c r="T211" s="28"/>
      <c r="U211" s="28"/>
      <c r="V211" s="28"/>
      <c r="W211" s="28"/>
      <c r="X211" s="28"/>
      <c r="Y211" s="28"/>
      <c r="Z211" s="28"/>
      <c r="AA211" s="28"/>
      <c r="AB211" s="28"/>
    </row>
    <row r="212">
      <c r="A212" s="21" t="s">
        <v>682</v>
      </c>
      <c r="B212" s="22" t="s">
        <v>683</v>
      </c>
      <c r="C212" s="23" t="str">
        <f>IFERROR(__xludf.DUMMYFUNCTION("GOOGLETRANSLATE(B212, ""en"", ""fr"")"),"Structure du clan. Utilisé pour transformer les minerais en barres métalliques.")</f>
        <v>Structure du clan. Utilisé pour transformer les minerais en barres métalliques.</v>
      </c>
      <c r="D212" s="23" t="str">
        <f>IFERROR(__xludf.DUMMYFUNCTION("GOOGLETRANSLATE(B212, ""en"", ""es"")"),"estructura del clan. Se utiliza para convertir los minerales en barras de metal.")</f>
        <v>estructura del clan. Se utiliza para convertir los minerales en barras de metal.</v>
      </c>
      <c r="E212" s="23" t="str">
        <f>IFERROR(__xludf.DUMMYFUNCTION("GOOGLETRANSLATE(B212,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2" s="23" t="str">
        <f>IFERROR(__xludf.DUMMYFUNCTION("GOOGLETRANSLATE(B212, ""en"", ""tr"")"),"Klan yapısı. Metal çubuklar içine cevherleri çevirmek için kullanılır.")</f>
        <v>Klan yapısı. Metal çubuklar içine cevherleri çevirmek için kullanılır.</v>
      </c>
      <c r="G212" s="23" t="str">
        <f>IFERROR(__xludf.DUMMYFUNCTION("GOOGLETRANSLATE(B212, ""en"", ""pt"")"),"estrutura clã. Usado para transformar minério em barras de metal.")</f>
        <v>estrutura clã. Usado para transformar minério em barras de metal.</v>
      </c>
      <c r="H212" s="24" t="str">
        <f>IFERROR(__xludf.DUMMYFUNCTION("GOOGLETRANSLATE(B212, ""en"", ""de"")"),"Clan-Struktur. Gebrauchte Erze in Metallstangen zu drehen.")</f>
        <v>Clan-Struktur. Gebrauchte Erze in Metallstangen zu drehen.</v>
      </c>
      <c r="I212" s="23" t="str">
        <f>IFERROR(__xludf.DUMMYFUNCTION("GOOGLETRANSLATE(B212, ""en"", ""pl"")"),"Struktura klanu. Służy do włączania rud do metalowych prętów.")</f>
        <v>Struktura klanu. Służy do włączania rud do metalowych prętów.</v>
      </c>
      <c r="J212" s="25" t="str">
        <f>IFERROR(__xludf.DUMMYFUNCTION("GOOGLETRANSLATE(B212, ""en"", ""zh"")"),"部族结构。用来把矿石到金属条。")</f>
        <v>部族结构。用来把矿石到金属条。</v>
      </c>
      <c r="K212" s="25" t="str">
        <f>IFERROR(__xludf.DUMMYFUNCTION("GOOGLETRANSLATE(B212, ""en"", ""vi"")"),"Clan cấu trúc. Sử dụng để biến quặng thành các thanh kim loại.")</f>
        <v>Clan cấu trúc. Sử dụng để biến quặng thành các thanh kim loại.</v>
      </c>
      <c r="L212" s="26" t="str">
        <f>IFERROR(__xludf.DUMMYFUNCTION("GOOGLETRANSLATE(B212, ""en"", ""hr"")"),"Clan struktura. Koristi se za uključivanje rude u metalnim šipkama.")</f>
        <v>Clan struktura. Koristi se za uključivanje rude u metalnim šipkama.</v>
      </c>
      <c r="M212" s="28"/>
      <c r="N212" s="28"/>
      <c r="O212" s="28"/>
      <c r="P212" s="28"/>
      <c r="Q212" s="28"/>
      <c r="R212" s="28"/>
      <c r="S212" s="28"/>
      <c r="T212" s="28"/>
      <c r="U212" s="28"/>
      <c r="V212" s="28"/>
      <c r="W212" s="28"/>
      <c r="X212" s="28"/>
      <c r="Y212" s="28"/>
      <c r="Z212" s="28"/>
      <c r="AA212" s="28"/>
      <c r="AB212" s="28"/>
    </row>
    <row r="213">
      <c r="A213" s="21" t="s">
        <v>684</v>
      </c>
      <c r="B213" s="22" t="s">
        <v>299</v>
      </c>
      <c r="C213" s="23" t="str">
        <f>IFERROR(__xludf.DUMMYFUNCTION("GOOGLETRANSLATE(B213, ""en"", ""fr"")"),"Enclume")</f>
        <v>Enclume</v>
      </c>
      <c r="D213" s="23" t="str">
        <f>IFERROR(__xludf.DUMMYFUNCTION("GOOGLETRANSLATE(B213, ""en"", ""es"")"),"Yunque")</f>
        <v>Yunque</v>
      </c>
      <c r="E213" s="23" t="str">
        <f>IFERROR(__xludf.DUMMYFUNCTION("GOOGLETRANSLATE(B213, ""en"", ""ru"")"),"наковальня")</f>
        <v>наковальня</v>
      </c>
      <c r="F213" s="23" t="str">
        <f>IFERROR(__xludf.DUMMYFUNCTION("GOOGLETRANSLATE(B213, ""en"", ""tr"")"),"Örs")</f>
        <v>Örs</v>
      </c>
      <c r="G213" s="23" t="str">
        <f>IFERROR(__xludf.DUMMYFUNCTION("GOOGLETRANSLATE(B213, ""en"", ""pt"")"),"Bigorna")</f>
        <v>Bigorna</v>
      </c>
      <c r="H213" s="24" t="str">
        <f>IFERROR(__xludf.DUMMYFUNCTION("GOOGLETRANSLATE(B213, ""en"", ""de"")"),"Amboss")</f>
        <v>Amboss</v>
      </c>
      <c r="I213" s="23" t="str">
        <f>IFERROR(__xludf.DUMMYFUNCTION("GOOGLETRANSLATE(B213, ""en"", ""pl"")"),"Kowadło")</f>
        <v>Kowadło</v>
      </c>
      <c r="J213" s="25" t="str">
        <f>IFERROR(__xludf.DUMMYFUNCTION("GOOGLETRANSLATE(B213, ""en"", ""zh"")"),"砧")</f>
        <v>砧</v>
      </c>
      <c r="K213" s="25" t="str">
        <f>IFERROR(__xludf.DUMMYFUNCTION("GOOGLETRANSLATE(B213, ""en"", ""vi"")"),"cái de")</f>
        <v>cái de</v>
      </c>
      <c r="L213" s="26" t="str">
        <f>IFERROR(__xludf.DUMMYFUNCTION("GOOGLETRANSLATE(B213, ""en"", ""hr"")"),"Nakovanj")</f>
        <v>Nakovanj</v>
      </c>
      <c r="M213" s="28"/>
      <c r="N213" s="28"/>
      <c r="O213" s="28"/>
      <c r="P213" s="28"/>
      <c r="Q213" s="28"/>
      <c r="R213" s="28"/>
      <c r="S213" s="28"/>
      <c r="T213" s="28"/>
      <c r="U213" s="28"/>
      <c r="V213" s="28"/>
      <c r="W213" s="28"/>
      <c r="X213" s="28"/>
      <c r="Y213" s="28"/>
      <c r="Z213" s="28"/>
      <c r="AA213" s="28"/>
      <c r="AB213" s="28"/>
    </row>
    <row r="214">
      <c r="A214" s="21" t="s">
        <v>685</v>
      </c>
      <c r="B214" s="22" t="s">
        <v>686</v>
      </c>
      <c r="C214" s="23" t="str">
        <f>IFERROR(__xludf.DUMMYFUNCTION("GOOGLETRANSLATE(B214, ""en"", ""fr"")"),"Structure du clan. Utilisé pour les objets métalliques d'artisanat.")</f>
        <v>Structure du clan. Utilisé pour les objets métalliques d'artisanat.</v>
      </c>
      <c r="D214" s="23" t="str">
        <f>IFERROR(__xludf.DUMMYFUNCTION("GOOGLETRANSLATE(B214, ""en"", ""es"")"),"estructura del clan. Se utiliza para artículos de artesanía de metal.")</f>
        <v>estructura del clan. Se utiliza para artículos de artesanía de metal.</v>
      </c>
      <c r="E214" s="23" t="str">
        <f>IFERROR(__xludf.DUMMYFUNCTION("GOOGLETRANSLATE(B214, ""en"", ""ru"")"),"Структура клана. Используется для судов металлических изделий.")</f>
        <v>Структура клана. Используется для судов металлических изделий.</v>
      </c>
      <c r="F214" s="23" t="str">
        <f>IFERROR(__xludf.DUMMYFUNCTION("GOOGLETRANSLATE(B214, ""en"", ""tr"")"),"Klan yapısı. zanaat metal öğeleri için kullanılır.")</f>
        <v>Klan yapısı. zanaat metal öğeleri için kullanılır.</v>
      </c>
      <c r="G214" s="23" t="str">
        <f>IFERROR(__xludf.DUMMYFUNCTION("GOOGLETRANSLATE(B214, ""en"", ""pt"")"),"estrutura clã. Usado para itens de artesanato de metal.")</f>
        <v>estrutura clã. Usado para itens de artesanato de metal.</v>
      </c>
      <c r="H214" s="24" t="str">
        <f>IFERROR(__xludf.DUMMYFUNCTION("GOOGLETRANSLATE(B214, ""en"", ""de"")"),"Clan-Struktur. Wird verwendet, um Handwerk Artikel aus Metall.")</f>
        <v>Clan-Struktur. Wird verwendet, um Handwerk Artikel aus Metall.</v>
      </c>
      <c r="I214" s="23" t="str">
        <f>IFERROR(__xludf.DUMMYFUNCTION("GOOGLETRANSLATE(B214, ""en"", ""pl"")"),"Struktura klanu. Służy do metalowych przedmiotów rzemiosła.")</f>
        <v>Struktura klanu. Służy do metalowych przedmiotów rzemiosła.</v>
      </c>
      <c r="J214" s="25" t="str">
        <f>IFERROR(__xludf.DUMMYFUNCTION("GOOGLETRANSLATE(B214, ""en"", ""zh"")"),"部族结构。用于工艺金属物品。")</f>
        <v>部族结构。用于工艺金属物品。</v>
      </c>
      <c r="K214" s="25" t="str">
        <f>IFERROR(__xludf.DUMMYFUNCTION("GOOGLETRANSLATE(B214, ""en"", ""vi"")"),"Clan cấu trúc. Được sử dụng để ghi thủ công kim loại.")</f>
        <v>Clan cấu trúc. Được sử dụng để ghi thủ công kim loại.</v>
      </c>
      <c r="L214" s="26" t="str">
        <f>IFERROR(__xludf.DUMMYFUNCTION("GOOGLETRANSLATE(B214, ""en"", ""hr"")"),"Clan struktura. Koristi se za obrt metalnih predmeta.")</f>
        <v>Clan struktura. Koristi se za obrt metalnih predmeta.</v>
      </c>
      <c r="M214" s="28"/>
      <c r="N214" s="28"/>
      <c r="O214" s="28"/>
      <c r="P214" s="28"/>
      <c r="Q214" s="28"/>
      <c r="R214" s="28"/>
      <c r="S214" s="28"/>
      <c r="T214" s="28"/>
      <c r="U214" s="28"/>
      <c r="V214" s="28"/>
      <c r="W214" s="28"/>
      <c r="X214" s="28"/>
      <c r="Y214" s="28"/>
      <c r="Z214" s="28"/>
      <c r="AA214" s="28"/>
      <c r="AB214" s="28"/>
    </row>
    <row r="215">
      <c r="A215" s="42" t="s">
        <v>687</v>
      </c>
      <c r="B215" s="22" t="s">
        <v>301</v>
      </c>
      <c r="C215" s="23" t="str">
        <f>IFERROR(__xludf.DUMMYFUNCTION("GOOGLETRANSLATE(B215, ""en"", ""fr"")"),"Laboratoire")</f>
        <v>Laboratoire</v>
      </c>
      <c r="D215" s="23" t="str">
        <f>IFERROR(__xludf.DUMMYFUNCTION("GOOGLETRANSLATE(B215, ""en"", ""es"")"),"Laboratorio")</f>
        <v>Laboratorio</v>
      </c>
      <c r="E215" s="23" t="str">
        <f>IFERROR(__xludf.DUMMYFUNCTION("GOOGLETRANSLATE(B215, ""en"", ""ru"")"),"лаборатория")</f>
        <v>лаборатория</v>
      </c>
      <c r="F215" s="23" t="str">
        <f>IFERROR(__xludf.DUMMYFUNCTION("GOOGLETRANSLATE(B215, ""en"", ""tr"")"),"laboratuvar")</f>
        <v>laboratuvar</v>
      </c>
      <c r="G215" s="23" t="str">
        <f>IFERROR(__xludf.DUMMYFUNCTION("GOOGLETRANSLATE(B215, ""en"", ""pt"")"),"Laboratório")</f>
        <v>Laboratório</v>
      </c>
      <c r="H215" s="24" t="str">
        <f>IFERROR(__xludf.DUMMYFUNCTION("GOOGLETRANSLATE(B215, ""en"", ""de"")"),"Labor")</f>
        <v>Labor</v>
      </c>
      <c r="I215" s="23" t="str">
        <f>IFERROR(__xludf.DUMMYFUNCTION("GOOGLETRANSLATE(B215, ""en"", ""pl"")"),"Laboratorium")</f>
        <v>Laboratorium</v>
      </c>
      <c r="J215" s="25" t="str">
        <f>IFERROR(__xludf.DUMMYFUNCTION("GOOGLETRANSLATE(B215, ""en"", ""zh"")"),"实验室")</f>
        <v>实验室</v>
      </c>
      <c r="K215" s="25" t="str">
        <f>IFERROR(__xludf.DUMMYFUNCTION("GOOGLETRANSLATE(B215, ""en"", ""vi"")"),"phòng thí nghiệm")</f>
        <v>phòng thí nghiệm</v>
      </c>
      <c r="L215" s="26" t="str">
        <f>IFERROR(__xludf.DUMMYFUNCTION("GOOGLETRANSLATE(B215, ""en"", ""hr"")"),"Laboratorija")</f>
        <v>Laboratorija</v>
      </c>
      <c r="M215" s="28"/>
      <c r="N215" s="28"/>
      <c r="O215" s="28"/>
      <c r="P215" s="28"/>
      <c r="Q215" s="28"/>
      <c r="R215" s="28"/>
      <c r="S215" s="28"/>
      <c r="T215" s="28"/>
      <c r="U215" s="28"/>
      <c r="V215" s="28"/>
      <c r="W215" s="28"/>
      <c r="X215" s="28"/>
      <c r="Y215" s="28"/>
      <c r="Z215" s="28"/>
      <c r="AA215" s="28"/>
      <c r="AB215" s="28"/>
    </row>
    <row r="216">
      <c r="A216" s="42" t="s">
        <v>688</v>
      </c>
      <c r="B216" s="22" t="s">
        <v>689</v>
      </c>
      <c r="C216" s="23" t="str">
        <f>IFERROR(__xludf.DUMMYFUNCTION("GOOGLETRANSLATE(B216, ""en"", ""fr"")"),"Structure du clan. Utilisé pour les potions d'artisanat.")</f>
        <v>Structure du clan. Utilisé pour les potions d'artisanat.</v>
      </c>
      <c r="D216" s="23" t="str">
        <f>IFERROR(__xludf.DUMMYFUNCTION("GOOGLETRANSLATE(B216, ""en"", ""es"")"),"estructura del clan. Se utiliza para pociones de artesanía.")</f>
        <v>estructura del clan. Se utiliza para pociones de artesanía.</v>
      </c>
      <c r="E216" s="23" t="str">
        <f>IFERROR(__xludf.DUMMYFUNCTION("GOOGLETRANSLATE(B216, ""en"", ""ru"")"),"Структура клана. Используется для ремесленных зелий.")</f>
        <v>Структура клана. Используется для ремесленных зелий.</v>
      </c>
      <c r="F216" s="23" t="str">
        <f>IFERROR(__xludf.DUMMYFUNCTION("GOOGLETRANSLATE(B216, ""en"", ""tr"")"),"Klan yapısı. zanaat iksirler için kullanılır.")</f>
        <v>Klan yapısı. zanaat iksirler için kullanılır.</v>
      </c>
      <c r="G216" s="23" t="str">
        <f>IFERROR(__xludf.DUMMYFUNCTION("GOOGLETRANSLATE(B216, ""en"", ""pt"")"),"estrutura clã. Usado para poções de artesanato.")</f>
        <v>estrutura clã. Usado para poções de artesanato.</v>
      </c>
      <c r="H216" s="24" t="str">
        <f>IFERROR(__xludf.DUMMYFUNCTION("GOOGLETRANSLATE(B216, ""en"", ""de"")"),"Clan-Struktur. Wird verwendet, um Handwerk Tränke.")</f>
        <v>Clan-Struktur. Wird verwendet, um Handwerk Tränke.</v>
      </c>
      <c r="I216" s="23" t="str">
        <f>IFERROR(__xludf.DUMMYFUNCTION("GOOGLETRANSLATE(B216, ""en"", ""pl"")"),"Struktura klanu. Służy do eliksirów rzemieślniczych.")</f>
        <v>Struktura klanu. Służy do eliksirów rzemieślniczych.</v>
      </c>
      <c r="J216" s="25" t="str">
        <f>IFERROR(__xludf.DUMMYFUNCTION("GOOGLETRANSLATE(B216, ""en"", ""zh"")"),"部族结构。用于工艺药水。")</f>
        <v>部族结构。用于工艺药水。</v>
      </c>
      <c r="K216" s="25" t="str">
        <f>IFERROR(__xludf.DUMMYFUNCTION("GOOGLETRANSLATE(B216, ""en"", ""vi"")"),"Clan cấu trúc. Được sử dụng để potions nghề.")</f>
        <v>Clan cấu trúc. Được sử dụng để potions nghề.</v>
      </c>
      <c r="L216" s="26" t="str">
        <f>IFERROR(__xludf.DUMMYFUNCTION("GOOGLETRANSLATE(B216, ""en"", ""hr"")"),"Clan struktura. Koristi se za obrtničke napitaka.")</f>
        <v>Clan struktura. Koristi se za obrtničke napitaka.</v>
      </c>
      <c r="M216" s="28"/>
      <c r="N216" s="28"/>
      <c r="O216" s="28"/>
      <c r="P216" s="28"/>
      <c r="Q216" s="28"/>
      <c r="R216" s="28"/>
      <c r="S216" s="28"/>
      <c r="T216" s="28"/>
      <c r="U216" s="28"/>
      <c r="V216" s="28"/>
      <c r="W216" s="28"/>
      <c r="X216" s="28"/>
      <c r="Y216" s="28"/>
      <c r="Z216" s="28"/>
      <c r="AA216" s="28"/>
      <c r="AB216" s="28"/>
    </row>
    <row r="217">
      <c r="A217" s="42" t="s">
        <v>690</v>
      </c>
      <c r="B217" s="22" t="s">
        <v>691</v>
      </c>
      <c r="C217" s="23" t="str">
        <f>IFERROR(__xludf.DUMMYFUNCTION("GOOGLETRANSLATE(B217, ""en"", ""fr"")"),"Générateur")</f>
        <v>Générateur</v>
      </c>
      <c r="D217" s="23" t="str">
        <f>IFERROR(__xludf.DUMMYFUNCTION("GOOGLETRANSLATE(B217, ""en"", ""es"")"),"Generador")</f>
        <v>Generador</v>
      </c>
      <c r="E217" s="23" t="str">
        <f>IFERROR(__xludf.DUMMYFUNCTION("GOOGLETRANSLATE(B217, ""en"", ""ru"")"),"Генератор")</f>
        <v>Генератор</v>
      </c>
      <c r="F217" s="23" t="str">
        <f>IFERROR(__xludf.DUMMYFUNCTION("GOOGLETRANSLATE(B217, ""en"", ""tr"")"),"Jeneratör")</f>
        <v>Jeneratör</v>
      </c>
      <c r="G217" s="23" t="str">
        <f>IFERROR(__xludf.DUMMYFUNCTION("GOOGLETRANSLATE(B217, ""en"", ""pt"")"),"Gerador")</f>
        <v>Gerador</v>
      </c>
      <c r="H217" s="24" t="str">
        <f>IFERROR(__xludf.DUMMYFUNCTION("GOOGLETRANSLATE(B217, ""en"", ""de"")"),"Generator")</f>
        <v>Generator</v>
      </c>
      <c r="I217" s="23" t="str">
        <f>IFERROR(__xludf.DUMMYFUNCTION("GOOGLETRANSLATE(B217, ""en"", ""pl"")"),"Generator")</f>
        <v>Generator</v>
      </c>
      <c r="J217" s="25" t="str">
        <f>IFERROR(__xludf.DUMMYFUNCTION("GOOGLETRANSLATE(B217, ""en"", ""zh"")"),"发电机")</f>
        <v>发电机</v>
      </c>
      <c r="K217" s="25" t="str">
        <f>IFERROR(__xludf.DUMMYFUNCTION("GOOGLETRANSLATE(B217, ""en"", ""vi"")"),"Máy phát điện")</f>
        <v>Máy phát điện</v>
      </c>
      <c r="L217" s="26" t="str">
        <f>IFERROR(__xludf.DUMMYFUNCTION("GOOGLETRANSLATE(B217, ""en"", ""hr"")"),"Generator")</f>
        <v>Generator</v>
      </c>
      <c r="M217" s="28"/>
      <c r="N217" s="28"/>
      <c r="O217" s="28"/>
      <c r="P217" s="28"/>
      <c r="Q217" s="28"/>
      <c r="R217" s="28"/>
      <c r="S217" s="28"/>
      <c r="T217" s="28"/>
      <c r="U217" s="28"/>
      <c r="V217" s="28"/>
      <c r="W217" s="28"/>
      <c r="X217" s="28"/>
      <c r="Y217" s="28"/>
      <c r="Z217" s="28"/>
      <c r="AA217" s="28"/>
      <c r="AB217" s="28"/>
    </row>
    <row r="218">
      <c r="A218" s="42" t="s">
        <v>692</v>
      </c>
      <c r="B218" s="22" t="s">
        <v>693</v>
      </c>
      <c r="C218" s="23" t="str">
        <f>IFERROR(__xludf.DUMMYFUNCTION("GOOGLETRANSLATE(B218,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18" s="23" t="str">
        <f>IFERROR(__xludf.DUMMYFUNCTION("GOOGLETRANSLATE(B218,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18" s="23" t="str">
        <f>IFERROR(__xludf.DUMMYFUNCTION("GOOGLETRANSLATE(B218,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18" s="23" t="str">
        <f>IFERROR(__xludf.DUMMYFUNCTION("GOOGLETRANSLATE(B218,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18" s="23" t="str">
        <f>IFERROR(__xludf.DUMMYFUNCTION("GOOGLETRANSLATE(B218,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18" s="24" t="str">
        <f>IFERROR(__xludf.DUMMYFUNCTION("GOOGLETRANSLATE(B218,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18" s="23" t="str">
        <f>IFERROR(__xludf.DUMMYFUNCTION("GOOGLETRANSLATE(B218,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18" s="25" t="str">
        <f>IFERROR(__xludf.DUMMYFUNCTION("GOOGLETRANSLATE(B218,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18" s="25" t="str">
        <f>IFERROR(__xludf.DUMMYFUNCTION("GOOGLETRANSLATE(B218,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18" s="26" t="str">
        <f>IFERROR(__xludf.DUMMYFUNCTION("GOOGLETRANSLATE(B218,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18" s="28"/>
      <c r="N218" s="28"/>
      <c r="O218" s="28"/>
      <c r="P218" s="28"/>
      <c r="Q218" s="28"/>
      <c r="R218" s="28"/>
      <c r="S218" s="28"/>
      <c r="T218" s="28"/>
      <c r="U218" s="28"/>
      <c r="V218" s="28"/>
      <c r="W218" s="28"/>
      <c r="X218" s="28"/>
      <c r="Y218" s="28"/>
      <c r="Z218" s="28"/>
      <c r="AA218" s="28"/>
      <c r="AB218" s="28"/>
    </row>
    <row r="219">
      <c r="A219" s="42" t="s">
        <v>694</v>
      </c>
      <c r="B219" s="22" t="s">
        <v>695</v>
      </c>
      <c r="C219" s="23" t="str">
        <f>IFERROR(__xludf.DUMMYFUNCTION("GOOGLETRANSLATE(B219, ""en"", ""fr"")"),"clé Fighter")</f>
        <v>clé Fighter</v>
      </c>
      <c r="D219" s="23" t="str">
        <f>IFERROR(__xludf.DUMMYFUNCTION("GOOGLETRANSLATE(B219, ""en"", ""es"")"),"clave de combate")</f>
        <v>clave de combate</v>
      </c>
      <c r="E219" s="23" t="str">
        <f>IFERROR(__xludf.DUMMYFUNCTION("GOOGLETRANSLATE(B219, ""en"", ""ru"")"),"ключ Fighter")</f>
        <v>ключ Fighter</v>
      </c>
      <c r="F219" s="23" t="str">
        <f>IFERROR(__xludf.DUMMYFUNCTION("GOOGLETRANSLATE(B219, ""en"", ""tr"")"),"dövüşçü anahtar")</f>
        <v>dövüşçü anahtar</v>
      </c>
      <c r="G219" s="23" t="str">
        <f>IFERROR(__xludf.DUMMYFUNCTION("GOOGLETRANSLATE(B219, ""en"", ""pt"")"),"chave de lutador")</f>
        <v>chave de lutador</v>
      </c>
      <c r="H219" s="24" t="str">
        <f>IFERROR(__xludf.DUMMYFUNCTION("GOOGLETRANSLATE(B219, ""en"", ""de"")"),"Kämpfer Schlüssel")</f>
        <v>Kämpfer Schlüssel</v>
      </c>
      <c r="I219" s="23" t="str">
        <f>IFERROR(__xludf.DUMMYFUNCTION("GOOGLETRANSLATE(B219, ""en"", ""pl"")"),"kluczem Fighter")</f>
        <v>kluczem Fighter</v>
      </c>
      <c r="J219" s="25" t="str">
        <f>IFERROR(__xludf.DUMMYFUNCTION("GOOGLETRANSLATE(B219, ""en"", ""zh"")"),"战斗机关键")</f>
        <v>战斗机关键</v>
      </c>
      <c r="K219" s="25" t="str">
        <f>IFERROR(__xludf.DUMMYFUNCTION("GOOGLETRANSLATE(B219, ""en"", ""vi"")"),"chìa khóa Fighter")</f>
        <v>chìa khóa Fighter</v>
      </c>
      <c r="L219" s="26" t="str">
        <f>IFERROR(__xludf.DUMMYFUNCTION("GOOGLETRANSLATE(B219, ""en"", ""hr"")"),"ključ borac")</f>
        <v>ključ borac</v>
      </c>
      <c r="M219" s="28"/>
      <c r="N219" s="28"/>
      <c r="O219" s="28"/>
      <c r="P219" s="28"/>
      <c r="Q219" s="28"/>
      <c r="R219" s="28"/>
      <c r="S219" s="28"/>
      <c r="T219" s="28"/>
      <c r="U219" s="28"/>
      <c r="V219" s="28"/>
      <c r="W219" s="28"/>
      <c r="X219" s="28"/>
      <c r="Y219" s="28"/>
      <c r="Z219" s="28"/>
      <c r="AA219" s="28"/>
      <c r="AB219" s="28"/>
    </row>
    <row r="220">
      <c r="A220" s="42" t="s">
        <v>696</v>
      </c>
      <c r="B220" s="22" t="s">
        <v>697</v>
      </c>
      <c r="C220" s="23" t="str">
        <f>IFERROR(__xludf.DUMMYFUNCTION("GOOGLETRANSLATE(B220,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0" s="23" t="str">
        <f>IFERROR(__xludf.DUMMYFUNCTION("GOOGLETRANSLATE(B220, ""en"", ""es"")"),"Se abre la puerta a la zona de preparación de arena PvP. ¡Advertencia! Otros jugadores que pueden atacar en el pozo de lucha!")</f>
        <v>Se abre la puerta a la zona de preparación de arena PvP. ¡Advertencia! Otros jugadores que pueden atacar en el pozo de lucha!</v>
      </c>
      <c r="E220" s="23" t="str">
        <f>IFERROR(__xludf.DUMMYFUNCTION("GOOGLETRANSLATE(B220,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0" s="23" t="str">
        <f>IFERROR(__xludf.DUMMYFUNCTION("GOOGLETRANSLATE(B220, ""en"", ""tr"")"),"PvP arenası hazırlama alanının kapısını açar. Uyarı! Diğer oyuncular kavga çukura size saldırabilir!")</f>
        <v>PvP arenası hazırlama alanının kapısını açar. Uyarı! Diğer oyuncular kavga çukura size saldırabilir!</v>
      </c>
      <c r="G220" s="23" t="str">
        <f>IFERROR(__xludf.DUMMYFUNCTION("GOOGLETRANSLATE(B220, ""en"", ""pt"")"),"Abre a porta para a área de preparação da arena PvP. Aviso! Outros jogadores podem atacá-lo no pit luta!")</f>
        <v>Abre a porta para a área de preparação da arena PvP. Aviso! Outros jogadores podem atacá-lo no pit luta!</v>
      </c>
      <c r="H220" s="24" t="str">
        <f>IFERROR(__xludf.DUMMYFUNCTION("GOOGLETRANSLATE(B220, ""en"", ""de"")"),"Öffnet die Tür zum PvP Arena Vorbereitungsbereich. Warnung! Andere Spieler können Sie im Kampf Grube angreifen!")</f>
        <v>Öffnet die Tür zum PvP Arena Vorbereitungsbereich. Warnung! Andere Spieler können Sie im Kampf Grube angreifen!</v>
      </c>
      <c r="I220" s="23" t="str">
        <f>IFERROR(__xludf.DUMMYFUNCTION("GOOGLETRANSLATE(B220, ""en"", ""pl"")"),"Otwiera drzwi do pola zabiegowego PvP areny. Ostrzeżenie! Inni gracze mogą atakować cię w boksie walki!")</f>
        <v>Otwiera drzwi do pola zabiegowego PvP areny. Ostrzeżenie! Inni gracze mogą atakować cię w boksie walki!</v>
      </c>
      <c r="J220" s="25" t="str">
        <f>IFERROR(__xludf.DUMMYFUNCTION("GOOGLETRANSLATE(B220, ""en"", ""zh"")"),"打开大门的PvP竞技场准备区。警告！其他玩家可以攻击你在打坑！")</f>
        <v>打开大门的PvP竞技场准备区。警告！其他玩家可以攻击你在打坑！</v>
      </c>
      <c r="K220" s="25" t="str">
        <f>IFERROR(__xludf.DUMMYFUNCTION("GOOGLETRANSLATE(B220,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0" s="26" t="str">
        <f>IFERROR(__xludf.DUMMYFUNCTION("GOOGLETRANSLATE(B220, ""en"", ""hr"")"),"Otvara vrata na području pripreme PvP arene. Upozorenje! Ostali igrači mogu vas napadati u borbi jamu!")</f>
        <v>Otvara vrata na području pripreme PvP arene. Upozorenje! Ostali igrači mogu vas napadati u borbi jamu!</v>
      </c>
      <c r="M220" s="28"/>
      <c r="N220" s="28"/>
      <c r="O220" s="28"/>
      <c r="P220" s="28"/>
      <c r="Q220" s="28"/>
      <c r="R220" s="28"/>
      <c r="S220" s="28"/>
      <c r="T220" s="28"/>
      <c r="U220" s="28"/>
      <c r="V220" s="28"/>
      <c r="W220" s="28"/>
      <c r="X220" s="28"/>
      <c r="Y220" s="28"/>
      <c r="Z220" s="28"/>
      <c r="AA220" s="28"/>
      <c r="AB220" s="28"/>
    </row>
    <row r="221">
      <c r="A221" s="42" t="s">
        <v>698</v>
      </c>
      <c r="B221" s="22" t="s">
        <v>699</v>
      </c>
      <c r="C221" s="23" t="str">
        <f>IFERROR(__xludf.DUMMYFUNCTION("GOOGLETRANSLATE(B221, ""en"", ""fr"")"),"clé Pit")</f>
        <v>clé Pit</v>
      </c>
      <c r="D221" s="23" t="str">
        <f>IFERROR(__xludf.DUMMYFUNCTION("GOOGLETRANSLATE(B221, ""en"", ""es"")"),"Pit clave")</f>
        <v>Pit clave</v>
      </c>
      <c r="E221" s="23" t="str">
        <f>IFERROR(__xludf.DUMMYFUNCTION("GOOGLETRANSLATE(B221, ""en"", ""ru"")"),"ключ Pit")</f>
        <v>ключ Pit</v>
      </c>
      <c r="F221" s="23" t="str">
        <f>IFERROR(__xludf.DUMMYFUNCTION("GOOGLETRANSLATE(B221, ""en"", ""tr"")"),"çukur anahtar")</f>
        <v>çukur anahtar</v>
      </c>
      <c r="G221" s="23" t="str">
        <f>IFERROR(__xludf.DUMMYFUNCTION("GOOGLETRANSLATE(B221, ""en"", ""pt"")"),"chave pit")</f>
        <v>chave pit</v>
      </c>
      <c r="H221" s="24" t="str">
        <f>IFERROR(__xludf.DUMMYFUNCTION("GOOGLETRANSLATE(B221, ""en"", ""de"")"),"Pit Schlüssel")</f>
        <v>Pit Schlüssel</v>
      </c>
      <c r="I221" s="23" t="str">
        <f>IFERROR(__xludf.DUMMYFUNCTION("GOOGLETRANSLATE(B221, ""en"", ""pl"")"),"kluczem Pit")</f>
        <v>kluczem Pit</v>
      </c>
      <c r="J221" s="25" t="str">
        <f>IFERROR(__xludf.DUMMYFUNCTION("GOOGLETRANSLATE(B221, ""en"", ""zh"")"),"坑关键")</f>
        <v>坑关键</v>
      </c>
      <c r="K221" s="25" t="str">
        <f>IFERROR(__xludf.DUMMYFUNCTION("GOOGLETRANSLATE(B221, ""en"", ""vi"")"),"chìa khóa pit")</f>
        <v>chìa khóa pit</v>
      </c>
      <c r="L221" s="26" t="str">
        <f>IFERROR(__xludf.DUMMYFUNCTION("GOOGLETRANSLATE(B221, ""en"", ""hr"")"),"ključ Pit")</f>
        <v>ključ Pit</v>
      </c>
      <c r="M221" s="28"/>
      <c r="N221" s="28"/>
      <c r="O221" s="28"/>
      <c r="P221" s="28"/>
      <c r="Q221" s="28"/>
      <c r="R221" s="28"/>
      <c r="S221" s="28"/>
      <c r="T221" s="28"/>
      <c r="U221" s="28"/>
      <c r="V221" s="28"/>
      <c r="W221" s="28"/>
      <c r="X221" s="28"/>
      <c r="Y221" s="28"/>
      <c r="Z221" s="28"/>
      <c r="AA221" s="28"/>
      <c r="AB221" s="28"/>
    </row>
    <row r="222">
      <c r="A222" s="42" t="s">
        <v>700</v>
      </c>
      <c r="B222" s="22" t="s">
        <v>701</v>
      </c>
      <c r="C222" s="23" t="str">
        <f>IFERROR(__xludf.DUMMYFUNCTION("GOOGLETRANSLATE(B222, ""en"", ""fr"")"),"Ouvre les portes pour sortir de la fosse de combat.")</f>
        <v>Ouvre les portes pour sortir de la fosse de combat.</v>
      </c>
      <c r="D222" s="23" t="str">
        <f>IFERROR(__xludf.DUMMYFUNCTION("GOOGLETRANSLATE(B222, ""en"", ""es"")"),"Abre las puertas para salir del pozo pelea.")</f>
        <v>Abre las puertas para salir del pozo pelea.</v>
      </c>
      <c r="E222" s="23" t="str">
        <f>IFERROR(__xludf.DUMMYFUNCTION("GOOGLETRANSLATE(B222, ""en"", ""ru"")"),"Открывает двери, чтобы выйти из боя ямы.")</f>
        <v>Открывает двери, чтобы выйти из боя ямы.</v>
      </c>
      <c r="F222" s="23" t="str">
        <f>IFERROR(__xludf.DUMMYFUNCTION("GOOGLETRANSLATE(B222, ""en"", ""tr"")"),"kavga çukurun çıkmak kapılarını açar.")</f>
        <v>kavga çukurun çıkmak kapılarını açar.</v>
      </c>
      <c r="G222" s="23" t="str">
        <f>IFERROR(__xludf.DUMMYFUNCTION("GOOGLETRANSLATE(B222, ""en"", ""pt"")"),"Abre as portas para sair do pit luta.")</f>
        <v>Abre as portas para sair do pit luta.</v>
      </c>
      <c r="H222" s="24" t="str">
        <f>IFERROR(__xludf.DUMMYFUNCTION("GOOGLETRANSLATE(B222, ""en"", ""de"")"),"Öffnet die Türen des Kampfes Grube raus.")</f>
        <v>Öffnet die Türen des Kampfes Grube raus.</v>
      </c>
      <c r="I222" s="23" t="str">
        <f>IFERROR(__xludf.DUMMYFUNCTION("GOOGLETRANSLATE(B222, ""en"", ""pl"")"),"Otwiera drzwi, aby wydostać się z dołu walki.")</f>
        <v>Otwiera drzwi, aby wydostać się z dołu walki.</v>
      </c>
      <c r="J222" s="25" t="str">
        <f>IFERROR(__xludf.DUMMYFUNCTION("GOOGLETRANSLATE(B222, ""en"", ""zh"")"),"打开大门，让打坑出来。")</f>
        <v>打开大门，让打坑出来。</v>
      </c>
      <c r="K222" s="25" t="str">
        <f>IFERROR(__xludf.DUMMYFUNCTION("GOOGLETRANSLATE(B222, ""en"", ""vi"")"),"Mở cửa thoát ra khỏi hố chiến đấu.")</f>
        <v>Mở cửa thoát ra khỏi hố chiến đấu.</v>
      </c>
      <c r="L222" s="26" t="str">
        <f>IFERROR(__xludf.DUMMYFUNCTION("GOOGLETRANSLATE(B222, ""en"", ""hr"")"),"Otvara vrata da se iz borbe jame.")</f>
        <v>Otvara vrata da se iz borbe jame.</v>
      </c>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""fr"")"),"Parchemin de zone de guérison")</f>
        <v>Parchemin de zone de guérison</v>
      </c>
      <c r="D223" s="23" t="str">
        <f>IFERROR(__xludf.DUMMYFUNCTION("GOOGLETRANSLATE(B223, ""en"", ""es"")"),"Pergamino de la zona cicatrice")</f>
        <v>Pergamino de la zona cicatrice</v>
      </c>
      <c r="E223" s="23" t="str">
        <f>IFERROR(__xludf.DUMMYFUNCTION("GOOGLETRANSLATE(B223, ""en"", ""ru"")"),"Свиток залечить области")</f>
        <v>Свиток залечить области</v>
      </c>
      <c r="F223" s="23" t="str">
        <f>IFERROR(__xludf.DUMMYFUNCTION("GOOGLETRANSLATE(B223, ""en"", ""tr"")"),"iyileşmek alanının Kaydırma")</f>
        <v>iyileşmek alanının Kaydırma</v>
      </c>
      <c r="G223" s="23" t="str">
        <f>IFERROR(__xludf.DUMMYFUNCTION("GOOGLETRANSLATE(B223, ""en"", ""pt"")"),"Scroll of área de curar")</f>
        <v>Scroll of área de curar</v>
      </c>
      <c r="H223" s="24" t="str">
        <f>IFERROR(__xludf.DUMMYFUNCTION("GOOGLETRANSLATE(B223, ""en"", ""de"")"),"Rolle der heilen Bereich")</f>
        <v>Rolle der heilen Bereich</v>
      </c>
      <c r="I223" s="23" t="str">
        <f>IFERROR(__xludf.DUMMYFUNCTION("GOOGLETRANSLATE(B223, ""en"", ""pl"")"),"Zwój leczyć okolicy")</f>
        <v>Zwój leczyć okolicy</v>
      </c>
      <c r="J223" s="25" t="str">
        <f>IFERROR(__xludf.DUMMYFUNCTION("GOOGLETRANSLATE(B223, ""en"", ""zh"")"),"治疗区域的滚动")</f>
        <v>治疗区域的滚动</v>
      </c>
      <c r="K223" s="25" t="str">
        <f>IFERROR(__xludf.DUMMYFUNCTION("GOOGLETRANSLATE(B223, ""en"", ""vi"")"),"Scroll diện tích chữa lành")</f>
        <v>Scroll diện tích chữa lành</v>
      </c>
      <c r="L223" s="26" t="str">
        <f>IFERROR(__xludf.DUMMYFUNCTION("GOOGLETRANSLATE(B223, ""en"", ""hr"")"),"Dođite od liječe područja")</f>
        <v>Dođite od liječe područja</v>
      </c>
      <c r="M223" s="28"/>
      <c r="N223" s="28"/>
      <c r="O223" s="28"/>
      <c r="P223" s="28"/>
      <c r="Q223" s="28"/>
      <c r="R223" s="28"/>
      <c r="S223" s="28"/>
      <c r="T223" s="28"/>
      <c r="U223" s="28"/>
      <c r="V223" s="28"/>
      <c r="W223" s="28"/>
      <c r="X223" s="28"/>
      <c r="Y223" s="28"/>
      <c r="Z223" s="28"/>
      <c r="AA223" s="28"/>
      <c r="AB223" s="28"/>
    </row>
    <row r="224">
      <c r="A224" s="21" t="s">
        <v>704</v>
      </c>
      <c r="B224" s="22" t="s">
        <v>705</v>
      </c>
      <c r="C224" s="23" t="str">
        <f>IFERROR(__xludf.DUMMYFUNCTION("GOOGLETRANSLATE(B224, ""en"", ""fr"")"),"Guérit toutes les créatures autour de vous.")</f>
        <v>Guérit toutes les créatures autour de vous.</v>
      </c>
      <c r="D224" s="23" t="str">
        <f>IFERROR(__xludf.DUMMYFUNCTION("GOOGLETRANSLATE(B224, ""en"", ""es"")"),"Cura todas las criaturas alrededor de sí mismo.")</f>
        <v>Cura todas las criaturas alrededor de sí mismo.</v>
      </c>
      <c r="E224" s="23" t="str">
        <f>IFERROR(__xludf.DUMMYFUNCTION("GOOGLETRANSLATE(B224, ""en"", ""ru"")"),"Лечит все существа вокруг себя.")</f>
        <v>Лечит все существа вокруг себя.</v>
      </c>
      <c r="F224" s="23" t="str">
        <f>IFERROR(__xludf.DUMMYFUNCTION("GOOGLETRANSLATE(B224, ""en"", ""tr"")"),"İyileşir kendine çevresindeki tüm yaratıklar.")</f>
        <v>İyileşir kendine çevresindeki tüm yaratıklar.</v>
      </c>
      <c r="G224" s="23" t="str">
        <f>IFERROR(__xludf.DUMMYFUNCTION("GOOGLETRANSLATE(B224, ""en"", ""pt"")"),"Cura todas as criaturas em torno de si mesmo.")</f>
        <v>Cura todas as criaturas em torno de si mesmo.</v>
      </c>
      <c r="H224" s="24" t="str">
        <f>IFERROR(__xludf.DUMMYFUNCTION("GOOGLETRANSLATE(B224, ""en"", ""de"")"),"Heilt alle Wesen um sich herum.")</f>
        <v>Heilt alle Wesen um sich herum.</v>
      </c>
      <c r="I224" s="23" t="str">
        <f>IFERROR(__xludf.DUMMYFUNCTION("GOOGLETRANSLATE(B224, ""en"", ""pl"")"),"Leczy wszystkie stworzenia wokół siebie.")</f>
        <v>Leczy wszystkie stworzenia wokół siebie.</v>
      </c>
      <c r="J224" s="25" t="str">
        <f>IFERROR(__xludf.DUMMYFUNCTION("GOOGLETRANSLATE(B224, ""en"", ""zh"")"),"医治自己周围的一切生物。")</f>
        <v>医治自己周围的一切生物。</v>
      </c>
      <c r="K224" s="25" t="str">
        <f>IFERROR(__xludf.DUMMYFUNCTION("GOOGLETRANSLATE(B224, ""en"", ""vi"")"),"Hồi tất cả các sinh vật xung quanh mình.")</f>
        <v>Hồi tất cả các sinh vật xung quanh mình.</v>
      </c>
      <c r="L224" s="26" t="str">
        <f>IFERROR(__xludf.DUMMYFUNCTION("GOOGLETRANSLATE(B224, ""en"", ""hr"")"),"Liječi sva bića oko sebe.")</f>
        <v>Liječi sva bića oko sebe.</v>
      </c>
      <c r="M224" s="28"/>
      <c r="N224" s="28"/>
      <c r="O224" s="28"/>
      <c r="P224" s="28"/>
      <c r="Q224" s="28"/>
      <c r="R224" s="28"/>
      <c r="S224" s="28"/>
      <c r="T224" s="28"/>
      <c r="U224" s="28"/>
      <c r="V224" s="28"/>
      <c r="W224" s="28"/>
      <c r="X224" s="28"/>
      <c r="Y224" s="28"/>
      <c r="Z224" s="28"/>
      <c r="AA224" s="28"/>
      <c r="AB224" s="28"/>
    </row>
    <row r="225">
      <c r="A225" s="21" t="s">
        <v>706</v>
      </c>
      <c r="B225" s="22" t="s">
        <v>707</v>
      </c>
      <c r="C225" s="23" t="str">
        <f>IFERROR(__xludf.DUMMYFUNCTION("GOOGLETRANSLATE(B225, ""en"", ""fr"")"),"Parchemin de Warding")</f>
        <v>Parchemin de Warding</v>
      </c>
      <c r="D225" s="23" t="str">
        <f>IFERROR(__xludf.DUMMYFUNCTION("GOOGLETRANSLATE(B225, ""en"", ""es"")"),"Desplazamiento de guardia")</f>
        <v>Desplazamiento de guardia</v>
      </c>
      <c r="E225" s="23" t="str">
        <f>IFERROR(__xludf.DUMMYFUNCTION("GOOGLETRANSLATE(B225, ""en"", ""ru"")"),"Свиток оберега")</f>
        <v>Свиток оберега</v>
      </c>
      <c r="F225" s="23" t="str">
        <f>IFERROR(__xludf.DUMMYFUNCTION("GOOGLETRANSLATE(B225, ""en"", ""tr"")"),"yapmaktan kaçınma Kaydırma")</f>
        <v>yapmaktan kaçınma Kaydırma</v>
      </c>
      <c r="G225" s="23" t="str">
        <f>IFERROR(__xludf.DUMMYFUNCTION("GOOGLETRANSLATE(B225, ""en"", ""pt"")"),"Scroll of Warding")</f>
        <v>Scroll of Warding</v>
      </c>
      <c r="H225" s="24" t="str">
        <f>IFERROR(__xludf.DUMMYFUNCTION("GOOGLETRANSLATE(B225, ""en"", ""de"")"),"Scroll of warding")</f>
        <v>Scroll of warding</v>
      </c>
      <c r="I225" s="23" t="str">
        <f>IFERROR(__xludf.DUMMYFUNCTION("GOOGLETRANSLATE(B225, ""en"", ""pl"")"),"Zwój Warding")</f>
        <v>Zwój Warding</v>
      </c>
      <c r="J225" s="25" t="str">
        <f>IFERROR(__xludf.DUMMYFUNCTION("GOOGLETRANSLATE(B225, ""en"", ""zh"")"),"守护卷轴")</f>
        <v>守护卷轴</v>
      </c>
      <c r="K225" s="25" t="str">
        <f>IFERROR(__xludf.DUMMYFUNCTION("GOOGLETRANSLATE(B225, ""en"", ""vi"")"),"Scroll of ward")</f>
        <v>Scroll of ward</v>
      </c>
      <c r="L225" s="26" t="str">
        <f>IFERROR(__xludf.DUMMYFUNCTION("GOOGLETRANSLATE(B225, ""en"", ""hr"")"),"Dođite od otpremničke")</f>
        <v>Dođite od otpremničke</v>
      </c>
      <c r="M225" s="28"/>
      <c r="N225" s="28"/>
      <c r="O225" s="28"/>
      <c r="P225" s="28"/>
      <c r="Q225" s="28"/>
      <c r="R225" s="28"/>
      <c r="S225" s="28"/>
      <c r="T225" s="28"/>
      <c r="U225" s="28"/>
      <c r="V225" s="28"/>
      <c r="W225" s="28"/>
      <c r="X225" s="28"/>
      <c r="Y225" s="28"/>
      <c r="Z225" s="28"/>
      <c r="AA225" s="28"/>
      <c r="AB225" s="28"/>
    </row>
    <row r="226">
      <c r="A226" s="21" t="s">
        <v>708</v>
      </c>
      <c r="B226" s="22" t="s">
        <v>709</v>
      </c>
      <c r="C226" s="23" t="str">
        <f>IFERROR(__xludf.DUMMYFUNCTION("GOOGLETRANSLATE(B226, ""en"", ""fr"")"),"Enchante toutes les créatures autour de vous. Ces créatures prennent aucun dommage la prochaine fois qu'ils seraient endommagés.")</f>
        <v>Enchante toutes les créatures autour de vous. Ces créatures prennent aucun dommage la prochaine fois qu'ils seraient endommagés.</v>
      </c>
      <c r="D226" s="23" t="str">
        <f>IFERROR(__xludf.DUMMYFUNCTION("GOOGLETRANSLATE(B226, ""en"", ""es"")"),"Encanta a todas las criaturas alrededor de sí mismo. Esas criaturas toman ningún daño la próxima vez que se vería perjudicada.")</f>
        <v>Encanta a todas las criaturas alrededor de sí mismo. Esas criaturas toman ningún daño la próxima vez que se vería perjudicada.</v>
      </c>
      <c r="E226" s="23" t="str">
        <f>IFERROR(__xludf.DUMMYFUNCTION("GOOGLETRANSLATE(B226,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26" s="23" t="str">
        <f>IFERROR(__xludf.DUMMYFUNCTION("GOOGLETRANSLATE(B226,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26" s="23" t="str">
        <f>IFERROR(__xludf.DUMMYFUNCTION("GOOGLETRANSLATE(B226, ""en"", ""pt"")"),"Encanta todas as criaturas em torno de si mesmo. Essas criaturas tomar nenhum dano na próxima vez que seria danificado.")</f>
        <v>Encanta todas as criaturas em torno de si mesmo. Essas criaturas tomar nenhum dano na próxima vez que seria danificado.</v>
      </c>
      <c r="H226" s="24" t="str">
        <f>IFERROR(__xludf.DUMMYFUNCTION("GOOGLETRANSLATE(B226, ""en"", ""de"")"),"Verzaubert alle Wesen um sich herum. Diese Kreaturen nehmen keinen Schaden beim nächsten Mal, wenn sie beschädigt würden.")</f>
        <v>Verzaubert alle Wesen um sich herum. Diese Kreaturen nehmen keinen Schaden beim nächsten Mal, wenn sie beschädigt würden.</v>
      </c>
      <c r="I226" s="23" t="str">
        <f>IFERROR(__xludf.DUMMYFUNCTION("GOOGLETRANSLATE(B226,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26" s="25" t="str">
        <f>IFERROR(__xludf.DUMMYFUNCTION("GOOGLETRANSLATE(B226, ""en"", ""zh"")"),"附魔自己周围的所有生物。这些生物采取无损伤，他们将被损坏的下一次。")</f>
        <v>附魔自己周围的所有生物。这些生物采取无损伤，他们将被损坏的下一次。</v>
      </c>
      <c r="K226" s="25" t="str">
        <f>IFERROR(__xludf.DUMMYFUNCTION("GOOGLETRANSLATE(B226,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26" s="26" t="str">
        <f>IFERROR(__xludf.DUMMYFUNCTION("GOOGLETRANSLATE(B226, ""en"", ""hr"")"),"Očarava sva stvorenja oko sebe. Ti stvorenja uzeti nikakvu štetu sljedeći put će biti oštećen.")</f>
        <v>Očarava sva stvorenja oko sebe. Ti stvorenja uzeti nikakvu štetu sljedeći put će biti oštećen.</v>
      </c>
      <c r="M226" s="28"/>
      <c r="N226" s="28"/>
      <c r="O226" s="28"/>
      <c r="P226" s="28"/>
      <c r="Q226" s="28"/>
      <c r="R226" s="28"/>
      <c r="S226" s="28"/>
      <c r="T226" s="28"/>
      <c r="U226" s="28"/>
      <c r="V226" s="28"/>
      <c r="W226" s="28"/>
      <c r="X226" s="28"/>
      <c r="Y226" s="28"/>
      <c r="Z226" s="28"/>
      <c r="AA226" s="28"/>
      <c r="AB226" s="28"/>
    </row>
    <row r="227">
      <c r="A227" s="21" t="s">
        <v>710</v>
      </c>
      <c r="B227" s="22" t="s">
        <v>711</v>
      </c>
      <c r="C227" s="23" t="str">
        <f>IFERROR(__xludf.DUMMYFUNCTION("GOOGLETRANSLATE(B227, ""en"", ""fr"")"),"Parchemin de nettoyage")</f>
        <v>Parchemin de nettoyage</v>
      </c>
      <c r="D227" s="23" t="str">
        <f>IFERROR(__xludf.DUMMYFUNCTION("GOOGLETRANSLATE(B227, ""en"", ""es"")"),"Pergamino de limpieza")</f>
        <v>Pergamino de limpieza</v>
      </c>
      <c r="E227" s="23" t="str">
        <f>IFERROR(__xludf.DUMMYFUNCTION("GOOGLETRANSLATE(B227, ""en"", ""ru"")"),"Свиток очищения")</f>
        <v>Свиток очищения</v>
      </c>
      <c r="F227" s="23" t="str">
        <f>IFERROR(__xludf.DUMMYFUNCTION("GOOGLETRANSLATE(B227, ""en"", ""tr"")"),"temizlik Kaydırma")</f>
        <v>temizlik Kaydırma</v>
      </c>
      <c r="G227" s="23" t="str">
        <f>IFERROR(__xludf.DUMMYFUNCTION("GOOGLETRANSLATE(B227, ""en"", ""pt"")"),"Pergaminho de limpeza")</f>
        <v>Pergaminho de limpeza</v>
      </c>
      <c r="H227" s="24" t="str">
        <f>IFERROR(__xludf.DUMMYFUNCTION("GOOGLETRANSLATE(B227, ""en"", ""de"")"),"Schriftrolle der Reinigung")</f>
        <v>Schriftrolle der Reinigung</v>
      </c>
      <c r="I227" s="23" t="str">
        <f>IFERROR(__xludf.DUMMYFUNCTION("GOOGLETRANSLATE(B227, ""en"", ""pl"")"),"Zwój czystek")</f>
        <v>Zwój czystek</v>
      </c>
      <c r="J227" s="25" t="str">
        <f>IFERROR(__xludf.DUMMYFUNCTION("GOOGLETRANSLATE(B227, ""en"", ""zh"")"),"清洗卷轴")</f>
        <v>清洗卷轴</v>
      </c>
      <c r="K227" s="25" t="str">
        <f>IFERROR(__xludf.DUMMYFUNCTION("GOOGLETRANSLATE(B227, ""en"", ""vi"")"),"Scroll làm sạch")</f>
        <v>Scroll làm sạch</v>
      </c>
      <c r="L227" s="26" t="str">
        <f>IFERROR(__xludf.DUMMYFUNCTION("GOOGLETRANSLATE(B227, ""en"", ""hr"")"),"Dođite čišćenja")</f>
        <v>Dođite čišćenja</v>
      </c>
      <c r="M227" s="28"/>
      <c r="N227" s="28"/>
      <c r="O227" s="28"/>
      <c r="P227" s="28"/>
      <c r="Q227" s="28"/>
      <c r="R227" s="28"/>
      <c r="S227" s="28"/>
      <c r="T227" s="28"/>
      <c r="U227" s="28"/>
      <c r="V227" s="28"/>
      <c r="W227" s="28"/>
      <c r="X227" s="28"/>
      <c r="Y227" s="28"/>
      <c r="Z227" s="28"/>
      <c r="AA227" s="28"/>
      <c r="AB227" s="28"/>
    </row>
    <row r="228">
      <c r="A228" s="21" t="s">
        <v>712</v>
      </c>
      <c r="B228" s="22" t="s">
        <v>713</v>
      </c>
      <c r="C228" s="23" t="str">
        <f>IFERROR(__xludf.DUMMYFUNCTION("GOOGLETRANSLATE(B228, ""en"", ""fr"")"),"Supprime malédictions sur toutes les créatures autour de vous.")</f>
        <v>Supprime malédictions sur toutes les créatures autour de vous.</v>
      </c>
      <c r="D228" s="23" t="str">
        <f>IFERROR(__xludf.DUMMYFUNCTION("GOOGLETRANSLATE(B228, ""en"", ""es"")"),"Elimina maldiciones sobre todas las criaturas alrededor de sí mismo.")</f>
        <v>Elimina maldiciones sobre todas las criaturas alrededor de sí mismo.</v>
      </c>
      <c r="E228" s="23" t="str">
        <f>IFERROR(__xludf.DUMMYFUNCTION("GOOGLETRANSLATE(B228, ""en"", ""ru"")"),"Удаляет проклятия на все существа вокруг себя.")</f>
        <v>Удаляет проклятия на все существа вокруг себя.</v>
      </c>
      <c r="F228" s="23" t="str">
        <f>IFERROR(__xludf.DUMMYFUNCTION("GOOGLETRANSLATE(B228, ""en"", ""tr"")"),"Kendine çevresindeki tüm canlılara lanetleri kaldırır.")</f>
        <v>Kendine çevresindeki tüm canlılara lanetleri kaldırır.</v>
      </c>
      <c r="G228" s="23" t="str">
        <f>IFERROR(__xludf.DUMMYFUNCTION("GOOGLETRANSLATE(B228, ""en"", ""pt"")"),"Remove maldições sobre todas as criaturas em torno de si mesmo.")</f>
        <v>Remove maldições sobre todas as criaturas em torno de si mesmo.</v>
      </c>
      <c r="H228" s="24" t="str">
        <f>IFERROR(__xludf.DUMMYFUNCTION("GOOGLETRANSLATE(B228, ""en"", ""de"")"),"Entfernt Flüche auf allen Kreaturen um sich selbst.")</f>
        <v>Entfernt Flüche auf allen Kreaturen um sich selbst.</v>
      </c>
      <c r="I228" s="23" t="str">
        <f>IFERROR(__xludf.DUMMYFUNCTION("GOOGLETRANSLATE(B228, ""en"", ""pl"")"),"Usuwa przekleństwa na wszystkich stworzeń wokół siebie.")</f>
        <v>Usuwa przekleństwa na wszystkich stworzeń wokół siebie.</v>
      </c>
      <c r="J228" s="25" t="str">
        <f>IFERROR(__xludf.DUMMYFUNCTION("GOOGLETRANSLATE(B228, ""en"", ""zh"")"),"消除了对自己周围所有生物的诅咒。")</f>
        <v>消除了对自己周围所有生物的诅咒。</v>
      </c>
      <c r="K228" s="25" t="str">
        <f>IFERROR(__xludf.DUMMYFUNCTION("GOOGLETRANSLATE(B228, ""en"", ""vi"")"),"Loại bỏ lời nguyền trên tất cả các sinh vật xung quanh mình.")</f>
        <v>Loại bỏ lời nguyền trên tất cả các sinh vật xung quanh mình.</v>
      </c>
      <c r="L228" s="26" t="str">
        <f>IFERROR(__xludf.DUMMYFUNCTION("GOOGLETRANSLATE(B228, ""en"", ""hr"")"),"Uklanja psovke na svim stvorenjima oko sebe.")</f>
        <v>Uklanja psovke na svim stvorenjima oko sebe.</v>
      </c>
      <c r="M228" s="28"/>
      <c r="N228" s="28"/>
      <c r="O228" s="28"/>
      <c r="P228" s="28"/>
      <c r="Q228" s="28"/>
      <c r="R228" s="28"/>
      <c r="S228" s="28"/>
      <c r="T228" s="28"/>
      <c r="U228" s="28"/>
      <c r="V228" s="28"/>
      <c r="W228" s="28"/>
      <c r="X228" s="28"/>
      <c r="Y228" s="28"/>
      <c r="Z228" s="28"/>
      <c r="AA228" s="28"/>
      <c r="AB228" s="28"/>
    </row>
    <row r="229">
      <c r="A229" s="21" t="s">
        <v>714</v>
      </c>
      <c r="B229" s="22" t="s">
        <v>715</v>
      </c>
      <c r="C229" s="23" t="str">
        <f>IFERROR(__xludf.DUMMYFUNCTION("GOOGLETRANSLATE(B229, ""en"", ""fr"")"),"Parchemin de Pacify")</f>
        <v>Parchemin de Pacify</v>
      </c>
      <c r="D229" s="23" t="str">
        <f>IFERROR(__xludf.DUMMYFUNCTION("GOOGLETRANSLATE(B229, ""en"", ""es"")"),"Pergamino de pacify")</f>
        <v>Pergamino de pacify</v>
      </c>
      <c r="E229" s="23" t="str">
        <f>IFERROR(__xludf.DUMMYFUNCTION("GOOGLETRANSLATE(B229, ""en"", ""ru"")"),"Свиток усмирять")</f>
        <v>Свиток усмирять</v>
      </c>
      <c r="F229" s="23" t="str">
        <f>IFERROR(__xludf.DUMMYFUNCTION("GOOGLETRANSLATE(B229, ""en"", ""tr"")"),"yatıştırmak Scroll of")</f>
        <v>yatıştırmak Scroll of</v>
      </c>
      <c r="G229" s="23" t="str">
        <f>IFERROR(__xludf.DUMMYFUNCTION("GOOGLETRANSLATE(B229, ""en"", ""pt"")"),"Scroll of pacificar")</f>
        <v>Scroll of pacificar</v>
      </c>
      <c r="H229" s="24" t="str">
        <f>IFERROR(__xludf.DUMMYFUNCTION("GOOGLETRANSLATE(B229, ""en"", ""de"")"),"Scroll of Pacify")</f>
        <v>Scroll of Pacify</v>
      </c>
      <c r="I229" s="23" t="str">
        <f>IFERROR(__xludf.DUMMYFUNCTION("GOOGLETRANSLATE(B229, ""en"", ""pl"")"),"Zwój spacyfikować")</f>
        <v>Zwój spacyfikować</v>
      </c>
      <c r="J229" s="25" t="str">
        <f>IFERROR(__xludf.DUMMYFUNCTION("GOOGLETRANSLATE(B229, ""en"", ""zh"")"),"靖州卷轴")</f>
        <v>靖州卷轴</v>
      </c>
      <c r="K229" s="25" t="str">
        <f>IFERROR(__xludf.DUMMYFUNCTION("GOOGLETRANSLATE(B229, ""en"", ""vi"")"),"Scroll của bình định")</f>
        <v>Scroll của bình định</v>
      </c>
      <c r="L229" s="26" t="str">
        <f>IFERROR(__xludf.DUMMYFUNCTION("GOOGLETRANSLATE(B229, ""en"", ""hr"")"),"Dođite od smiriti")</f>
        <v>Dođite od smiriti</v>
      </c>
      <c r="M229" s="28"/>
      <c r="N229" s="28"/>
      <c r="O229" s="28"/>
      <c r="P229" s="28"/>
      <c r="Q229" s="28"/>
      <c r="R229" s="28"/>
      <c r="S229" s="28"/>
      <c r="T229" s="28"/>
      <c r="U229" s="28"/>
      <c r="V229" s="28"/>
      <c r="W229" s="28"/>
      <c r="X229" s="28"/>
      <c r="Y229" s="28"/>
      <c r="Z229" s="28"/>
      <c r="AA229" s="28"/>
      <c r="AB229" s="28"/>
    </row>
    <row r="230">
      <c r="A230" s="21" t="s">
        <v>716</v>
      </c>
      <c r="B230" s="22" t="s">
        <v>717</v>
      </c>
      <c r="C230" s="23" t="str">
        <f>IFERROR(__xludf.DUMMYFUNCTION("GOOGLETRANSLATE(B230, ""en"", ""fr"")"),"Maudit la cible. Pour une courte durée, la cible ne peut pas utiliser leur élément en attente.")</f>
        <v>Maudit la cible. Pour une courte durée, la cible ne peut pas utiliser leur élément en attente.</v>
      </c>
      <c r="D230" s="23" t="str">
        <f>IFERROR(__xludf.DUMMYFUNCTION("GOOGLETRANSLATE(B230, ""en"", ""es"")"),"Maldice al objetivo. Para una corta duración, el objetivo no puede utilizar su artículo en espera.")</f>
        <v>Maldice al objetivo. Para una corta duración, el objetivo no puede utilizar su artículo en espera.</v>
      </c>
      <c r="E230" s="23" t="str">
        <f>IFERROR(__xludf.DUMMYFUNCTION("GOOGLETRANSLATE(B230,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0" s="23" t="str">
        <f>IFERROR(__xludf.DUMMYFUNCTION("GOOGLETRANSLATE(B230, ""en"", ""tr"")"),"Hedefi küfürler. Kısa bir süre için, hedef kendi bekletilen öğeyi kullanamaz.")</f>
        <v>Hedefi küfürler. Kısa bir süre için, hedef kendi bekletilen öğeyi kullanamaz.</v>
      </c>
      <c r="G230" s="23" t="str">
        <f>IFERROR(__xludf.DUMMYFUNCTION("GOOGLETRANSLATE(B230, ""en"", ""pt"")"),"Maldiz o alvo. Por um curto período, o alvo não pode usar seu artigo em espera.")</f>
        <v>Maldiz o alvo. Por um curto período, o alvo não pode usar seu artigo em espera.</v>
      </c>
      <c r="H230" s="24" t="str">
        <f>IFERROR(__xludf.DUMMYFUNCTION("GOOGLETRANSLATE(B230, ""en"", ""de"")"),"Verflucht das Ziel. Für eine kurze Zeit kann das Ziel nicht ihr gehaltenes Element verwenden.")</f>
        <v>Verflucht das Ziel. Für eine kurze Zeit kann das Ziel nicht ihr gehaltenes Element verwenden.</v>
      </c>
      <c r="I230" s="23" t="str">
        <f>IFERROR(__xludf.DUMMYFUNCTION("GOOGLETRANSLATE(B230, ""en"", ""pl"")"),"Przeklina cel. Przez krótki czas, cel nie można używać ich zawieszonego elementu.")</f>
        <v>Przeklina cel. Przez krótki czas, cel nie można używać ich zawieszonego elementu.</v>
      </c>
      <c r="J230" s="25" t="str">
        <f>IFERROR(__xludf.DUMMYFUNCTION("GOOGLETRANSLATE(B230, ""en"", ""zh"")"),"诅咒目标。对于持续时间短，目标不能使用他们的手持产品。")</f>
        <v>诅咒目标。对于持续时间短，目标不能使用他们的手持产品。</v>
      </c>
      <c r="K230" s="25" t="str">
        <f>IFERROR(__xludf.DUMMYFUNCTION("GOOGLETRANSLATE(B230,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0" s="26" t="str">
        <f>IFERROR(__xludf.DUMMYFUNCTION("GOOGLETRANSLATE(B230, ""en"", ""hr"")"),"Proklinje cilj. Za kratko vrijeme, cilj ne može koristiti svoje Held stavku.")</f>
        <v>Proklinje cilj. Za kratko vrijeme, cilj ne može koristiti svoje Held stavku.</v>
      </c>
      <c r="M230" s="28"/>
      <c r="N230" s="28"/>
      <c r="O230" s="28"/>
      <c r="P230" s="28"/>
      <c r="Q230" s="28"/>
      <c r="R230" s="28"/>
      <c r="S230" s="28"/>
      <c r="T230" s="28"/>
      <c r="U230" s="28"/>
      <c r="V230" s="28"/>
      <c r="W230" s="28"/>
      <c r="X230" s="28"/>
      <c r="Y230" s="28"/>
      <c r="Z230" s="28"/>
      <c r="AA230" s="28"/>
      <c r="AB230" s="28"/>
    </row>
    <row r="231">
      <c r="A231" s="21" t="s">
        <v>718</v>
      </c>
      <c r="B231" s="22" t="s">
        <v>719</v>
      </c>
      <c r="C231" s="23" t="str">
        <f>IFERROR(__xludf.DUMMYFUNCTION("GOOGLETRANSLATE(B231, ""en"", ""fr"")"),"Parchemin de Réanimation")</f>
        <v>Parchemin de Réanimation</v>
      </c>
      <c r="D231" s="23" t="str">
        <f>IFERROR(__xludf.DUMMYFUNCTION("GOOGLETRANSLATE(B231, ""en"", ""es"")"),"Pergamino de reanimación")</f>
        <v>Pergamino de reanimación</v>
      </c>
      <c r="E231" s="23" t="str">
        <f>IFERROR(__xludf.DUMMYFUNCTION("GOOGLETRANSLATE(B231, ""en"", ""ru"")"),"Свиток реанимации")</f>
        <v>Свиток реанимации</v>
      </c>
      <c r="F231" s="23" t="str">
        <f>IFERROR(__xludf.DUMMYFUNCTION("GOOGLETRANSLATE(B231, ""en"", ""tr"")"),"reanimasyon Kaydırma")</f>
        <v>reanimasyon Kaydırma</v>
      </c>
      <c r="G231" s="23" t="str">
        <f>IFERROR(__xludf.DUMMYFUNCTION("GOOGLETRANSLATE(B231, ""en"", ""pt"")"),"Pergaminho de reanimação")</f>
        <v>Pergaminho de reanimação</v>
      </c>
      <c r="H231" s="24" t="str">
        <f>IFERROR(__xludf.DUMMYFUNCTION("GOOGLETRANSLATE(B231, ""en"", ""de"")"),"Rolle der Reanimation")</f>
        <v>Rolle der Reanimation</v>
      </c>
      <c r="I231" s="23" t="str">
        <f>IFERROR(__xludf.DUMMYFUNCTION("GOOGLETRANSLATE(B231, ""en"", ""pl"")"),"Zwój reanimacji")</f>
        <v>Zwój reanimacji</v>
      </c>
      <c r="J231" s="25" t="str">
        <f>IFERROR(__xludf.DUMMYFUNCTION("GOOGLETRANSLATE(B231, ""en"", ""zh"")"),"复活卷轴")</f>
        <v>复活卷轴</v>
      </c>
      <c r="K231" s="25" t="str">
        <f>IFERROR(__xludf.DUMMYFUNCTION("GOOGLETRANSLATE(B231, ""en"", ""vi"")"),"Scroll của Reanimation")</f>
        <v>Scroll của Reanimation</v>
      </c>
      <c r="L231" s="26" t="str">
        <f>IFERROR(__xludf.DUMMYFUNCTION("GOOGLETRANSLATE(B231, ""en"", ""hr"")"),"Dođite na reanimaciju")</f>
        <v>Dođite na reanimaciju</v>
      </c>
      <c r="M231" s="28"/>
      <c r="N231" s="28"/>
      <c r="O231" s="28"/>
      <c r="P231" s="28"/>
      <c r="Q231" s="28"/>
      <c r="R231" s="28"/>
      <c r="S231" s="28"/>
      <c r="T231" s="28"/>
      <c r="U231" s="28"/>
      <c r="V231" s="28"/>
      <c r="W231" s="28"/>
      <c r="X231" s="28"/>
      <c r="Y231" s="28"/>
      <c r="Z231" s="28"/>
      <c r="AA231" s="28"/>
      <c r="AB231" s="28"/>
    </row>
    <row r="232">
      <c r="A232" s="21" t="s">
        <v>720</v>
      </c>
      <c r="B232" s="22" t="s">
        <v>721</v>
      </c>
      <c r="C232" s="23" t="str">
        <f>IFERROR(__xludf.DUMMYFUNCTION("GOOGLETRANSLATE(B232, ""en"", ""fr"")"),"Soulève tous les cadavres autour de vous comme sbires du type de créature qu'ils étaient avant leur mort qui vous servira.")</f>
        <v>Soulève tous les cadavres autour de vous comme sbires du type de créature qu'ils étaient avant leur mort qui vous servira.</v>
      </c>
      <c r="D232" s="23" t="str">
        <f>IFERROR(__xludf.DUMMYFUNCTION("GOOGLETRANSLATE(B232, ""en"", ""es"")"),"Eleva todos los cadáveres alrededor de sí mismo como secuaces del tipo de criatura que eran antes de morir que le servirá.")</f>
        <v>Eleva todos los cadáveres alrededor de sí mismo como secuaces del tipo de criatura que eran antes de morir que le servirá.</v>
      </c>
      <c r="E232" s="23" t="str">
        <f>IFERROR(__xludf.DUMMYFUNCTION("GOOGLETRANSLATE(B232,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2" s="23" t="str">
        <f>IFERROR(__xludf.DUMMYFUNCTION("GOOGLETRANSLATE(B232, ""en"", ""tr"")"),"onlar bu hizmet edecek ölmeden önce olduklarını yaratık türü minyonları kendine çevresindeki tüm cesetleri Artırdı.")</f>
        <v>onlar bu hizmet edecek ölmeden önce olduklarını yaratık türü minyonları kendine çevresindeki tüm cesetleri Artırdı.</v>
      </c>
      <c r="G232" s="23" t="str">
        <f>IFERROR(__xludf.DUMMYFUNCTION("GOOGLETRANSLATE(B232,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2" s="24" t="str">
        <f>IFERROR(__xludf.DUMMYFUNCTION("GOOGLETRANSLATE(B232, ""en"", ""de"")"),"Löst alle Leichen um sich selbst als Lakaien von der Art der Kreatur, daß sie waren, bevor sie, dass servieren Ihnen gestorben.")</f>
        <v>Löst alle Leichen um sich selbst als Lakaien von der Art der Kreatur, daß sie waren, bevor sie, dass servieren Ihnen gestorben.</v>
      </c>
      <c r="I232" s="23" t="str">
        <f>IFERROR(__xludf.DUMMYFUNCTION("GOOGLETRANSLATE(B232, ""en"", ""pl"")"),"Podnosi wszystkie trupy wokół siebie jako sługusów rodzaju stworzenia, które były przed śmiercią, która będzie służyć.")</f>
        <v>Podnosi wszystkie trupy wokół siebie jako sługusów rodzaju stworzenia, które były przed śmiercią, która będzie służyć.</v>
      </c>
      <c r="J232" s="25" t="str">
        <f>IFERROR(__xludf.DUMMYFUNCTION("GOOGLETRANSLATE(B232, ""en"", ""zh"")"),"提高自己周围所有的尸体作为生物类型的爪牙，他们是他们死于将为你面前。")</f>
        <v>提高自己周围所有的尸体作为生物类型的爪牙，他们是他们死于将为你面前。</v>
      </c>
      <c r="K232" s="25" t="str">
        <f>IFERROR(__xludf.DUMMYFUNCTION("GOOGLETRANSLATE(B232,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2" s="26" t="str">
        <f>IFERROR(__xludf.DUMMYFUNCTION("GOOGLETRANSLATE(B232, ""en"", ""hr"")"),"Podiže sve leševe oko sebe kao sluge na vrstu stvorenja koja su bili prije nego što su umrli, koji će vam poslužiti.")</f>
        <v>Podiže sve leševe oko sebe kao sluge na vrstu stvorenja koja su bili prije nego što su umrli, koji će vam poslužiti.</v>
      </c>
      <c r="M232" s="28"/>
      <c r="N232" s="28"/>
      <c r="O232" s="28"/>
      <c r="P232" s="28"/>
      <c r="Q232" s="28"/>
      <c r="R232" s="28"/>
      <c r="S232" s="28"/>
      <c r="T232" s="28"/>
      <c r="U232" s="28"/>
      <c r="V232" s="28"/>
      <c r="W232" s="28"/>
      <c r="X232" s="28"/>
      <c r="Y232" s="28"/>
      <c r="Z232" s="28"/>
      <c r="AA232" s="28"/>
      <c r="AB232" s="28"/>
    </row>
    <row r="233">
      <c r="A233" s="21" t="s">
        <v>722</v>
      </c>
      <c r="B233" s="22" t="s">
        <v>723</v>
      </c>
      <c r="C233" s="23" t="str">
        <f>IFERROR(__xludf.DUMMYFUNCTION("GOOGLETRANSLATE(B233, ""en"", ""fr"")"),"Parchemin de consommer")</f>
        <v>Parchemin de consommer</v>
      </c>
      <c r="D233" s="23" t="str">
        <f>IFERROR(__xludf.DUMMYFUNCTION("GOOGLETRANSLATE(B233, ""en"", ""es"")"),"Pergamino de consumir")</f>
        <v>Pergamino de consumir</v>
      </c>
      <c r="E233" s="23" t="str">
        <f>IFERROR(__xludf.DUMMYFUNCTION("GOOGLETRANSLATE(B233, ""en"", ""ru"")"),"Свиток потреблять")</f>
        <v>Свиток потреблять</v>
      </c>
      <c r="F233" s="23" t="str">
        <f>IFERROR(__xludf.DUMMYFUNCTION("GOOGLETRANSLATE(B233, ""en"", ""tr"")"),"Kaydırma tüketmek")</f>
        <v>Kaydırma tüketmek</v>
      </c>
      <c r="G233" s="23" t="str">
        <f>IFERROR(__xludf.DUMMYFUNCTION("GOOGLETRANSLATE(B233, ""en"", ""pt"")"),"Scroll of consumir")</f>
        <v>Scroll of consumir</v>
      </c>
      <c r="H233" s="24" t="str">
        <f>IFERROR(__xludf.DUMMYFUNCTION("GOOGLETRANSLATE(B233, ""en"", ""de"")"),"Scroll of verbrauchen")</f>
        <v>Scroll of verbrauchen</v>
      </c>
      <c r="I233" s="23" t="str">
        <f>IFERROR(__xludf.DUMMYFUNCTION("GOOGLETRANSLATE(B233, ""en"", ""pl"")"),"Zwój zużywają")</f>
        <v>Zwój zużywają</v>
      </c>
      <c r="J233" s="25" t="str">
        <f>IFERROR(__xludf.DUMMYFUNCTION("GOOGLETRANSLATE(B233, ""en"", ""zh"")"),"滚动的消耗")</f>
        <v>滚动的消耗</v>
      </c>
      <c r="K233" s="25" t="str">
        <f>IFERROR(__xludf.DUMMYFUNCTION("GOOGLETRANSLATE(B233, ""en"", ""vi"")"),"Scroll của tiêu thụ")</f>
        <v>Scroll của tiêu thụ</v>
      </c>
      <c r="L233" s="26" t="str">
        <f>IFERROR(__xludf.DUMMYFUNCTION("GOOGLETRANSLATE(B233, ""en"", ""hr"")"),"Svitak konzumirati")</f>
        <v>Svitak konzumirati</v>
      </c>
      <c r="M233" s="28"/>
      <c r="N233" s="28"/>
      <c r="O233" s="28"/>
      <c r="P233" s="28"/>
      <c r="Q233" s="28"/>
      <c r="R233" s="28"/>
      <c r="S233" s="28"/>
      <c r="T233" s="28"/>
      <c r="U233" s="28"/>
      <c r="V233" s="28"/>
      <c r="W233" s="28"/>
      <c r="X233" s="28"/>
      <c r="Y233" s="28"/>
      <c r="Z233" s="28"/>
      <c r="AA233" s="28"/>
      <c r="AB233" s="28"/>
    </row>
    <row r="234">
      <c r="A234" s="21" t="s">
        <v>724</v>
      </c>
      <c r="B234" s="22" t="s">
        <v>725</v>
      </c>
      <c r="C234" s="23" t="str">
        <f>IFERROR(__xludf.DUMMYFUNCTION("GOOGLETRANSLATE(B234, ""en"", ""fr"")"),"Détruire un sbire que vous contrôlez dans la direction cible pour vous guérir.")</f>
        <v>Détruire un sbire que vous contrôlez dans la direction cible pour vous guérir.</v>
      </c>
      <c r="D234" s="23" t="str">
        <f>IFERROR(__xludf.DUMMYFUNCTION("GOOGLETRANSLATE(B234, ""en"", ""es"")"),"Destruir un subordinado que el control en la dirección de destino para curarse a sí mismo.")</f>
        <v>Destruir un subordinado que el control en la dirección de destino para curarse a sí mismo.</v>
      </c>
      <c r="E234" s="23" t="str">
        <f>IFERROR(__xludf.DUMMYFUNCTION("GOOGLETRANSLATE(B234,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4" s="23" t="str">
        <f>IFERROR(__xludf.DUMMYFUNCTION("GOOGLETRANSLATE(B234, ""en"", ""tr"")"),"Kendini iyileşmek için hedef doğrultusunda kontrol ettiğini bir minion yok edin.")</f>
        <v>Kendini iyileşmek için hedef doğrultusunda kontrol ettiğini bir minion yok edin.</v>
      </c>
      <c r="G234" s="23" t="str">
        <f>IFERROR(__xludf.DUMMYFUNCTION("GOOGLETRANSLATE(B234, ""en"", ""pt"")"),"Destruir um assecla que você controla na direção alvo para curar-se.")</f>
        <v>Destruir um assecla que você controla na direção alvo para curar-se.</v>
      </c>
      <c r="H234" s="24" t="str">
        <f>IFERROR(__xludf.DUMMYFUNCTION("GOOGLETRANSLATE(B234, ""en"", ""de"")"),"Zerstöre ein Günstling, dass Sie in der Zielrichtung steuern sich selbst zu heilen.")</f>
        <v>Zerstöre ein Günstling, dass Sie in der Zielrichtung steuern sich selbst zu heilen.</v>
      </c>
      <c r="I234" s="23" t="str">
        <f>IFERROR(__xludf.DUMMYFUNCTION("GOOGLETRANSLATE(B234, ""en"", ""pl"")"),"Zniszczyć miniona, że ​​sterowanie w kierunku docelowym aby się uzdrowić.")</f>
        <v>Zniszczyć miniona, że ​​sterowanie w kierunku docelowym aby się uzdrowić.</v>
      </c>
      <c r="J234" s="25" t="str">
        <f>IFERROR(__xludf.DUMMYFUNCTION("GOOGLETRANSLATE(B234, ""en"", ""zh"")"),"销毁奴才，你的目标方向，以治愈自己控制。")</f>
        <v>销毁奴才，你的目标方向，以治愈自己控制。</v>
      </c>
      <c r="K234" s="25" t="str">
        <f>IFERROR(__xludf.DUMMYFUNCTION("GOOGLETRANSLATE(B234, ""en"", ""vi"")"),"Phá hủy một khẩu thần công mà bạn kiểm soát theo hướng mục tiêu để chữa bệnh cho mình.")</f>
        <v>Phá hủy một khẩu thần công mà bạn kiểm soát theo hướng mục tiêu để chữa bệnh cho mình.</v>
      </c>
      <c r="L234" s="26" t="str">
        <f>IFERROR(__xludf.DUMMYFUNCTION("GOOGLETRANSLATE(B234, ""en"", ""hr"")"),"Uništiti Minione koju kontrolira u ciljnom pravcu da se izliječi.")</f>
        <v>Uništiti Minione koju kontrolira u ciljnom pravcu da se izliječi.</v>
      </c>
      <c r="M234" s="28"/>
      <c r="N234" s="28"/>
      <c r="O234" s="28"/>
      <c r="P234" s="28"/>
      <c r="Q234" s="28"/>
      <c r="R234" s="28"/>
      <c r="S234" s="28"/>
      <c r="T234" s="28"/>
      <c r="U234" s="28"/>
      <c r="V234" s="28"/>
      <c r="W234" s="28"/>
      <c r="X234" s="28"/>
      <c r="Y234" s="28"/>
      <c r="Z234" s="28"/>
      <c r="AA234" s="28"/>
      <c r="AB234" s="28"/>
    </row>
    <row r="235">
      <c r="A235" s="21" t="s">
        <v>726</v>
      </c>
      <c r="B235" s="22" t="s">
        <v>727</v>
      </c>
      <c r="C235" s="23" t="str">
        <f>IFERROR(__xludf.DUMMYFUNCTION("GOOGLETRANSLATE(B235, ""en"", ""fr"")"),"Parchemin de deathbind")</f>
        <v>Parchemin de deathbind</v>
      </c>
      <c r="D235" s="23" t="str">
        <f>IFERROR(__xludf.DUMMYFUNCTION("GOOGLETRANSLATE(B235, ""en"", ""es"")"),"Pergamino de deathbind")</f>
        <v>Pergamino de deathbind</v>
      </c>
      <c r="E235" s="23" t="str">
        <f>IFERROR(__xludf.DUMMYFUNCTION("GOOGLETRANSLATE(B235, ""en"", ""ru"")"),"Свиток deathbind")</f>
        <v>Свиток deathbind</v>
      </c>
      <c r="F235" s="23" t="str">
        <f>IFERROR(__xludf.DUMMYFUNCTION("GOOGLETRANSLATE(B235, ""en"", ""tr"")"),"deathbind Scroll of")</f>
        <v>deathbind Scroll of</v>
      </c>
      <c r="G235" s="23" t="str">
        <f>IFERROR(__xludf.DUMMYFUNCTION("GOOGLETRANSLATE(B235, ""en"", ""pt"")"),"Scroll of deathbind")</f>
        <v>Scroll of deathbind</v>
      </c>
      <c r="H235" s="24" t="str">
        <f>IFERROR(__xludf.DUMMYFUNCTION("GOOGLETRANSLATE(B235, ""en"", ""de"")"),"Scroll of deathbind")</f>
        <v>Scroll of deathbind</v>
      </c>
      <c r="I235" s="23" t="str">
        <f>IFERROR(__xludf.DUMMYFUNCTION("GOOGLETRANSLATE(B235, ""en"", ""pl"")"),"Zwój deathbind")</f>
        <v>Zwój deathbind</v>
      </c>
      <c r="J235" s="25" t="str">
        <f>IFERROR(__xludf.DUMMYFUNCTION("GOOGLETRANSLATE(B235, ""en"", ""zh"")"),"deathbind卷轴")</f>
        <v>deathbind卷轴</v>
      </c>
      <c r="K235" s="25" t="str">
        <f>IFERROR(__xludf.DUMMYFUNCTION("GOOGLETRANSLATE(B235, ""en"", ""vi"")"),"Scroll của deathbind")</f>
        <v>Scroll của deathbind</v>
      </c>
      <c r="L235" s="26" t="str">
        <f>IFERROR(__xludf.DUMMYFUNCTION("GOOGLETRANSLATE(B235, ""en"", ""hr"")"),"Dođite od deathbind")</f>
        <v>Dođite od deathbind</v>
      </c>
      <c r="M235" s="28"/>
      <c r="N235" s="28"/>
      <c r="O235" s="28"/>
      <c r="P235" s="28"/>
      <c r="Q235" s="28"/>
      <c r="R235" s="28"/>
      <c r="S235" s="28"/>
      <c r="T235" s="28"/>
      <c r="U235" s="28"/>
      <c r="V235" s="28"/>
      <c r="W235" s="28"/>
      <c r="X235" s="28"/>
      <c r="Y235" s="28"/>
      <c r="Z235" s="28"/>
      <c r="AA235" s="28"/>
      <c r="AB235" s="28"/>
    </row>
    <row r="236">
      <c r="A236" s="21" t="s">
        <v>728</v>
      </c>
      <c r="B236" s="22" t="s">
        <v>729</v>
      </c>
      <c r="C236" s="23" t="str">
        <f>IFERROR(__xludf.DUMMYFUNCTION("GOOGLETRANSLATE(B236, ""en"", ""fr"")"),"Malédiction la cible. Quand ils meurent, ils se transforment en un sbire de morts-vivants non réclamés automatiquement.")</f>
        <v>Malédiction la cible. Quand ils meurent, ils se transforment en un sbire de morts-vivants non réclamés automatiquement.</v>
      </c>
      <c r="D236" s="23" t="str">
        <f>IFERROR(__xludf.DUMMYFUNCTION("GOOGLETRANSLATE(B236, ""en"", ""es"")"),"Maldecir al destino. Cuando mueren, se convierten en un servidor muerto viviente no reclamada automáticamente.")</f>
        <v>Maldecir al destino. Cuando mueren, se convierten en un servidor muerto viviente no reclamada automáticamente.</v>
      </c>
      <c r="E236" s="23" t="str">
        <f>IFERROR(__xludf.DUMMYFUNCTION("GOOGLETRANSLATE(B236,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36" s="23" t="str">
        <f>IFERROR(__xludf.DUMMYFUNCTION("GOOGLETRANSLATE(B236, ""en"", ""tr"")"),"Hedefi lanetliyorum. Öldüklerinde bunlar otomatik bir sahipsiz ölümsüz kölesine dönüşür.")</f>
        <v>Hedefi lanetliyorum. Öldüklerinde bunlar otomatik bir sahipsiz ölümsüz kölesine dönüşür.</v>
      </c>
      <c r="G236" s="23" t="str">
        <f>IFERROR(__xludf.DUMMYFUNCTION("GOOGLETRANSLATE(B236, ""en"", ""pt"")"),"Maldiga o alvo. Quando eles morrem, eles se transformam em um assecla mortos-vivos não reclamados automaticamente.")</f>
        <v>Maldiga o alvo. Quando eles morrem, eles se transformam em um assecla mortos-vivos não reclamados automaticamente.</v>
      </c>
      <c r="H236" s="24" t="str">
        <f>IFERROR(__xludf.DUMMYFUNCTION("GOOGLETRANSLATE(B236, ""en"", ""de"")"),"Verflucht das Ziel. Wenn sie sterben, verwandeln sie sich in einem nicht beanspruchten untoten Schergen automatisch.")</f>
        <v>Verflucht das Ziel. Wenn sie sterben, verwandeln sie sich in einem nicht beanspruchten untoten Schergen automatisch.</v>
      </c>
      <c r="I236" s="23" t="str">
        <f>IFERROR(__xludf.DUMMYFUNCTION("GOOGLETRANSLATE(B236, ""en"", ""pl"")"),"Przeklinać cel. Kiedy umrą, zostaną one automatycznie zamieni się nieodebrane nieumarłych minion.")</f>
        <v>Przeklinać cel. Kiedy umrą, zostaną one automatycznie zamieni się nieodebrane nieumarłych minion.</v>
      </c>
      <c r="J236" s="25" t="str">
        <f>IFERROR(__xludf.DUMMYFUNCTION("GOOGLETRANSLATE(B236, ""en"", ""zh"")"),"诅咒目标。当他们死了，他们变成一个无人认领的亡灵仆从自动。")</f>
        <v>诅咒目标。当他们死了，他们变成一个无人认领的亡灵仆从自动。</v>
      </c>
      <c r="K236" s="25" t="str">
        <f>IFERROR(__xludf.DUMMYFUNCTION("GOOGLETRANSLATE(B236, ""en"", ""vi"")"),"Nguyền rủa mục tiêu. Khi họ chết, họ biến thành một minion Undead không có người nhận tự động.")</f>
        <v>Nguyền rủa mục tiêu. Khi họ chết, họ biến thành một minion Undead không có người nhận tự động.</v>
      </c>
      <c r="L236" s="26" t="str">
        <f>IFERROR(__xludf.DUMMYFUNCTION("GOOGLETRANSLATE(B236, ""en"", ""hr"")"),"Proklinjati cilj. Kada umru, oni se automatski pretvoriti u zatražen undead mezimac.")</f>
        <v>Proklinjati cilj. Kada umru, oni se automatski pretvoriti u zatražen undead mezimac.</v>
      </c>
      <c r="M236" s="28"/>
      <c r="N236" s="28"/>
      <c r="O236" s="28"/>
      <c r="P236" s="28"/>
      <c r="Q236" s="28"/>
      <c r="R236" s="28"/>
      <c r="S236" s="28"/>
      <c r="T236" s="28"/>
      <c r="U236" s="28"/>
      <c r="V236" s="28"/>
      <c r="W236" s="28"/>
      <c r="X236" s="28"/>
      <c r="Y236" s="28"/>
      <c r="Z236" s="28"/>
      <c r="AA236" s="28"/>
      <c r="AB236" s="28"/>
    </row>
    <row r="237">
      <c r="A237" s="21" t="s">
        <v>730</v>
      </c>
      <c r="B237" s="22" t="s">
        <v>731</v>
      </c>
      <c r="C237" s="23" t="str">
        <f>IFERROR(__xludf.DUMMYFUNCTION("GOOGLETRANSLATE(B237, ""en"", ""fr"")"),"Parchemin de Enthrall")</f>
        <v>Parchemin de Enthrall</v>
      </c>
      <c r="D237" s="23" t="str">
        <f>IFERROR(__xludf.DUMMYFUNCTION("GOOGLETRANSLATE(B237, ""en"", ""es"")"),"Pergamino de enthral")</f>
        <v>Pergamino de enthral</v>
      </c>
      <c r="E237" s="23" t="str">
        <f>IFERROR(__xludf.DUMMYFUNCTION("GOOGLETRANSLATE(B237, ""en"", ""ru"")"),"Свиток увлекать")</f>
        <v>Свиток увлекать</v>
      </c>
      <c r="F237" s="23" t="str">
        <f>IFERROR(__xludf.DUMMYFUNCTION("GOOGLETRANSLATE(B237, ""en"", ""tr"")"),"esir etmek Scroll of")</f>
        <v>esir etmek Scroll of</v>
      </c>
      <c r="G237" s="23" t="str">
        <f>IFERROR(__xludf.DUMMYFUNCTION("GOOGLETRANSLATE(B237, ""en"", ""pt"")"),"Scroll of Enthral")</f>
        <v>Scroll of Enthral</v>
      </c>
      <c r="H237" s="24" t="str">
        <f>IFERROR(__xludf.DUMMYFUNCTION("GOOGLETRANSLATE(B237, ""en"", ""de"")"),"Scroll of enthral")</f>
        <v>Scroll of enthral</v>
      </c>
      <c r="I237" s="23" t="str">
        <f>IFERROR(__xludf.DUMMYFUNCTION("GOOGLETRANSLATE(B237, ""en"", ""pl"")"),"Zwój Enthrall")</f>
        <v>Zwój Enthrall</v>
      </c>
      <c r="J237" s="25" t="str">
        <f>IFERROR(__xludf.DUMMYFUNCTION("GOOGLETRANSLATE(B237, ""en"", ""zh"")"),"迷住卷轴")</f>
        <v>迷住卷轴</v>
      </c>
      <c r="K237" s="25" t="str">
        <f>IFERROR(__xludf.DUMMYFUNCTION("GOOGLETRANSLATE(B237, ""en"", ""vi"")"),"Scroll of say mê")</f>
        <v>Scroll of say mê</v>
      </c>
      <c r="L237" s="26" t="str">
        <f>IFERROR(__xludf.DUMMYFUNCTION("GOOGLETRANSLATE(B237, ""en"", ""hr"")"),"Dođite od očarati")</f>
        <v>Dođite od očarati</v>
      </c>
      <c r="M237" s="28"/>
      <c r="N237" s="28"/>
      <c r="O237" s="28"/>
      <c r="P237" s="28"/>
      <c r="Q237" s="28"/>
      <c r="R237" s="28"/>
      <c r="S237" s="28"/>
      <c r="T237" s="28"/>
      <c r="U237" s="28"/>
      <c r="V237" s="28"/>
      <c r="W237" s="28"/>
      <c r="X237" s="28"/>
      <c r="Y237" s="28"/>
      <c r="Z237" s="28"/>
      <c r="AA237" s="28"/>
      <c r="AB237" s="28"/>
    </row>
    <row r="238">
      <c r="A238" s="21" t="s">
        <v>732</v>
      </c>
      <c r="B238" s="22" t="s">
        <v>733</v>
      </c>
      <c r="C238" s="23" t="str">
        <f>IFERROR(__xludf.DUMMYFUNCTION("GOOGLETRANSLATE(B238, ""en"", ""fr"")"),"Faire toutes les créatures de morts-vivants non réclamés autour de vous devenez vos sbires.")</f>
        <v>Faire toutes les créatures de morts-vivants non réclamés autour de vous devenez vos sbires.</v>
      </c>
      <c r="D238" s="23" t="str">
        <f>IFERROR(__xludf.DUMMYFUNCTION("GOOGLETRANSLATE(B238, ""en"", ""es"")"),"Hacer todas las criaturas no-muertos no reclamados en torno a convertirse en sus subordinados.")</f>
        <v>Hacer todas las criaturas no-muertos no reclamados en torno a convertirse en sus subordinados.</v>
      </c>
      <c r="E238" s="23" t="str">
        <f>IFERROR(__xludf.DUMMYFUNCTION("GOOGLETRANSLATE(B238,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38" s="23" t="str">
        <f>IFERROR(__xludf.DUMMYFUNCTION("GOOGLETRANSLATE(B238, ""en"", ""tr"")"),"Eğer köleleri haline çevresindeki tüm sahipsiz ölümsüz yaratıklar olun.")</f>
        <v>Eğer köleleri haline çevresindeki tüm sahipsiz ölümsüz yaratıklar olun.</v>
      </c>
      <c r="G238" s="23" t="str">
        <f>IFERROR(__xludf.DUMMYFUNCTION("GOOGLETRANSLATE(B238, ""en"", ""pt"")"),"Faça todas as criaturas mortas-vivas não reclamados em torno de você se tornar seus asseclas.")</f>
        <v>Faça todas as criaturas mortas-vivas não reclamados em torno de você se tornar seus asseclas.</v>
      </c>
      <c r="H238" s="24" t="str">
        <f>IFERROR(__xludf.DUMMYFUNCTION("GOOGLETRANSLATE(B238, ""en"", ""de"")"),"Machen Sie alle nicht beanspruchten untote Kreaturen um Sie Ihre Schergen werden.")</f>
        <v>Machen Sie alle nicht beanspruchten untote Kreaturen um Sie Ihre Schergen werden.</v>
      </c>
      <c r="I238" s="23" t="str">
        <f>IFERROR(__xludf.DUMMYFUNCTION("GOOGLETRANSLATE(B238, ""en"", ""pl"")"),"Uczynić wszystkie nieodebrane istoty nieumarłe wokół stajesz twoi słudzy.")</f>
        <v>Uczynić wszystkie nieodebrane istoty nieumarłe wokół stajesz twoi słudzy.</v>
      </c>
      <c r="J238" s="25" t="str">
        <f>IFERROR(__xludf.DUMMYFUNCTION("GOOGLETRANSLATE(B238, ""en"", ""zh"")"),"使所有无人认领的亡灵生物围绕你成为你的爪牙。")</f>
        <v>使所有无人认领的亡灵生物围绕你成为你的爪牙。</v>
      </c>
      <c r="K238" s="25" t="str">
        <f>IFERROR(__xludf.DUMMYFUNCTION("GOOGLETRANSLATE(B238, ""en"", ""vi"")"),"Làm cho tất cả các sinh vật Undead không có người nhận xung quanh bạn trở thành tay sai của bạn.")</f>
        <v>Làm cho tất cả các sinh vật Undead không có người nhận xung quanh bạn trở thành tay sai của bạn.</v>
      </c>
      <c r="L238" s="26" t="str">
        <f>IFERROR(__xludf.DUMMYFUNCTION("GOOGLETRANSLATE(B238, ""en"", ""hr"")"),"Provjerite sve zatražen undead stvorenja oko vas postanu vaši ruke.")</f>
        <v>Provjerite sve zatražen undead stvorenja oko vas postanu vaši ruke.</v>
      </c>
      <c r="M238" s="28"/>
      <c r="N238" s="28"/>
      <c r="O238" s="28"/>
      <c r="P238" s="28"/>
      <c r="Q238" s="28"/>
      <c r="R238" s="28"/>
      <c r="S238" s="28"/>
      <c r="T238" s="28"/>
      <c r="U238" s="28"/>
      <c r="V238" s="28"/>
      <c r="W238" s="28"/>
      <c r="X238" s="28"/>
      <c r="Y238" s="28"/>
      <c r="Z238" s="28"/>
      <c r="AA238" s="28"/>
      <c r="AB238" s="28"/>
    </row>
    <row r="239">
      <c r="A239" s="21" t="s">
        <v>734</v>
      </c>
      <c r="B239" s="22" t="s">
        <v>735</v>
      </c>
      <c r="C239" s="23" t="str">
        <f>IFERROR(__xludf.DUMMYFUNCTION("GOOGLETRANSLATE(B239, ""en"", ""fr"")"),"Marteau de la Gloire")</f>
        <v>Marteau de la Gloire</v>
      </c>
      <c r="D239" s="23" t="str">
        <f>IFERROR(__xludf.DUMMYFUNCTION("GOOGLETRANSLATE(B239, ""en"", ""es"")"),"Martillo de la Gloria")</f>
        <v>Martillo de la Gloria</v>
      </c>
      <c r="E239" s="23" t="str">
        <f>IFERROR(__xludf.DUMMYFUNCTION("GOOGLETRANSLATE(B239, ""en"", ""ru"")"),"Молот Славы")</f>
        <v>Молот Славы</v>
      </c>
      <c r="F239" s="23" t="str">
        <f>IFERROR(__xludf.DUMMYFUNCTION("GOOGLETRANSLATE(B239, ""en"", ""tr"")"),"Glory Çekiç")</f>
        <v>Glory Çekiç</v>
      </c>
      <c r="G239" s="23" t="str">
        <f>IFERROR(__xludf.DUMMYFUNCTION("GOOGLETRANSLATE(B239, ""en"", ""pt"")"),"Martelo da Glória")</f>
        <v>Martelo da Glória</v>
      </c>
      <c r="H239" s="24" t="str">
        <f>IFERROR(__xludf.DUMMYFUNCTION("GOOGLETRANSLATE(B239, ""en"", ""de"")"),"Hammer of Glory")</f>
        <v>Hammer of Glory</v>
      </c>
      <c r="I239" s="23" t="str">
        <f>IFERROR(__xludf.DUMMYFUNCTION("GOOGLETRANSLATE(B239, ""en"", ""pl"")"),"Hammer of Glory")</f>
        <v>Hammer of Glory</v>
      </c>
      <c r="J239" s="25" t="str">
        <f>IFERROR(__xludf.DUMMYFUNCTION("GOOGLETRANSLATE(B239, ""en"", ""zh"")"),"荣耀之锤")</f>
        <v>荣耀之锤</v>
      </c>
      <c r="K239" s="25" t="str">
        <f>IFERROR(__xludf.DUMMYFUNCTION("GOOGLETRANSLATE(B239, ""en"", ""vi"")"),"Hammer of Glory")</f>
        <v>Hammer of Glory</v>
      </c>
      <c r="L239" s="26" t="str">
        <f>IFERROR(__xludf.DUMMYFUNCTION("GOOGLETRANSLATE(B239, ""en"", ""hr"")"),"Hammer of Glory")</f>
        <v>Hammer of Glory</v>
      </c>
      <c r="M239" s="28"/>
      <c r="N239" s="28"/>
      <c r="O239" s="28"/>
      <c r="P239" s="28"/>
      <c r="Q239" s="28"/>
      <c r="R239" s="28"/>
      <c r="S239" s="28"/>
      <c r="T239" s="28"/>
      <c r="U239" s="28"/>
      <c r="V239" s="28"/>
      <c r="W239" s="28"/>
      <c r="X239" s="28"/>
      <c r="Y239" s="28"/>
      <c r="Z239" s="28"/>
      <c r="AA239" s="28"/>
      <c r="AB239" s="28"/>
    </row>
    <row r="240">
      <c r="A240" s="21" t="s">
        <v>736</v>
      </c>
      <c r="B240" s="22" t="s">
        <v>737</v>
      </c>
      <c r="C240" s="23" t="str">
        <f>IFERROR(__xludf.DUMMYFUNCTION("GOOGLETRANSLATE(B240, ""en"", ""fr"")"),"Relique. Une arme puissante utilisée par les anciens héros. Pousse les choses quand il frappe, et tout à côté de ce qu'il frappe.")</f>
        <v>Relique. Une arme puissante utilisée par les anciens héros. Pousse les choses quand il frappe, et tout à côté de ce qu'il frappe.</v>
      </c>
      <c r="D240" s="23" t="str">
        <f>IFERROR(__xludf.DUMMYFUNCTION("GOOGLETRANSLATE(B240, ""en"", ""es"")"),"Reliquia. Una poderosa arma utilizada por los antiguos héroes. Empuja las cosas de nuevo cuando golpea, y cualquier cosa adyacente a lo golpea.")</f>
        <v>Reliquia. Una poderosa arma utilizada por los antiguos héroes. Empuja las cosas de nuevo cuando golpea, y cualquier cosa adyacente a lo golpea.</v>
      </c>
      <c r="E240" s="23" t="str">
        <f>IFERROR(__xludf.DUMMYFUNCTION("GOOGLETRANSLATE(B240, ""en"", ""ru"")"),"Relic. Мощное оружие, используемое древних героев. Выталкивает вещи обратно, когда она попадает, и все, что рядом, что она попадает.")</f>
        <v>Relic. Мощное оружие, используемое древних героев. Выталкивает вещи обратно, когда она попадает, и все, что рядом, что она попадает.</v>
      </c>
      <c r="F240" s="23" t="str">
        <f>IFERROR(__xludf.DUMMYFUNCTION("GOOGLETRANSLATE(B240, ""en"", ""tr"")"),"Relic. Antik kahramanlar tarafından kullanılan güçlü bir silah. İter şeyler çarptığında geri ve vurur ne bitişik şey.")</f>
        <v>Relic. Antik kahramanlar tarafından kullanılan güçlü bir silah. İter şeyler çarptığında geri ve vurur ne bitişik şey.</v>
      </c>
      <c r="G240" s="23" t="str">
        <f>IFERROR(__xludf.DUMMYFUNCTION("GOOGLETRANSLATE(B240, ""en"", ""pt"")"),"Relíquia. Uma arma poderosa usada pelos antigos heróis. Empurra as coisas de volta quando bate, e qualquer coisa adjacente ao que ela atinge.")</f>
        <v>Relíquia. Uma arma poderosa usada pelos antigos heróis. Empurra as coisas de volta quando bate, e qualquer coisa adjacente ao que ela atinge.</v>
      </c>
      <c r="H240" s="24" t="str">
        <f>IFERROR(__xludf.DUMMYFUNCTION("GOOGLETRANSLATE(B240, ""en"", ""de"")"),"Relikt. Eine mächtige Waffe, die von alten Helden verwendet. Schieben Dinge zurück, wenn es erfolgreich ist, und alles, was neben dem, was er trifft.")</f>
        <v>Relikt. Eine mächtige Waffe, die von alten Helden verwendet. Schieben Dinge zurück, wenn es erfolgreich ist, und alles, was neben dem, was er trifft.</v>
      </c>
      <c r="I240" s="23" t="str">
        <f>IFERROR(__xludf.DUMMYFUNCTION("GOOGLETRANSLATE(B240, ""en"", ""pl"")"),"Relikt. Potężna broń używana przez starożytnych bohaterów. Popycha rzeczy z powrotem, kiedy uderza, a wszystko w sąsiedztwie co natrafi.")</f>
        <v>Relikt. Potężna broń używana przez starożytnych bohaterów. Popycha rzeczy z powrotem, kiedy uderza, a wszystko w sąsiedztwie co natrafi.</v>
      </c>
      <c r="J240" s="25" t="str">
        <f>IFERROR(__xludf.DUMMYFUNCTION("GOOGLETRANSLATE(B240, ""en"", ""zh"")"),"遗迹。古代英雄们使用的有力武器。推回事情，当它击中，毗邻它打什么。")</f>
        <v>遗迹。古代英雄们使用的有力武器。推回事情，当它击中，毗邻它打什么。</v>
      </c>
      <c r="K240" s="25" t="str">
        <f>IFERROR(__xludf.DUMMYFUNCTION("GOOGLETRANSLATE(B240, ""en"", ""vi"")"),"Thánh tích. Một vũ khí mạnh mẽ được sử dụng bởi những anh hùng cổ đại. Push thứ trở lại khi nó chạm, và bất cứ điều gì tiếp giáp với những gì nó chạm.")</f>
        <v>Thánh tích. Một vũ khí mạnh mẽ được sử dụng bởi những anh hùng cổ đại. Push thứ trở lại khi nó chạm, và bất cứ điều gì tiếp giáp với những gì nó chạm.</v>
      </c>
      <c r="L240" s="26" t="str">
        <f>IFERROR(__xludf.DUMMYFUNCTION("GOOGLETRANSLATE(B240, ""en"", ""hr"")"),"Relikvija. Snažan oružje koriste drevnih heroja. Gura stvari natrag kad ga pogodi, a sve uz što ga pogodi.")</f>
        <v>Relikvija. Snažan oružje koriste drevnih heroja. Gura stvari natrag kad ga pogodi, a sve uz što ga pogodi.</v>
      </c>
      <c r="M240" s="28"/>
      <c r="N240" s="28"/>
      <c r="O240" s="28"/>
      <c r="P240" s="28"/>
      <c r="Q240" s="28"/>
      <c r="R240" s="28"/>
      <c r="S240" s="28"/>
      <c r="T240" s="28"/>
      <c r="U240" s="28"/>
      <c r="V240" s="28"/>
      <c r="W240" s="28"/>
      <c r="X240" s="28"/>
      <c r="Y240" s="28"/>
      <c r="Z240" s="28"/>
      <c r="AA240" s="28"/>
      <c r="AB240" s="28"/>
    </row>
    <row r="241">
      <c r="A241" s="21" t="s">
        <v>738</v>
      </c>
      <c r="B241" s="22" t="s">
        <v>739</v>
      </c>
      <c r="C241" s="23" t="str">
        <f>IFERROR(__xludf.DUMMYFUNCTION("GOOGLETRANSLATE(B241, ""en"", ""fr"")"),"Armure de Ire")</f>
        <v>Armure de Ire</v>
      </c>
      <c r="D241" s="23" t="str">
        <f>IFERROR(__xludf.DUMMYFUNCTION("GOOGLETRANSLATE(B241, ""en"", ""es"")"),"Armadura de Ire")</f>
        <v>Armadura de Ire</v>
      </c>
      <c r="E241" s="23" t="str">
        <f>IFERROR(__xludf.DUMMYFUNCTION("GOOGLETRANSLATE(B241, ""en"", ""ru"")"),"Доспехи Ире")</f>
        <v>Доспехи Ире</v>
      </c>
      <c r="F241" s="23" t="str">
        <f>IFERROR(__xludf.DUMMYFUNCTION("GOOGLETRANSLATE(B241, ""en"", ""tr"")"),"Ire Armor")</f>
        <v>Ire Armor</v>
      </c>
      <c r="G241" s="23" t="str">
        <f>IFERROR(__xludf.DUMMYFUNCTION("GOOGLETRANSLATE(B241, ""en"", ""pt"")"),"Armadura de Ire")</f>
        <v>Armadura de Ire</v>
      </c>
      <c r="H241" s="24" t="str">
        <f>IFERROR(__xludf.DUMMYFUNCTION("GOOGLETRANSLATE(B241, ""en"", ""de"")"),"Rüstung der Ire")</f>
        <v>Rüstung der Ire</v>
      </c>
      <c r="I241" s="23" t="str">
        <f>IFERROR(__xludf.DUMMYFUNCTION("GOOGLETRANSLATE(B241, ""en"", ""pl"")"),"Zbroja Ire")</f>
        <v>Zbroja Ire</v>
      </c>
      <c r="J241" s="25" t="str">
        <f>IFERROR(__xludf.DUMMYFUNCTION("GOOGLETRANSLATE(B241, ""en"", ""zh"")"),"愤怒的护甲")</f>
        <v>愤怒的护甲</v>
      </c>
      <c r="K241" s="25" t="str">
        <f>IFERROR(__xludf.DUMMYFUNCTION("GOOGLETRANSLATE(B241, ""en"", ""vi"")"),"Armor của Ire")</f>
        <v>Armor của Ire</v>
      </c>
      <c r="L241" s="26" t="str">
        <f>IFERROR(__xludf.DUMMYFUNCTION("GOOGLETRANSLATE(B241, ""en"", ""hr"")"),"Oklop od IRE")</f>
        <v>Oklop od IRE</v>
      </c>
      <c r="M241" s="28"/>
      <c r="N241" s="28"/>
      <c r="O241" s="28"/>
      <c r="P241" s="28"/>
      <c r="Q241" s="28"/>
      <c r="R241" s="28"/>
      <c r="S241" s="28"/>
      <c r="T241" s="28"/>
      <c r="U241" s="28"/>
      <c r="V241" s="28"/>
      <c r="W241" s="28"/>
      <c r="X241" s="28"/>
      <c r="Y241" s="28"/>
      <c r="Z241" s="28"/>
      <c r="AA241" s="28"/>
      <c r="AB241" s="28"/>
    </row>
    <row r="242">
      <c r="A242" s="21" t="s">
        <v>740</v>
      </c>
      <c r="B242" s="22" t="s">
        <v>741</v>
      </c>
      <c r="C242" s="23" t="str">
        <f>IFERROR(__xludf.DUMMYFUNCTION("GOOGLETRANSLATE(B242, ""en"", ""fr"")"),"Relique. La douleur qu'ils servent sera apporté à eux-mêmes. Reflète une partie des dégâts subis à la source.")</f>
        <v>Relique. La douleur qu'ils servent sera apporté à eux-mêmes. Reflète une partie des dégâts subis à la source.</v>
      </c>
      <c r="D242" s="23" t="str">
        <f>IFERROR(__xludf.DUMMYFUNCTION("GOOGLETRANSLATE(B242, ""en"", ""es"")"),"Reliquia. El dolor que sirven será llevado a su propia cuenta. Refleja una parte de los daños llevado de vuelta a la fuente.")</f>
        <v>Reliquia. El dolor que sirven será llevado a su propia cuenta. Refleja una parte de los daños llevado de vuelta a la fuente.</v>
      </c>
      <c r="E242" s="23" t="str">
        <f>IFERROR(__xludf.DUMMYFUNCTION("GOOGLETRANSLATE(B242, ""en"", ""ru"")"),"Relic. Боль, которую они будут служить навел свои собственные. Отражает часть урона, принятую обратно к источнику.")</f>
        <v>Relic. Боль, которую они будут служить навел свои собственные. Отражает часть урона, принятую обратно к источнику.</v>
      </c>
      <c r="F242" s="23" t="str">
        <f>IFERROR(__xludf.DUMMYFUNCTION("GOOGLETRANSLATE(B242, ""en"", ""tr"")"),"Relic. Hizmet verdikleri ağrı kendi üzerine getirilecektir. kaynağına geri alınan hasar bir kısmını yansıtır.")</f>
        <v>Relic. Hizmet verdikleri ağrı kendi üzerine getirilecektir. kaynağına geri alınan hasar bir kısmını yansıtır.</v>
      </c>
      <c r="G242" s="23" t="str">
        <f>IFERROR(__xludf.DUMMYFUNCTION("GOOGLETRANSLATE(B242, ""en"", ""pt"")"),"Relíquia. A dor que servem será trazido sobre a sua própria. Reflete uma porção de dano levado de volta para a fonte.")</f>
        <v>Relíquia. A dor que servem será trazido sobre a sua própria. Reflete uma porção de dano levado de volta para a fonte.</v>
      </c>
      <c r="H242" s="24" t="str">
        <f>IFERROR(__xludf.DUMMYFUNCTION("GOOGLETRANSLATE(B242, ""en"", ""de"")"),"Relikt. Der Schmerz, den sie dienen auf ihre eigenen gebracht werden. Reflektiert einen Teil der Schäden an der Quelle zurückgenommen.")</f>
        <v>Relikt. Der Schmerz, den sie dienen auf ihre eigenen gebracht werden. Reflektiert einen Teil der Schäden an der Quelle zurückgenommen.</v>
      </c>
      <c r="I242" s="23" t="str">
        <f>IFERROR(__xludf.DUMMYFUNCTION("GOOGLETRANSLATE(B242, ""en"", ""pl"")"),"Relikt. Ból służą zostaną doprowadzone na własną rękę. Odbija część obrażeń z powrotem do źródła.")</f>
        <v>Relikt. Ból służą zostaną doprowadzone na własną rękę. Odbija część obrażeń z powrotem do źródła.</v>
      </c>
      <c r="J242" s="25" t="str">
        <f>IFERROR(__xludf.DUMMYFUNCTION("GOOGLETRANSLATE(B242, ""en"", ""zh"")"),"遗迹。他们所服务的疼痛会在自己提出。反映带回源损坏的部分。")</f>
        <v>遗迹。他们所服务的疼痛会在自己提出。反映带回源损坏的部分。</v>
      </c>
      <c r="K242" s="25" t="str">
        <f>IFERROR(__xludf.DUMMYFUNCTION("GOOGLETRANSLATE(B242, ""en"", ""vi"")"),"Thánh tích. Sự đau đớn mà họ phục vụ sẽ được đưa vào riêng của họ. Phản ánh một phần thiệt hại đưa trở lại nguồn.")</f>
        <v>Thánh tích. Sự đau đớn mà họ phục vụ sẽ được đưa vào riêng của họ. Phản ánh một phần thiệt hại đưa trở lại nguồn.</v>
      </c>
      <c r="L242" s="26" t="str">
        <f>IFERROR(__xludf.DUMMYFUNCTION("GOOGLETRANSLATE(B242, ""en"", ""hr"")"),"Relikvija. Bol služe će se dovesti na svoje vlastite. Odražava dio štete uzeti natrag do izvora.")</f>
        <v>Relikvija. Bol služe će se dovesti na svoje vlastite. Odražava dio štete uzeti natrag do izvora.</v>
      </c>
      <c r="M242" s="28"/>
      <c r="N242" s="28"/>
      <c r="O242" s="28"/>
      <c r="P242" s="28"/>
      <c r="Q242" s="28"/>
      <c r="R242" s="28"/>
      <c r="S242" s="28"/>
      <c r="T242" s="28"/>
      <c r="U242" s="28"/>
      <c r="V242" s="28"/>
      <c r="W242" s="28"/>
      <c r="X242" s="28"/>
      <c r="Y242" s="28"/>
      <c r="Z242" s="28"/>
      <c r="AA242" s="28"/>
      <c r="AB242" s="28"/>
    </row>
    <row r="243">
      <c r="A243" s="21" t="s">
        <v>742</v>
      </c>
      <c r="B243" s="22" t="s">
        <v>743</v>
      </c>
      <c r="C243" s="23" t="str">
        <f>IFERROR(__xludf.DUMMYFUNCTION("GOOGLETRANSLATE(B243, ""en"", ""fr"")"),"Flamme éternelle")</f>
        <v>Flamme éternelle</v>
      </c>
      <c r="D243" s="23" t="str">
        <f>IFERROR(__xludf.DUMMYFUNCTION("GOOGLETRANSLATE(B243, ""en"", ""es"")"),"Llama eterna")</f>
        <v>Llama eterna</v>
      </c>
      <c r="E243" s="23" t="str">
        <f>IFERROR(__xludf.DUMMYFUNCTION("GOOGLETRANSLATE(B243, ""en"", ""ru"")"),"Вечный огонь")</f>
        <v>Вечный огонь</v>
      </c>
      <c r="F243" s="23" t="str">
        <f>IFERROR(__xludf.DUMMYFUNCTION("GOOGLETRANSLATE(B243, ""en"", ""tr"")"),"Ebedi Alev")</f>
        <v>Ebedi Alev</v>
      </c>
      <c r="G243" s="23" t="str">
        <f>IFERROR(__xludf.DUMMYFUNCTION("GOOGLETRANSLATE(B243, ""en"", ""pt"")"),"Chama eterna")</f>
        <v>Chama eterna</v>
      </c>
      <c r="H243" s="24" t="str">
        <f>IFERROR(__xludf.DUMMYFUNCTION("GOOGLETRANSLATE(B243, ""en"", ""de"")"),"Ewige Flamme")</f>
        <v>Ewige Flamme</v>
      </c>
      <c r="I243" s="23" t="str">
        <f>IFERROR(__xludf.DUMMYFUNCTION("GOOGLETRANSLATE(B243, ""en"", ""pl"")"),"Wieczny płomień")</f>
        <v>Wieczny płomień</v>
      </c>
      <c r="J243" s="25" t="str">
        <f>IFERROR(__xludf.DUMMYFUNCTION("GOOGLETRANSLATE(B243, ""en"", ""zh"")"),"永恒之火")</f>
        <v>永恒之火</v>
      </c>
      <c r="K243" s="25" t="str">
        <f>IFERROR(__xludf.DUMMYFUNCTION("GOOGLETRANSLATE(B243, ""en"", ""vi"")"),"Ngọn lửa vĩnh cửu")</f>
        <v>Ngọn lửa vĩnh cửu</v>
      </c>
      <c r="L243" s="26" t="str">
        <f>IFERROR(__xludf.DUMMYFUNCTION("GOOGLETRANSLATE(B243, ""en"", ""hr"")"),"Vječni plamen")</f>
        <v>Vječni plamen</v>
      </c>
      <c r="M243" s="28"/>
      <c r="N243" s="28"/>
      <c r="O243" s="28"/>
      <c r="P243" s="28"/>
      <c r="Q243" s="28"/>
      <c r="R243" s="28"/>
      <c r="S243" s="28"/>
      <c r="T243" s="28"/>
      <c r="U243" s="28"/>
      <c r="V243" s="28"/>
      <c r="W243" s="28"/>
      <c r="X243" s="28"/>
      <c r="Y243" s="28"/>
      <c r="Z243" s="28"/>
      <c r="AA243" s="28"/>
      <c r="AB243" s="28"/>
    </row>
    <row r="244">
      <c r="A244" s="21" t="s">
        <v>744</v>
      </c>
      <c r="B244" s="22" t="s">
        <v>745</v>
      </c>
      <c r="C244" s="23" t="str">
        <f>IFERROR(__xludf.DUMMYFUNCTION("GOOGLETRANSLATE(B244, ""en"", ""fr"")"),"Relique. Une essence du feu, volé de la pègre. Shoots une vague de feu.")</f>
        <v>Relique. Une essence du feu, volé de la pègre. Shoots une vague de feu.</v>
      </c>
      <c r="D244" s="23" t="str">
        <f>IFERROR(__xludf.DUMMYFUNCTION("GOOGLETRANSLATE(B244, ""en"", ""es"")"),"Reliquia. Una esencia de fuego, robado de los bajos fondos. Brotes una ola de fuego.")</f>
        <v>Reliquia. Una esencia de fuego, robado de los bajos fondos. Brotes una ola de fuego.</v>
      </c>
      <c r="E244" s="23" t="str">
        <f>IFERROR(__xludf.DUMMYFUNCTION("GOOGLETRANSLATE(B244, ""en"", ""ru"")"),"Relic. Сущность огня, украдена из подземного мира. Побеги волна огня.")</f>
        <v>Relic. Сущность огня, украдена из подземного мира. Побеги волна огня.</v>
      </c>
      <c r="F244" s="23" t="str">
        <f>IFERROR(__xludf.DUMMYFUNCTION("GOOGLETRANSLATE(B244, ""en"", ""tr"")"),"Relic. yeraltı çalınan yangın bir özü. Sürgünler ateş bir dalga.")</f>
        <v>Relic. yeraltı çalınan yangın bir özü. Sürgünler ateş bir dalga.</v>
      </c>
      <c r="G244" s="23" t="str">
        <f>IFERROR(__xludf.DUMMYFUNCTION("GOOGLETRANSLATE(B244, ""en"", ""pt"")"),"Relíquia. Uma essência de fogo, roubado do submundo. Shoots uma onda de fogo.")</f>
        <v>Relíquia. Uma essência de fogo, roubado do submundo. Shoots uma onda de fogo.</v>
      </c>
      <c r="H244" s="24" t="str">
        <f>IFERROR(__xludf.DUMMYFUNCTION("GOOGLETRANSLATE(B244, ""en"", ""de"")"),"Relikt. Eine Essenz des Feuers, aus der Unterwelt gestohlen. Shoots eine Welle des Feuers.")</f>
        <v>Relikt. Eine Essenz des Feuers, aus der Unterwelt gestohlen. Shoots eine Welle des Feuers.</v>
      </c>
      <c r="I244" s="23" t="str">
        <f>IFERROR(__xludf.DUMMYFUNCTION("GOOGLETRANSLATE(B244, ""en"", ""pl"")"),"Relikt. Esencja ognia, kradzieży z zaświatów. Wykonuje fali ognia.")</f>
        <v>Relikt. Esencja ognia, kradzieży z zaświatów. Wykonuje fali ognia.</v>
      </c>
      <c r="J244" s="25" t="str">
        <f>IFERROR(__xludf.DUMMYFUNCTION("GOOGLETRANSLATE(B244, ""en"", ""zh"")"),"遗迹。火的本质，从黑道被盗。芽火波。")</f>
        <v>遗迹。火的本质，从黑道被盗。芽火波。</v>
      </c>
      <c r="K244" s="25" t="str">
        <f>IFERROR(__xludf.DUMMYFUNCTION("GOOGLETRANSLATE(B244, ""en"", ""vi"")"),"Thánh tích. Một bản chất của lửa, bị đánh cắp từ thế giới bên kia. Chồi một làn sóng lửa.")</f>
        <v>Thánh tích. Một bản chất của lửa, bị đánh cắp từ thế giới bên kia. Chồi một làn sóng lửa.</v>
      </c>
      <c r="L244" s="26" t="str">
        <f>IFERROR(__xludf.DUMMYFUNCTION("GOOGLETRANSLATE(B244, ""en"", ""hr"")"),"Relikvija. Suštinu vatre, ukraden iz podzemlja. Snima val požara.")</f>
        <v>Relikvija. Suštinu vatre, ukraden iz podzemlja. Snima val požara.</v>
      </c>
      <c r="M244" s="28"/>
      <c r="N244" s="28"/>
      <c r="O244" s="28"/>
      <c r="P244" s="28"/>
      <c r="Q244" s="28"/>
      <c r="R244" s="28"/>
      <c r="S244" s="28"/>
      <c r="T244" s="28"/>
      <c r="U244" s="28"/>
      <c r="V244" s="28"/>
      <c r="W244" s="28"/>
      <c r="X244" s="28"/>
      <c r="Y244" s="28"/>
      <c r="Z244" s="28"/>
      <c r="AA244" s="28"/>
      <c r="AB244" s="28"/>
    </row>
    <row r="245">
      <c r="A245" s="21" t="s">
        <v>746</v>
      </c>
      <c r="B245" s="22" t="s">
        <v>747</v>
      </c>
      <c r="C245" s="23" t="str">
        <f>IFERROR(__xludf.DUMMYFUNCTION("GOOGLETRANSLATE(B245, ""en"", ""fr"")"),"Gale Storm")</f>
        <v>Gale Storm</v>
      </c>
      <c r="D245" s="23" t="str">
        <f>IFERROR(__xludf.DUMMYFUNCTION("GOOGLETRANSLATE(B245, ""en"", ""es"")"),"Gale Storm")</f>
        <v>Gale Storm</v>
      </c>
      <c r="E245" s="23" t="str">
        <f>IFERROR(__xludf.DUMMYFUNCTION("GOOGLETRANSLATE(B245, ""en"", ""ru"")"),"Гейл Сторм")</f>
        <v>Гейл Сторм</v>
      </c>
      <c r="F245" s="23" t="str">
        <f>IFERROR(__xludf.DUMMYFUNCTION("GOOGLETRANSLATE(B245, ""en"", ""tr"")"),"Galestorm")</f>
        <v>Galestorm</v>
      </c>
      <c r="G245" s="23" t="str">
        <f>IFERROR(__xludf.DUMMYFUNCTION("GOOGLETRANSLATE(B245, ""en"", ""pt"")"),"Galestorm")</f>
        <v>Galestorm</v>
      </c>
      <c r="H245" s="24" t="str">
        <f>IFERROR(__xludf.DUMMYFUNCTION("GOOGLETRANSLATE(B245, ""en"", ""de"")"),"Gale Storm")</f>
        <v>Gale Storm</v>
      </c>
      <c r="I245" s="23" t="str">
        <f>IFERROR(__xludf.DUMMYFUNCTION("GOOGLETRANSLATE(B245, ""en"", ""pl"")"),"Gale Storm")</f>
        <v>Gale Storm</v>
      </c>
      <c r="J245" s="25" t="str">
        <f>IFERROR(__xludf.DUMMYFUNCTION("GOOGLETRANSLATE(B245, ""en"", ""zh"")"),"Galestorm")</f>
        <v>Galestorm</v>
      </c>
      <c r="K245" s="25" t="str">
        <f>IFERROR(__xludf.DUMMYFUNCTION("GOOGLETRANSLATE(B245, ""en"", ""vi"")"),"Galestorm")</f>
        <v>Galestorm</v>
      </c>
      <c r="L245" s="26" t="str">
        <f>IFERROR(__xludf.DUMMYFUNCTION("GOOGLETRANSLATE(B245, ""en"", ""hr"")"),"Galestorm")</f>
        <v>Galestorm</v>
      </c>
      <c r="M245" s="28"/>
      <c r="N245" s="28"/>
      <c r="O245" s="28"/>
      <c r="P245" s="28"/>
      <c r="Q245" s="28"/>
      <c r="R245" s="28"/>
      <c r="S245" s="28"/>
      <c r="T245" s="28"/>
      <c r="U245" s="28"/>
      <c r="V245" s="28"/>
      <c r="W245" s="28"/>
      <c r="X245" s="28"/>
      <c r="Y245" s="28"/>
      <c r="Z245" s="28"/>
      <c r="AA245" s="28"/>
      <c r="AB245" s="28"/>
    </row>
    <row r="246">
      <c r="A246" s="21" t="s">
        <v>748</v>
      </c>
      <c r="B246" s="22" t="s">
        <v>749</v>
      </c>
      <c r="C246" s="23" t="str">
        <f>IFERROR(__xludf.DUMMYFUNCTION("GOOGLETRANSLATE(B246, ""en"", ""fr"")"),"Relique. Utilisé par les marins pirates pour propulser leurs navires. Pousses une vague de vent.")</f>
        <v>Relique. Utilisé par les marins pirates pour propulser leurs navires. Pousses une vague de vent.</v>
      </c>
      <c r="D246" s="23" t="str">
        <f>IFERROR(__xludf.DUMMYFUNCTION("GOOGLETRANSLATE(B246, ""en"", ""es"")"),"Reliquia. Utilizado por los marineros piratas para impulsar sus naves. Los brotes de una ola de viento.")</f>
        <v>Reliquia. Utilizado por los marineros piratas para impulsar sus naves. Los brotes de una ola de viento.</v>
      </c>
      <c r="E246" s="23" t="str">
        <f>IFERROR(__xludf.DUMMYFUNCTION("GOOGLETRANSLATE(B246, ""en"", ""ru"")"),"Relic. Используется пиратскими моряками, чтобы продвинуть свои корабли. Побеги волна ветра.")</f>
        <v>Relic. Используется пиратскими моряками, чтобы продвинуть свои корабли. Побеги волна ветра.</v>
      </c>
      <c r="F246" s="23" t="str">
        <f>IFERROR(__xludf.DUMMYFUNCTION("GOOGLETRANSLATE(B246, ""en"", ""tr"")"),"Relic. gemilerini itmek için korsan denizciler tarafından kullanılır. Sürgünler rüzgar bir dalga.")</f>
        <v>Relic. gemilerini itmek için korsan denizciler tarafından kullanılır. Sürgünler rüzgar bir dalga.</v>
      </c>
      <c r="G246" s="23" t="str">
        <f>IFERROR(__xludf.DUMMYFUNCTION("GOOGLETRANSLATE(B246, ""en"", ""pt"")"),"Relíquia. Usada pelos marinheiros piratas para impulsionar seus navios. Shoots uma onda de vento.")</f>
        <v>Relíquia. Usada pelos marinheiros piratas para impulsionar seus navios. Shoots uma onda de vento.</v>
      </c>
      <c r="H246" s="24" t="str">
        <f>IFERROR(__xludf.DUMMYFUNCTION("GOOGLETRANSLATE(B246, ""en"", ""de"")"),"Relikt. Wird von Piraten Matrosen ihre Schiffe zu treiben. Sprosse eine Welle von Wind.")</f>
        <v>Relikt. Wird von Piraten Matrosen ihre Schiffe zu treiben. Sprosse eine Welle von Wind.</v>
      </c>
      <c r="I246" s="23" t="str">
        <f>IFERROR(__xludf.DUMMYFUNCTION("GOOGLETRANSLATE(B246, ""en"", ""pl"")"),"Relikt. Wykorzystywane przez żeglarzy do napędzania ich pirackie statki. Pędy falę wiatru.")</f>
        <v>Relikt. Wykorzystywane przez żeglarzy do napędzania ich pirackie statki. Pędy falę wiatru.</v>
      </c>
      <c r="J246" s="25" t="str">
        <f>IFERROR(__xludf.DUMMYFUNCTION("GOOGLETRANSLATE(B246, ""en"", ""zh"")"),"遗迹。通过海盗水手用来推动他们的船。芽风的浪潮。")</f>
        <v>遗迹。通过海盗水手用来推动他们的船。芽风的浪潮。</v>
      </c>
      <c r="K246" s="25" t="str">
        <f>IFERROR(__xludf.DUMMYFUNCTION("GOOGLETRANSLATE(B246, ""en"", ""vi"")"),"Thánh tích. Được sử dụng bởi các thủy thủ cướp biển để đẩy tàu của họ. Chồi một làn sóng gió.")</f>
        <v>Thánh tích. Được sử dụng bởi các thủy thủ cướp biển để đẩy tàu của họ. Chồi một làn sóng gió.</v>
      </c>
      <c r="L246" s="26" t="str">
        <f>IFERROR(__xludf.DUMMYFUNCTION("GOOGLETRANSLATE(B246, ""en"", ""hr"")"),"Relikvija. Koristi od strane gusara mornara tjerati svoje brodove. Snima val vjetra.")</f>
        <v>Relikvija. Koristi od strane gusara mornara tjerati svoje brodove. Snima val vjetra.</v>
      </c>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750</v>
      </c>
      <c r="B9" s="22" t="s">
        <v>751</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752</v>
      </c>
      <c r="B10" s="22" t="s">
        <v>753</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754</v>
      </c>
      <c r="B11" s="22" t="s">
        <v>755</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756</v>
      </c>
      <c r="B12" s="22" t="s">
        <v>757</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758</v>
      </c>
      <c r="B13" s="22" t="s">
        <v>759</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760</v>
      </c>
      <c r="B14" s="22" t="s">
        <v>761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762</v>
      </c>
      <c r="B15" s="22" t="s">
        <v>763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764</v>
      </c>
      <c r="B16" s="22" t="s">
        <v>765</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766</v>
      </c>
      <c r="B17" s="22" t="s">
        <v>767</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768</v>
      </c>
      <c r="B18" s="22" t="s">
        <v>769</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770</v>
      </c>
      <c r="B19" s="22" t="s">
        <v>771</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772</v>
      </c>
      <c r="B20" s="22" t="s">
        <v>773</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774</v>
      </c>
      <c r="B21" s="22" t="s">
        <v>775</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776</v>
      </c>
      <c r="B22" s="22" t="s">
        <v>777</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778</v>
      </c>
      <c r="B23" s="22" t="s">
        <v>779</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780</v>
      </c>
      <c r="B24" s="22" t="s">
        <v>781</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782</v>
      </c>
      <c r="B25" s="22" t="s">
        <v>783</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784</v>
      </c>
      <c r="B26" s="22" t="s">
        <v>785</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786</v>
      </c>
      <c r="B27" s="22" t="s">
        <v>787</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788</v>
      </c>
      <c r="B28" s="22" t="s">
        <v>789</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790</v>
      </c>
      <c r="B29" s="22" t="s">
        <v>791</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792</v>
      </c>
      <c r="B30" s="22" t="s">
        <v>793</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""ru"")"),"Гном рыцарь")</f>
        <v>Гном рыцарь</v>
      </c>
      <c r="F30" s="23" t="str">
        <f>IFERROR(__xludf.DUMMYFUNCTION("GOOGLETRANSLATE(B30, ""en"", ""tr"")"),"Cüce şövalye")</f>
        <v>Cüce şövalye</v>
      </c>
      <c r="G30" s="23" t="str">
        <f>IFERROR(__xludf.DUMMYFUNCTION("GOOGLETRANSLATE(B30, ""en"", ""pt"")"),"cavaleiro anão")</f>
        <v>cavaleiro anão</v>
      </c>
      <c r="H30" s="24" t="str">
        <f>IFERROR(__xludf.DUMMYFUNCTION("GOOGLETRANSLATE(B30, ""en"", ""de"")"),"Dwarf Ritter")</f>
        <v>Dwarf Ritter</v>
      </c>
      <c r="I30" s="23" t="str">
        <f>IFERROR(__xludf.DUMMYFUNCTION("GOOGLETRANSLATE(B30, ""en"", ""pl"")"),"Dwarf rycerz")</f>
        <v>Dwarf rycerz</v>
      </c>
      <c r="J30" s="25" t="str">
        <f>IFERROR(__xludf.DUMMYFUNCTION("GOOGLETRANSLATE(B30, ""en"", ""zh"")"),"矮人骑士")</f>
        <v>矮人骑士</v>
      </c>
      <c r="K30" s="25" t="str">
        <f>IFERROR(__xludf.DUMMYFUNCTION("GOOGLETRANSLATE(B30, ""en"", ""vi"")"),"hiệp sĩ lùn")</f>
        <v>hiệp sĩ lùn</v>
      </c>
      <c r="L30" s="26" t="str">
        <f>IFERROR(__xludf.DUMMYFUNCTION("GOOGLETRANSLATE(B30, ""en"", ""hr"")"),"patuljak vitez")</f>
        <v>patuljak vitez</v>
      </c>
      <c r="M30" s="28"/>
      <c r="N30" s="28"/>
      <c r="O30" s="28"/>
      <c r="P30" s="28"/>
      <c r="Q30" s="28"/>
      <c r="R30" s="28"/>
      <c r="S30" s="28"/>
      <c r="T30" s="28"/>
      <c r="U30" s="28"/>
      <c r="V30" s="28"/>
      <c r="W30" s="28"/>
      <c r="X30" s="28"/>
      <c r="Y30" s="28"/>
      <c r="Z30" s="28"/>
      <c r="AA30" s="28"/>
      <c r="AB30" s="28"/>
    </row>
    <row r="31">
      <c r="A31" s="21" t="s">
        <v>794</v>
      </c>
      <c r="B31" s="22" t="s">
        <v>795</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796</v>
      </c>
      <c r="B32" s="22" t="s">
        <v>797</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""ru"")"),"командующий")</f>
        <v>командующий</v>
      </c>
      <c r="F32" s="23" t="str">
        <f>IFERROR(__xludf.DUMMYFUNCTION("GOOGLETRANSLATE(B32, ""en"", ""tr"")"),"kumandan")</f>
        <v>kumandan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798</v>
      </c>
      <c r="B33" s="22" t="s">
        <v>799</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800</v>
      </c>
      <c r="B34" s="22" t="s">
        <v>801</v>
      </c>
      <c r="C34" s="23" t="str">
        <f>IFERROR(__xludf.DUMMYFUNCTION("GOOGLETRANSLATE(B34, ""en"", ""fr"")"),"Berserker")</f>
        <v>Berserker</v>
      </c>
      <c r="D34" s="23" t="str">
        <f>IFERROR(__xludf.DUMMYFUNCTION("GOOGLETRANSLATE(B34, ""en"", ""es"")"),"frenético")</f>
        <v>frenético</v>
      </c>
      <c r="E34" s="23" t="str">
        <f>IFERROR(__xludf.DUMMYFUNCTION("GOOGLETRANSLATE(B34, ""en"", ""ru"")"),"берсерк")</f>
        <v>берсерк</v>
      </c>
      <c r="F34" s="23" t="str">
        <f>IFERROR(__xludf.DUMMYFUNCTION("GOOGLETRANSLATE(B34, ""en"", ""tr"")"),"vahşi savaşçı")</f>
        <v>vahşi savaşçı</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""zh"")"),"狂战士")</f>
        <v>狂战士</v>
      </c>
      <c r="K34" s="25" t="str">
        <f>IFERROR(__xludf.DUMMYFUNCTION("GOOGLETRANSLATE(B34, ""en"", ""vi"")"),"người điên khùng")</f>
        <v>người điên khùng</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802</v>
      </c>
      <c r="B35" s="22" t="s">
        <v>803</v>
      </c>
      <c r="C35" s="23" t="str">
        <f>IFERROR(__xludf.DUMMYFUNCTION("GOOGLETRANSLATE(B35, ""en"", ""fr"")"),"Prisonnier")</f>
        <v>Prisonnier</v>
      </c>
      <c r="D35" s="23" t="str">
        <f>IFERROR(__xludf.DUMMYFUNCTION("GOOGLETRANSLATE(B35, ""en"", ""es"")"),"Prisionero")</f>
        <v>Prisionero</v>
      </c>
      <c r="E35" s="23" t="str">
        <f>IFERROR(__xludf.DUMMYFUNCTION("GOOGLETRANSLATE(B35, ""en"", ""ru"")"),"пленный")</f>
        <v>пленный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804</v>
      </c>
      <c r="B36" s="22" t="s">
        <v>805</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""tr"")"),"Sıçan")</f>
        <v>Sıçan</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806</v>
      </c>
      <c r="B37" s="22" t="s">
        <v>807</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808</v>
      </c>
      <c r="B38" s="22" t="s">
        <v>809</v>
      </c>
      <c r="C38" s="23" t="str">
        <f>IFERROR(__xludf.DUMMYFUNCTION("GOOGLETRANSLATE(B38, ""en"", ""fr"")"),"vaurien de sable")</f>
        <v>vaurien de sable</v>
      </c>
      <c r="D38" s="23" t="str">
        <f>IFERROR(__xludf.DUMMYFUNCTION("GOOGLETRANSLATE(B38, ""en"", ""es"")"),"scamp arena")</f>
        <v>scamp arena</v>
      </c>
      <c r="E38" s="23" t="str">
        <f>IFERROR(__xludf.DUMMYFUNCTION("GOOGLETRANSLATE(B38, ""en"", ""ru"")"),"Песок негодяй")</f>
        <v>Песок негодяй</v>
      </c>
      <c r="F38" s="23" t="str">
        <f>IFERROR(__xludf.DUMMYFUNCTION("GOOGLETRANSLATE(B38, ""en"", ""tr"")"),"Kum bıçkın")</f>
        <v>Kum bıçkın</v>
      </c>
      <c r="G38" s="23" t="str">
        <f>IFERROR(__xludf.DUMMYFUNCTION("GOOGLETRANSLATE(B38, ""en"", ""pt"")"),"scamp areia")</f>
        <v>scamp areia</v>
      </c>
      <c r="H38" s="24" t="str">
        <f>IFERROR(__xludf.DUMMYFUNCTION("GOOGLETRANSLATE(B38, ""en"", ""de"")"),"Sand scamp")</f>
        <v>Sand scamp</v>
      </c>
      <c r="I38" s="23" t="str">
        <f>IFERROR(__xludf.DUMMYFUNCTION("GOOGLETRANSLATE(B38, ""en"", ""pl"")"),"piasek scamp")</f>
        <v>piasek scamp</v>
      </c>
      <c r="J38" s="25" t="str">
        <f>IFERROR(__xludf.DUMMYFUNCTION("GOOGLETRANSLATE(B38, ""en"", ""zh"")"),"沙恶棍")</f>
        <v>沙恶棍</v>
      </c>
      <c r="K38" s="25" t="str">
        <f>IFERROR(__xludf.DUMMYFUNCTION("GOOGLETRANSLATE(B38, ""en"", ""vi"")"),"Sand làm việc cẩu thả")</f>
        <v>Sand làm việc cẩu thả</v>
      </c>
      <c r="L38" s="26" t="str">
        <f>IFERROR(__xludf.DUMMYFUNCTION("GOOGLETRANSLATE(B38, ""en"", ""hr"")"),"pijesak nestaško")</f>
        <v>pijesak nestaško</v>
      </c>
      <c r="M38" s="28"/>
      <c r="N38" s="28"/>
      <c r="O38" s="28"/>
      <c r="P38" s="28"/>
      <c r="Q38" s="28"/>
      <c r="R38" s="28"/>
      <c r="S38" s="28"/>
      <c r="T38" s="28"/>
      <c r="U38" s="28"/>
      <c r="V38" s="28"/>
      <c r="W38" s="28"/>
      <c r="X38" s="28"/>
      <c r="Y38" s="28"/>
      <c r="Z38" s="28"/>
      <c r="AA38" s="28"/>
      <c r="AB38" s="28"/>
    </row>
    <row r="39">
      <c r="A39" s="21" t="s">
        <v>810</v>
      </c>
      <c r="B39" s="22" t="s">
        <v>811</v>
      </c>
      <c r="C39" s="23" t="str">
        <f>IFERROR(__xludf.DUMMYFUNCTION("GOOGLETRANSLATE(B39, ""en"", ""fr"")"),"herbe vaurien")</f>
        <v>herbe vaurien</v>
      </c>
      <c r="D39" s="23" t="str">
        <f>IFERROR(__xludf.DUMMYFUNCTION("GOOGLETRANSLATE(B39, ""en"", ""es"")"),"scamp hierba")</f>
        <v>scamp hierba</v>
      </c>
      <c r="E39" s="23" t="str">
        <f>IFERROR(__xludf.DUMMYFUNCTION("GOOGLETRANSLATE(B39, ""en"", ""ru"")"),"Трава негодяй")</f>
        <v>Трава негодяй</v>
      </c>
      <c r="F39" s="23" t="str">
        <f>IFERROR(__xludf.DUMMYFUNCTION("GOOGLETRANSLATE(B39, ""en"", ""tr"")"),"çim bıçkın")</f>
        <v>çim bıçkın</v>
      </c>
      <c r="G39" s="23" t="str">
        <f>IFERROR(__xludf.DUMMYFUNCTION("GOOGLETRANSLATE(B39, ""en"", ""pt"")"),"grama scamp")</f>
        <v>grama scamp</v>
      </c>
      <c r="H39" s="24" t="str">
        <f>IFERROR(__xludf.DUMMYFUNCTION("GOOGLETRANSLATE(B39, ""en"", ""de"")"),"Grass scamp")</f>
        <v>Grass scamp</v>
      </c>
      <c r="I39" s="23" t="str">
        <f>IFERROR(__xludf.DUMMYFUNCTION("GOOGLETRANSLATE(B39, ""en"", ""pl"")"),"trawa scamp")</f>
        <v>trawa scamp</v>
      </c>
      <c r="J39" s="25" t="str">
        <f>IFERROR(__xludf.DUMMYFUNCTION("GOOGLETRANSLATE(B39, ""en"", ""zh"")"),"草恶棍")</f>
        <v>草恶棍</v>
      </c>
      <c r="K39" s="25" t="str">
        <f>IFERROR(__xludf.DUMMYFUNCTION("GOOGLETRANSLATE(B39, ""en"", ""vi"")"),"cỏ làm việc cẩu thả")</f>
        <v>cỏ làm việc cẩu thả</v>
      </c>
      <c r="L39" s="26" t="str">
        <f>IFERROR(__xludf.DUMMYFUNCTION("GOOGLETRANSLATE(B39, ""en"", ""hr"")"),"trava nestaško")</f>
        <v>trava nestaško</v>
      </c>
      <c r="M39" s="28"/>
      <c r="N39" s="28"/>
      <c r="O39" s="28"/>
      <c r="P39" s="28"/>
      <c r="Q39" s="28"/>
      <c r="R39" s="28"/>
      <c r="S39" s="28"/>
      <c r="T39" s="28"/>
      <c r="U39" s="28"/>
      <c r="V39" s="28"/>
      <c r="W39" s="28"/>
      <c r="X39" s="28"/>
      <c r="Y39" s="28"/>
      <c r="Z39" s="28"/>
      <c r="AA39" s="28"/>
      <c r="AB39" s="28"/>
    </row>
    <row r="40">
      <c r="A40" s="21" t="s">
        <v>812</v>
      </c>
      <c r="B40" s="22" t="s">
        <v>813</v>
      </c>
      <c r="C40" s="23" t="str">
        <f>IFERROR(__xludf.DUMMYFUNCTION("GOOGLETRANSLATE(B40, ""en"", ""fr"")"),"Lutin")</f>
        <v>Lutin</v>
      </c>
      <c r="D40" s="23" t="str">
        <f>IFERROR(__xludf.DUMMYFUNCTION("GOOGLETRANSLATE(B40, ""en"", ""es"")"),"Duende")</f>
        <v>Duende</v>
      </c>
      <c r="E40" s="23" t="str">
        <f>IFERROR(__xludf.DUMMYFUNCTION("GOOGLETRANSLATE(B40, ""en"", ""ru"")"),"гоблин")</f>
        <v>гоблин</v>
      </c>
      <c r="F40" s="23" t="str">
        <f>IFERROR(__xludf.DUMMYFUNCTION("GOOGLETRANSLATE(B40, ""en"", ""tr"")"),"cin")</f>
        <v>cin</v>
      </c>
      <c r="G40" s="23" t="str">
        <f>IFERROR(__xludf.DUMMYFUNCTION("GOOGLETRANSLATE(B40, ""en"", ""pt"")"),"gnomo")</f>
        <v>gnomo</v>
      </c>
      <c r="H40" s="24" t="str">
        <f>IFERROR(__xludf.DUMMYFUNCTION("GOOGLETRANSLATE(B40, ""en"", ""de"")"),"Kobold")</f>
        <v>Kobold</v>
      </c>
      <c r="I40" s="23" t="str">
        <f>IFERROR(__xludf.DUMMYFUNCTION("GOOGLETRANSLATE(B40, ""en"", ""pl"")"),"Chochlik")</f>
        <v>Chochlik</v>
      </c>
      <c r="J40" s="25" t="str">
        <f>IFERROR(__xludf.DUMMYFUNCTION("GOOGLETRANSLATE(B40, ""en"", ""zh"")"),"小妖精")</f>
        <v>小妖精</v>
      </c>
      <c r="K40" s="25" t="str">
        <f>IFERROR(__xludf.DUMMYFUNCTION("GOOGLETRANSLATE(B40, ""en"", ""vi"")"),"Yêu tinh")</f>
        <v>Yêu tinh</v>
      </c>
      <c r="L40" s="26" t="str">
        <f>IFERROR(__xludf.DUMMYFUNCTION("GOOGLETRANSLATE(B40, ""en"", ""hr"")"),"Zao")</f>
        <v>Zao</v>
      </c>
      <c r="M40" s="28"/>
      <c r="N40" s="28"/>
      <c r="O40" s="28"/>
      <c r="P40" s="28"/>
      <c r="Q40" s="28"/>
      <c r="R40" s="28"/>
      <c r="S40" s="28"/>
      <c r="T40" s="28"/>
      <c r="U40" s="28"/>
      <c r="V40" s="28"/>
      <c r="W40" s="28"/>
      <c r="X40" s="28"/>
      <c r="Y40" s="28"/>
      <c r="Z40" s="28"/>
      <c r="AA40" s="28"/>
      <c r="AB40" s="28"/>
    </row>
    <row r="41">
      <c r="A41" s="21" t="s">
        <v>814</v>
      </c>
      <c r="B41" s="22" t="s">
        <v>815</v>
      </c>
      <c r="C41" s="23" t="str">
        <f>IFERROR(__xludf.DUMMYFUNCTION("GOOGLETRANSLATE(B41, ""en"", ""fr"")"),"Druide")</f>
        <v>Druide</v>
      </c>
      <c r="D41" s="23" t="str">
        <f>IFERROR(__xludf.DUMMYFUNCTION("GOOGLETRANSLATE(B41, ""en"", ""es"")"),"druida")</f>
        <v>druida</v>
      </c>
      <c r="E41" s="23" t="str">
        <f>IFERROR(__xludf.DUMMYFUNCTION("GOOGLETRANSLATE(B41, ""en"", ""ru"")"),"друид")</f>
        <v>друид</v>
      </c>
      <c r="F41" s="23" t="str">
        <f>IFERROR(__xludf.DUMMYFUNCTION("GOOGLETRANSLATE(B41, ""en"", ""tr"")"),"Büyücü")</f>
        <v>Büyücü</v>
      </c>
      <c r="G41" s="23" t="str">
        <f>IFERROR(__xludf.DUMMYFUNCTION("GOOGLETRANSLATE(B41, ""en"", ""pt"")"),"druida")</f>
        <v>druida</v>
      </c>
      <c r="H41" s="24" t="str">
        <f>IFERROR(__xludf.DUMMYFUNCTION("GOOGLETRANSLATE(B41, ""en"", ""de"")"),"Druide")</f>
        <v>Druide</v>
      </c>
      <c r="I41" s="23" t="str">
        <f>IFERROR(__xludf.DUMMYFUNCTION("GOOGLETRANSLATE(B41, ""en"", ""pl"")"),"druid")</f>
        <v>druid</v>
      </c>
      <c r="J41" s="25" t="str">
        <f>IFERROR(__xludf.DUMMYFUNCTION("GOOGLETRANSLATE(B41, ""en"", ""zh"")"),"德鲁伊")</f>
        <v>德鲁伊</v>
      </c>
      <c r="K41" s="25" t="str">
        <f>IFERROR(__xludf.DUMMYFUNCTION("GOOGLETRANSLATE(B41, ""en"", ""vi"")"),"Druid")</f>
        <v>Druid</v>
      </c>
      <c r="L41" s="26" t="str">
        <f>IFERROR(__xludf.DUMMYFUNCTION("GOOGLETRANSLATE(B41, ""en"", ""hr"")"),"druid")</f>
        <v>druid</v>
      </c>
      <c r="M41" s="28"/>
      <c r="N41" s="28"/>
      <c r="O41" s="28"/>
      <c r="P41" s="28"/>
      <c r="Q41" s="28"/>
      <c r="R41" s="28"/>
      <c r="S41" s="28"/>
      <c r="T41" s="28"/>
      <c r="U41" s="28"/>
      <c r="V41" s="28"/>
      <c r="W41" s="28"/>
      <c r="X41" s="28"/>
      <c r="Y41" s="28"/>
      <c r="Z41" s="28"/>
      <c r="AA41" s="28"/>
      <c r="AB41" s="28"/>
    </row>
    <row r="42">
      <c r="A42" s="21" t="s">
        <v>816</v>
      </c>
      <c r="B42" s="22" t="s">
        <v>817</v>
      </c>
      <c r="C42" s="23" t="str">
        <f>IFERROR(__xludf.DUMMYFUNCTION("GOOGLETRANSLATE(B42, ""en"", ""fr"")"),"Snoovir")</f>
        <v>Snoovir</v>
      </c>
      <c r="D42" s="23" t="str">
        <f>IFERROR(__xludf.DUMMYFUNCTION("GOOGLETRANSLATE(B42, ""en"", ""es"")"),"Snoovir")</f>
        <v>Snoovir</v>
      </c>
      <c r="E42" s="23" t="str">
        <f>IFERROR(__xludf.DUMMYFUNCTION("GOOGLETRANSLATE(B42, ""en"", ""ru"")"),"Snoovir")</f>
        <v>Snoovir</v>
      </c>
      <c r="F42" s="23" t="str">
        <f>IFERROR(__xludf.DUMMYFUNCTION("GOOGLETRANSLATE(B42, ""en"", ""tr"")"),"Snoovir")</f>
        <v>Snoovir</v>
      </c>
      <c r="G42" s="23" t="str">
        <f>IFERROR(__xludf.DUMMYFUNCTION("GOOGLETRANSLATE(B42, ""en"", ""pt"")"),"Snoovir")</f>
        <v>Snoovir</v>
      </c>
      <c r="H42" s="24" t="str">
        <f>IFERROR(__xludf.DUMMYFUNCTION("GOOGLETRANSLATE(B42, ""en"", ""de"")"),"Snoovir")</f>
        <v>Snoovir</v>
      </c>
      <c r="I42" s="23" t="str">
        <f>IFERROR(__xludf.DUMMYFUNCTION("GOOGLETRANSLATE(B42, ""en"", ""pl"")"),"Snoovir")</f>
        <v>Snoovir</v>
      </c>
      <c r="J42" s="25" t="str">
        <f>IFERROR(__xludf.DUMMYFUNCTION("GOOGLETRANSLATE(B42, ""en"", ""zh"")"),"Snoovir")</f>
        <v>Snoovir</v>
      </c>
      <c r="K42" s="25" t="str">
        <f>IFERROR(__xludf.DUMMYFUNCTION("GOOGLETRANSLATE(B42, ""en"", ""vi"")"),"Snoovir")</f>
        <v>Snoovir</v>
      </c>
      <c r="L42" s="26" t="str">
        <f>IFERROR(__xludf.DUMMYFUNCTION("GOOGLETRANSLATE(B42, ""en"", ""hr"")"),"Snoovir")</f>
        <v>Snoovir</v>
      </c>
      <c r="M42" s="28"/>
      <c r="N42" s="28"/>
      <c r="O42" s="28"/>
      <c r="P42" s="28"/>
      <c r="Q42" s="28"/>
      <c r="R42" s="28"/>
      <c r="S42" s="28"/>
      <c r="T42" s="28"/>
      <c r="U42" s="28"/>
      <c r="V42" s="28"/>
      <c r="W42" s="28"/>
      <c r="X42" s="28"/>
      <c r="Y42" s="28"/>
      <c r="Z42" s="28"/>
      <c r="AA42" s="28"/>
      <c r="AB42" s="28"/>
    </row>
    <row r="43">
      <c r="A43" s="21" t="s">
        <v>818</v>
      </c>
      <c r="B43" s="22" t="s">
        <v>819</v>
      </c>
      <c r="C43" s="23" t="str">
        <f>IFERROR(__xludf.DUMMYFUNCTION("GOOGLETRANSLATE(B43, ""en"", ""fr"")"),"Zombi")</f>
        <v>Zombi</v>
      </c>
      <c r="D43" s="23" t="str">
        <f>IFERROR(__xludf.DUMMYFUNCTION("GOOGLETRANSLATE(B43, ""en"", ""es"")"),"Zombi")</f>
        <v>Zombi</v>
      </c>
      <c r="E43" s="23" t="str">
        <f>IFERROR(__xludf.DUMMYFUNCTION("GOOGLETRANSLATE(B43, ""en"", ""ru"")"),"Зомби")</f>
        <v>Зомби</v>
      </c>
      <c r="F43" s="23" t="str">
        <f>IFERROR(__xludf.DUMMYFUNCTION("GOOGLETRANSLATE(B43, ""en"", ""tr"")"),"Zombi")</f>
        <v>Zombi</v>
      </c>
      <c r="G43" s="23" t="str">
        <f>IFERROR(__xludf.DUMMYFUNCTION("GOOGLETRANSLATE(B43, ""en"", ""pt"")"),"zumbi")</f>
        <v>zumbi</v>
      </c>
      <c r="H43" s="24" t="str">
        <f>IFERROR(__xludf.DUMMYFUNCTION("GOOGLETRANSLATE(B43, ""en"", ""de"")"),"Zombie")</f>
        <v>Zombie</v>
      </c>
      <c r="I43" s="23" t="str">
        <f>IFERROR(__xludf.DUMMYFUNCTION("GOOGLETRANSLATE(B43, ""en"", ""pl"")"),"Zambi")</f>
        <v>Zambi</v>
      </c>
      <c r="J43" s="25" t="str">
        <f>IFERROR(__xludf.DUMMYFUNCTION("GOOGLETRANSLATE(B43, ""en"", ""zh"")"),"僵尸")</f>
        <v>僵尸</v>
      </c>
      <c r="K43" s="25" t="str">
        <f>IFERROR(__xludf.DUMMYFUNCTION("GOOGLETRANSLATE(B43, ""en"", ""vi"")"),"Thây ma")</f>
        <v>Thây ma</v>
      </c>
      <c r="L43" s="26" t="str">
        <f>IFERROR(__xludf.DUMMYFUNCTION("GOOGLETRANSLATE(B43, ""en"", ""hr"")"),"Zombi")</f>
        <v>Zombi</v>
      </c>
      <c r="M43" s="28"/>
      <c r="N43" s="28"/>
      <c r="O43" s="28"/>
      <c r="P43" s="28"/>
      <c r="Q43" s="28"/>
      <c r="R43" s="28"/>
      <c r="S43" s="28"/>
      <c r="T43" s="28"/>
      <c r="U43" s="28"/>
      <c r="V43" s="28"/>
      <c r="W43" s="28"/>
      <c r="X43" s="28"/>
      <c r="Y43" s="28"/>
      <c r="Z43" s="28"/>
      <c r="AA43" s="28"/>
      <c r="AB43" s="28"/>
    </row>
    <row r="44">
      <c r="A44" s="21" t="s">
        <v>820</v>
      </c>
      <c r="B44" s="22" t="s">
        <v>821</v>
      </c>
      <c r="C44" s="23" t="str">
        <f>IFERROR(__xludf.DUMMYFUNCTION("GOOGLETRANSLATE(B44, ""en"", ""fr"")"),"Momie")</f>
        <v>Momie</v>
      </c>
      <c r="D44" s="23" t="str">
        <f>IFERROR(__xludf.DUMMYFUNCTION("GOOGLETRANSLATE(B44, ""en"", ""es"")"),"Momia")</f>
        <v>Momia</v>
      </c>
      <c r="E44" s="23" t="str">
        <f>IFERROR(__xludf.DUMMYFUNCTION("GOOGLETRANSLATE(B44, ""en"", ""ru"")"),"мумия")</f>
        <v>мумия</v>
      </c>
      <c r="F44" s="23" t="str">
        <f>IFERROR(__xludf.DUMMYFUNCTION("GOOGLETRANSLATE(B44, ""en"", ""tr"")"),"Mumya")</f>
        <v>Mumya</v>
      </c>
      <c r="G44" s="23" t="str">
        <f>IFERROR(__xludf.DUMMYFUNCTION("GOOGLETRANSLATE(B44, ""en"", ""pt"")"),"Mamãe")</f>
        <v>Mamãe</v>
      </c>
      <c r="H44" s="24" t="str">
        <f>IFERROR(__xludf.DUMMYFUNCTION("GOOGLETRANSLATE(B44, ""en"", ""de"")"),"Mumie")</f>
        <v>Mumie</v>
      </c>
      <c r="I44" s="23" t="str">
        <f>IFERROR(__xludf.DUMMYFUNCTION("GOOGLETRANSLATE(B44, ""en"", ""pl"")"),"Mumia")</f>
        <v>Mumia</v>
      </c>
      <c r="J44" s="25" t="str">
        <f>IFERROR(__xludf.DUMMYFUNCTION("GOOGLETRANSLATE(B44, ""en"", ""zh"")"),"木乃伊")</f>
        <v>木乃伊</v>
      </c>
      <c r="K44" s="25" t="str">
        <f>IFERROR(__xludf.DUMMYFUNCTION("GOOGLETRANSLATE(B44, ""en"", ""vi"")"),"Xác ướp")</f>
        <v>Xác ướp</v>
      </c>
      <c r="L44" s="26" t="str">
        <f>IFERROR(__xludf.DUMMYFUNCTION("GOOGLETRANSLATE(B44, ""en"", ""hr"")"),"Mumija")</f>
        <v>Mumija</v>
      </c>
      <c r="M44" s="28"/>
      <c r="N44" s="28"/>
      <c r="O44" s="28"/>
      <c r="P44" s="28"/>
      <c r="Q44" s="28"/>
      <c r="R44" s="28"/>
      <c r="S44" s="28"/>
      <c r="T44" s="28"/>
      <c r="U44" s="28"/>
      <c r="V44" s="28"/>
      <c r="W44" s="28"/>
      <c r="X44" s="28"/>
      <c r="Y44" s="28"/>
      <c r="Z44" s="28"/>
      <c r="AA44" s="28"/>
      <c r="AB44" s="28"/>
    </row>
    <row r="45">
      <c r="A45" s="21" t="s">
        <v>822</v>
      </c>
      <c r="B45" s="22" t="s">
        <v>823</v>
      </c>
      <c r="C45" s="23" t="str">
        <f>IFERROR(__xludf.DUMMYFUNCTION("GOOGLETRANSLATE(B45, ""en"", ""fr"")"),"gardien crypte")</f>
        <v>gardien crypte</v>
      </c>
      <c r="D45" s="23" t="str">
        <f>IFERROR(__xludf.DUMMYFUNCTION("GOOGLETRANSLATE(B45, ""en"", ""es"")"),"guardián de la cripta")</f>
        <v>guardián de la cripta</v>
      </c>
      <c r="E45" s="23" t="str">
        <f>IFERROR(__xludf.DUMMYFUNCTION("GOOGLETRANSLATE(B45, ""en"", ""ru"")"),"Crypt смотритель")</f>
        <v>Crypt смотритель</v>
      </c>
      <c r="F45" s="23" t="str">
        <f>IFERROR(__xludf.DUMMYFUNCTION("GOOGLETRANSLATE(B45, ""en"", ""tr"")"),"Crypt müdür")</f>
        <v>Crypt müdür</v>
      </c>
      <c r="G45" s="23" t="str">
        <f>IFERROR(__xludf.DUMMYFUNCTION("GOOGLETRANSLATE(B45, ""en"", ""pt"")"),"guardião da cripta")</f>
        <v>guardião da cripta</v>
      </c>
      <c r="H45" s="24" t="str">
        <f>IFERROR(__xludf.DUMMYFUNCTION("GOOGLETRANSLATE(B45, ""en"", ""de"")"),"Crypt warden")</f>
        <v>Crypt warden</v>
      </c>
      <c r="I45" s="23" t="str">
        <f>IFERROR(__xludf.DUMMYFUNCTION("GOOGLETRANSLATE(B45, ""en"", ""pl"")"),"Crypt Warden")</f>
        <v>Crypt Warden</v>
      </c>
      <c r="J45" s="25" t="str">
        <f>IFERROR(__xludf.DUMMYFUNCTION("GOOGLETRANSLATE(B45, ""en"", ""zh"")"),"地穴区长")</f>
        <v>地穴区长</v>
      </c>
      <c r="K45" s="25" t="str">
        <f>IFERROR(__xludf.DUMMYFUNCTION("GOOGLETRANSLATE(B45, ""en"", ""vi"")"),"cai ngục crypt")</f>
        <v>cai ngục crypt</v>
      </c>
      <c r="L45" s="26" t="str">
        <f>IFERROR(__xludf.DUMMYFUNCTION("GOOGLETRANSLATE(B45, ""en"", ""hr"")"),"Crypt upravitelj")</f>
        <v>Crypt upravitelj</v>
      </c>
      <c r="M45" s="28"/>
      <c r="N45" s="28"/>
      <c r="O45" s="28"/>
      <c r="P45" s="28"/>
      <c r="Q45" s="28"/>
      <c r="R45" s="28"/>
      <c r="S45" s="28"/>
      <c r="T45" s="28"/>
      <c r="U45" s="28"/>
      <c r="V45" s="28"/>
      <c r="W45" s="28"/>
      <c r="X45" s="28"/>
      <c r="Y45" s="28"/>
      <c r="Z45" s="28"/>
      <c r="AA45" s="28"/>
      <c r="AB45" s="28"/>
    </row>
    <row r="46">
      <c r="A46" s="21" t="s">
        <v>824</v>
      </c>
      <c r="B46" s="22" t="s">
        <v>825</v>
      </c>
      <c r="C46" s="23" t="str">
        <f>IFERROR(__xludf.DUMMYFUNCTION("GOOGLETRANSLATE(B46, ""en"", ""fr"")"),"pharaon")</f>
        <v>pharaon</v>
      </c>
      <c r="D46" s="23" t="str">
        <f>IFERROR(__xludf.DUMMYFUNCTION("GOOGLETRANSLATE(B46, ""en"", ""es"")"),"faraón")</f>
        <v>faraón</v>
      </c>
      <c r="E46" s="23" t="str">
        <f>IFERROR(__xludf.DUMMYFUNCTION("GOOGLETRANSLATE(B46, ""en"", ""ru"")"),"фараон")</f>
        <v>фараон</v>
      </c>
      <c r="F46" s="23" t="str">
        <f>IFERROR(__xludf.DUMMYFUNCTION("GOOGLETRANSLATE(B46, ""en"", ""tr"")"),"Firavun")</f>
        <v>Firavun</v>
      </c>
      <c r="G46" s="23" t="str">
        <f>IFERROR(__xludf.DUMMYFUNCTION("GOOGLETRANSLATE(B46, ""en"", ""pt"")"),"faraó")</f>
        <v>faraó</v>
      </c>
      <c r="H46" s="24" t="str">
        <f>IFERROR(__xludf.DUMMYFUNCTION("GOOGLETRANSLATE(B46, ""en"", ""de"")"),"Pharao")</f>
        <v>Pharao</v>
      </c>
      <c r="I46" s="23" t="str">
        <f>IFERROR(__xludf.DUMMYFUNCTION("GOOGLETRANSLATE(B46, ""en"", ""pl"")"),"faraon")</f>
        <v>faraon</v>
      </c>
      <c r="J46" s="25" t="str">
        <f>IFERROR(__xludf.DUMMYFUNCTION("GOOGLETRANSLATE(B46, ""en"", ""zh"")"),"老王")</f>
        <v>老王</v>
      </c>
      <c r="K46" s="25" t="str">
        <f>IFERROR(__xludf.DUMMYFUNCTION("GOOGLETRANSLATE(B46, ""en"", ""vi"")"),"Pharaoh")</f>
        <v>Pharaoh</v>
      </c>
      <c r="L46" s="26" t="str">
        <f>IFERROR(__xludf.DUMMYFUNCTION("GOOGLETRANSLATE(B46, ""en"", ""hr"")"),"faraon")</f>
        <v>faraon</v>
      </c>
      <c r="M46" s="28"/>
      <c r="N46" s="28"/>
      <c r="O46" s="28"/>
      <c r="P46" s="28"/>
      <c r="Q46" s="28"/>
      <c r="R46" s="28"/>
      <c r="S46" s="28"/>
      <c r="T46" s="28"/>
      <c r="U46" s="28"/>
      <c r="V46" s="28"/>
      <c r="W46" s="28"/>
      <c r="X46" s="28"/>
      <c r="Y46" s="28"/>
      <c r="Z46" s="28"/>
      <c r="AA46" s="28"/>
      <c r="AB46" s="28"/>
    </row>
    <row r="47">
      <c r="A47" s="21" t="s">
        <v>826</v>
      </c>
      <c r="B47" s="22" t="s">
        <v>827</v>
      </c>
      <c r="C47" s="23" t="str">
        <f>IFERROR(__xludf.DUMMYFUNCTION("GOOGLETRANSLATE(B47, ""en"", ""fr"")"),"Vampire")</f>
        <v>Vampire</v>
      </c>
      <c r="D47" s="23" t="str">
        <f>IFERROR(__xludf.DUMMYFUNCTION("GOOGLETRANSLATE(B47, ""en"", ""es"")"),"Vampiro")</f>
        <v>Vampiro</v>
      </c>
      <c r="E47" s="23" t="str">
        <f>IFERROR(__xludf.DUMMYFUNCTION("GOOGLETRANSLATE(B47, ""en"", ""ru"")"),"вампир")</f>
        <v>вампир</v>
      </c>
      <c r="F47" s="23" t="str">
        <f>IFERROR(__xludf.DUMMYFUNCTION("GOOGLETRANSLATE(B47, ""en"", ""tr"")"),"Vampir")</f>
        <v>Vampir</v>
      </c>
      <c r="G47" s="23" t="str">
        <f>IFERROR(__xludf.DUMMYFUNCTION("GOOGLETRANSLATE(B47, ""en"", ""pt"")"),"Vampiro")</f>
        <v>Vampiro</v>
      </c>
      <c r="H47" s="24" t="str">
        <f>IFERROR(__xludf.DUMMYFUNCTION("GOOGLETRANSLATE(B47, ""en"", ""de"")"),"Vampir")</f>
        <v>Vampir</v>
      </c>
      <c r="I47" s="23" t="str">
        <f>IFERROR(__xludf.DUMMYFUNCTION("GOOGLETRANSLATE(B47, ""en"", ""pl"")"),"Wampir")</f>
        <v>Wampir</v>
      </c>
      <c r="J47" s="25" t="str">
        <f>IFERROR(__xludf.DUMMYFUNCTION("GOOGLETRANSLATE(B47, ""en"", ""zh"")"),"吸血鬼")</f>
        <v>吸血鬼</v>
      </c>
      <c r="K47" s="25" t="str">
        <f>IFERROR(__xludf.DUMMYFUNCTION("GOOGLETRANSLATE(B47, ""en"", ""vi"")"),"ma cà rồng")</f>
        <v>ma cà rồng</v>
      </c>
      <c r="L47" s="26" t="str">
        <f>IFERROR(__xludf.DUMMYFUNCTION("GOOGLETRANSLATE(B47, ""en"", ""hr"")"),"Vampir")</f>
        <v>Vampir</v>
      </c>
      <c r="M47" s="28"/>
      <c r="N47" s="28"/>
      <c r="O47" s="28"/>
      <c r="P47" s="28"/>
      <c r="Q47" s="28"/>
      <c r="R47" s="28"/>
      <c r="S47" s="28"/>
      <c r="T47" s="28"/>
      <c r="U47" s="28"/>
      <c r="V47" s="28"/>
      <c r="W47" s="28"/>
      <c r="X47" s="28"/>
      <c r="Y47" s="28"/>
      <c r="Z47" s="28"/>
      <c r="AA47" s="28"/>
      <c r="AB47" s="28"/>
    </row>
    <row r="48">
      <c r="A48" s="21" t="s">
        <v>828</v>
      </c>
      <c r="B48" s="22" t="s">
        <v>829</v>
      </c>
      <c r="C48" s="23" t="str">
        <f>IFERROR(__xludf.DUMMYFUNCTION("GOOGLETRANSLATE(B48, ""en"", ""fr"")"),"prêtre de sang")</f>
        <v>prêtre de sang</v>
      </c>
      <c r="D48" s="23" t="str">
        <f>IFERROR(__xludf.DUMMYFUNCTION("GOOGLETRANSLATE(B48, ""en"", ""es"")"),"sacerdote de la sangre")</f>
        <v>sacerdote de la sangre</v>
      </c>
      <c r="E48" s="23" t="str">
        <f>IFERROR(__xludf.DUMMYFUNCTION("GOOGLETRANSLATE(B48, ""en"", ""ru"")"),"Кровь священник")</f>
        <v>Кровь священник</v>
      </c>
      <c r="F48" s="23" t="str">
        <f>IFERROR(__xludf.DUMMYFUNCTION("GOOGLETRANSLATE(B48, ""en"", ""tr"")"),"Kan rahip")</f>
        <v>Kan rahip</v>
      </c>
      <c r="G48" s="23" t="str">
        <f>IFERROR(__xludf.DUMMYFUNCTION("GOOGLETRANSLATE(B48, ""en"", ""pt"")"),"padre sangue")</f>
        <v>padre sangue</v>
      </c>
      <c r="H48" s="24" t="str">
        <f>IFERROR(__xludf.DUMMYFUNCTION("GOOGLETRANSLATE(B48, ""en"", ""de"")"),"Blut Priester")</f>
        <v>Blut Priester</v>
      </c>
      <c r="I48" s="23" t="str">
        <f>IFERROR(__xludf.DUMMYFUNCTION("GOOGLETRANSLATE(B48, ""en"", ""pl"")"),"kapłan krwi")</f>
        <v>kapłan krwi</v>
      </c>
      <c r="J48" s="25" t="str">
        <f>IFERROR(__xludf.DUMMYFUNCTION("GOOGLETRANSLATE(B48, ""en"", ""zh"")"),"血牧师")</f>
        <v>血牧师</v>
      </c>
      <c r="K48" s="25" t="str">
        <f>IFERROR(__xludf.DUMMYFUNCTION("GOOGLETRANSLATE(B48, ""en"", ""vi"")"),"linh mục máu")</f>
        <v>linh mục máu</v>
      </c>
      <c r="L48" s="26" t="str">
        <f>IFERROR(__xludf.DUMMYFUNCTION("GOOGLETRANSLATE(B48, ""en"", ""hr"")"),"krv svećenik")</f>
        <v>krv svećenik</v>
      </c>
      <c r="M48" s="28"/>
      <c r="N48" s="28"/>
      <c r="O48" s="28"/>
      <c r="P48" s="28"/>
      <c r="Q48" s="28"/>
      <c r="R48" s="28"/>
      <c r="S48" s="28"/>
      <c r="T48" s="28"/>
      <c r="U48" s="28"/>
      <c r="V48" s="28"/>
      <c r="W48" s="28"/>
      <c r="X48" s="28"/>
      <c r="Y48" s="28"/>
      <c r="Z48" s="28"/>
      <c r="AA48" s="28"/>
      <c r="AB48" s="28"/>
    </row>
    <row r="49">
      <c r="A49" s="21" t="s">
        <v>830</v>
      </c>
      <c r="B49" s="22" t="s">
        <v>831</v>
      </c>
      <c r="C49" s="23" t="str">
        <f>IFERROR(__xludf.DUMMYFUNCTION("GOOGLETRANSLATE(B49, ""en"", ""fr"")"),"seigneur de sang")</f>
        <v>seigneur de sang</v>
      </c>
      <c r="D49" s="23" t="str">
        <f>IFERROR(__xludf.DUMMYFUNCTION("GOOGLETRANSLATE(B49, ""en"", ""es"")"),"señor de sangre")</f>
        <v>señor de sangre</v>
      </c>
      <c r="E49" s="23" t="str">
        <f>IFERROR(__xludf.DUMMYFUNCTION("GOOGLETRANSLATE(B49, ""en"", ""ru"")"),"лорд крови")</f>
        <v>лорд крови</v>
      </c>
      <c r="F49" s="23" t="str">
        <f>IFERROR(__xludf.DUMMYFUNCTION("GOOGLETRANSLATE(B49, ""en"", ""tr"")"),"Kan efendisi")</f>
        <v>Kan efendisi</v>
      </c>
      <c r="G49" s="23" t="str">
        <f>IFERROR(__xludf.DUMMYFUNCTION("GOOGLETRANSLATE(B49, ""en"", ""pt"")"),"senhor sangue")</f>
        <v>senhor sangue</v>
      </c>
      <c r="H49" s="24" t="str">
        <f>IFERROR(__xludf.DUMMYFUNCTION("GOOGLETRANSLATE(B49, ""en"", ""de"")"),"Blut lord")</f>
        <v>Blut lord</v>
      </c>
      <c r="I49" s="23" t="str">
        <f>IFERROR(__xludf.DUMMYFUNCTION("GOOGLETRANSLATE(B49, ""en"", ""pl"")"),"Pan krew")</f>
        <v>Pan krew</v>
      </c>
      <c r="J49" s="25" t="str">
        <f>IFERROR(__xludf.DUMMYFUNCTION("GOOGLETRANSLATE(B49, ""en"", ""zh"")"),"血领主")</f>
        <v>血领主</v>
      </c>
      <c r="K49" s="25" t="str">
        <f>IFERROR(__xludf.DUMMYFUNCTION("GOOGLETRANSLATE(B49, ""en"", ""vi"")"),"chúa tể máu")</f>
        <v>chúa tể máu</v>
      </c>
      <c r="L49" s="26" t="str">
        <f>IFERROR(__xludf.DUMMYFUNCTION("GOOGLETRANSLATE(B49, ""en"", ""hr"")"),"krv gospodar")</f>
        <v>krv gospodar</v>
      </c>
      <c r="M49" s="28"/>
      <c r="N49" s="28"/>
      <c r="O49" s="28"/>
      <c r="P49" s="28"/>
      <c r="Q49" s="28"/>
      <c r="R49" s="28"/>
      <c r="S49" s="28"/>
      <c r="T49" s="28"/>
      <c r="U49" s="28"/>
      <c r="V49" s="28"/>
      <c r="W49" s="28"/>
      <c r="X49" s="28"/>
      <c r="Y49" s="28"/>
      <c r="Z49" s="28"/>
      <c r="AA49" s="28"/>
      <c r="AB49" s="28"/>
    </row>
    <row r="50">
      <c r="A50" s="21" t="s">
        <v>832</v>
      </c>
      <c r="B50" s="22" t="s">
        <v>833</v>
      </c>
      <c r="C50" s="23" t="str">
        <f>IFERROR(__xludf.DUMMYFUNCTION("GOOGLETRANSLATE(B50, ""en"", ""fr"")"),"Hargne")</f>
        <v>Hargne</v>
      </c>
      <c r="D50" s="23" t="str">
        <f>IFERROR(__xludf.DUMMYFUNCTION("GOOGLETRANSLATE(B50, ""en"", ""es"")"),"Nudo")</f>
        <v>Nudo</v>
      </c>
      <c r="E50" s="23" t="str">
        <f>IFERROR(__xludf.DUMMYFUNCTION("GOOGLETRANSLATE(B50, ""en"", ""ru"")"),"свиль")</f>
        <v>свиль</v>
      </c>
      <c r="F50" s="23" t="str">
        <f>IFERROR(__xludf.DUMMYFUNCTION("GOOGLETRANSLATE(B50, ""en"", ""tr"")"),"gnarl")</f>
        <v>gnarl</v>
      </c>
      <c r="G50" s="23" t="str">
        <f>IFERROR(__xludf.DUMMYFUNCTION("GOOGLETRANSLATE(B50, ""en"", ""pt"")"),"nó de Madeira")</f>
        <v>nó de Madeira</v>
      </c>
      <c r="H50" s="24" t="str">
        <f>IFERROR(__xludf.DUMMYFUNCTION("GOOGLETRANSLATE(B50, ""en"", ""de"")"),"gnarl")</f>
        <v>gnarl</v>
      </c>
      <c r="I50" s="23" t="str">
        <f>IFERROR(__xludf.DUMMYFUNCTION("GOOGLETRANSLATE(B50, ""en"", ""pl"")"),"Narośl")</f>
        <v>Narośl</v>
      </c>
      <c r="J50" s="25" t="str">
        <f>IFERROR(__xludf.DUMMYFUNCTION("GOOGLETRANSLATE(B50, ""en"", ""zh"")"),"纳亚尔")</f>
        <v>纳亚尔</v>
      </c>
      <c r="K50" s="25" t="str">
        <f>IFERROR(__xludf.DUMMYFUNCTION("GOOGLETRANSLATE(B50, ""en"", ""vi"")"),"Gnarl")</f>
        <v>Gnarl</v>
      </c>
      <c r="L50" s="26" t="str">
        <f>IFERROR(__xludf.DUMMYFUNCTION("GOOGLETRANSLATE(B50, ""en"", ""hr"")"),"Gnarl")</f>
        <v>Gnarl</v>
      </c>
      <c r="M50" s="28"/>
      <c r="N50" s="28"/>
      <c r="O50" s="28"/>
      <c r="P50" s="28"/>
      <c r="Q50" s="28"/>
      <c r="R50" s="28"/>
      <c r="S50" s="28"/>
      <c r="T50" s="28"/>
      <c r="U50" s="28"/>
      <c r="V50" s="28"/>
      <c r="W50" s="28"/>
      <c r="X50" s="28"/>
      <c r="Y50" s="28"/>
      <c r="Z50" s="28"/>
      <c r="AA50" s="28"/>
      <c r="AB50" s="28"/>
    </row>
    <row r="51">
      <c r="A51" s="21" t="s">
        <v>834</v>
      </c>
      <c r="B51" s="22" t="s">
        <v>835</v>
      </c>
      <c r="C51" s="23" t="str">
        <f>IFERROR(__xludf.DUMMYFUNCTION("GOOGLETRANSLATE(B51, ""en"", ""fr"")"),"grande gnarl")</f>
        <v>grande gnarl</v>
      </c>
      <c r="D51" s="23" t="str">
        <f>IFERROR(__xludf.DUMMYFUNCTION("GOOGLETRANSLATE(B51, ""en"", ""es"")"),"gran gnarl")</f>
        <v>gran gnarl</v>
      </c>
      <c r="E51" s="23" t="str">
        <f>IFERROR(__xludf.DUMMYFUNCTION("GOOGLETRANSLATE(B51, ""en"", ""ru"")"),"Большая свиль")</f>
        <v>Большая свиль</v>
      </c>
      <c r="F51" s="23" t="str">
        <f>IFERROR(__xludf.DUMMYFUNCTION("GOOGLETRANSLATE(B51, ""en"", ""tr"")"),"Büyük gnarl")</f>
        <v>Büyük gnarl</v>
      </c>
      <c r="G51" s="23" t="str">
        <f>IFERROR(__xludf.DUMMYFUNCTION("GOOGLETRANSLATE(B51, ""en"", ""pt"")"),"grande gnarl")</f>
        <v>grande gnarl</v>
      </c>
      <c r="H51" s="24" t="str">
        <f>IFERROR(__xludf.DUMMYFUNCTION("GOOGLETRANSLATE(B51, ""en"", ""de"")"),"Großer gnarl")</f>
        <v>Großer gnarl</v>
      </c>
      <c r="I51" s="23" t="str">
        <f>IFERROR(__xludf.DUMMYFUNCTION("GOOGLETRANSLATE(B51, ""en"", ""pl"")"),"wielka narośl")</f>
        <v>wielka narośl</v>
      </c>
      <c r="J51" s="25" t="str">
        <f>IFERROR(__xludf.DUMMYFUNCTION("GOOGLETRANSLATE(B51, ""en"", ""zh"")"),"大纳亚尔")</f>
        <v>大纳亚尔</v>
      </c>
      <c r="K51" s="25" t="str">
        <f>IFERROR(__xludf.DUMMYFUNCTION("GOOGLETRANSLATE(B51, ""en"", ""vi"")"),"lớn gnarl")</f>
        <v>lớn gnarl</v>
      </c>
      <c r="L51" s="26" t="str">
        <f>IFERROR(__xludf.DUMMYFUNCTION("GOOGLETRANSLATE(B51, ""en"", ""hr"")"),"veliki gnarl")</f>
        <v>veliki gnarl</v>
      </c>
      <c r="M51" s="28"/>
      <c r="N51" s="28"/>
      <c r="O51" s="28"/>
      <c r="P51" s="28"/>
      <c r="Q51" s="28"/>
      <c r="R51" s="28"/>
      <c r="S51" s="28"/>
      <c r="T51" s="28"/>
      <c r="U51" s="28"/>
      <c r="V51" s="28"/>
      <c r="W51" s="28"/>
      <c r="X51" s="28"/>
      <c r="Y51" s="28"/>
      <c r="Z51" s="28"/>
      <c r="AA51" s="28"/>
      <c r="AB51" s="28"/>
    </row>
    <row r="52">
      <c r="A52" s="21" t="s">
        <v>836</v>
      </c>
      <c r="B52" s="22" t="s">
        <v>837</v>
      </c>
      <c r="C52" s="23" t="str">
        <f>IFERROR(__xludf.DUMMYFUNCTION("GOOGLETRANSLATE(B52, ""en"", ""fr"")"),"mage")</f>
        <v>mage</v>
      </c>
      <c r="D52" s="23" t="str">
        <f>IFERROR(__xludf.DUMMYFUNCTION("GOOGLETRANSLATE(B52, ""en"", ""es"")"),"mago")</f>
        <v>mago</v>
      </c>
      <c r="E52" s="23" t="str">
        <f>IFERROR(__xludf.DUMMYFUNCTION("GOOGLETRANSLATE(B52, ""en"", ""ru"")"),"маг")</f>
        <v>маг</v>
      </c>
      <c r="F52" s="23" t="str">
        <f>IFERROR(__xludf.DUMMYFUNCTION("GOOGLETRANSLATE(B52, ""en"", ""tr"")"),"sihirbaz")</f>
        <v>sihirbaz</v>
      </c>
      <c r="G52" s="23" t="str">
        <f>IFERROR(__xludf.DUMMYFUNCTION("GOOGLETRANSLATE(B52, ""en"", ""pt"")"),"Mago")</f>
        <v>Mago</v>
      </c>
      <c r="H52" s="24" t="str">
        <f>IFERROR(__xludf.DUMMYFUNCTION("GOOGLETRANSLATE(B52, ""en"", ""de"")"),"Mage")</f>
        <v>Mage</v>
      </c>
      <c r="I52" s="23" t="str">
        <f>IFERROR(__xludf.DUMMYFUNCTION("GOOGLETRANSLATE(B52, ""en"", ""pl"")"),"Mage")</f>
        <v>Mage</v>
      </c>
      <c r="J52" s="25" t="str">
        <f>IFERROR(__xludf.DUMMYFUNCTION("GOOGLETRANSLATE(B52, ""en"", ""zh"")"),"魔术师")</f>
        <v>魔术师</v>
      </c>
      <c r="K52" s="25" t="str">
        <f>IFERROR(__xludf.DUMMYFUNCTION("GOOGLETRANSLATE(B52, ""en"", ""vi"")"),"pháp sư")</f>
        <v>pháp sư</v>
      </c>
      <c r="L52" s="26" t="str">
        <f>IFERROR(__xludf.DUMMYFUNCTION("GOOGLETRANSLATE(B52, ""en"", ""hr"")"),"Mag")</f>
        <v>Mag</v>
      </c>
      <c r="M52" s="28"/>
      <c r="N52" s="28"/>
      <c r="O52" s="28"/>
      <c r="P52" s="28"/>
      <c r="Q52" s="28"/>
      <c r="R52" s="28"/>
      <c r="S52" s="28"/>
      <c r="T52" s="28"/>
      <c r="U52" s="28"/>
      <c r="V52" s="28"/>
      <c r="W52" s="28"/>
      <c r="X52" s="28"/>
      <c r="Y52" s="28"/>
      <c r="Z52" s="28"/>
      <c r="AA52" s="28"/>
      <c r="AB52" s="28"/>
    </row>
    <row r="53">
      <c r="A53" s="21" t="s">
        <v>838</v>
      </c>
      <c r="B53" s="22" t="s">
        <v>839</v>
      </c>
      <c r="C53" s="23" t="str">
        <f>IFERROR(__xludf.DUMMYFUNCTION("GOOGLETRANSLATE(B53, ""en"", ""fr"")"),"arc mage")</f>
        <v>arc mage</v>
      </c>
      <c r="D53" s="23" t="str">
        <f>IFERROR(__xludf.DUMMYFUNCTION("GOOGLETRANSLATE(B53, ""en"", ""es"")"),"mago arco")</f>
        <v>mago arco</v>
      </c>
      <c r="E53" s="23" t="str">
        <f>IFERROR(__xludf.DUMMYFUNCTION("GOOGLETRANSLATE(B53, ""en"", ""ru"")"),"Arch маг")</f>
        <v>Arch маг</v>
      </c>
      <c r="F53" s="23" t="str">
        <f>IFERROR(__xludf.DUMMYFUNCTION("GOOGLETRANSLATE(B53, ""en"", ""tr"")"),"Baş büyücü")</f>
        <v>Baş büyücü</v>
      </c>
      <c r="G53" s="23" t="str">
        <f>IFERROR(__xludf.DUMMYFUNCTION("GOOGLETRANSLATE(B53, ""en"", ""pt"")"),"Arch mago")</f>
        <v>Arch mago</v>
      </c>
      <c r="H53" s="24" t="str">
        <f>IFERROR(__xludf.DUMMYFUNCTION("GOOGLETRANSLATE(B53, ""en"", ""de"")"),"Arch mage")</f>
        <v>Arch mage</v>
      </c>
      <c r="I53" s="23" t="str">
        <f>IFERROR(__xludf.DUMMYFUNCTION("GOOGLETRANSLATE(B53, ""en"", ""pl"")"),"Arch mage")</f>
        <v>Arch mage</v>
      </c>
      <c r="J53" s="25" t="str">
        <f>IFERROR(__xludf.DUMMYFUNCTION("GOOGLETRANSLATE(B53, ""en"", ""zh"")"),"大法师")</f>
        <v>大法师</v>
      </c>
      <c r="K53" s="25" t="str">
        <f>IFERROR(__xludf.DUMMYFUNCTION("GOOGLETRANSLATE(B53, ""en"", ""vi"")"),"Arch Mage")</f>
        <v>Arch Mage</v>
      </c>
      <c r="L53" s="26" t="str">
        <f>IFERROR(__xludf.DUMMYFUNCTION("GOOGLETRANSLATE(B53, ""en"", ""hr"")"),"Arch mag")</f>
        <v>Arch mag</v>
      </c>
      <c r="M53" s="28"/>
      <c r="N53" s="28"/>
      <c r="O53" s="28"/>
      <c r="P53" s="28"/>
      <c r="Q53" s="28"/>
      <c r="R53" s="28"/>
      <c r="S53" s="28"/>
      <c r="T53" s="28"/>
      <c r="U53" s="28"/>
      <c r="V53" s="28"/>
      <c r="W53" s="28"/>
      <c r="X53" s="28"/>
      <c r="Y53" s="28"/>
      <c r="Z53" s="28"/>
      <c r="AA53" s="28"/>
      <c r="AB53" s="28"/>
    </row>
    <row r="54">
      <c r="A54" s="21" t="s">
        <v>840</v>
      </c>
      <c r="B54" s="22" t="s">
        <v>841</v>
      </c>
      <c r="C54" s="23" t="str">
        <f>IFERROR(__xludf.DUMMYFUNCTION("GOOGLETRANSLATE(B54, ""en"", ""fr"")"),"adumbral")</f>
        <v>adumbral</v>
      </c>
      <c r="D54" s="23" t="str">
        <f>IFERROR(__xludf.DUMMYFUNCTION("GOOGLETRANSLATE(B54, ""en"", ""es"")"),"adumbral")</f>
        <v>adumbral</v>
      </c>
      <c r="E54" s="23" t="str">
        <f>IFERROR(__xludf.DUMMYFUNCTION("GOOGLETRANSLATE(B54, ""en"", ""ru"")"),"Adumbral")</f>
        <v>Adumbral</v>
      </c>
      <c r="F54" s="23" t="str">
        <f>IFERROR(__xludf.DUMMYFUNCTION("GOOGLETRANSLATE(B54, ""en"", ""tr"")"),"Adumbral")</f>
        <v>Adumbral</v>
      </c>
      <c r="G54" s="23" t="str">
        <f>IFERROR(__xludf.DUMMYFUNCTION("GOOGLETRANSLATE(B54, ""en"", ""pt"")"),"Adumbral")</f>
        <v>Adumbral</v>
      </c>
      <c r="H54" s="24" t="str">
        <f>IFERROR(__xludf.DUMMYFUNCTION("GOOGLETRANSLATE(B54, ""en"", ""de"")"),"adumbral")</f>
        <v>adumbral</v>
      </c>
      <c r="I54" s="23" t="str">
        <f>IFERROR(__xludf.DUMMYFUNCTION("GOOGLETRANSLATE(B54, ""en"", ""pl"")"),"Adumbral")</f>
        <v>Adumbral</v>
      </c>
      <c r="J54" s="25" t="str">
        <f>IFERROR(__xludf.DUMMYFUNCTION("GOOGLETRANSLATE(B54, ""en"", ""zh"")"),"遮阳")</f>
        <v>遮阳</v>
      </c>
      <c r="K54" s="25" t="str">
        <f>IFERROR(__xludf.DUMMYFUNCTION("GOOGLETRANSLATE(B54, ""en"", ""vi"")"),"Adumbral")</f>
        <v>Adumbral</v>
      </c>
      <c r="L54" s="26" t="str">
        <f>IFERROR(__xludf.DUMMYFUNCTION("GOOGLETRANSLATE(B54, ""en"", ""hr"")"),"Adumbral")</f>
        <v>Adumbral</v>
      </c>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842</v>
      </c>
      <c r="B9" s="22" t="s">
        <v>843</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844</v>
      </c>
      <c r="B10" s="22" t="s">
        <v>845</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nào đó.")</f>
        <v>Hitpoints: Bao nhiêu thiệt hại bạn có thể chụp trước khi bạn chết. Khôi phục hp nhanh hơn bằng cách sử dụng potions và phép thuật nào đó.</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846</v>
      </c>
      <c r="B11" s="22" t="s">
        <v>847</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848</v>
      </c>
      <c r="B12" s="22" t="s">
        <v>849</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850</v>
      </c>
      <c r="B13" s="22" t="s">
        <v>851</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852</v>
      </c>
      <c r="B14" s="22" t="s">
        <v>853</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854</v>
      </c>
      <c r="B15" s="22" t="s">
        <v>855</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856</v>
      </c>
      <c r="B16" s="22" t="s">
        <v>857</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858</v>
      </c>
      <c r="B17" s="22" t="s">
        <v>859</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860</v>
      </c>
      <c r="B18" s="22" t="s">
        <v>861</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862</v>
      </c>
      <c r="B19" s="22" t="s">
        <v>863</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864</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865</v>
      </c>
      <c r="B21" s="22" t="s">
        <v>866</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""zh"")"),"你有收集工具的有效性。多少耐久性使用时收集工具丢失。通过使用斧头，镐和镰刀改善。")</f>
        <v>你有收集工具的有效性。多少耐久性使用时收集工具丢失。通过使用斧头，镐和镰刀改善。</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867</v>
      </c>
      <c r="B22" s="22" t="s">
        <v>868</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869</v>
      </c>
      <c r="B23" s="22" t="s">
        <v>870</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871</v>
      </c>
      <c r="B24" s="22" t="s">
        <v>872</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873</v>
      </c>
      <c r="B25" s="22" t="s">
        <v>874</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875</v>
      </c>
      <c r="B26" s="22" t="s">
        <v>876</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877</v>
      </c>
      <c r="B27" s="22" t="s">
        <v>878</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 Elemente Sie haben Handwerk. Verbesserung von Werkzeugen und Materialien, wie Beile, Hacken, Schlösser, Metallstangen und Stoffen anfertigt.")</f>
        <v>Wie viel Haltbarkeit der Gebrauchs Elemente Sie haben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879</v>
      </c>
      <c r="B28" s="22" t="s">
        <v>880</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881</v>
      </c>
      <c r="B29" s="22" t="s">
        <v>882</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883</v>
      </c>
      <c r="B30" s="22" t="s">
        <v>884</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885</v>
      </c>
      <c r="B31" s="22" t="s">
        <v>886</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887</v>
      </c>
      <c r="B9" s="22" t="s">
        <v>888</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889</v>
      </c>
      <c r="B10" s="22" t="s">
        <v>890</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891</v>
      </c>
      <c r="B11" s="22" t="s">
        <v>892</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893</v>
      </c>
      <c r="B12" s="22" t="s">
        <v>894</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895</v>
      </c>
      <c r="B13" s="22" t="s">
        <v>896</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897</v>
      </c>
      <c r="B14" s="22" t="s">
        <v>898</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899</v>
      </c>
      <c r="B15" s="22" t="s">
        <v>900</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901</v>
      </c>
      <c r="B16" s="22" t="s">
        <v>902</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903</v>
      </c>
      <c r="B17" s="22" t="s">
        <v>904</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905</v>
      </c>
      <c r="B18" s="22" t="s">
        <v>906</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907</v>
      </c>
      <c r="B19" s="22" t="s">
        <v>908</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909</v>
      </c>
      <c r="B20" s="22" t="s">
        <v>910</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911</v>
      </c>
      <c r="B21" s="22" t="s">
        <v>912</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913</v>
      </c>
      <c r="B22" s="22" t="s">
        <v>914</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915</v>
      </c>
      <c r="B23" s="22" t="s">
        <v>916</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917</v>
      </c>
      <c r="B24" s="22" t="s">
        <v>918</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919</v>
      </c>
      <c r="B25" s="22" t="s">
        <v>920</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921</v>
      </c>
      <c r="B26" s="22" t="s">
        <v>922</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923</v>
      </c>
      <c r="B27" s="22" t="s">
        <v>924</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925</v>
      </c>
      <c r="B28" s="22" t="s">
        <v>926</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927</v>
      </c>
      <c r="B29" s="22" t="s">
        <v>928</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929</v>
      </c>
      <c r="B30" s="22" t="s">
        <v>930</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931</v>
      </c>
      <c r="B31" s="22" t="s">
        <v>932</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933</v>
      </c>
      <c r="B32" s="22" t="s">
        <v>934</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935</v>
      </c>
      <c r="B33" s="22" t="s">
        <v>936</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937</v>
      </c>
      <c r="B34" s="22" t="s">
        <v>938</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939</v>
      </c>
      <c r="B35" s="22" t="s">
        <v>940</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941</v>
      </c>
      <c r="B36" s="22" t="s">
        <v>942</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943</v>
      </c>
      <c r="B37" s="22" t="s">
        <v>944</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945</v>
      </c>
      <c r="B38" s="22" t="s">
        <v>946</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947</v>
      </c>
      <c r="B39" s="22" t="s">
        <v>948</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949</v>
      </c>
      <c r="B40" s="22" t="s">
        <v>950</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951</v>
      </c>
      <c r="B41" s="22" t="s">
        <v>952</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953</v>
      </c>
      <c r="B42" s="22" t="s">
        <v>954</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955</v>
      </c>
      <c r="B43" s="22" t="s">
        <v>956</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957</v>
      </c>
      <c r="B44" s="22" t="s">
        <v>958</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959</v>
      </c>
      <c r="B45" s="22" t="s">
        <v>960</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